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請先閱讀" sheetId="1" r:id="rId5"/>
    <sheet state="visible" name="角色簡卡" sheetId="2" r:id="rId6"/>
    <sheet state="visible" name="角色卡" sheetId="3" r:id="rId7"/>
    <sheet state="visible" name="職業能力選項" sheetId="4" r:id="rId8"/>
    <sheet state="hidden" name="索引資料" sheetId="5" r:id="rId9"/>
    <sheet state="hidden" name="物種" sheetId="6" r:id="rId10"/>
    <sheet state="hidden" name="子職業能力" sheetId="7" r:id="rId11"/>
    <sheet state="hidden" name="職業能力" sheetId="8" r:id="rId12"/>
    <sheet state="hidden" name="背景" sheetId="9" r:id="rId13"/>
    <sheet state="hidden" name="專長" sheetId="10" r:id="rId14"/>
    <sheet state="hidden" name="GH轉變" sheetId="11" r:id="rId15"/>
    <sheet state="hidden" name="GH轉變能力表" sheetId="12" r:id="rId16"/>
    <sheet state="visible" name="裝備與物品" sheetId="13" r:id="rId17"/>
    <sheet state="visible" name="背景故事" sheetId="14" r:id="rId18"/>
    <sheet state="hidden" name="武器&amp;護甲" sheetId="15" r:id="rId19"/>
    <sheet state="hidden" name="職業套組複製區" sheetId="16" r:id="rId20"/>
    <sheet state="hidden" name="角色扮演特質" sheetId="17" r:id="rId21"/>
    <sheet state="visible" name="法術表" sheetId="18" r:id="rId22"/>
    <sheet state="hidden" name="法術篩選" sheetId="19" r:id="rId23"/>
    <sheet state="hidden" name="法術資料" sheetId="20" r:id="rId24"/>
    <sheet state="hidden" name="準備法術" sheetId="21" r:id="rId25"/>
    <sheet state="visible" name="法術書" sheetId="22" r:id="rId26"/>
    <sheet state="visible" name="坐騎召喚物" sheetId="23" r:id="rId27"/>
    <sheet state="hidden" name="坐騎召喚物(手動)" sheetId="24" r:id="rId28"/>
    <sheet state="hidden" name="召喚物資料" sheetId="25" r:id="rId29"/>
    <sheet state="hidden" name="魔寵資料" sheetId="26" r:id="rId30"/>
    <sheet state="hidden" name="坐騎資料" sheetId="27" r:id="rId31"/>
    <sheet state="visible" name="金錢紀錄" sheetId="28" r:id="rId32"/>
    <sheet state="visible" name="團務紀錄卡" sheetId="29" r:id="rId33"/>
    <sheet state="visible" name="據點" sheetId="30" r:id="rId34"/>
    <sheet state="hidden" name="據點特色設施表" sheetId="31" r:id="rId35"/>
    <sheet state="hidden" name="據點事件表" sheetId="32" r:id="rId36"/>
  </sheets>
  <definedNames>
    <definedName name="StrMod">'角色卡'!$J$15</definedName>
    <definedName name="WisMod">'角色卡'!$J$19</definedName>
    <definedName name="Cha">'角色卡'!$G$20</definedName>
    <definedName name="Str">'角色卡'!$G$15</definedName>
    <definedName name="DexMod">'角色卡'!$J$16</definedName>
    <definedName name="Int">'角色卡'!$G$18</definedName>
    <definedName name="tweight">'裝備與物品'!$AB$34</definedName>
    <definedName name="Con">'角色卡'!$G$17</definedName>
    <definedName name="Dex">'角色卡'!$G$16</definedName>
    <definedName name="AC">'角色卡'!$AN$27</definedName>
    <definedName name="Lvl">'角色卡'!$Q$7</definedName>
    <definedName name="Wis">'角色卡'!$G$19</definedName>
    <definedName name="Prof">'角色卡'!$C$47</definedName>
    <definedName name="Lvsum">#REF!</definedName>
    <definedName localSheetId="13" name="tweight">#REF!</definedName>
    <definedName name="ConMod">'角色卡'!$J$17</definedName>
    <definedName name="ChaMod">'角色卡'!$J$20</definedName>
    <definedName name="IntMod">'角色卡'!$J$18</definedName>
    <definedName hidden="1" localSheetId="19" name="_xlnm._FilterDatabase">'法術資料'!$B$1:$Y$856</definedName>
    <definedName hidden="1" localSheetId="2" name="Z_C8B61B38_60CB_48BC_B9FA_CF56C98E8B8E_.wvu.FilterData">'角色卡'!$AB$17:$AK$21</definedName>
    <definedName hidden="1" localSheetId="2" name="Z_7A41CF54_2F59_4362_8A97_2201B5E66119_.wvu.FilterData">'角色卡'!$AB$15:$AK$21</definedName>
  </definedNames>
  <calcPr/>
  <customWorkbookViews>
    <customWorkbookView activeSheetId="0" maximized="1" windowHeight="0" windowWidth="0" guid="{7A41CF54-2F59-4362-8A97-2201B5E66119}" name="篩選器 1"/>
    <customWorkbookView activeSheetId="0" maximized="1" windowHeight="0" windowWidth="0" guid="{C8B61B38-60CB-48BC-B9FA-CF56C98E8B8E}" name="篩選器 2"/>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高 力量值 通常表示角色長著魁梧健美的身形，而低力量值角色則可能瘦得皮包骨或是肥得滾圓。</t>
      </text>
    </comment>
    <comment authorId="0" ref="B8">
      <text>
        <t xml:space="preserve">高 敏捷值 的角色很可能身體柔軟苗條，而低敏捷值的角色則可能消瘦笨拙或是笨重而遲鈍。</t>
      </text>
    </comment>
    <comment authorId="0" ref="B9">
      <text>
        <t xml:space="preserve">高 體魄值 的角色往往外表十分健康，比如長著明亮的眼睛且時刻充滿活力。一個低體魄值的角色則可能顯得病怏怏或身體虛弱。</t>
      </text>
    </comment>
    <comment authorId="0" ref="L9">
      <text>
        <t xml:space="preserve">力量（運動）檢定覆蓋進行攀爬、跳躍、遊泳時遇上的
困難情況。以下為例子：
• 你嘗試攀爬陡坡或滑坡、在攀爬時迴避災害、或在有東西想撞開你的情況下抓緊壁面。
•你嘗試跳躍不尋常的遠距離或在跳躍中施展花式。
•你要在凶險的水流、風暴浪濤、水草海域中掙扎游泳或浮面。
•有東西想將你推下水，拉入水，或以其他方式阻礙你游泳</t>
      </text>
    </comment>
    <comment authorId="0" ref="R9">
      <text>
        <t xml:space="preserve">當不確定你是否能馴服一隻牲畜、安撫座騎使其免受驚嚇、或者推斷出動物的意向的時候，進行一次感知（馴養動物）檢定。當你嘗試一些危險動作時你也會用感知（馴養動物） 檢定去控制你的座騎。</t>
      </text>
    </comment>
    <comment authorId="0" ref="B10">
      <text>
        <t xml:space="preserve">高 智力值 的角色可能勤學好問，而低智力值的角色則可能說話簡單直接或是大大咧咧。</t>
      </text>
    </comment>
    <comment authorId="0" ref="L10">
      <text>
        <t xml:space="preserve">敏捷（特技動作）檢定覆蓋在麻煩的情況下保持平衡，例如在冰塊上奔跑、走繩、在猛搖的甲板上站穩。DM也可能用敏捷（特技動作）檢定決定你能否完成體操特技，包括前翻、側翻、空翻、後翻等。</t>
      </text>
    </comment>
    <comment authorId="0" ref="R10">
      <text>
        <t xml:space="preserve">感知（察言觀色）檢定決定你是否能辦別另一人的真實意圖，例如辨別謊言或預測他的下一步行動時。這樣做需要讀取對方的身體語言、言談舉止、態度轉變等。</t>
      </text>
    </comment>
    <comment authorId="0" ref="B11">
      <text>
        <t xml:space="preserve">高 感知值 的角色對事物有著良好的判斷力和敏感的感受力，並且時常保持警惕。低感知值的角色則可能會心不在焉，魯莽或是對周圍事物毫不在意。</t>
      </text>
    </comment>
    <comment authorId="0" ref="L11">
      <text>
        <t xml:space="preserve">每當你嘗試施行障眼法或巧手的時候，例如把一些東西放在他人身上或者將一件東西藏在自已身上，進行一次敏捷（巧手）檢定。DM可能會要你進行敏捷（巧手）檢定以決定你是否能從其他人的錢包或口袋中摸魚。
•你要在凶險的水流、風暴浪濤、水草海域中掙扎游泳或浮面。
•有東西想將你推下水，拉入水，或以其他方式阻礙你游泳</t>
      </text>
    </comment>
    <comment authorId="0" ref="R11">
      <text>
        <t xml:space="preserve">感知（醫療）檢定讓你可以嘗試穩定瀕死戰友的傷勢或者診斷疾病。</t>
      </text>
    </comment>
    <comment authorId="0" ref="B12">
      <text>
        <t xml:space="preserve">高 魅力值 的角色透露著自信，舉止間會不時的混雜著禮貌或恫嚇。低魅力角色形象可能是粗魯，口齒不清或膽小怕事。</t>
      </text>
    </comment>
    <comment authorId="0" ref="L12">
      <text>
        <t xml:space="preserve">當你嘗試躲起來避過敵人、潛過守衛、偷偷溜走、無聲
無息地潛到某人背後時，進行一次敏捷（隱藏）檢定。</t>
      </text>
    </comment>
    <comment authorId="0" ref="R12">
      <text>
        <t xml:space="preserve">你的使用感知（察覺）檢定讓你可以看，聽，或用其他方式感察到一些東西的存在。它代表你對週圍環境的觸覺，以及你的敏銳感官。例、偷聽門後的對話、在窗外竊聽、或聽到在林中靜稍稍地移動的生物。或者你可能在試著看見被遮蔽或容易看走眼的東西，不論是在前路埋伏的獸人、躲在暗巷裡的混混、還是從密門的門鏠間漏出的燭光。</t>
      </text>
    </comment>
    <comment authorId="0" ref="L13">
      <text>
        <t xml:space="preserve">你的智力（奧秘）檢定量度你憶起關於法術、魔法物品、奧秘符文、魔法派系、位面、位面之民的知識的能力。</t>
      </text>
    </comment>
    <comment authorId="0" ref="R13">
      <text>
        <t xml:space="preserve">當你要追蹤、狩獵野味、引導隊伍穿過冰原、辦識出附近住著鷹熊、預測天氣、迴避流沙或其他天險時，DM可能要求你進行一次感知（求生）檢定。</t>
      </text>
    </comment>
    <comment authorId="0" ref="L14">
      <text>
        <t xml:space="preserve">你的智力（歷史）檢定量度你憶起關於歷史事件、傳奇人物、古王國、昔日糾紛、近代戰爭、失落文明的知識的能力。</t>
      </text>
    </comment>
    <comment authorId="0" ref="R14">
      <text>
        <t xml:space="preserve">魅力（欺瞞）檢定決定你能否可信地隱暪真相，不論是言語還是動作。由模稜兩可地誤導人到彌天大謊都包括在內。常見的情況包括暪過守衛、騙過商人、從賭局賺錢、以易容暪天過海、安撫他人的懷疑、載著樸克臉撒大謊等。</t>
      </text>
    </comment>
    <comment authorId="0" ref="L15">
      <text>
        <t xml:space="preserve">當你到處嗅探線索並用它們推理的時候，你進行一次智力（調查）檢定。你可能要推斷隱藏的物體的位置、從傷口的外觀判斷它由甚麼武器做成、或找出一條隧道的結構性弱點。在一堆古卷中尋找一段隱藏的知識也可能需要一次智力（調查）檢定。</t>
      </text>
    </comment>
    <comment authorId="0" ref="R15">
      <text>
        <t xml:space="preserve">當你嘗試用威脅、敵對行為、暴力等使他人回心轉意時，進行一次魅力（威嚇）檢定。例子包括迫供、嚇退混混、用破瓶的利口“說服”高官三思等。</t>
      </text>
    </comment>
    <comment authorId="0" ref="L16">
      <text>
        <t xml:space="preserve">你的智力（自然）檢定量度你憶起關於地勢、動植物、氣候、自然週期的知識的能力。</t>
      </text>
    </comment>
    <comment authorId="0" ref="R16">
      <text>
        <t xml:space="preserve">你的魅力（表演）檢定決定你能多好地用音樂、舞蹈、扮演、賣藝、說書，或其他方式娛樂觀眾。</t>
      </text>
    </comment>
    <comment authorId="0" ref="L17">
      <text>
        <t xml:space="preserve">你的智力（宗教）檢定量度你憶起關於神明、儀式和禱告、教牧階級、聖徽、秘密組織風俗的知識的能力。</t>
      </text>
    </comment>
    <comment authorId="0" ref="R17">
      <text>
        <t xml:space="preserve">當你嘗試圓滑地、優雅地、善意地遊說使某人或一群人時，DM可能會要你進行一次魅力（說服）檢定。通常你會用說服去表示信任，促進友誼，誠懇地請求，或展示恰當的禮儀。例子包括說服官務大臣給你跟國王會面，商談多族間的和平契約，或激勵一幫村民。</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10">
      <text>
        <t xml:space="preserve">8呎11吋		271.78 公分
8呎10吋		269.24 公分
8呎9吋		266.70 公分
8呎8吋 		264.16 公分
8呎7吋		261.62 公分
8呎6吋 		259.08 公分
8呎5吋 		256.54 公分
8呎4吋 		254.00 公分
8呎3吋 		251.46 公分
8呎2吋 		248.92 公分
8呎1吋		246.38 公分
8呎0吋 		243.80 公分
7呎11吋		241.30 公分
7呎10吋		238.76 公分
7呎9吋		236.22 公分
7呎8吋		233.68 公分
7呎7吋		231.14 公分
7呎6吋		228.60 公分
7呎5吋		226.06 公分
7呎4吋		223.52 公分
7呎3吋		220.98 公分
7呎2吋		218.44 公分
7呎1吋		216.41 公分
7呎0吋		213.36 公分
6呎11吋		210.82 公分
6呎10吋		208.28 公分
6呎9吋		205.74 公分
6呎8吋		203.20 公分
6呎7吋		200.66 公分
6呎6吋		198.12 公分
6呎5吋		195.58 公分
6呎4吋		193.04 公分
6呎3吋		190.50 公分
6呎2吋		187.96 公分
6呎1吋		185.42 公分
6呎0吋		182.88 公分
5呎11吋		180.34 公分
5呎10吋		177.80 公分
5呎9吋		175.26 公分
5呎8吋		172.72 公分
5呎7吋		170.18 公分
5呎6吋		167.64 公分
5呎5吋		165.10 公分
5呎4吋		162.60 公分
5呎3吋		160.00 公分
5呎2吋		157.50 公分
5呎1吋		154.90 公分
5呎0吋		152.40 公分
4呎11吋		149.86 公分
4呎10吋		147.32 公分
4呎9吋		144.78 公分
4呎8吋		142.24 公分
4呎7吋		139.70 公分
4呎6吋		137.16 公分
4呎5吋		134.62 公分
4呎4吋		132.08 公分
4呎3吋		129.54 公分
4呎2吋		127.00 公分
4呎1吋		124.46 公分
4呎0吋		121.92 公分
3呎11吋		119.38 公分
3呎10吋		116.84 公分
3呎9吋		114.30 公分
3呎8吋		111.76 公分
3呎7吋		109.22 公分
3呎6吋		106.68 公分
3呎5吋		104.14 公分
3呎4吋		101.60 公分
3呎3吋		99.06 公分
3呎2吋		96.52 公分
3呎1吋		93.98 公分
3呎0吋		91.44 公分
2呎11吋		88.90 公分
2呎10吋		86.36 公分
2呎9吋		83.82 公分
2呎8吋		81.28 公分
2呎7吋		78.74 公分
2呎6吋		76.20 公分
2呎5吋		73.66 公分
2呎4吋		71.12 公分
2呎3吋		68.58 公分
2呎2吋		66.04 公分
2呎1吋		63.50 公分
2呎0吋		60.96 公分</t>
      </text>
    </comment>
    <comment authorId="0" ref="AJ10">
      <text>
        <t xml:space="preserve">1 kg	2.205 lb	
2 kg	4.409 lb	
3 kg	6.614 lb	
4 kg	8.818 lb	
5 kg	11.023 lb	
6 kg	13.228 lb
7 kg	15.432 lb	
8 kg	17.637 lb	
9 kg	19.842 lb	
10 kg	22.046 lb	
20 kg	44.092 lb	
30 kg	66.139 lb	
40 kg	88.185 lb	
50 kg	110.231 lb	
60 kg	132.277 lb	
70 kg	154.324 lb	
80 kg	176.370 lb	
90 kg	198.416 lb	
100 kg	220.462 lb</t>
      </text>
    </comment>
    <comment authorId="0" ref="C14">
      <text>
        <t xml:space="preserve">可用備註記錄屬性初始與加值
Ex: 購點制
力量: 9
敏捷: 15+2(種族)
體質: 13
智力: 14
感知: 13+1(種族)
魅力: 8</t>
      </text>
    </comment>
    <comment authorId="0" ref="C15">
      <text>
        <t xml:space="preserve">高 力量值 通常表示角色長著魁梧健美的身形，而低力量值角色則可能瘦得皮包骨或是肥得滾圓。
其他力量檢定。當你運行以下行動時，DM 可能會要求你進行力量檢定：
強行突破卡死、上鎖或栓住、堵塞的門。
扯開束縛物。
擠過太狹窄的通道。
被馬車拖行時抓着馬車不放。
推倒一座雕像。
止住滾動中的大圓石。</t>
      </text>
    </comment>
    <comment authorId="0" ref="AY15">
      <text>
        <t xml:space="preserve">等級	所需經驗
1		0
2		300
3		900
4		2,700
5		6,500
6		14,000
7		23,000
8		34,000
9		48,000
10		64,000
11		85,000
12		100,000
13		120,000
14		140,000
15		165,000
16		195,000
17		225,000
18		265,000
19		305,000
20		355,000</t>
      </text>
    </comment>
    <comment authorId="0" ref="C16">
      <text>
        <t xml:space="preserve">高 敏捷值 的角色很可能身體柔軟苗條，而低敏捷值的角色則可能消瘦笨拙或是笨重而遲鈍。
其他敏捷檢定。當你運行以下行動時，DM 也可能要求你進行敏捷檢定：
在落坡時控制住重載的馬車。
控制戰車急轉彎或避開障礙。
撬鎖。
解除陷阱。
牢牢地綁住戰俘。
從束縛中滑脫。
演奏絃樂。
製作細緻的小東西。</t>
      </text>
    </comment>
    <comment authorId="0" ref="C17">
      <text>
        <t xml:space="preserve">高 體魄值 的角色往往外表十分健康，比如長著明亮的眼睛且時刻充滿活力。一個低體魄值的角色則可能顯得病怏怏或身體虛弱。
其他體魄檢定。當你進行以下行動時，DM 可能會要求你進行體質檢定：
閉氣。
持續數小時不間斷的行進或作苦力活。
通宵活動。
不吃不喝。
一口喝掉一大杯麥酒。</t>
      </text>
    </comment>
    <comment authorId="0" ref="C18">
      <text>
        <t xml:space="preserve">高 智力值 的角色可能勤學好問，而低智力值的角色則可能說話簡單直接或是大大咧咧。
其它智力檢定。當你運行以下行動時，DM 可能會要求你進行智力檢定：
不使用言語與他人溝通
給一件貴重品估價
蒐集材料以僞裝成一名城市守衛通過某處
僞造文書。
憶起關於一門手藝或行業的知識
在技術性遊戲中獲勝。</t>
      </text>
    </comment>
    <comment authorId="0" ref="C19">
      <text>
        <t xml:space="preserve">高 感知值 的角色對事物有著良好的判斷力和敏感的感受力，並且時常保持警惕。低睿知值的角色則可能會心不在焉，魯莽或是對周圍事物毫不在意。
其他感知檢定。當你運行以下行動時，DM 可能會要你進行感知檢定：
用直覺決定下一步應該怎樣做。
辦認看上去已經死了或者還活着的生物是否不死生物。</t>
      </text>
    </comment>
    <comment authorId="0" ref="C20">
      <text>
        <t xml:space="preserve">高 魅力值 的角色透露著自信，舉止間會不時的混雜著禮貌或恫嚇。低魅力角色形象可能是粗魯，口齒不清或膽小怕事。
其他魅力檢定。當你運行以下行動時，DM 可能會要你進行魅力檢定：
找出最消息靈通的人。
融入群衆，聽取當下的熱門話題。</t>
      </text>
    </comment>
    <comment authorId="0" ref="AF22">
      <text>
        <t xml:space="preserve">all classes LV-1
</t>
      </text>
    </comment>
    <comment authorId="0" ref="AT22">
      <text>
        <t xml:space="preserve">HP+CON&lt;0
than=0
</t>
      </text>
    </comment>
    <comment authorId="0" ref="AW22">
      <text>
        <t xml:space="preserve">if ABS(CON)&gt;=HP and CON+HP&gt;0
0=false
1=true
</t>
      </text>
    </comment>
    <comment authorId="0" ref="CG26">
      <text>
        <t xml:space="preserve">隱匿技能</t>
      </text>
    </comment>
    <comment authorId="0" ref="F27">
      <text>
        <t xml:space="preserve">力量（運動）檢定覆蓋進行攀爬、跳躍、遊泳時遇上的
困難情況。以下為例子：
• 你嘗試攀爬陡坡或滑坡、在攀爬時迴避災害、或在有東西想撞開你的情況下抓緊壁面。
•你嘗試跳躍不尋常的遠距離或在跳躍中施展花式。
•你要在凶險的水流、風暴浪濤、水草海域中掙扎游泳或浮面。
•有東西想將你推下水，拉入水，或以其他方式阻礙你游泳</t>
      </text>
    </comment>
    <comment authorId="0" ref="F28">
      <text>
        <t xml:space="preserve">敏捷（特技動作）檢定覆蓋在麻煩的情況下保持平衡，例如在冰塊上奔跑、走繩、在猛搖的甲板上站穩。DM也可能用敏捷（特技動作）檢定決定你能否完成體操特技，包括前翻、側翻、空翻、後翻等。</t>
      </text>
    </comment>
    <comment authorId="0" ref="F29">
      <text>
        <t xml:space="preserve">每當你嘗試施行障眼法或巧手的時候，例如把一些東西放在他人身上或者將一件東西藏在自已身上，進行一次敏捷（巧手）檢定。DM可能會要你進行敏捷（巧手）檢定以決定你是否能從其他人的錢包或口袋中摸魚。
•你要在凶險的水流、風暴浪濤、水草海域中掙扎游泳或浮面。
•有東西想將你推下水，拉入水，或以其他方式阻礙你游泳</t>
      </text>
    </comment>
    <comment authorId="0" ref="F30">
      <text>
        <t xml:space="preserve">當你嘗試躲起來避過敵人、潛過守衛、偷偷溜走、無聲
無息地潛到某人背後時，進行一次敏捷（隱藏）檢定。</t>
      </text>
    </comment>
    <comment authorId="0" ref="F31">
      <text>
        <t xml:space="preserve">你的智力（奧秘）檢定量度你憶起關於法術、魔法物品、奧秘符文、魔法派系、位面、位面之民的知識的能力。</t>
      </text>
    </comment>
    <comment authorId="0" ref="F32">
      <text>
        <t xml:space="preserve">你的智力（歷史）檢定量度你憶起關於歷史事件、傳奇人物、古王國、昔日糾紛、近代戰爭、失落文明的知識的能力。</t>
      </text>
    </comment>
    <comment authorId="0" ref="F33">
      <text>
        <t xml:space="preserve">當你到處嗅探線索並用它們推理的時候，你進行一次智力（調查）檢定。你可能要推斷隱藏的物體的位置、從傷口的外觀判斷它由甚麼武器做成、或找出一條隧道的結構性弱點。在一堆古卷中尋找一段隱藏的知識也可能需要一次智力（調查）檢定。</t>
      </text>
    </comment>
    <comment authorId="0" ref="F34">
      <text>
        <t xml:space="preserve">你的智力（自然）檢定量度你憶起關於地勢、動植物、氣候、自然週期的知識的能力。</t>
      </text>
    </comment>
    <comment authorId="0" ref="F35">
      <text>
        <t xml:space="preserve">你的智力（宗教）檢定量度你憶起關於神明、儀式和禱告、教牧階級、聖徽、秘密組織風俗的知識的能力。</t>
      </text>
    </comment>
    <comment authorId="0" ref="F36">
      <text>
        <t xml:space="preserve">當不確定你是否能馴服一隻牲畜、安撫座騎使其免受驚嚇、或者推斷出動物的意向的時候，進行一次感知（動物馴服）檢定。當你嘗試一些危險動作時你也會用感知（動物馴服） 檢定去控制你的座騎。</t>
      </text>
    </comment>
    <comment authorId="0" ref="F37">
      <text>
        <t xml:space="preserve">感知（察言觀色）檢定決定你是否能辦別另一人的真實意圖，例如辨別謊言或預測他的下一步行動時。這樣做需要讀取對方的身體語言、言談舉止、態度轉變等。</t>
      </text>
    </comment>
    <comment authorId="0" ref="F38">
      <text>
        <t xml:space="preserve">感知（醫療）檢定讓你可以嘗試穩定瀕死戰友的傷勢或者診斷疾病。</t>
      </text>
    </comment>
    <comment authorId="0" ref="F39">
      <text>
        <t xml:space="preserve">你的使用感知（察覺）檢定讓你可以看，聽，或用其他方式感察到一些東西的存在。它代表你對週圍環境的觸覺，以及你的敏銳感官。例、偷聽門後的對話、在窗外竊聽、或聽到在林中靜稍稍地移動的生物。或者你可能在試著看見被遮蔽或容易看走眼的東西，不論是在前路埋伏的獸人、躲在暗巷裡的混混、還是從密門的門鏠間漏出的燭光。</t>
      </text>
    </comment>
    <comment authorId="0" ref="F40">
      <text>
        <t xml:space="preserve">當你要追蹤、狩獵野味、引導隊伍穿過冰原、辦識出附近住著鷹熊、預測天氣、迴避流沙或其他天險時，DM可能要求你進行一次感知（求生）檢定。</t>
      </text>
    </comment>
    <comment authorId="0" ref="F41">
      <text>
        <t xml:space="preserve">魅力（欺瞞）檢定決定你能否可信地隱暪真相，不論是言語還是動作。由模稜兩可地誤導人到彌天大謊都包括在內。常見的情況包括暪過守衛、騙過商人、從賭局賺錢、以易容暪天過海、安撫他人的懷疑、載著樸克臉撒大謊等。</t>
      </text>
    </comment>
    <comment authorId="0" ref="F42">
      <text>
        <t xml:space="preserve">當你嘗試用威脅、敵對行為、暴力等使他人回心轉意時，進行一次魅力（威嚇）檢定。例子包括迫供、嚇退混混、用破瓶的利口“說服”高官三思等。</t>
      </text>
    </comment>
    <comment authorId="0" ref="F43">
      <text>
        <t xml:space="preserve">你的魅力（表演）檢定決定你能多好地用音樂、舞蹈、扮演、賣藝、說書，或其他方式娛樂觀眾。</t>
      </text>
    </comment>
    <comment authorId="0" ref="F44">
      <text>
        <t xml:space="preserve">當你嘗試圓滑地、優雅地、善意地遊說使某人或一群人時，DM可能會要你進行一次魅力（說服）檢定。通常你會用說服去表示信任，促進友誼，誠懇地請求，或展示恰當的禮儀。例子包括說服官務大臣給你跟國王會面，商談多族間的和平契約，或激勵一幫村民。</t>
      </text>
    </comment>
    <comment authorId="0" ref="N66">
      <text>
        <t xml:space="preserve">選一項+1一項+2
or
三項各+1</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R5">
      <text>
        <t xml:space="preserve">可以容納1立方呎或30磅重的裝備。你也可以將像是睡袋或一卷繩子等道具綁在背包外側。</t>
      </text>
    </comment>
    <comment authorId="0" ref="R6">
      <text>
        <t xml:space="preserve">可以花費其中的一次使用次數，並使用一個動作治療你 5 呎內的一個生物。該生物花費一個自身的生命骰，然後你擲出該骰。該生物恢復的生命值等於擲出的結果加上你的熟練加值。</t>
      </text>
    </comment>
    <comment authorId="0" ref="C13">
      <text>
        <t xml:space="preserve">一個布質或皮製的囊袋可以收納最多20個投石索彈丸、50支吹箭、或其他東西。一個用以收納法術材料的分類囊袋被稱作材料包。一個囊袋可以容納最多⅕立方呎或6磅重的裝備。</t>
      </text>
    </comment>
    <comment authorId="0" ref="C22">
      <text>
        <t xml:space="preserve">可以容納最多1立方呎或30磅重的裝備。</t>
      </text>
    </comment>
    <comment authorId="0" ref="C31">
      <text>
        <t xml:space="preserve">可以容納最多20枝箭/弩矢。</t>
      </text>
    </comment>
    <comment authorId="0" ref="C40">
      <text>
        <t xml:space="preserve">有+號的魔法物品，請用'
</t>
      </text>
    </comment>
    <comment authorId="0" ref="C41">
      <text>
        <t xml:space="preserve">有+號的魔法物品，請用'</t>
      </text>
    </comment>
    <comment authorId="0" ref="C49">
      <text>
        <t xml:space="preserve">有+號的魔法物品，請用'
</t>
      </text>
    </comment>
    <comment authorId="0" ref="C50">
      <text>
        <t xml:space="preserve">有+號的魔法物品，請用'</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2">
      <text>
        <t xml:space="preserve">聖騎士、遊俠/2。向上取。
魔能騎士、詭術師/3。向上取。</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若要尋找坐騎，右側生物來源請選擇「坐騎」。
若要尋找魔寵，右側生物來源請選擇「尋獲魔寵」法術。
若要再尋找契術師鎖鏈魔寵之額外魔寵，前往「職業能力選項」工作表之魔能祈喚列選擇「鎖鏈魔契」即可顯示。</t>
      </text>
    </comment>
    <comment authorId="0" ref="BE6">
      <text>
        <t xml:space="preserve">護馬鎧甲一套設計用於保護動物的頭、頸、胸、和身體的護甲。在本章節的護甲表中列出的任何護甲種類都可以被作爲護馬鎧甲購買。它的價格相當於原本類人生物所穿護甲的四倍，且其重量爲原本的兩倍。</t>
      </text>
    </comment>
    <comment authorId="0" ref="BE7">
      <text>
        <t xml:space="preserve">軍用鞍座支撐着騎手，幫助你在戰鬥中活動的坐騎上保持坐姿。它讓你在任何爲了維持騎乘時所做的檢定中獲得優勢。異種鞍座則是騎乘任何水生或飛行坐騎所需的必要品。</t>
      </text>
    </comment>
    <comment authorId="0" ref="BE8">
      <text>
        <t xml:space="preserve">用於引導坐騎的標准設備。</t>
      </text>
    </comment>
    <comment authorId="0" ref="BE10">
      <text>
        <t xml:space="preserve">護馬鎧甲一套設計用於保護動物的頭、頸、胸、和身體的護甲。在本章節的護甲表中列出的任何護甲種類都可以被作爲護馬鎧甲購買。它的價格相當於原本類人生物所穿護甲的四倍，且其重量爲原本的兩倍。</t>
      </text>
    </comment>
    <comment authorId="0" ref="C11">
      <text>
        <t xml:space="preserve">高 力量值 通常表示角色長著魁梧健美的身形，而低力量值角色則可能瘦得皮包骨或是肥得滾圓。
其他力量檢定。當你運行以下行動時，DM 可能會要求你進行力量檢定：
強行突破卡死、上鎖或栓住、堵塞的門。
扯開束縛物。
擠過太狹窄的通道。
被馬車拖行時抓着馬車不放。
推倒一座雕像。
止住滾動中的大圓石。</t>
      </text>
    </comment>
    <comment authorId="0" ref="BE11">
      <text>
        <t xml:space="preserve">護馬鎧甲一套設計用於保護動物的頭、頸、胸、和身體的護甲。在本章節的護甲表中列出的任何護甲種類都可以被作爲護馬鎧甲購買。它的價格相當於原本類人生物所穿護甲的四倍，且其重量爲原本的兩倍。</t>
      </text>
    </comment>
    <comment authorId="0" ref="C12">
      <text>
        <t xml:space="preserve">高 敏捷值 的角色很可能身體柔軟苗條，而低敏捷值的角色則可能消瘦笨拙或是笨重而遲鈍。
其他敏捷檢定。當你運行以下行動時，DM 也可能要求你進行敏捷檢定：
在落坡時控制住重載的馬車。
控制戰車急轉彎或避開障礙。
撬鎖。
解除陷阱。
牢牢地綁住戰俘。
從束縛中滑脫。
演奏絃樂。
製作細緻的小東西。</t>
      </text>
    </comment>
    <comment authorId="0" ref="C13">
      <text>
        <t xml:space="preserve">高 體魄值 的角色往往外表十分健康，比如長著明亮的眼睛且時刻充滿活力。一個低體魄值的角色則可能顯得病怏怏或身體虛弱。
其他體魄檢定。當你進行以下行動時，DM 可能會要求你進行體質檢定：
閉氣。
持續數小時不間斷的行進或作苦力活。
通宵活動。
不吃不喝。
一口喝掉一大杯麥酒。</t>
      </text>
    </comment>
    <comment authorId="0" ref="C14">
      <text>
        <t xml:space="preserve">高 智力值 的角色可能勤學好問，而低智力值的角色則可能說話簡單直接或是大大咧咧。
其它智力檢定。當你運行以下行動時，DM 可能會要求你進行智力檢定：
不使用言語與他人溝通
給一件貴重品估價
蒐集材料以僞裝成一名城市守衛通過某處
僞造文書。
憶起關於一門手藝或行業的知識
在技術性遊戲中獲勝。</t>
      </text>
    </comment>
    <comment authorId="0" ref="BE14">
      <text>
        <t xml:space="preserve">可連接到坐騎鞍座的標準鞍囊。</t>
      </text>
    </comment>
    <comment authorId="0" ref="C15">
      <text>
        <t xml:space="preserve">高 感知值 的角色對事物有著良好的判斷力和敏感的感受力，並且時常保持警惕。低睿知值的角色則可能會心不在焉，魯莽或是對周圍事物毫不在意。
其他感知檢定。當你運行以下行動時，DM 可能會要你進行感知檢定：
用直覺決定下一步應該怎樣做。
辦認看上去已經死了或者還活着的生物是否不死生物。</t>
      </text>
    </comment>
    <comment authorId="0" ref="C16">
      <text>
        <t xml:space="preserve">高 魅力值 的角色透露著自信，舉止間會不時的混雜著禮貌或恫嚇。低魅力角色形象可能是粗魯，口齒不清或膽小怕事。
其他魅力檢定。當你運行以下行動時，DM 可能會要你進行魅力檢定：
找出最消息靈通的人。
融入群衆，聽取當下的熱門話題。</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若要尋找坐騎，右側生物來源請選擇「坐騎」。
若要尋找魔寵，右側生物來源請選擇「尋獲魔寵」法術。
若要再尋找契術師鎖鏈魔寵之額外魔寵，前往「職業能力選項」工作表之魔能祈喚列選擇「鎖鏈魔契」即可顯示。</t>
      </text>
    </comment>
    <comment authorId="0" ref="BE6">
      <text>
        <t xml:space="preserve">護馬鎧甲一套設計用於保護動物的頭、頸、胸、和身體的護甲。在本章節的護甲表中列出的任何護甲種類都可以被作爲護馬鎧甲購買。它的價格相當於原本類人生物所穿護甲的四倍，且其重量爲原本的兩倍。</t>
      </text>
    </comment>
    <comment authorId="0" ref="BE7">
      <text>
        <t xml:space="preserve">軍用鞍座支撐着騎手，幫助你在戰鬥中活動的坐騎上保持坐姿。它讓你在任何爲了維持騎乘時所做的檢定中獲得優勢。異種鞍座則是騎乘任何水生或飛行坐騎所需的必要品。</t>
      </text>
    </comment>
    <comment authorId="0" ref="BE8">
      <text>
        <t xml:space="preserve">用於引導坐騎的標准設備。</t>
      </text>
    </comment>
    <comment authorId="0" ref="BE10">
      <text>
        <t xml:space="preserve">護馬鎧甲一套設計用於保護動物的頭、頸、胸、和身體的護甲。在本章節的護甲表中列出的任何護甲種類都可以被作爲護馬鎧甲購買。它的價格相當於原本類人生物所穿護甲的四倍，且其重量爲原本的兩倍。</t>
      </text>
    </comment>
    <comment authorId="0" ref="C11">
      <text>
        <t xml:space="preserve">高 力量值 通常表示角色長著魁梧健美的身形，而低力量值角色則可能瘦得皮包骨或是肥得滾圓。
其他力量檢定。當你運行以下行動時，DM 可能會要求你進行力量檢定：
強行突破卡死、上鎖或栓住、堵塞的門。
扯開束縛物。
擠過太狹窄的通道。
被馬車拖行時抓着馬車不放。
推倒一座雕像。
止住滾動中的大圓石。</t>
      </text>
    </comment>
    <comment authorId="0" ref="BE11">
      <text>
        <t xml:space="preserve">護馬鎧甲一套設計用於保護動物的頭、頸、胸、和身體的護甲。在本章節的護甲表中列出的任何護甲種類都可以被作爲護馬鎧甲購買。它的價格相當於原本類人生物所穿護甲的四倍，且其重量爲原本的兩倍。</t>
      </text>
    </comment>
    <comment authorId="0" ref="C12">
      <text>
        <t xml:space="preserve">高 敏捷值 的角色很可能身體柔軟苗條，而低敏捷值的角色則可能消瘦笨拙或是笨重而遲鈍。
其他敏捷檢定。當你運行以下行動時，DM 也可能要求你進行敏捷檢定：
在落坡時控制住重載的馬車。
控制戰車急轉彎或避開障礙。
撬鎖。
解除陷阱。
牢牢地綁住戰俘。
從束縛中滑脫。
演奏絃樂。
製作細緻的小東西。</t>
      </text>
    </comment>
    <comment authorId="0" ref="C13">
      <text>
        <t xml:space="preserve">高 體魄值 的角色往往外表十分健康，比如長著明亮的眼睛且時刻充滿活力。一個低體魄值的角色則可能顯得病怏怏或身體虛弱。
其他體魄檢定。當你進行以下行動時，DM 可能會要求你進行體質檢定：
閉氣。
持續數小時不間斷的行進或作苦力活。
通宵活動。
不吃不喝。
一口喝掉一大杯麥酒。</t>
      </text>
    </comment>
    <comment authorId="0" ref="C14">
      <text>
        <t xml:space="preserve">高 智力值 的角色可能勤學好問，而低智力值的角色則可能說話簡單直接或是大大咧咧。
其它智力檢定。當你運行以下行動時，DM 可能會要求你進行智力檢定：
不使用言語與他人溝通
給一件貴重品估價
蒐集材料以僞裝成一名城市守衛通過某處
僞造文書。
憶起關於一門手藝或行業的知識
在技術性遊戲中獲勝。</t>
      </text>
    </comment>
    <comment authorId="0" ref="BE14">
      <text>
        <t xml:space="preserve">可連接到坐騎鞍座的標準鞍囊。</t>
      </text>
    </comment>
    <comment authorId="0" ref="C15">
      <text>
        <t xml:space="preserve">高 感知值 的角色對事物有著良好的判斷力和敏感的感受力，並且時常保持警惕。低睿知值的角色則可能會心不在焉，魯莽或是對周圍事物毫不在意。
其他感知檢定。當你運行以下行動時，DM 可能會要你進行感知檢定：
用直覺決定下一步應該怎樣做。
辦認看上去已經死了或者還活着的生物是否不死生物。</t>
      </text>
    </comment>
    <comment authorId="0" ref="C16">
      <text>
        <t xml:space="preserve">高 魅力值 的角色透露著自信，舉止間會不時的混雜著禮貌或恫嚇。低魅力角色形象可能是粗魯，口齒不清或膽小怕事。
其他魅力檢定。當你運行以下行動時，DM 可能會要你進行魅力檢定：
找出最消息靈通的人。
融入群衆，聽取當下的熱門話題。</t>
      </text>
    </comment>
  </commentList>
</comments>
</file>

<file path=xl/sharedStrings.xml><?xml version="1.0" encoding="utf-8"?>
<sst xmlns="http://schemas.openxmlformats.org/spreadsheetml/2006/main" count="12463" uniqueCount="4661">
  <si>
    <t>更新LOG</t>
  </si>
  <si>
    <t>1.0</t>
  </si>
  <si>
    <t>角色卡完成</t>
  </si>
  <si>
    <t>3.0d</t>
  </si>
  <si>
    <t>。加入資源《艾伯倫：奇械師的鍛造爐》堡壘設施</t>
  </si>
  <si>
    <t>。前言。</t>
  </si>
  <si>
    <t>身高換算</t>
  </si>
  <si>
    <t>。新增更新Log、英雄激勵、護甲選項自動化
。調整了先攻加值的位置
。移除了角色關係，改為陣營及能力值特質</t>
  </si>
  <si>
    <t>3.0.1</t>
  </si>
  <si>
    <t>。修正了奇械師未顯示生命骰的問題
。修正了年齡欄位會出現體重單位的問題
。修正了奇械師無法出現在法術表來源的問題</t>
  </si>
  <si>
    <t>公分</t>
  </si>
  <si>
    <t>呎</t>
  </si>
  <si>
    <t>。新增金錢紀錄表、施法等級、召喚物先攻
。法術書比照職業能力選項摺疊</t>
  </si>
  <si>
    <t>。增加組織聲望(費倫派系跟艾伯倫家族都會用到對吧？)</t>
  </si>
  <si>
    <t>本角卡構築在多位前人的努力上，旨在為喜愛D&amp;D的玩家提供便利且較容易的入門手段，</t>
  </si>
  <si>
    <t>吋</t>
  </si>
  <si>
    <t>。載重移動到裝備與物品，並加入拖/抬/推上限
。現在開始購點出現範圍外的數字會出現error
。角色簡卡新增英雄激勵、移除速查表</t>
  </si>
  <si>
    <t>3.1.1</t>
  </si>
  <si>
    <t>。我居然現在才發現專長沒有重甲大師？？</t>
  </si>
  <si>
    <t>！本角卡僅做為一個便利工具，不提供在任何形式上進行宣傳或營利手段！</t>
  </si>
  <si>
    <t>。新增身高體重換算機
。移除了不存在的"變體"購點規則
。各種版面調整</t>
  </si>
  <si>
    <t>。加入資源《銃士職業：瓦爾達的秘密尖塔》</t>
  </si>
  <si>
    <t>在此感謝前人製作的角色卡
是你們給予了我啟發與動力，我玩得很開心，也才有了今天的魔改版
本角色卡翻譯僅供參考，如有歧異一切內容請以原書 D&amp;D 2024 原文書內容為準。
P.S.隱藏工作表中有許多可供複製的內容或列表，還請多加利用
P.S.S.本角色卡並未包含2024 PHB以前的其他5e資源，請謹慎選用
P.S.S.S.本角色卡使用部分AI資源，敬請見諒</t>
  </si>
  <si>
    <t>1.4.1</t>
  </si>
  <si>
    <t>。修正了guard的譯名跟技能熟練錯誤</t>
  </si>
  <si>
    <t>。加入資源《瓦爾達的秘密尖塔：玩家資料包》</t>
  </si>
  <si>
    <t>體重換算</t>
  </si>
  <si>
    <t>1.4.2</t>
  </si>
  <si>
    <t>。修正了熾炎斬文本錯誤
。修正了負重公式錯誤的問題</t>
  </si>
  <si>
    <t>3.4a</t>
  </si>
  <si>
    <t>。加入資源《鬼魅幽谷：玩家指南》職業與子職業</t>
  </si>
  <si>
    <t>公斤</t>
  </si>
  <si>
    <t>磅</t>
  </si>
  <si>
    <t>1.4.3</t>
  </si>
  <si>
    <t>。修正了神奇的金錢紀錄bug</t>
  </si>
  <si>
    <t>3.4b</t>
  </si>
  <si>
    <t>。加入資源《鬼魅幽谷：玩家指南》背景&amp;專長</t>
  </si>
  <si>
    <t>。新增堡壘頁面</t>
  </si>
  <si>
    <t>3.4c</t>
  </si>
  <si>
    <t>。加入資源《鬼魅幽谷：玩家指南》法術及召喚物</t>
  </si>
  <si>
    <t>1.5.1</t>
  </si>
  <si>
    <t>。新增DMG自定義背景選項(這東西真的有用嗎...)</t>
  </si>
  <si>
    <t>3.4d</t>
  </si>
  <si>
    <t>。加入資源《鬼魅幽谷：玩家指南》種族</t>
  </si>
  <si>
    <t>。新增職業語言熟練自動化
。新增工具熟練項
。新增德魯伊：原初誓約-術師技能加值自動化
。調整魔法物品排版
。修正了裝備AC值可以跟無甲及法甲相疊的情況
。修正了造水術/枯水術的法術導航錯誤</t>
  </si>
  <si>
    <t>3.4e</t>
  </si>
  <si>
    <t>。加入資源《鬼魅幽谷：玩家指南》型態轉變(在隱藏列)</t>
  </si>
  <si>
    <t>1.6.1</t>
  </si>
  <si>
    <t>。修正了獸王天空野獸會是中型的問題
。修正了次元袋會記入本身重量的問題</t>
  </si>
  <si>
    <t>。加入資源《鬼魅幽谷：玩家指南》進階武器</t>
  </si>
  <si>
    <t>購點計算機</t>
  </si>
  <si>
    <t>購點表</t>
  </si>
  <si>
    <t>。新增尋獲魔寵的部分野獸及契術師鎖鏈魔契魔寵
。新憎現代及未來武器
。又調了一次魔法物品的排版
。修正了野獸知覺、動植物定位術及舞光術的資料錯誤</t>
  </si>
  <si>
    <t>3.4.1</t>
  </si>
  <si>
    <t>。調整血量計算，整合額外生命</t>
  </si>
  <si>
    <t>屬性</t>
  </si>
  <si>
    <t>屬性值</t>
  </si>
  <si>
    <t>背景加值</t>
  </si>
  <si>
    <t>專長加值</t>
  </si>
  <si>
    <t>=</t>
  </si>
  <si>
    <t>加總</t>
  </si>
  <si>
    <t>調整值</t>
  </si>
  <si>
    <t>花費點數</t>
  </si>
  <si>
    <t>1.7.1</t>
  </si>
  <si>
    <t>。修正了三叉戟的傷害
。修正了部分法術的錯誤
。調整部分中文翻譯</t>
  </si>
  <si>
    <t>3.4.2</t>
  </si>
  <si>
    <t>。終於想起來要補GH野蠻人原初精魂的數據了</t>
  </si>
  <si>
    <t>力量</t>
  </si>
  <si>
    <t>1.7.2</t>
  </si>
  <si>
    <t>。為專長補上了英文原文</t>
  </si>
  <si>
    <t>。加入資源《歪曲之月》
。加入資源《一發團奇觀：節慶冒險包》種族
。加入資源《火炬光下的克蘇魯》</t>
  </si>
  <si>
    <t>敏捷</t>
  </si>
  <si>
    <t>1.7.3</t>
  </si>
  <si>
    <t>。種族統一改成物種了(DEI哈哈)
。修正了野蠻人3級缺少的原初知識特性
。調整部分中文翻譯
。法術列表的來源會追蹤你的物種了</t>
  </si>
  <si>
    <t>3.5.1</t>
  </si>
  <si>
    <t>。把法術DC/豁免位置替換成數值計算
。豁免列加入優劣勾選欄
。生命骰加入剩餘欄</t>
  </si>
  <si>
    <t>體魄</t>
  </si>
  <si>
    <t>1.7.4</t>
  </si>
  <si>
    <t>。修正了異界坐騎的屬性值
。補上了尋獲坐騎缺少的數據</t>
  </si>
  <si>
    <t>。加入資源《拳鬥士職業》</t>
  </si>
  <si>
    <t>智力</t>
  </si>
  <si>
    <t>。新增準備法術數量
。新增玩家手冊可購買的坐騎</t>
  </si>
  <si>
    <t>。加入資源《探索艾伯倫》
。修復了調整豁免列所產生的一系列bug</t>
  </si>
  <si>
    <t>感知</t>
  </si>
  <si>
    <t>1.8.1</t>
  </si>
  <si>
    <r>
      <rPr/>
      <t xml:space="preserve">。同日dndbeyond公布第一次勘誤表，同勘誤表修改法術描述，勘誤表連結如下：
</t>
    </r>
    <r>
      <rPr>
        <color rgb="FF1155CC"/>
        <u/>
      </rPr>
      <t>https://www.dndbeyond.com/changelog#2024CoreRulesErrata</t>
    </r>
  </si>
  <si>
    <t>3.7.1</t>
  </si>
  <si>
    <t>。補上德魯伊缺少的施法能力
。補上奇械師子職業缺少的召喚物資料</t>
  </si>
  <si>
    <t>魅力</t>
  </si>
  <si>
    <t>1.8.2</t>
  </si>
  <si>
    <t>。修正了術士7級沒有獲得術法化身能力的問題
。補上困惑術少掉的文本內容</t>
  </si>
  <si>
    <t>3.7.2</t>
  </si>
  <si>
    <t>。調整一些文本
。重新修正了德魯伊原初誓約及牧師神聖誓約的特性
。準備更新一些東西</t>
  </si>
  <si>
    <t>總花費點數</t>
  </si>
  <si>
    <t>/</t>
  </si>
  <si>
    <t>。增加血脈選項自動化
。工具熟練、種族能力、專長及筆記各增加了一列
。調整部分物種及能力翻譯
。調整專長的順序
。調整生命值的排版</t>
  </si>
  <si>
    <t>。加入資源《獅鷲的鞍袋 (一)》
。修正了遊俠子職業能力等級顯示錯誤的問題</t>
  </si>
  <si>
    <t>元角色卡作者:Nicola 
優化版角色卡作者:杯麵
部分修訂格式及優化來源:犬良、玉米</t>
  </si>
  <si>
    <t>角色卡作者：雷它
協作者：Klassified</t>
  </si>
  <si>
    <t>1.10</t>
  </si>
  <si>
    <t>。法術環區重做
。裝備與物品重做
。調整角色簡卡排版</t>
  </si>
  <si>
    <t>。新增DnD Beyond Drop 內容 (DDBD)
。加入資源《德羅林博士的恐龍寶典》物種、遊俠子職
。加回背景選項的書目(什麼時候消失的都不知道)
。調整了《艾伯倫：奇械師鍛爐》的專長位置
。修改了一些翻譯</t>
  </si>
  <si>
    <t>1.10.1</t>
  </si>
  <si>
    <t>。新增牧師：神聖職責-奇術使技能加值自動化
。補上疫病射線少掉的文本內容</t>
  </si>
  <si>
    <t>角色卡版本:3.9</t>
  </si>
  <si>
    <t>1.10.2</t>
  </si>
  <si>
    <t>。修正了德魯伊原初誓約及牧師神聖誓約的特性</t>
  </si>
  <si>
    <t>⭣選擇書目</t>
  </si>
  <si>
    <t>。調整了坐騎/召喚物的排版
。修正了解離術的環位
。移除了法術書的某些東西(會回來的，大概)</t>
  </si>
  <si>
    <t>1.11.1</t>
  </si>
  <si>
    <t>。更新了手動的坐騎/召喚物卡
。補上了立繪的圖像比例</t>
  </si>
  <si>
    <t>核心
資源</t>
  </si>
  <si>
    <t>玩家手冊(2024)</t>
  </si>
  <si>
    <t>PHB</t>
  </si>
  <si>
    <t>合作
資源</t>
  </si>
  <si>
    <t>歪曲之月</t>
  </si>
  <si>
    <t>TCM</t>
  </si>
  <si>
    <t>1.11.2</t>
  </si>
  <si>
    <t>。修正了逸聞學院跟迷惑學院的文本錯誤</t>
  </si>
  <si>
    <t>地下城主指南(2024)</t>
  </si>
  <si>
    <t>DMG</t>
  </si>
  <si>
    <t>瓦爾達的秘密尖塔</t>
  </si>
  <si>
    <t>VSS:PP</t>
  </si>
  <si>
    <t>2.0</t>
  </si>
  <si>
    <t>。加入資源《被遺忘的國度：費倫的英雄們》
。加入書目選擇(核心資源無法取消，肯定的吧？)</t>
  </si>
  <si>
    <t>怪物圖鑑(2025)</t>
  </si>
  <si>
    <t>MM</t>
  </si>
  <si>
    <t>銃士職業：瓦爾達的秘密尖塔</t>
  </si>
  <si>
    <t>GC:VSS</t>
  </si>
  <si>
    <t>。補上了一些缺漏的專長
。修改了一些翻譯</t>
  </si>
  <si>
    <t>火炬光下的克蘇魯</t>
  </si>
  <si>
    <t>CbT</t>
  </si>
  <si>
    <t>。將堡壘更名為據點。
。加入資源《被遺忘的國度：費倫的英雄們》據點設施。</t>
  </si>
  <si>
    <t>官方
資源</t>
  </si>
  <si>
    <t>被遺忘的國度：費倫的英雄們</t>
  </si>
  <si>
    <t>FPHF</t>
  </si>
  <si>
    <t>鬼魅幽谷</t>
  </si>
  <si>
    <t>GH</t>
  </si>
  <si>
    <t>。加入資源《阿斯代倫的飢渴之書》</t>
  </si>
  <si>
    <t>洛溫：第一曙光</t>
  </si>
  <si>
    <t>LFL</t>
  </si>
  <si>
    <t>一發團奇觀：節慶冒險包</t>
  </si>
  <si>
    <t>OSW:HAP</t>
  </si>
  <si>
    <t>。加入資源《洛溫：第一曙光》的背景與專長</t>
  </si>
  <si>
    <t>阿斯代倫的飢渴之書</t>
  </si>
  <si>
    <t>ABH</t>
  </si>
  <si>
    <t>探索艾伯倫</t>
  </si>
  <si>
    <t>EE</t>
  </si>
  <si>
    <t>3.0a</t>
  </si>
  <si>
    <t>。加入資源《艾伯倫：奇械師鍛爐》奇械師職業、子職業能力</t>
  </si>
  <si>
    <t>艾伯倫：奇械師鍛爐</t>
  </si>
  <si>
    <t>EFA</t>
  </si>
  <si>
    <t>拳鬥士職業</t>
  </si>
  <si>
    <t>PC</t>
  </si>
  <si>
    <t>3.0b</t>
  </si>
  <si>
    <t>。加入資源《艾伯倫：奇械師鍛爐》法術</t>
  </si>
  <si>
    <t>獅鷲的鞍袋 (一)</t>
  </si>
  <si>
    <t>TGS1</t>
  </si>
  <si>
    <t>3.0c</t>
  </si>
  <si>
    <t>。加入資源《艾伯倫：奇械師鍛爐》種族、背景、專長、職業能力選項
。新增角色卡生物類型欄位
。修正了兼職子職業顯示錯誤的問題</t>
  </si>
  <si>
    <t>DnD Beyond Drop (DDBD)</t>
  </si>
  <si>
    <t>德羅林博士的恐龍寶典 (施工中)</t>
  </si>
  <si>
    <t>DDDD</t>
  </si>
  <si>
    <t>角色簡卡</t>
  </si>
  <si>
    <t>戴夫林</t>
  </si>
  <si>
    <t>法術環位</t>
  </si>
  <si>
    <t>角色名稱</t>
  </si>
  <si>
    <t>玩家</t>
  </si>
  <si>
    <t>物種</t>
  </si>
  <si>
    <t>所屬陣營</t>
  </si>
  <si>
    <t>人物背景</t>
  </si>
  <si>
    <t>體型</t>
  </si>
  <si>
    <t>性別</t>
  </si>
  <si>
    <t>一環</t>
  </si>
  <si>
    <t>豁免</t>
  </si>
  <si>
    <t>血量</t>
  </si>
  <si>
    <t>先攻</t>
  </si>
  <si>
    <t>護甲值</t>
  </si>
  <si>
    <t>法術豁免\攻擊</t>
  </si>
  <si>
    <t>等級</t>
  </si>
  <si>
    <t>二環</t>
  </si>
  <si>
    <t>三環</t>
  </si>
  <si>
    <t>運動</t>
  </si>
  <si>
    <t>馴服動物</t>
  </si>
  <si>
    <t>人設立繪</t>
  </si>
  <si>
    <t>特技動作</t>
  </si>
  <si>
    <t>察言觀色</t>
  </si>
  <si>
    <t>四環</t>
  </si>
  <si>
    <t>巧手</t>
  </si>
  <si>
    <t>醫藥</t>
  </si>
  <si>
    <t>隱匿</t>
  </si>
  <si>
    <t>察覺</t>
  </si>
  <si>
    <t>五環</t>
  </si>
  <si>
    <t>奧秘</t>
  </si>
  <si>
    <t>求生</t>
  </si>
  <si>
    <r>
      <rPr>
        <rFont val="Trebuchet MS"/>
        <b/>
        <color rgb="FFFFFFFF"/>
        <sz val="11.0"/>
      </rPr>
      <t>被動</t>
    </r>
    <r>
      <rPr>
        <rFont val="Trebuchet MS"/>
        <b/>
        <color rgb="FFF9CB9C"/>
        <sz val="11.0"/>
      </rPr>
      <t>察覺</t>
    </r>
  </si>
  <si>
    <t>歷史</t>
  </si>
  <si>
    <t>欺瞞</t>
  </si>
  <si>
    <t>六環</t>
  </si>
  <si>
    <t>熟練加值</t>
  </si>
  <si>
    <t>調查</t>
  </si>
  <si>
    <t>威嚇</t>
  </si>
  <si>
    <t>自然</t>
  </si>
  <si>
    <t>表演</t>
  </si>
  <si>
    <t>七環</t>
  </si>
  <si>
    <t>職業</t>
  </si>
  <si>
    <t>宗教</t>
  </si>
  <si>
    <t>說服</t>
  </si>
  <si>
    <t>Ⅰ</t>
  </si>
  <si>
    <t>八環</t>
  </si>
  <si>
    <t>Ⅱ</t>
  </si>
  <si>
    <t>速度</t>
  </si>
  <si>
    <t>游泳</t>
  </si>
  <si>
    <t>飛行</t>
  </si>
  <si>
    <t>攀爬</t>
  </si>
  <si>
    <t>激勵</t>
  </si>
  <si>
    <t>Ⅲ</t>
  </si>
  <si>
    <t>九環</t>
  </si>
  <si>
    <t>契術師環位</t>
  </si>
  <si>
    <t>金幣</t>
  </si>
  <si>
    <t>銀幣</t>
  </si>
  <si>
    <t>銅幣</t>
  </si>
  <si>
    <t>special for DM</t>
  </si>
  <si>
    <t>人物設定</t>
  </si>
  <si>
    <t>阿不</t>
  </si>
  <si>
    <t>人類 Human</t>
  </si>
  <si>
    <t>玩家名稱</t>
  </si>
  <si>
    <t>血脈</t>
  </si>
  <si>
    <t>信仰神祇</t>
  </si>
  <si>
    <t>學者 Sage</t>
  </si>
  <si>
    <t>生物類型</t>
  </si>
  <si>
    <t>髮色</t>
  </si>
  <si>
    <t>膚色</t>
  </si>
  <si>
    <t>瞳色</t>
  </si>
  <si>
    <t>身高</t>
  </si>
  <si>
    <t>體重</t>
  </si>
  <si>
    <t>年齡</t>
  </si>
  <si>
    <t>主要數值</t>
  </si>
  <si>
    <t>豁免值</t>
  </si>
  <si>
    <t>血量計算</t>
  </si>
  <si>
    <t>經驗值</t>
  </si>
  <si>
    <t>Lv</t>
  </si>
  <si>
    <t>生命骰</t>
  </si>
  <si>
    <t>HP</t>
  </si>
  <si>
    <t xml:space="preserve">Ⅰ </t>
  </si>
  <si>
    <t>法師-Wizard</t>
  </si>
  <si>
    <t xml:space="preserve"> </t>
  </si>
  <si>
    <t>每級額外生命</t>
  </si>
  <si>
    <t>總額外生命</t>
  </si>
  <si>
    <t>總等級</t>
  </si>
  <si>
    <t>ᚲᚢᛈᚾᛟᛟᛞᛚᛖ9141</t>
  </si>
  <si>
    <t>優劣</t>
  </si>
  <si>
    <t>熟練</t>
  </si>
  <si>
    <t>Icon</t>
  </si>
  <si>
    <t>+</t>
  </si>
  <si>
    <t>.</t>
  </si>
  <si>
    <t>技能數值</t>
  </si>
  <si>
    <t>戰鬥數值</t>
  </si>
  <si>
    <t>臨時生命</t>
  </si>
  <si>
    <t>警覺</t>
  </si>
  <si>
    <t>加值</t>
  </si>
  <si>
    <t>技能</t>
  </si>
  <si>
    <t>生命值</t>
  </si>
  <si>
    <t>先攻加值</t>
  </si>
  <si>
    <t>護甲</t>
  </si>
  <si>
    <t>法師</t>
  </si>
  <si>
    <t>箭袋/弩矢匣</t>
  </si>
  <si>
    <t>穿戴護甲</t>
  </si>
  <si>
    <t>AC</t>
  </si>
  <si>
    <t>劣勢</t>
  </si>
  <si>
    <t>重量</t>
  </si>
  <si>
    <r>
      <rPr>
        <rFont val="&quot;Microsoft JhengHei&quot;"/>
        <b/>
        <color theme="1"/>
      </rPr>
      <t>運動-</t>
    </r>
    <r>
      <rPr>
        <rFont val="&quot;Microsoft JhengHei&quot;"/>
        <b/>
        <color rgb="FF660000"/>
        <sz val="9.0"/>
      </rPr>
      <t>力量</t>
    </r>
  </si>
  <si>
    <t>無</t>
  </si>
  <si>
    <r>
      <rPr>
        <rFont val="&quot;Microsoft JhengHei&quot;"/>
        <b/>
        <color theme="1"/>
      </rPr>
      <t>特技動作-</t>
    </r>
    <r>
      <rPr>
        <rFont val="&quot;Microsoft JhengHei&quot;"/>
        <b/>
        <color rgb="FF1C4587"/>
        <sz val="9.0"/>
      </rPr>
      <t>敏捷</t>
    </r>
  </si>
  <si>
    <t>✓</t>
  </si>
  <si>
    <t>無甲</t>
  </si>
  <si>
    <t>天生</t>
  </si>
  <si>
    <t>其他</t>
  </si>
  <si>
    <t>盾牌</t>
  </si>
  <si>
    <t>它</t>
  </si>
  <si>
    <r>
      <rPr>
        <rFont val="&quot;Microsoft JhengHei&quot;"/>
        <b/>
        <color theme="1"/>
      </rPr>
      <t>巧手-</t>
    </r>
    <r>
      <rPr>
        <rFont val="&quot;Microsoft JhengHei&quot;"/>
        <b/>
        <color rgb="FF1C4587"/>
        <sz val="9.0"/>
      </rPr>
      <t>敏捷</t>
    </r>
  </si>
  <si>
    <t>目前</t>
  </si>
  <si>
    <t>最大</t>
  </si>
  <si>
    <t>合計:</t>
  </si>
  <si>
    <r>
      <rPr>
        <rFont val="&quot;Microsoft JhengHei&quot;"/>
        <b/>
        <color theme="1"/>
      </rPr>
      <t>隱匿-</t>
    </r>
    <r>
      <rPr>
        <rFont val="&quot;Microsoft JhengHei&quot;"/>
        <b/>
        <color rgb="FF1C4587"/>
        <sz val="9.0"/>
      </rPr>
      <t>敏捷</t>
    </r>
  </si>
  <si>
    <t>英雄激勵</t>
  </si>
  <si>
    <r>
      <rPr>
        <rFont val="&quot;Microsoft JhengHei&quot;"/>
        <b/>
        <color theme="1"/>
      </rPr>
      <t>奧秘-</t>
    </r>
    <r>
      <rPr>
        <rFont val="&quot;Microsoft JhengHei&quot;"/>
        <b/>
        <color rgb="FF274E13"/>
        <sz val="9.0"/>
      </rPr>
      <t>智力</t>
    </r>
  </si>
  <si>
    <t>x2</t>
  </si>
  <si>
    <t>D6</t>
  </si>
  <si>
    <t>術法點</t>
  </si>
  <si>
    <t>狂暴</t>
  </si>
  <si>
    <t>功力</t>
  </si>
  <si>
    <t>武藝</t>
  </si>
  <si>
    <t>數值計算</t>
  </si>
  <si>
    <r>
      <rPr>
        <rFont val="&quot;Microsoft JhengHei&quot;"/>
        <b/>
        <color theme="1"/>
      </rPr>
      <t>歷史-</t>
    </r>
    <r>
      <rPr>
        <rFont val="&quot;Microsoft JhengHei&quot;"/>
        <b/>
        <color rgb="FF274E13"/>
        <sz val="9.0"/>
      </rPr>
      <t>智力</t>
    </r>
  </si>
  <si>
    <t>●</t>
  </si>
  <si>
    <t>D8</t>
  </si>
  <si>
    <t>~死亡豁免~</t>
  </si>
  <si>
    <t xml:space="preserve">屬性	</t>
  </si>
  <si>
    <t>額外</t>
  </si>
  <si>
    <t>DC / 檢定 / 加值</t>
  </si>
  <si>
    <r>
      <rPr>
        <rFont val="&quot;Microsoft JhengHei&quot;"/>
        <b/>
        <color theme="1"/>
      </rPr>
      <t>調查-</t>
    </r>
    <r>
      <rPr>
        <rFont val="&quot;Microsoft JhengHei&quot;"/>
        <b/>
        <color rgb="FF274E13"/>
        <sz val="9.0"/>
      </rPr>
      <t>智力</t>
    </r>
  </si>
  <si>
    <t>D10</t>
  </si>
  <si>
    <t>成功( ≧10)</t>
  </si>
  <si>
    <r>
      <rPr>
        <rFont val="&quot;Microsoft JhengHei&quot;"/>
        <b/>
        <color theme="1"/>
      </rPr>
      <t>自然-</t>
    </r>
    <r>
      <rPr>
        <rFont val="&quot;Microsoft JhengHei&quot;"/>
        <b/>
        <color rgb="FF274E13"/>
        <sz val="9.0"/>
      </rPr>
      <t>智力</t>
    </r>
  </si>
  <si>
    <t>D12</t>
  </si>
  <si>
    <t>失敗(＜10)</t>
  </si>
  <si>
    <t>剩餘次數</t>
  </si>
  <si>
    <t>-</t>
  </si>
  <si>
    <r>
      <rPr>
        <rFont val="&quot;Microsoft JhengHei&quot;"/>
        <b/>
        <color theme="1"/>
      </rPr>
      <t>宗教-</t>
    </r>
    <r>
      <rPr>
        <rFont val="&quot;Microsoft JhengHei&quot;"/>
        <b/>
        <color rgb="FF274E13"/>
        <sz val="9.0"/>
      </rPr>
      <t>智力</t>
    </r>
  </si>
  <si>
    <t>剩餘</t>
  </si>
  <si>
    <r>
      <rPr>
        <rFont val="&quot;Microsoft JhengHei&quot;"/>
        <b/>
        <color theme="1"/>
      </rPr>
      <t>動物馴服-</t>
    </r>
    <r>
      <rPr>
        <rFont val="&quot;Microsoft JhengHei&quot;"/>
        <b/>
        <color rgb="FF783F04"/>
        <sz val="9.0"/>
      </rPr>
      <t>感知</t>
    </r>
  </si>
  <si>
    <t>武器與法器</t>
  </si>
  <si>
    <t>命中</t>
  </si>
  <si>
    <t>傷害骰</t>
  </si>
  <si>
    <t>距離</t>
  </si>
  <si>
    <t>傷害</t>
  </si>
  <si>
    <t xml:space="preserve">重量	</t>
  </si>
  <si>
    <t>#</t>
  </si>
  <si>
    <t>精</t>
  </si>
  <si>
    <t>精通屬性</t>
  </si>
  <si>
    <r>
      <rPr>
        <rFont val="&quot;Microsoft JhengHei&quot;"/>
        <b/>
        <color theme="1"/>
      </rPr>
      <t>察言觀色-</t>
    </r>
    <r>
      <rPr>
        <rFont val="&quot;Microsoft JhengHei&quot;"/>
        <b/>
        <color rgb="FF783F04"/>
        <sz val="9.0"/>
      </rPr>
      <t>感知</t>
    </r>
  </si>
  <si>
    <t>長劍</t>
  </si>
  <si>
    <t>筆記</t>
  </si>
  <si>
    <r>
      <rPr>
        <rFont val="&quot;Microsoft JhengHei&quot;"/>
        <b/>
        <color theme="1"/>
      </rPr>
      <t>醫藥-</t>
    </r>
    <r>
      <rPr>
        <rFont val="&quot;Microsoft JhengHei&quot;"/>
        <b/>
        <color rgb="FF783F04"/>
        <sz val="9.0"/>
      </rPr>
      <t>感知</t>
    </r>
  </si>
  <si>
    <t>攻擊擲骰(+2)</t>
  </si>
  <si>
    <r>
      <rPr>
        <rFont val="&quot;Microsoft JhengHei&quot;"/>
        <b/>
        <color theme="1"/>
      </rPr>
      <t>察覺-</t>
    </r>
    <r>
      <rPr>
        <rFont val="&quot;Microsoft JhengHei&quot;"/>
        <b/>
        <color rgb="FF783F04"/>
        <sz val="9.0"/>
      </rPr>
      <t>感知</t>
    </r>
  </si>
  <si>
    <t>可以花費其中的一次使用次數，並使用一個動作治療你 5 呎內的一個生物。該生物花費一個自身的生命骰，然後你擲出該骰。該生物恢復的生命值等於擲出的結果加上你的熟練加值。</t>
  </si>
  <si>
    <r>
      <rPr>
        <rFont val="&quot;Microsoft JhengHei&quot;"/>
        <b/>
        <color theme="1"/>
      </rPr>
      <t>求生-</t>
    </r>
    <r>
      <rPr>
        <rFont val="&quot;Microsoft JhengHei&quot;"/>
        <b/>
        <color rgb="FF783F04"/>
        <sz val="9.0"/>
      </rPr>
      <t>感知</t>
    </r>
  </si>
  <si>
    <r>
      <rPr>
        <rFont val="&quot;Microsoft JhengHei&quot;"/>
        <b/>
        <color theme="1"/>
      </rPr>
      <t>欺瞞-</t>
    </r>
    <r>
      <rPr>
        <rFont val="&quot;Microsoft JhengHei&quot;"/>
        <b/>
        <color rgb="FF4C1130"/>
        <sz val="9.0"/>
      </rPr>
      <t>魅力</t>
    </r>
  </si>
  <si>
    <r>
      <rPr>
        <rFont val="&quot;Microsoft JhengHei&quot;"/>
        <b/>
        <color theme="1"/>
      </rPr>
      <t>威嚇-</t>
    </r>
    <r>
      <rPr>
        <rFont val="&quot;Microsoft JhengHei&quot;"/>
        <b/>
        <color rgb="FF4C1130"/>
        <sz val="9.0"/>
      </rPr>
      <t>魅力</t>
    </r>
  </si>
  <si>
    <r>
      <rPr>
        <rFont val="&quot;Microsoft JhengHei&quot;"/>
        <b/>
        <color theme="1"/>
      </rPr>
      <t>表演-</t>
    </r>
    <r>
      <rPr>
        <rFont val="&quot;Microsoft JhengHei&quot;"/>
        <b/>
        <color rgb="FF4C1130"/>
        <sz val="9.0"/>
      </rPr>
      <t>魅力</t>
    </r>
  </si>
  <si>
    <r>
      <rPr>
        <rFont val="&quot;Microsoft JhengHei&quot;"/>
        <b/>
        <color theme="1"/>
      </rPr>
      <t>說服-</t>
    </r>
    <r>
      <rPr>
        <rFont val="&quot;Microsoft JhengHei&quot;"/>
        <b/>
        <color rgb="FF4C1130"/>
        <sz val="9.0"/>
      </rPr>
      <t>魅力</t>
    </r>
  </si>
  <si>
    <t>物種能力</t>
  </si>
  <si>
    <t>專長</t>
  </si>
  <si>
    <t>起源專長:</t>
  </si>
  <si>
    <r>
      <rPr>
        <rFont val="Trebuchet MS"/>
        <b/>
        <color rgb="FFFFFFFF"/>
        <sz val="12.0"/>
      </rPr>
      <t>被動</t>
    </r>
    <r>
      <rPr>
        <rFont val="Trebuchet MS"/>
        <b/>
        <color rgb="FFF9CB9C"/>
        <sz val="12.0"/>
      </rPr>
      <t>感知【察覺】</t>
    </r>
  </si>
  <si>
    <t>書法工具</t>
  </si>
  <si>
    <t>樂器(通用)</t>
  </si>
  <si>
    <t>賭具(通用)</t>
  </si>
  <si>
    <t>傳奇恩惠:</t>
  </si>
  <si>
    <t>草藥工具</t>
  </si>
  <si>
    <t>製毒工具</t>
  </si>
  <si>
    <t>&lt;更多工具熟練、更多種族特質、更多專長</t>
  </si>
  <si>
    <t xml:space="preserve">        </t>
  </si>
  <si>
    <t>創卡雜項</t>
  </si>
  <si>
    <t>職業能力</t>
  </si>
  <si>
    <r>
      <rPr>
        <rFont val="Microsoft JhengHei"/>
        <b/>
        <color theme="1"/>
        <sz val="10.0"/>
      </rPr>
      <t>技能</t>
    </r>
    <r>
      <rPr>
        <rFont val="Microsoft JhengHei"/>
        <b/>
        <color theme="9"/>
        <sz val="10.0"/>
      </rPr>
      <t>(物種)</t>
    </r>
    <r>
      <rPr>
        <rFont val="Microsoft JhengHei"/>
        <b/>
        <color theme="1"/>
        <sz val="10.0"/>
      </rPr>
      <t>:</t>
    </r>
  </si>
  <si>
    <r>
      <rPr>
        <rFont val="Trebuchet MS"/>
        <b/>
        <color rgb="FFFFFFFF"/>
        <sz val="12.0"/>
      </rPr>
      <t>職業</t>
    </r>
    <r>
      <rPr>
        <rFont val="Trebuchet MS"/>
        <b/>
        <color rgb="FFFF0000"/>
        <sz val="12.0"/>
      </rPr>
      <t>Ⅰ</t>
    </r>
    <r>
      <rPr>
        <rFont val="Trebuchet MS"/>
        <b/>
        <color rgb="FFFFFFFF"/>
        <sz val="12.0"/>
      </rPr>
      <t>能力</t>
    </r>
  </si>
  <si>
    <t>子職</t>
  </si>
  <si>
    <t>劍詠師</t>
  </si>
  <si>
    <t>職業Ⅱ能力</t>
  </si>
  <si>
    <t>職業Ⅲ能力</t>
  </si>
  <si>
    <r>
      <rPr>
        <rFont val="Microsoft JhengHei"/>
        <b/>
        <color theme="1"/>
        <sz val="10.0"/>
      </rPr>
      <t>語言</t>
    </r>
    <r>
      <rPr>
        <rFont val="Microsoft JhengHei"/>
        <b/>
        <color rgb="FF980000"/>
        <sz val="10.0"/>
      </rPr>
      <t>(起源)</t>
    </r>
    <r>
      <rPr>
        <rFont val="Microsoft JhengHei"/>
        <b/>
        <color theme="1"/>
        <sz val="10.0"/>
      </rPr>
      <t>:</t>
    </r>
  </si>
  <si>
    <t>通用語、</t>
  </si>
  <si>
    <r>
      <rPr>
        <rFont val="Microsoft JhengHei"/>
        <b/>
        <color theme="1"/>
        <sz val="10.0"/>
      </rPr>
      <t>技能</t>
    </r>
    <r>
      <rPr>
        <rFont val="Microsoft JhengHei"/>
        <b/>
        <color rgb="FF38761D"/>
        <sz val="10.0"/>
      </rPr>
      <t>(職業)</t>
    </r>
    <r>
      <rPr>
        <rFont val="Microsoft JhengHei"/>
        <b/>
        <color theme="1"/>
        <sz val="10.0"/>
      </rPr>
      <t>:</t>
    </r>
  </si>
  <si>
    <r>
      <rPr>
        <rFont val="Microsoft JhengHei"/>
        <b/>
        <color theme="1"/>
        <sz val="10.0"/>
      </rPr>
      <t>語言</t>
    </r>
    <r>
      <rPr>
        <rFont val="Microsoft JhengHei"/>
        <b/>
        <color rgb="FF38761D"/>
        <sz val="10.0"/>
      </rPr>
      <t>(職業)</t>
    </r>
    <r>
      <rPr>
        <rFont val="Microsoft JhengHei"/>
        <b/>
        <color theme="1"/>
        <sz val="10.0"/>
      </rPr>
      <t>:</t>
    </r>
  </si>
  <si>
    <r>
      <rPr>
        <rFont val="Microsoft JhengHei"/>
        <b/>
        <color theme="1"/>
        <sz val="10.0"/>
      </rPr>
      <t>武器</t>
    </r>
    <r>
      <rPr>
        <rFont val="Microsoft JhengHei"/>
        <b/>
        <color rgb="FF38761D"/>
        <sz val="10.0"/>
      </rPr>
      <t>(職業)</t>
    </r>
    <r>
      <rPr>
        <rFont val="Microsoft JhengHei"/>
        <b/>
        <color theme="1"/>
        <sz val="10.0"/>
      </rPr>
      <t>:</t>
    </r>
  </si>
  <si>
    <r>
      <rPr>
        <rFont val="Microsoft JhengHei"/>
        <b/>
        <color theme="1"/>
        <sz val="10.0"/>
      </rPr>
      <t>護甲</t>
    </r>
    <r>
      <rPr>
        <rFont val="Microsoft JhengHei"/>
        <b/>
        <color rgb="FF38761D"/>
        <sz val="10.0"/>
      </rPr>
      <t>(職業)</t>
    </r>
    <r>
      <rPr>
        <rFont val="Microsoft JhengHei"/>
        <b/>
        <color theme="1"/>
        <sz val="10.0"/>
      </rPr>
      <t>:</t>
    </r>
  </si>
  <si>
    <r>
      <rPr>
        <rFont val="Microsoft JhengHei"/>
        <b/>
        <color theme="1"/>
        <sz val="10.0"/>
      </rPr>
      <t>工具</t>
    </r>
    <r>
      <rPr>
        <rFont val="Microsoft JhengHei"/>
        <b/>
        <color rgb="FF38761D"/>
        <sz val="10.0"/>
      </rPr>
      <t>(職業)</t>
    </r>
    <r>
      <rPr>
        <rFont val="Microsoft JhengHei"/>
        <b/>
        <color theme="1"/>
        <sz val="10.0"/>
      </rPr>
      <t>:</t>
    </r>
  </si>
  <si>
    <r>
      <rPr>
        <rFont val="Microsoft JhengHei"/>
        <b/>
        <color theme="1"/>
        <sz val="10.0"/>
      </rPr>
      <t>屬性</t>
    </r>
    <r>
      <rPr>
        <rFont val="Microsoft JhengHei"/>
        <b/>
        <color rgb="FF7151B6"/>
        <sz val="10.0"/>
      </rPr>
      <t>(背景)</t>
    </r>
    <r>
      <rPr>
        <rFont val="Microsoft JhengHei"/>
        <b/>
        <color theme="1"/>
        <sz val="10.0"/>
      </rPr>
      <t>:</t>
    </r>
  </si>
  <si>
    <r>
      <rPr>
        <rFont val="Microsoft JhengHei"/>
        <b/>
        <color theme="1"/>
        <sz val="10.0"/>
      </rPr>
      <t>技能</t>
    </r>
    <r>
      <rPr>
        <rFont val="Microsoft JhengHei"/>
        <b/>
        <color rgb="FF7151B6"/>
        <sz val="10.0"/>
      </rPr>
      <t>(背景)</t>
    </r>
    <r>
      <rPr>
        <rFont val="Microsoft JhengHei"/>
        <b/>
        <color theme="1"/>
        <sz val="10.0"/>
      </rPr>
      <t>:</t>
    </r>
  </si>
  <si>
    <r>
      <rPr>
        <rFont val="Microsoft JhengHei"/>
        <b/>
        <color theme="1"/>
        <sz val="10.0"/>
      </rPr>
      <t>工具</t>
    </r>
    <r>
      <rPr>
        <rFont val="Microsoft JhengHei"/>
        <b/>
        <color rgb="FF7151B6"/>
        <sz val="10.0"/>
      </rPr>
      <t>(背景)</t>
    </r>
    <r>
      <rPr>
        <rFont val="Microsoft JhengHei"/>
        <b/>
        <color theme="1"/>
        <sz val="10.0"/>
      </rPr>
      <t>:</t>
    </r>
  </si>
  <si>
    <t>其他熟練</t>
  </si>
  <si>
    <r>
      <rPr>
        <rFont val="Microsoft JhengHei"/>
        <b/>
        <color theme="1"/>
        <sz val="10.0"/>
      </rPr>
      <t>技能</t>
    </r>
    <r>
      <rPr>
        <rFont val="Microsoft JhengHei"/>
        <b/>
        <color rgb="FF7C8380"/>
        <sz val="10.0"/>
      </rPr>
      <t>(額外)</t>
    </r>
    <r>
      <rPr>
        <rFont val="Microsoft JhengHei"/>
        <b/>
        <color theme="1"/>
        <sz val="10.0"/>
      </rPr>
      <t>:</t>
    </r>
  </si>
  <si>
    <r>
      <rPr>
        <rFont val="Microsoft JhengHei"/>
        <b/>
        <color theme="1"/>
        <sz val="10.0"/>
      </rPr>
      <t>語言</t>
    </r>
    <r>
      <rPr>
        <rFont val="Microsoft JhengHei"/>
        <b/>
        <color rgb="FF7C8380"/>
        <sz val="10.0"/>
      </rPr>
      <t>(額外)</t>
    </r>
    <r>
      <rPr>
        <rFont val="Microsoft JhengHei"/>
        <b/>
        <color theme="1"/>
        <sz val="10.0"/>
      </rPr>
      <t>:</t>
    </r>
  </si>
  <si>
    <r>
      <rPr>
        <rFont val="Microsoft JhengHei"/>
        <b/>
        <color theme="1"/>
        <sz val="10.0"/>
      </rPr>
      <t>武器</t>
    </r>
    <r>
      <rPr>
        <rFont val="Microsoft JhengHei"/>
        <b/>
        <color rgb="FF7C8380"/>
        <sz val="10.0"/>
      </rPr>
      <t>(額外)</t>
    </r>
    <r>
      <rPr>
        <rFont val="Microsoft JhengHei"/>
        <b/>
        <color theme="1"/>
        <sz val="10.0"/>
      </rPr>
      <t>:</t>
    </r>
  </si>
  <si>
    <r>
      <rPr>
        <rFont val="Microsoft JhengHei"/>
        <b/>
        <color theme="1"/>
        <sz val="10.0"/>
      </rPr>
      <t>護甲</t>
    </r>
    <r>
      <rPr>
        <rFont val="Microsoft JhengHei"/>
        <b/>
        <color rgb="FF7C8380"/>
        <sz val="10.0"/>
      </rPr>
      <t>(額外)</t>
    </r>
    <r>
      <rPr>
        <rFont val="Microsoft JhengHei"/>
        <b/>
        <color theme="1"/>
        <sz val="10.0"/>
      </rPr>
      <t>:</t>
    </r>
  </si>
  <si>
    <r>
      <rPr>
        <rFont val="Microsoft JhengHei"/>
        <b/>
        <color theme="1"/>
        <sz val="10.0"/>
      </rPr>
      <t>工具</t>
    </r>
    <r>
      <rPr>
        <rFont val="Microsoft JhengHei"/>
        <b/>
        <color rgb="FF7C8380"/>
        <sz val="10.0"/>
      </rPr>
      <t>(額外)</t>
    </r>
    <r>
      <rPr>
        <rFont val="Microsoft JhengHei"/>
        <b/>
        <color theme="1"/>
        <sz val="10.0"/>
      </rPr>
      <t>:</t>
    </r>
  </si>
  <si>
    <r>
      <rPr>
        <rFont val="Microsoft JhengHei"/>
        <b/>
        <color theme="1"/>
        <sz val="10.0"/>
      </rPr>
      <t>其他</t>
    </r>
    <r>
      <rPr>
        <rFont val="Microsoft JhengHei"/>
        <b/>
        <color rgb="FF7C8380"/>
        <sz val="10.0"/>
      </rPr>
      <t>(額外)</t>
    </r>
    <r>
      <rPr>
        <rFont val="Microsoft JhengHei"/>
        <b/>
        <color theme="1"/>
        <sz val="10.0"/>
      </rPr>
      <t>:</t>
    </r>
  </si>
  <si>
    <t>I hereby declare this sheet is not and will never be copyrighted or used to make any profit with any sort of form, for this sheet is mainly made by Cupnoodle and his servermate.</t>
  </si>
  <si>
    <t>野蠻人</t>
  </si>
  <si>
    <t>吟遊詩人</t>
  </si>
  <si>
    <t>牧師</t>
  </si>
  <si>
    <t>德魯伊</t>
  </si>
  <si>
    <t>戰士</t>
  </si>
  <si>
    <t>武僧</t>
  </si>
  <si>
    <t>聖騎士</t>
  </si>
  <si>
    <t>遊俠</t>
  </si>
  <si>
    <t>盜賊</t>
  </si>
  <si>
    <t>術士</t>
  </si>
  <si>
    <t>契術師</t>
  </si>
  <si>
    <t>武器精通</t>
  </si>
  <si>
    <t>荒野之心形貌</t>
  </si>
  <si>
    <t>神聖誓約</t>
  </si>
  <si>
    <t>原初誓約</t>
  </si>
  <si>
    <t>大地結社法術</t>
  </si>
  <si>
    <t>傷害類型</t>
  </si>
  <si>
    <t>戰鬥大師戰技</t>
  </si>
  <si>
    <t>活體武器顯化</t>
  </si>
  <si>
    <t>原初動物夥伴</t>
  </si>
  <si>
    <t>超魔法</t>
  </si>
  <si>
    <t>魔能祈喚</t>
  </si>
  <si>
    <t>預言學派天眼通</t>
  </si>
  <si>
    <t>魔法物品方案</t>
  </si>
  <si>
    <t>怪物寶典</t>
  </si>
  <si>
    <t>(請選擇)</t>
  </si>
  <si>
    <t>受祝擊</t>
  </si>
  <si>
    <t>已知型態</t>
  </si>
  <si>
    <t>星辰宇宙預兆</t>
  </si>
  <si>
    <t>獵人狩者獵物</t>
  </si>
  <si>
    <t>獵人防守戰術</t>
  </si>
  <si>
    <t>銃士戰技</t>
  </si>
  <si>
    <t>施法等級</t>
  </si>
  <si>
    <t>法術來源</t>
  </si>
  <si>
    <t>職業技能熟練</t>
  </si>
  <si>
    <t>子職業列表</t>
  </si>
  <si>
    <t>術</t>
  </si>
  <si>
    <t>野蠻人-Barbarian</t>
  </si>
  <si>
    <t>選擇2項：動物馴服、運動、威嚇、自然、察覺、求生</t>
  </si>
  <si>
    <t>狂戰士道途</t>
  </si>
  <si>
    <t>荒野之心道途</t>
  </si>
  <si>
    <t>世界樹道途</t>
  </si>
  <si>
    <t>狂熱者道途</t>
  </si>
  <si>
    <t>法</t>
  </si>
  <si>
    <t>吟遊詩人-Bard</t>
  </si>
  <si>
    <t>任選3個技能</t>
  </si>
  <si>
    <t>舞蹈學院</t>
  </si>
  <si>
    <t>迷惑學院</t>
  </si>
  <si>
    <t>軼聞學院</t>
  </si>
  <si>
    <t>勇氣學院</t>
  </si>
  <si>
    <t>牧</t>
  </si>
  <si>
    <r>
      <rPr>
        <rFont val="Calibri"/>
        <b/>
        <color rgb="FF1F1F1F"/>
        <sz val="10.0"/>
      </rPr>
      <t>牧師-Cleric</t>
    </r>
  </si>
  <si>
    <t>選擇2項：歷史、察言觀色、醫藥、說服、宗教</t>
  </si>
  <si>
    <t>牧師-Cleric</t>
  </si>
  <si>
    <t>生命領域</t>
  </si>
  <si>
    <t>光明領域</t>
  </si>
  <si>
    <t>詭術領域</t>
  </si>
  <si>
    <t>戰爭領域</t>
  </si>
  <si>
    <t>吟</t>
  </si>
  <si>
    <r>
      <rPr>
        <rFont val="Calibri"/>
        <b/>
        <color rgb="FF1F1F1F"/>
        <sz val="10.0"/>
      </rPr>
      <t>德魯伊-Druid</t>
    </r>
  </si>
  <si>
    <t>選擇2項：奧秘、動物馴服、察言觀色、醫藥、自然、察覺、宗教、求生</t>
  </si>
  <si>
    <r>
      <rPr>
        <rFont val="&quot;Google Sans&quot;, Roboto, sans-serif"/>
        <b/>
        <color rgb="FF1F1F1F"/>
        <sz val="10.0"/>
      </rPr>
      <t>德魯伊-Druid</t>
    </r>
  </si>
  <si>
    <t>大地結社</t>
  </si>
  <si>
    <t>月亮結社</t>
  </si>
  <si>
    <t>海洋結社</t>
  </si>
  <si>
    <t>星辰結社</t>
  </si>
  <si>
    <t>德</t>
  </si>
  <si>
    <r>
      <rPr>
        <rFont val="Calibri"/>
        <b/>
        <color rgb="FF1F1F1F"/>
        <sz val="10.0"/>
      </rPr>
      <t>戰士-Fighter</t>
    </r>
  </si>
  <si>
    <t>選擇2項：特技、動物馴服、運動、歷史、察言觀色、威嚇、說服、察覺、求生</t>
  </si>
  <si>
    <t>戰士-Fighter</t>
  </si>
  <si>
    <t>戰鬥大師</t>
  </si>
  <si>
    <t>勇士</t>
  </si>
  <si>
    <t>魔能騎士</t>
  </si>
  <si>
    <t>靈能武士</t>
  </si>
  <si>
    <t>遊</t>
  </si>
  <si>
    <r>
      <rPr>
        <rFont val="Calibri"/>
        <b/>
        <color rgb="FF1F1F1F"/>
        <sz val="10.0"/>
      </rPr>
      <t>武僧-Monk</t>
    </r>
  </si>
  <si>
    <t>選擇2項：特技、運動、歷史、察言觀色、宗教、隱匿</t>
  </si>
  <si>
    <r>
      <rPr>
        <rFont val="&quot;Google Sans&quot;, Roboto, sans-serif"/>
        <b/>
        <color rgb="FF1F1F1F"/>
        <sz val="10.0"/>
      </rPr>
      <t>武僧-Monk</t>
    </r>
  </si>
  <si>
    <t>命流武者</t>
  </si>
  <si>
    <t>暗影武者</t>
  </si>
  <si>
    <t>四象武者</t>
  </si>
  <si>
    <t>散打武者</t>
  </si>
  <si>
    <t>聖</t>
  </si>
  <si>
    <r>
      <rPr>
        <rFont val="Calibri"/>
        <b/>
        <color rgb="FF1F1F1F"/>
        <sz val="10.0"/>
      </rPr>
      <t>聖騎士-Paladin</t>
    </r>
  </si>
  <si>
    <t>選擇2項：運動、察言觀色、威嚇、醫藥、說服、宗教</t>
  </si>
  <si>
    <r>
      <rPr>
        <rFont val="&quot;Google Sans&quot;, Roboto, sans-serif"/>
        <b/>
        <color rgb="FF1F1F1F"/>
        <sz val="10.0"/>
      </rPr>
      <t>聖騎士-Paladin</t>
    </r>
  </si>
  <si>
    <t>奉獻之誓</t>
  </si>
  <si>
    <t>榮耀之誓</t>
  </si>
  <si>
    <t>遠古之誓</t>
  </si>
  <si>
    <t>復仇之誓</t>
  </si>
  <si>
    <t>詭術師&amp;嗜血竊賊</t>
  </si>
  <si>
    <r>
      <rPr>
        <rFont val="Calibri"/>
        <b/>
        <color rgb="FF1F1F1F"/>
        <sz val="10.0"/>
      </rPr>
      <t>遊俠-Ranger</t>
    </r>
  </si>
  <si>
    <t>選擇3項：動物馴服、運動、察言觀色、調查、自然、察覺、隱匿、求生</t>
  </si>
  <si>
    <t>遊俠-Ranger</t>
  </si>
  <si>
    <t>獸王</t>
  </si>
  <si>
    <t>妖精漫遊者</t>
  </si>
  <si>
    <t>幽域追蹤者</t>
  </si>
  <si>
    <t>獵人</t>
  </si>
  <si>
    <r>
      <rPr>
        <rFont val="Calibri"/>
        <b/>
        <color rgb="FF1F1F1F"/>
        <sz val="10.0"/>
      </rPr>
      <t>盜賊-Rogue</t>
    </r>
  </si>
  <si>
    <t>選擇4項：特技、運動、欺瞞、察言觀色、威嚇、調查、察覺、說服、巧手、隱匿</t>
  </si>
  <si>
    <t>盜賊-Rogue</t>
  </si>
  <si>
    <t>詭術師</t>
  </si>
  <si>
    <t>刺客</t>
  </si>
  <si>
    <t>魂刃</t>
  </si>
  <si>
    <t>竊賊</t>
  </si>
  <si>
    <t>契</t>
  </si>
  <si>
    <r>
      <rPr>
        <rFont val="Calibri"/>
        <b/>
        <color rgb="FF1F1F1F"/>
        <sz val="10.0"/>
      </rPr>
      <t>術士-Sorcerer</t>
    </r>
  </si>
  <si>
    <t>選擇2項：奧秘、欺瞞、察言觀色、威嚇、說服、宗教</t>
  </si>
  <si>
    <r>
      <rPr>
        <rFont val="&quot;Google Sans&quot;, Roboto, sans-serif"/>
        <b/>
        <color rgb="FF1F1F1F"/>
        <sz val="10.0"/>
      </rPr>
      <t>術士-Sorcerer</t>
    </r>
  </si>
  <si>
    <t>畸變術法</t>
  </si>
  <si>
    <t>時械術法</t>
  </si>
  <si>
    <t>龍族術法</t>
  </si>
  <si>
    <t>狂野術法</t>
  </si>
  <si>
    <r>
      <rPr>
        <rFont val="Calibri"/>
        <b/>
        <color rgb="FF1F1F1F"/>
        <sz val="10.0"/>
      </rPr>
      <t>契術師-Warlock</t>
    </r>
  </si>
  <si>
    <t>選擇2項：奧秘、欺瞞、歷史、威嚇、調查、自然、宗教</t>
  </si>
  <si>
    <r>
      <rPr>
        <rFont val="&quot;Google Sans&quot;, Roboto, sans-serif"/>
        <b/>
        <color rgb="FF1F1F1F"/>
        <sz val="10.0"/>
      </rPr>
      <t>契術師-Warlock</t>
    </r>
  </si>
  <si>
    <t>至高妖精宗主</t>
  </si>
  <si>
    <t>天界宗主</t>
  </si>
  <si>
    <t>邪魔宗主</t>
  </si>
  <si>
    <t>舊日支配者宗主</t>
  </si>
  <si>
    <t>契約魔法等級</t>
  </si>
  <si>
    <r>
      <rPr>
        <rFont val="Calibri"/>
        <b/>
        <color rgb="FF1F1F1F"/>
        <sz val="10.0"/>
      </rPr>
      <t>法師-Wizard</t>
    </r>
  </si>
  <si>
    <t>選擇2項：奧秘、歷史、察言觀色、調查、醫藥、自然、宗教</t>
  </si>
  <si>
    <r>
      <rPr>
        <rFont val="&quot;Google Sans&quot;, Roboto, sans-serif"/>
        <b/>
        <color rgb="FF1F1F1F"/>
        <sz val="10.0"/>
      </rPr>
      <t>法師-Wizard</t>
    </r>
  </si>
  <si>
    <t>防護師</t>
  </si>
  <si>
    <t>預言師</t>
  </si>
  <si>
    <t>塑能師</t>
  </si>
  <si>
    <t>幻術師</t>
  </si>
  <si>
    <t>奇械師</t>
  </si>
  <si>
    <t>奇械師-Artificer</t>
  </si>
  <si>
    <t>選擇2項：奧秘、歷史、調查、醫藥、自然、察覺、巧手</t>
  </si>
  <si>
    <t>煉金匠</t>
  </si>
  <si>
    <t>裝甲匠</t>
  </si>
  <si>
    <t>魔炮匠</t>
  </si>
  <si>
    <t>戰地工匠</t>
  </si>
  <si>
    <t>製圖匠</t>
  </si>
  <si>
    <t>咒槍客</t>
  </si>
  <si>
    <t>銃士-Gunslinger</t>
  </si>
  <si>
    <t>選擇2項：特技、動物馴服、運動、欺瞞、察言觀色、威嚇、察覺、說服、巧手、隱匿</t>
  </si>
  <si>
    <t>銳眼客</t>
  </si>
  <si>
    <t>豪賭客</t>
  </si>
  <si>
    <t>密間客</t>
  </si>
  <si>
    <t>花槍客</t>
  </si>
  <si>
    <t>白帽客</t>
  </si>
  <si>
    <t>神祕學家公會</t>
  </si>
  <si>
    <t>怪物獵人-Monster Hunter</t>
  </si>
  <si>
    <t>選擇3項：運動、歷史、調查、醫藥、自然、察覺、宗教、求生</t>
  </si>
  <si>
    <t>肢解者公會</t>
  </si>
  <si>
    <t>吞噬者公會</t>
  </si>
  <si>
    <t>捕獸者公會</t>
  </si>
  <si>
    <t>拳鬥士-Pugilist</t>
  </si>
  <si>
    <t>選擇2項：特技、運動、欺瞞、威嚇、察覺、巧手、隱匿</t>
  </si>
  <si>
    <t>狗與獵犬</t>
  </si>
  <si>
    <t>恐懼之手</t>
  </si>
  <si>
    <t>粗鄙之人</t>
  </si>
  <si>
    <t>擂台摔角</t>
  </si>
  <si>
    <t>街頭聖徒</t>
  </si>
  <si>
    <t>甜蜜科學</t>
  </si>
  <si>
    <t>職業Ⅰ子職</t>
  </si>
  <si>
    <t>職業Ⅱ子職</t>
  </si>
  <si>
    <t>職業Ⅲ子職</t>
  </si>
  <si>
    <t>職業Ⅰ能力</t>
  </si>
  <si>
    <t>職業Ⅰ子職能力</t>
  </si>
  <si>
    <t>職業Ⅱ子職能力</t>
  </si>
  <si>
    <t>職業Ⅲ子職能力</t>
  </si>
  <si>
    <t>物種血脈</t>
  </si>
  <si>
    <t>物種血脈列表</t>
  </si>
  <si>
    <t>龍裔 Dragonborn</t>
  </si>
  <si>
    <t>黑龍 Black</t>
  </si>
  <si>
    <t>藍龍 Blue</t>
  </si>
  <si>
    <t>綠龍 Green</t>
  </si>
  <si>
    <t>紅龍 Red</t>
  </si>
  <si>
    <t>白龍 White</t>
  </si>
  <si>
    <t>金龍 Gold</t>
  </si>
  <si>
    <t>銀龍 Silver</t>
  </si>
  <si>
    <t>黃銅龍 Brass</t>
  </si>
  <si>
    <t>青銅龍 Bronze</t>
  </si>
  <si>
    <t>赤銅龍 Copper</t>
  </si>
  <si>
    <t>精靈 Elf</t>
  </si>
  <si>
    <t>卓爾 Drow</t>
  </si>
  <si>
    <t>高等精靈 High Elf</t>
  </si>
  <si>
    <t>木精靈 Wood Elf</t>
  </si>
  <si>
    <t>地侏 Gnome</t>
  </si>
  <si>
    <t>林地侏 Forest Gnome</t>
  </si>
  <si>
    <t>岩地侏 Rock Gnome</t>
  </si>
  <si>
    <t>歌利亞 Goliath</t>
  </si>
  <si>
    <t>雲巨人 Cloud Giant</t>
  </si>
  <si>
    <t>火巨人 Fire Giant</t>
  </si>
  <si>
    <t>霜巨人 Frost Giant</t>
  </si>
  <si>
    <t>山丘巨人 Hill Giant</t>
  </si>
  <si>
    <t>石巨人 Stone Giant</t>
  </si>
  <si>
    <t>風暴巨人 Storm Giant</t>
  </si>
  <si>
    <t>提夫林 Tiefling</t>
  </si>
  <si>
    <t>深淵 Abyssal</t>
  </si>
  <si>
    <t>幽冥 Chthonic</t>
  </si>
  <si>
    <t>煉獄 Infernal</t>
  </si>
  <si>
    <t>仙靈 Faerie</t>
  </si>
  <si>
    <t>潔英 Kithkin</t>
  </si>
  <si>
    <t>吉佩廷 Geppettin</t>
  </si>
  <si>
    <t>瓷娃娃 Bisque</t>
  </si>
  <si>
    <t>傀儡 Marionette</t>
  </si>
  <si>
    <t>絨毛玩具 Plushie</t>
  </si>
  <si>
    <t>曼德拉 Mandrake</t>
  </si>
  <si>
    <t>春季 Spring</t>
  </si>
  <si>
    <t>夏季 Summer</t>
  </si>
  <si>
    <t>秋季 Autumn</t>
  </si>
  <si>
    <t>冬季 Winter</t>
  </si>
  <si>
    <t>阿斯莫 Aasimar</t>
  </si>
  <si>
    <t>費尼亞 Fernian</t>
  </si>
  <si>
    <t>瑪巴爾 Mabaran</t>
  </si>
  <si>
    <t>羽裔 Feathren</t>
  </si>
  <si>
    <t>(太麻煩了自己填吧)</t>
  </si>
  <si>
    <t>DC</t>
  </si>
  <si>
    <t>召喚物熟練項</t>
  </si>
  <si>
    <t>物種索引</t>
  </si>
  <si>
    <t>召喚物類型</t>
  </si>
  <si>
    <t>召喚物</t>
  </si>
  <si>
    <t>召喚物法術列表</t>
  </si>
  <si>
    <t>工匠工具熟練項</t>
  </si>
  <si>
    <t>坐騎</t>
  </si>
  <si>
    <t>暗影護甲</t>
  </si>
  <si>
    <t>尋獲魔寵</t>
  </si>
  <si>
    <t>煉金工具</t>
  </si>
  <si>
    <t>尋獲坐騎</t>
  </si>
  <si>
    <t>天界生物Celestials</t>
  </si>
  <si>
    <t>精類Fey</t>
  </si>
  <si>
    <t>邪魔Fiends</t>
  </si>
  <si>
    <t>釀酒工具</t>
  </si>
  <si>
    <t>獸王遊俠</t>
  </si>
  <si>
    <t>大地野獸Beast of the Land</t>
  </si>
  <si>
    <t>海洋野獸Beast of the Sea</t>
  </si>
  <si>
    <t>天空野獸Beast of the Sky</t>
  </si>
  <si>
    <t>野獸召喚術</t>
  </si>
  <si>
    <t>天空Air</t>
  </si>
  <si>
    <t>大地Land</t>
  </si>
  <si>
    <t>海洋Water</t>
  </si>
  <si>
    <t>木匠工具</t>
  </si>
  <si>
    <t>魔能意志</t>
  </si>
  <si>
    <t>活化死屍</t>
  </si>
  <si>
    <t>製圖工具</t>
  </si>
  <si>
    <t>鞋匠工具</t>
  </si>
  <si>
    <t>精類召喚術</t>
  </si>
  <si>
    <t>盛怒妖精Fuming</t>
  </si>
  <si>
    <t>歡愉妖精Mirthful</t>
  </si>
  <si>
    <t>詭詐妖精Tricksy</t>
  </si>
  <si>
    <t>廚師工具</t>
  </si>
  <si>
    <t>不死生物召喚術</t>
  </si>
  <si>
    <t>幽魂Ghostly</t>
  </si>
  <si>
    <t>腐屍Putrid</t>
  </si>
  <si>
    <t>骷髏Skeletal</t>
  </si>
  <si>
    <t>玻璃匠工具</t>
  </si>
  <si>
    <t>巨蟲術</t>
  </si>
  <si>
    <t>蜈蚣Centipede</t>
  </si>
  <si>
    <t>蜘蛛Spider</t>
  </si>
  <si>
    <t>黃蜂Wasp</t>
  </si>
  <si>
    <t>珠寶匠工具</t>
  </si>
  <si>
    <t>異怪召喚術</t>
  </si>
  <si>
    <t>眼魔Beholderkin</t>
  </si>
  <si>
    <t>奪心魔Mind Flayer</t>
  </si>
  <si>
    <t>史拉蟾Slaad</t>
  </si>
  <si>
    <t>皮匠工具</t>
  </si>
  <si>
    <t>構裝體召喚術</t>
  </si>
  <si>
    <t>黏土魔偶Clay</t>
  </si>
  <si>
    <t>金屬魔偶Metal</t>
  </si>
  <si>
    <t>岩石魔偶Stone</t>
  </si>
  <si>
    <t>石匠工具</t>
  </si>
  <si>
    <t>元素召喚術</t>
  </si>
  <si>
    <t>氣元素Air</t>
  </si>
  <si>
    <t>土元素Earth</t>
  </si>
  <si>
    <t>火元素Fire</t>
  </si>
  <si>
    <t>水元素Water</t>
  </si>
  <si>
    <t>畫家工具</t>
  </si>
  <si>
    <t>活化物體</t>
  </si>
  <si>
    <t>巨型</t>
  </si>
  <si>
    <t>大型Large</t>
  </si>
  <si>
    <t>中型或更小Medium or smaller</t>
  </si>
  <si>
    <t>陶匠工具</t>
  </si>
  <si>
    <t>天界生物召喚術</t>
  </si>
  <si>
    <t>復仇聖靈Avenger</t>
  </si>
  <si>
    <t>守護聖靈Defender</t>
  </si>
  <si>
    <t>鐵匠工具</t>
  </si>
  <si>
    <t>龍族召喚術</t>
  </si>
  <si>
    <t>修補工具</t>
  </si>
  <si>
    <t>邪魔召喚術</t>
  </si>
  <si>
    <t>惡魔Demon</t>
  </si>
  <si>
    <t>魔鬼Devil</t>
  </si>
  <si>
    <t>尤格羅斯魔Yugoloth</t>
  </si>
  <si>
    <t>織布工具</t>
  </si>
  <si>
    <t>魔能火炮</t>
  </si>
  <si>
    <t>奇械師魔炮匠</t>
  </si>
  <si>
    <t>木雕工具</t>
  </si>
  <si>
    <t>鋼鐵衛士</t>
  </si>
  <si>
    <t>奇械師戰地工匠</t>
  </si>
  <si>
    <t>易容工具</t>
  </si>
  <si>
    <t>文書偽造工具</t>
  </si>
  <si>
    <t>鋒刃魔契</t>
  </si>
  <si>
    <t>繁花Blooming</t>
  </si>
  <si>
    <t>橡木Oaken</t>
  </si>
  <si>
    <t>荊棘Thorny</t>
  </si>
  <si>
    <t>鎖鏈魔契</t>
  </si>
  <si>
    <t>巨口Enormous Mouth</t>
  </si>
  <si>
    <t>發光燈籠Glowing Lantern</t>
  </si>
  <si>
    <t>鱗翼Scaled Wings</t>
  </si>
  <si>
    <t>領航工具</t>
  </si>
  <si>
    <t>書卷魔契</t>
  </si>
  <si>
    <t>竊賊工具</t>
  </si>
  <si>
    <t>滲透者Infiltrator</t>
  </si>
  <si>
    <t>暗殺者Assassin</t>
  </si>
  <si>
    <t>拳師獵犬</t>
  </si>
  <si>
    <t>拳師狗與獵犬</t>
  </si>
  <si>
    <t>出處</t>
  </si>
  <si>
    <t>能力A</t>
  </si>
  <si>
    <t>能力B</t>
  </si>
  <si>
    <t>能力C</t>
  </si>
  <si>
    <t>能力D</t>
  </si>
  <si>
    <t>能力E</t>
  </si>
  <si>
    <t>能力F</t>
  </si>
  <si>
    <t>能力G</t>
  </si>
  <si>
    <t>能力H</t>
  </si>
  <si>
    <t>中型</t>
  </si>
  <si>
    <t>類人生物</t>
  </si>
  <si>
    <t>黑暗視覺 Darkvision</t>
  </si>
  <si>
    <t>治癒之手 Healing Hands</t>
  </si>
  <si>
    <t>天界啟示 Celestical Revelation</t>
  </si>
  <si>
    <t>吐息武器 Breath Weapon</t>
  </si>
  <si>
    <t>傷害抗性 Damage Resistance</t>
  </si>
  <si>
    <t>龍族飛翼 Draconic Flight</t>
  </si>
  <si>
    <t>矮人 Dwarf</t>
  </si>
  <si>
    <t>矮人體魄 Dwarven Resilience</t>
  </si>
  <si>
    <t>矮人剛毅 Dwarven Toughness</t>
  </si>
  <si>
    <t>岩石敏銳 Stonecunning</t>
  </si>
  <si>
    <t>精類血統 Fey Ancestry</t>
  </si>
  <si>
    <t>敏銳感官 Keen Senses</t>
  </si>
  <si>
    <t>傳思 Trance</t>
  </si>
  <si>
    <t>小型</t>
  </si>
  <si>
    <t>地侏狡黠 Gnome Cunning</t>
  </si>
  <si>
    <t>大型形態 Large Form</t>
  </si>
  <si>
    <t>身強力壯 Powerful Build</t>
  </si>
  <si>
    <t>半身人 Halfling</t>
  </si>
  <si>
    <t>勇氣 Brave</t>
  </si>
  <si>
    <t>半身人靈巧 Halfling Nimbleness</t>
  </si>
  <si>
    <t>幸運 Lucky</t>
  </si>
  <si>
    <t>天生善匿 Naturally Stealthy</t>
  </si>
  <si>
    <t>中型or小型</t>
  </si>
  <si>
    <t>創造力 Resourceful</t>
  </si>
  <si>
    <t>技能熟練 Skillful</t>
  </si>
  <si>
    <t>多才多藝 Versatile</t>
  </si>
  <si>
    <t>獸人 Orc</t>
  </si>
  <si>
    <t>激昂衝鋒 Adrenaline Rush</t>
  </si>
  <si>
    <t>堅韌不屈 Relentless Endurance</t>
  </si>
  <si>
    <t>異界存在 Otherworldly Presence</t>
  </si>
  <si>
    <t>小個子怒火 Fury of the Small</t>
  </si>
  <si>
    <t>迅捷逃逸 Nimble Escape</t>
  </si>
  <si>
    <t>精類</t>
  </si>
  <si>
    <t>仙靈魔法 Fairy Magic</t>
  </si>
  <si>
    <t>飛行 Flight</t>
  </si>
  <si>
    <t xml:space="preserve"> 中型or小型</t>
  </si>
  <si>
    <t>火焰抗性 Fire Resistance</t>
  </si>
  <si>
    <t>列焰之觸 Reach to the Blaze</t>
  </si>
  <si>
    <t>變換自身 Shape Self</t>
  </si>
  <si>
    <t>歡笑模仿 Delightful Imitator</t>
  </si>
  <si>
    <t>冷燃魔法 Cold Fire Magic</t>
  </si>
  <si>
    <t>寒冷抗性 Cold Resistance</t>
  </si>
  <si>
    <t>ABoH</t>
  </si>
  <si>
    <t>蛛行 Spider Climb</t>
  </si>
  <si>
    <t>不死痕跡 Trace of Undeath</t>
  </si>
  <si>
    <t>吸血啃咬 Vampiric Bite</t>
  </si>
  <si>
    <t>幻身靈本能 Changeling Instincts</t>
  </si>
  <si>
    <t>變形者 Shape-Shifter</t>
  </si>
  <si>
    <t>異怪</t>
  </si>
  <si>
    <t>雙重意識 Dual Mind</t>
  </si>
  <si>
    <t>心靈紀律 Mental Discipline</t>
  </si>
  <si>
    <t>心靈連接 Mind Link</t>
  </si>
  <si>
    <t>隔離夢境 Severed from Dreams</t>
  </si>
  <si>
    <t>妖精餽贈 Fey Gift</t>
  </si>
  <si>
    <t>昏睡韌性 Lethargy Resilience</t>
  </si>
  <si>
    <t>才華橫溢 Skill Versatility</t>
  </si>
  <si>
    <t>獸性本能 Bestial Instincts</t>
  </si>
  <si>
    <t>化形 Shifting</t>
  </si>
  <si>
    <t>構裝體</t>
  </si>
  <si>
    <t>構裝韌性 Construct Resilience</t>
  </si>
  <si>
    <t>一體化防護 Integrated Protection</t>
  </si>
  <si>
    <t>哨兵式休息 Sentry's Rest</t>
  </si>
  <si>
    <t>特化設計 Specialized Design</t>
  </si>
  <si>
    <t>不倦 Tireless</t>
  </si>
  <si>
    <t>邪魔</t>
  </si>
  <si>
    <t>灰燼遺贈 Ashen Legacy</t>
  </si>
  <si>
    <t>邪魔幸運 Fiendish Fortune</t>
  </si>
  <si>
    <t>蠍刺  Scorpion Sting</t>
  </si>
  <si>
    <t>蒼羽遺贈 Azure Legacy</t>
  </si>
  <si>
    <t>窺視命運 Glimpse Fate</t>
  </si>
  <si>
    <t>魔法之風 Winds of Magic</t>
  </si>
  <si>
    <t>巨人</t>
  </si>
  <si>
    <t>沼澤巨體 Bog Bulk</t>
  </si>
  <si>
    <t>引導連結 Guiding Bond</t>
  </si>
  <si>
    <t>再生 Regeneration</t>
  </si>
  <si>
    <t>詛咒利爪 Cursed Claws</t>
  </si>
  <si>
    <t>灰厄平衡 Grey Balance</t>
  </si>
  <si>
    <t>狼族感官 Lupine Sense</t>
  </si>
  <si>
    <t>兩棲 Amphibious</t>
  </si>
  <si>
    <t>異界亂語 Eldritch Gibbering</t>
  </si>
  <si>
    <t>無盡食慾 Endless Hunger</t>
  </si>
  <si>
    <t>植物</t>
  </si>
  <si>
    <t>根深蒂固 Deep Roots</t>
  </si>
  <si>
    <t>神木低語 Elderwood Whispers</t>
  </si>
  <si>
    <t>纏枝 Grasping Branches</t>
  </si>
  <si>
    <t>樹根感知 Root Sense</t>
  </si>
  <si>
    <t>參天之姿 Towering Size</t>
  </si>
  <si>
    <t>不死生物</t>
  </si>
  <si>
    <t>吞食屍體 Devour Corpse</t>
  </si>
  <si>
    <t>無懼霜寒 Frozen Waste</t>
  </si>
  <si>
    <t>駐魔龍鋼 Infused Drakkonite</t>
  </si>
  <si>
    <t>剔除 Culling</t>
  </si>
  <si>
    <t>翠綠贈禮 Gift of the Green</t>
  </si>
  <si>
    <t>南瓜燈 Jack-O-Lantern</t>
  </si>
  <si>
    <t>稻草人本質 Scarecrow Nature</t>
  </si>
  <si>
    <t>守望休憩 Watchful Rest</t>
  </si>
  <si>
    <t>汙穢之子 Born in Filth</t>
  </si>
  <si>
    <t>染疫狡詐 Infected Cunning</t>
  </si>
  <si>
    <t>帶原體 Plague Bearer</t>
  </si>
  <si>
    <t>死亡之舞 Dance of Death</t>
  </si>
  <si>
    <t>永恆派對 Eternal Party</t>
  </si>
  <si>
    <t>紀念之刻 Moment of Remembrance</t>
  </si>
  <si>
    <t>狂歡之魂 Soul of Revelry</t>
  </si>
  <si>
    <t>珠寶甲殼 Bejeweled Carapace</t>
  </si>
  <si>
    <t>蛛絲遺贈 Silken Legacy</t>
  </si>
  <si>
    <t>銀輝 Argent Gleam</t>
  </si>
  <si>
    <t>白銀壁壘 Silver Bulwark</t>
  </si>
  <si>
    <t>守望感官 Watchful Senses</t>
  </si>
  <si>
    <t>球形關節 Ball-Jointed</t>
  </si>
  <si>
    <t>純潔心智 Innocent Mind</t>
  </si>
  <si>
    <t>絲線天性 Sewn Nature</t>
  </si>
  <si>
    <t>撫慰之心 Soothing Heart</t>
  </si>
  <si>
    <t>常伴左右 You've Got a Friend</t>
  </si>
  <si>
    <t>構裝天性 Construct Nature</t>
  </si>
  <si>
    <t>精緻手工 Handcrafted Quality</t>
  </si>
  <si>
    <t>植物天性 Plant Nature</t>
  </si>
  <si>
    <t>自然連結 Natural Connection</t>
  </si>
  <si>
    <t>根源魔法 Root Magic</t>
  </si>
  <si>
    <t>纏繞藤蔓 Entangling Vines</t>
  </si>
  <si>
    <t>威攝咆哮 Menacing Roar</t>
  </si>
  <si>
    <t>野外行動 Natural Movement</t>
  </si>
  <si>
    <t>強力體格 Powerful Build</t>
  </si>
  <si>
    <t>堅定威儀 Firm Influence</t>
  </si>
  <si>
    <t>信仰感召 Moved by Faith</t>
  </si>
  <si>
    <t>傷害抗性(毒) Damage Resistance</t>
  </si>
  <si>
    <t>剛毅 Toughness</t>
  </si>
  <si>
    <t>武器天賦 Weapon Aptitude</t>
  </si>
  <si>
    <t>毒素韌性 Poison Resilience</t>
  </si>
  <si>
    <t>盤石 Steady</t>
  </si>
  <si>
    <t>匠人專精 Artisanal Focus</t>
  </si>
  <si>
    <t>工匠之眼 Crafter's Eye</t>
  </si>
  <si>
    <t>啟蒙心靈 Awakened Mind</t>
  </si>
  <si>
    <t>專注精神 Focused Mind</t>
  </si>
  <si>
    <t>冥想休憩 Meditative Rest</t>
  </si>
  <si>
    <t>荒野庇護 Shroud of the Wild</t>
  </si>
  <si>
    <t>天生覺察 Inborn Perception</t>
  </si>
  <si>
    <t>魔法領悟(任意戲法) Magical Savvy</t>
  </si>
  <si>
    <t>魔法壁壘 Magical Fortification</t>
  </si>
  <si>
    <t>快速翻滾 Quick turnover</t>
  </si>
  <si>
    <t>工藝專精 Artifice Expertise</t>
  </si>
  <si>
    <t>消失無蹤 Fade Away</t>
  </si>
  <si>
    <t>魔法領悟 Magical Savvy</t>
  </si>
  <si>
    <t>卓越天賦 Masterful Aptitude</t>
  </si>
  <si>
    <t>自然之聲 Nature's Voice</t>
  </si>
  <si>
    <t>勇敢 Brave</t>
  </si>
  <si>
    <t>生物掩護 Creature Cover</t>
  </si>
  <si>
    <t>援手 Helping Hand</t>
  </si>
  <si>
    <t>穿梭 Pass Through</t>
  </si>
  <si>
    <t>深度小憩 Power Nap</t>
  </si>
  <si>
    <t>擁抱過去 Embrace the Past</t>
  </si>
  <si>
    <t>驚世重擊 Awesome Critical</t>
  </si>
  <si>
    <t>先發制人 First Strike</t>
  </si>
  <si>
    <t>天生直覺 Intrinsic Orientation</t>
  </si>
  <si>
    <t>精明倖存者 Keen Survivor</t>
  </si>
  <si>
    <t>高超技巧 Skill Prowess</t>
  </si>
  <si>
    <t>快攻 Quick Initiative</t>
  </si>
  <si>
    <t>堅毅儲備 Stalwart Reserves</t>
  </si>
  <si>
    <t>夢行 Dreamwalking</t>
  </si>
  <si>
    <t>即興創作 Improviser</t>
  </si>
  <si>
    <t>戰場掌控 Battlefield Control</t>
  </si>
  <si>
    <t>全集中 Centered</t>
  </si>
  <si>
    <t>即興巧匠 Impromptu Artisan</t>
  </si>
  <si>
    <t>心靈魂體 Psychic Spirit</t>
  </si>
  <si>
    <t>游泳 Swimmer</t>
  </si>
  <si>
    <t>動物朋友 Animal Friend</t>
  </si>
  <si>
    <t>魔法領悟(任意死靈戲法) Magical Savvy</t>
  </si>
  <si>
    <t>乘勢制敵 Enemy in Motion</t>
  </si>
  <si>
    <t>環境感知 Environmental Awareness</t>
  </si>
  <si>
    <t>心機聽眾 Calculating Listener</t>
  </si>
  <si>
    <t>威嚴洞察 Commanding Insight</t>
  </si>
  <si>
    <t>說服竅門 Persuasive Knack</t>
  </si>
  <si>
    <t>頑強 Tenacious</t>
  </si>
  <si>
    <t>人造形態 Artificial Form</t>
  </si>
  <si>
    <t>環境耐受 Inured to the Elements</t>
  </si>
  <si>
    <t>魔法洞察 Magical Insight</t>
  </si>
  <si>
    <t>超自然醫者 Unnatural Healer</t>
  </si>
  <si>
    <t>吸取攻擊 Draining Attack</t>
  </si>
  <si>
    <t>天生武器(獠牙) Natural Attack</t>
  </si>
  <si>
    <t>完善保護 Well Protected</t>
  </si>
  <si>
    <t>攀爬者 Climber</t>
  </si>
  <si>
    <t>熱情騙子 Eager Deceiver</t>
  </si>
  <si>
    <t>魔法專家(魅惑人類) Magical Savant</t>
  </si>
  <si>
    <t>魔法領悟(交友術) Magical Savvy</t>
  </si>
  <si>
    <t>分心大師 Master of Distraction</t>
  </si>
  <si>
    <t>相位偏移 Out of Phase</t>
  </si>
  <si>
    <t>乙太淡化 Ethereal Fade</t>
  </si>
  <si>
    <t>魔法專家(羽落術) Magical Savant</t>
  </si>
  <si>
    <t>魔法領悟(舞光術) Magical Savvy</t>
  </si>
  <si>
    <t>神聖操血術 Divine Sangromancy</t>
  </si>
  <si>
    <t>生命之觸 Touch of Life</t>
  </si>
  <si>
    <t>魔法專家(限牧師法術) Magical Savant</t>
  </si>
  <si>
    <t>魔法領悟(奇術) Magical Savvy</t>
  </si>
  <si>
    <t>魔法專家(易容術) Magical Savant</t>
  </si>
  <si>
    <t>魔法領悟(次級幻象) Magical Savvy</t>
  </si>
  <si>
    <t>直覺雜技 Intuitive Acrobat</t>
  </si>
  <si>
    <t>獵人直覺 Hunter's Instinct</t>
  </si>
  <si>
    <t>天生武器(利爪) Natural Attack</t>
  </si>
  <si>
    <t>群體獵手 Pack Hunter</t>
  </si>
  <si>
    <t>爆發衝刺 Burst of Speed</t>
  </si>
  <si>
    <t>運動家之魂 Athlete's Spirit</t>
  </si>
  <si>
    <t>寒冷體質 Chilled Anatomy</t>
  </si>
  <si>
    <t>壓雪 Compacted Snow</t>
  </si>
  <si>
    <t>極寒構裝 Frigid Construct</t>
  </si>
  <si>
    <t>冰川型態 Glacial Form</t>
  </si>
  <si>
    <t>引導之光 Guiding Light</t>
  </si>
  <si>
    <t>鹿角防禦 Antler Defence</t>
  </si>
  <si>
    <t>腳蹄 Hooves</t>
  </si>
  <si>
    <t>為導航生 Born to Navigate</t>
  </si>
  <si>
    <t>荒野適應 Outdoor Adept</t>
  </si>
  <si>
    <t>自然庇護 Protected by Nature</t>
  </si>
  <si>
    <t>走獸之友 Friend of Fauna</t>
  </si>
  <si>
    <t>後肢衝刺 Hind Leg Dash</t>
  </si>
  <si>
    <t>獠牙利顎 Fanged Jaws</t>
  </si>
  <si>
    <t>狩獵採集者 Hunter Gatherer</t>
  </si>
  <si>
    <t>先祖祝福 Ancestral Blessing</t>
  </si>
  <si>
    <t>軍紀 Discipline</t>
  </si>
  <si>
    <t>團結力量大 Strength in Unity</t>
  </si>
  <si>
    <t>戰爭與和平 War and Peace</t>
  </si>
  <si>
    <t>長臂 Long-Limbed</t>
  </si>
  <si>
    <t>與強者為伍 Stand by the Strong</t>
  </si>
  <si>
    <t>小子靈巧 Nimbleness</t>
  </si>
  <si>
    <t>啃咬 Bite</t>
  </si>
  <si>
    <t>獵人感官 Hunter's Senses</t>
  </si>
  <si>
    <t>大鬧一番 Rampage</t>
  </si>
  <si>
    <t>海洋祝福 Blessing of the Sea</t>
  </si>
  <si>
    <t>卡拉卡拉軼聞 Karakala Lore</t>
  </si>
  <si>
    <t>伴生共生體 Personal Symbiont</t>
  </si>
  <si>
    <t>精通共生 Symbiont Mastery</t>
  </si>
  <si>
    <t>超自然韌性 Unnatural Resilience</t>
  </si>
  <si>
    <t>急速泳者 Swift Swimmer</t>
  </si>
  <si>
    <t>鮮血狂熱 Blood Frenzy</t>
  </si>
  <si>
    <t>天生護甲 Natural Armor</t>
  </si>
  <si>
    <t>有限兩棲 Limited Amphibiousness</t>
  </si>
  <si>
    <t>族親之語 Kindred Speech</t>
  </si>
  <si>
    <t>天生造物者 Natural Creator</t>
  </si>
  <si>
    <t>利爪 Talons</t>
  </si>
  <si>
    <t>類人生物 / 恐龍</t>
  </si>
  <si>
    <t>額外語言 Bonus Languages</t>
  </si>
  <si>
    <t>健壯肌肉 Musclebound</t>
  </si>
  <si>
    <t>尾槌 Clubbed Tail</t>
  </si>
  <si>
    <t>金屬工匠 Metalworker</t>
  </si>
  <si>
    <t>皮內成骨 Osteoderms</t>
  </si>
  <si>
    <t>類人生物 / 恐龍 / 翼龍</t>
  </si>
  <si>
    <t>環球遷徙 Global Migrators</t>
  </si>
  <si>
    <t>口述文明 Verbal Culture</t>
  </si>
  <si>
    <t>見多識廣 Well-Travelled</t>
  </si>
  <si>
    <t>說服之力 Power of Persuasion</t>
  </si>
  <si>
    <t>割喉社會 Cutthroat Society</t>
  </si>
  <si>
    <t>狩獵採集者 Hunter-Gatherer</t>
  </si>
  <si>
    <t>淬毒武器 Envenomed Weapons</t>
  </si>
  <si>
    <t>守望者之眼 Watcher's Eyes</t>
  </si>
  <si>
    <t>先天毒物抗性 Innate Toxicology</t>
  </si>
  <si>
    <t>工會人脈 Guild Connections</t>
  </si>
  <si>
    <t>頭冠 Head Crest</t>
  </si>
  <si>
    <t>犄角反擊 Horned Repose</t>
  </si>
  <si>
    <t>利牙 Razormaw</t>
  </si>
  <si>
    <t>擒拿鉤爪 Grappleclaws</t>
  </si>
  <si>
    <t>晝夜習性 Nocturnal/Diurnal</t>
  </si>
  <si>
    <t>骨骼氣腔化與覆羽 Pneumatised and Feathered</t>
  </si>
  <si>
    <t>職業等級</t>
  </si>
  <si>
    <t>子職業類型</t>
  </si>
  <si>
    <t>實驗道途</t>
  </si>
  <si>
    <t>肌肉魔法使道途</t>
  </si>
  <si>
    <t>蔑法道途</t>
  </si>
  <si>
    <t>分裂道途</t>
  </si>
  <si>
    <t>原初精魂道途</t>
  </si>
  <si>
    <t>憤怒亡靈道途</t>
  </si>
  <si>
    <t>冰川道途</t>
  </si>
  <si>
    <t>月亮學院</t>
  </si>
  <si>
    <t>靈哨學院</t>
  </si>
  <si>
    <t>戲劇學院</t>
  </si>
  <si>
    <t>冒險者學院</t>
  </si>
  <si>
    <t>弄臣學院</t>
  </si>
  <si>
    <t>安魂學院</t>
  </si>
  <si>
    <t>傳頌學院</t>
  </si>
  <si>
    <t>織舞學院</t>
  </si>
  <si>
    <t>知識領域</t>
  </si>
  <si>
    <t>豐收領域</t>
  </si>
  <si>
    <t>天啟領域</t>
  </si>
  <si>
    <t>怪異領域</t>
  </si>
  <si>
    <t>審判領域</t>
  </si>
  <si>
    <t>淨化領域</t>
  </si>
  <si>
    <t>心靈領域</t>
  </si>
  <si>
    <t>星界領域</t>
  </si>
  <si>
    <t>古道結社</t>
  </si>
  <si>
    <t>柳條結社</t>
  </si>
  <si>
    <t>共生結社</t>
  </si>
  <si>
    <t>鮮血結社</t>
  </si>
  <si>
    <t>熵力結社</t>
  </si>
  <si>
    <t>突變結社</t>
  </si>
  <si>
    <t>鍛物結社</t>
  </si>
  <si>
    <t>不朽結社</t>
  </si>
  <si>
    <t>輪轉結社</t>
  </si>
  <si>
    <t>旗將</t>
  </si>
  <si>
    <t>陵墓守衛</t>
  </si>
  <si>
    <t>地城探險家</t>
  </si>
  <si>
    <t>英雄</t>
  </si>
  <si>
    <t>壁壘衛士</t>
  </si>
  <si>
    <t>活體坩堝</t>
  </si>
  <si>
    <t>守夜人</t>
  </si>
  <si>
    <t>羽蛇傳令</t>
  </si>
  <si>
    <t>雕骨師</t>
  </si>
  <si>
    <t>瘴癘武者</t>
  </si>
  <si>
    <t>街頭武者</t>
  </si>
  <si>
    <t>天衡武者</t>
  </si>
  <si>
    <t>鉛冕武者</t>
  </si>
  <si>
    <t>孤高武者</t>
  </si>
  <si>
    <t>悔恨武者</t>
  </si>
  <si>
    <t>活體武器武者</t>
  </si>
  <si>
    <t>天界武者</t>
  </si>
  <si>
    <t>聖武士</t>
  </si>
  <si>
    <t>巨靈貴族之誓</t>
  </si>
  <si>
    <t>懲戒之誓</t>
  </si>
  <si>
    <t>狂歡之誓</t>
  </si>
  <si>
    <t>守護之誓</t>
  </si>
  <si>
    <t>瘟疫之誓</t>
  </si>
  <si>
    <t>屠戮之誓</t>
  </si>
  <si>
    <t>狂熱之誓</t>
  </si>
  <si>
    <t>爐火之誓</t>
  </si>
  <si>
    <t>惡兆先驅</t>
  </si>
  <si>
    <t>凜冬行者</t>
  </si>
  <si>
    <t>荒徑守護者</t>
  </si>
  <si>
    <t>綠林死神</t>
  </si>
  <si>
    <t>原初射手</t>
  </si>
  <si>
    <t>鼠群之王</t>
  </si>
  <si>
    <t>凜冬陷阱師</t>
  </si>
  <si>
    <t>大獸獵家</t>
  </si>
  <si>
    <t>三神使徒</t>
  </si>
  <si>
    <t>罪人</t>
  </si>
  <si>
    <t>蛛行者</t>
  </si>
  <si>
    <t>暗影行者</t>
  </si>
  <si>
    <t>響馬</t>
  </si>
  <si>
    <t>厄運使者</t>
  </si>
  <si>
    <t>赤血竊賊</t>
  </si>
  <si>
    <t>符文塗鴉客</t>
  </si>
  <si>
    <t>咒火術法</t>
  </si>
  <si>
    <t>猩紅術法</t>
  </si>
  <si>
    <t>飢渴黑暗術法</t>
  </si>
  <si>
    <t>天啟術法</t>
  </si>
  <si>
    <t>幽靈術法</t>
  </si>
  <si>
    <t>悲慘血脈術法</t>
  </si>
  <si>
    <t>霜凍術法</t>
  </si>
  <si>
    <t>愚神宗主</t>
  </si>
  <si>
    <t>角之王宗主</t>
  </si>
  <si>
    <t>未來的你宗主</t>
  </si>
  <si>
    <t>崇高貓貓庭宗主</t>
  </si>
  <si>
    <t>鬼婆集會宗主</t>
  </si>
  <si>
    <t>吸血鬼先祖宗主</t>
  </si>
  <si>
    <t>宇宙寄生體宗主</t>
  </si>
  <si>
    <t>星界獅鷲獸宗主</t>
  </si>
  <si>
    <t>神祕學家</t>
  </si>
  <si>
    <t>賢者</t>
  </si>
  <si>
    <t>司書</t>
  </si>
  <si>
    <t>惡魔學家</t>
  </si>
  <si>
    <t>疫醫</t>
  </si>
  <si>
    <t>操血師</t>
  </si>
  <si>
    <t>塑形師</t>
  </si>
  <si>
    <t>鍛造匠</t>
  </si>
  <si>
    <t>獨行匠</t>
  </si>
  <si>
    <t>銃士</t>
  </si>
  <si>
    <t>諜影客</t>
  </si>
  <si>
    <t>怪物獵人</t>
  </si>
  <si>
    <t>拳鬥士</t>
  </si>
  <si>
    <t>德魯伊-Druid</t>
  </si>
  <si>
    <t>武僧-Monk</t>
  </si>
  <si>
    <t>聖騎士-Paladin</t>
  </si>
  <si>
    <t>術士-Sorcerer</t>
  </si>
  <si>
    <t>契術師-Warlock</t>
  </si>
  <si>
    <t>背景</t>
  </si>
  <si>
    <t>屬性值提升</t>
  </si>
  <si>
    <t>技能熟練</t>
  </si>
  <si>
    <t>工具熟練</t>
  </si>
  <si>
    <t>侍僧 Acolyte</t>
  </si>
  <si>
    <t>魔法學徒(牧師) Magic Initiate</t>
  </si>
  <si>
    <t>工匠 Artisan</t>
  </si>
  <si>
    <t>匠心 Crafter</t>
  </si>
  <si>
    <t>任一種工匠工具</t>
  </si>
  <si>
    <t>詐欺師 Charlatan</t>
  </si>
  <si>
    <t>技巧嫻熟 Skilled</t>
  </si>
  <si>
    <t>罪犯 Criminal</t>
  </si>
  <si>
    <t>警覺 Alert</t>
  </si>
  <si>
    <t>藝人 Entertainer</t>
  </si>
  <si>
    <t>音樂家 Musician</t>
  </si>
  <si>
    <t>任一種樂器</t>
  </si>
  <si>
    <t>農夫 Farmer</t>
  </si>
  <si>
    <t>健壯 Tough</t>
  </si>
  <si>
    <t>動物馴服</t>
  </si>
  <si>
    <t>衛兵 Guard</t>
  </si>
  <si>
    <t>任一種賭具</t>
  </si>
  <si>
    <t>嚮導 Guide</t>
  </si>
  <si>
    <t>魔法學徒(德魯伊) Magic Initiate</t>
  </si>
  <si>
    <t>隱士 Hermit</t>
  </si>
  <si>
    <t>治療師 Healer</t>
  </si>
  <si>
    <t>商人 Merchant</t>
  </si>
  <si>
    <t>貴族 Noble</t>
  </si>
  <si>
    <t>魔法學徒(法師) Magic Initiate</t>
  </si>
  <si>
    <t>水手 Sailor</t>
  </si>
  <si>
    <t>酒館拳王 Tavern Brawler</t>
  </si>
  <si>
    <t>抄寫員 Scribe</t>
  </si>
  <si>
    <t>士兵 Soldier</t>
  </si>
  <si>
    <t>野蠻攻擊者 Savage Attacker</t>
  </si>
  <si>
    <t>遠行者 Wayfarer</t>
  </si>
  <si>
    <t>自定義背景 Custom</t>
  </si>
  <si>
    <t>自定義</t>
  </si>
  <si>
    <t>FRHoF</t>
  </si>
  <si>
    <t>紡織工具</t>
  </si>
  <si>
    <t>拜龍教新晉者 Cult of the Dragon Initiate</t>
  </si>
  <si>
    <t>翠綠閑庭雛鳥 Emerald Enclave Fledgling</t>
  </si>
  <si>
    <t>豎琴手特工 Harper Agent</t>
  </si>
  <si>
    <t>鐵腕新手 Tyro of the Gauntlet</t>
  </si>
  <si>
    <t>領主聯盟特工 Lords' Alliance Agent</t>
  </si>
  <si>
    <t>紫龍堡壘 Purple Dragon Rook</t>
  </si>
  <si>
    <t>咒火火花 Spellfire Spark</t>
  </si>
  <si>
    <t>散塔林暴徒 Zhentarim Ruffian</t>
  </si>
  <si>
    <t>太陽之子 Child of the Sun</t>
  </si>
  <si>
    <t>闇影荒原咒術師 Shadowmoor Hexer</t>
  </si>
  <si>
    <t>不倦狂歡 Tireless Reveler</t>
  </si>
  <si>
    <t>任一賭具</t>
  </si>
  <si>
    <t>吸血鬼玩物 Vampire's Plaything</t>
  </si>
  <si>
    <t>吸血鬼獵者 Vampire Hunter</t>
  </si>
  <si>
    <t>異族龍紋 Aberrant Dragonmark</t>
  </si>
  <si>
    <t>創造龍紋 Mark of Making</t>
  </si>
  <si>
    <t>守護龍紋 Mark of Sentinel</t>
  </si>
  <si>
    <t>招待龍紋 Mark of Hospitality</t>
  </si>
  <si>
    <t>醫療龍紋 Mark of Healing</t>
  </si>
  <si>
    <t>警戒龍紋 Mark of Warding</t>
  </si>
  <si>
    <t>暴風龍紋 Mark of Storm</t>
  </si>
  <si>
    <t>偵測龍紋 Mark of Detection</t>
  </si>
  <si>
    <t>通行龍紋 Mark of Passage</t>
  </si>
  <si>
    <t>陰影龍紋 Mark of Shadow</t>
  </si>
  <si>
    <t>抄錄龍紋 Mark of Scribing</t>
  </si>
  <si>
    <t>探索龍紋 Mark of Finding</t>
  </si>
  <si>
    <t>畜牧龍紋 Mark of Handling</t>
  </si>
  <si>
    <t>DDBD</t>
  </si>
  <si>
    <t>任一位面契約專長</t>
  </si>
  <si>
    <t>記憶飢渴 Memory Starved</t>
  </si>
  <si>
    <t>猩紅祭儀師 Crimson Ritualist</t>
  </si>
  <si>
    <t>命運賭徒 Fate Gambler</t>
  </si>
  <si>
    <t>教團新晉者 Cult Initiate</t>
  </si>
  <si>
    <t>任意</t>
  </si>
  <si>
    <t>任意起源專長</t>
  </si>
  <si>
    <t>任一種工具</t>
  </si>
  <si>
    <t>異變 Altered</t>
  </si>
  <si>
    <t>幽燈靈媒 Ghostlight Medium</t>
  </si>
  <si>
    <t>獵狩獵手 Hunter of Hunters</t>
  </si>
  <si>
    <t>擇一：奧秘/歷史/宗教/自然</t>
  </si>
  <si>
    <t>無反射 Unreflected</t>
  </si>
  <si>
    <t>守墓人 Grave Keeper</t>
  </si>
  <si>
    <t>狂歡愚者 Reveling Fool</t>
  </si>
  <si>
    <t>恐懼密言 Dread Speech</t>
  </si>
  <si>
    <t>護符編織者 Charm Twister</t>
  </si>
  <si>
    <t>CBT</t>
  </si>
  <si>
    <t>慧眼收藏家 Insightful Collector</t>
  </si>
  <si>
    <t>修理工具</t>
  </si>
  <si>
    <t>尋血犬 Blood Hound</t>
  </si>
  <si>
    <t>倖存者 Survivor</t>
  </si>
  <si>
    <t>任一種樂器或工匠工具</t>
  </si>
  <si>
    <t>與死亡為伍 Deathbound</t>
  </si>
  <si>
    <t>自由劍傭兵的意志 Free Sword Mercenary's Will</t>
  </si>
  <si>
    <t>威信審判官 Convincing Inquisitor</t>
  </si>
  <si>
    <t>急救專家 Triage Expert</t>
  </si>
  <si>
    <t>木匠工具或石匠工具</t>
  </si>
  <si>
    <t>奇術師機運 Fortune of the Thaumaturge</t>
  </si>
  <si>
    <t>幫派決心 Resolution of the Syndicate</t>
  </si>
  <si>
    <t>焦點自我 Focused Personas</t>
  </si>
  <si>
    <t>海洋適應 Aquatic Adaptation</t>
  </si>
  <si>
    <t>從竊賊工具、製毒工具、易容工具中選擇一項</t>
  </si>
  <si>
    <t>任一工匠工具</t>
  </si>
  <si>
    <t>~~~~起源專長 Origin Feat~~~~</t>
  </si>
  <si>
    <t xml:space="preserve">傳奇恩惠 Epic Boon Feat </t>
  </si>
  <si>
    <t>英勇戰鬥之恩惠 Boon of Combat Prowess</t>
  </si>
  <si>
    <t>次元旅行之恩惠 Boon of Dimensional Travel</t>
  </si>
  <si>
    <t>能量抗性之恩惠 Boon of Energy Resistance</t>
  </si>
  <si>
    <t>操弄幸運之恩惠 Boon of Fate</t>
  </si>
  <si>
    <t>超凡強韌之恩惠 Boon of Fortitude</t>
  </si>
  <si>
    <t>無敵攻勢之恩惠 Boon of Irresistible Offense</t>
  </si>
  <si>
    <t>恢復活力之恩惠 Boon of Recovery</t>
  </si>
  <si>
    <t>多才多藝之恩惠 Boon of Skill</t>
  </si>
  <si>
    <t>健步如飛之恩惠 Boon of Speed</t>
  </si>
  <si>
    <t>術法復原之恩惠 Boon of Spell Recall</t>
  </si>
  <si>
    <t>暗夜精魂之恩惠 Boon of the Night Spirit</t>
  </si>
  <si>
    <t>真實視覺之恩惠 Boon of Truesight</t>
  </si>
  <si>
    <t>~~~~一般專長 General Feat~~~~</t>
  </si>
  <si>
    <t>屬性值提升 Ability Score Improvement</t>
  </si>
  <si>
    <t>演員 Actor</t>
  </si>
  <si>
    <t>運動健將 Athlete</t>
  </si>
  <si>
    <t>衝鋒手 Charger</t>
  </si>
  <si>
    <t>大廚 Chef</t>
  </si>
  <si>
    <t>強弩專家 Crossbow Expert</t>
  </si>
  <si>
    <t>粉碎者 Crusher</t>
  </si>
  <si>
    <t>防禦式決鬥 Defensive Duelist</t>
  </si>
  <si>
    <t>雙持客 Dual Wielder</t>
  </si>
  <si>
    <t>耐性 Durable</t>
  </si>
  <si>
    <t>元素行家 Elemental Adept</t>
  </si>
  <si>
    <t>精類觸碰 Fey-Touched</t>
  </si>
  <si>
    <t>擒抱者 Grappler</t>
  </si>
  <si>
    <t>巨武大師 Great Weapon Master</t>
  </si>
  <si>
    <t>重度著甲 Heavily Armored</t>
  </si>
  <si>
    <t>重甲大師 Heavy Armor Master</t>
  </si>
  <si>
    <t>激勵統御 Inspiring Leader</t>
  </si>
  <si>
    <t>敏銳心智 Keen Mind</t>
  </si>
  <si>
    <t>輕度著甲 Lightly Armored</t>
  </si>
  <si>
    <t>巫師殺手 Mage Slayer</t>
  </si>
  <si>
    <t>軍用武器訓練 Martial Weapon Training</t>
  </si>
  <si>
    <t>中甲大師 Medium Armor Master</t>
  </si>
  <si>
    <t>中度著甲 Moderately Armored</t>
  </si>
  <si>
    <t>騎乘戰鬥 Mounted Combatant</t>
  </si>
  <si>
    <t>敏銳察覺 Observant</t>
  </si>
  <si>
    <t>穿刺者 Piercer</t>
  </si>
  <si>
    <t>毒師 Poisoner</t>
  </si>
  <si>
    <t>長武大師 Polearm Master</t>
  </si>
  <si>
    <t>適應力 Resilient</t>
  </si>
  <si>
    <t>儀式施法者 Ritual Caster</t>
  </si>
  <si>
    <t>哨兵 Sentinel</t>
  </si>
  <si>
    <t>影界觸碰 Shadow-Touched</t>
  </si>
  <si>
    <t>神射手 Sharpshooter</t>
  </si>
  <si>
    <t>盾牌大師 Shield Master</t>
  </si>
  <si>
    <t>技藝專精 Skill Expert</t>
  </si>
  <si>
    <t>潛行者 Skulker</t>
  </si>
  <si>
    <t>劈砍者 Slasher</t>
  </si>
  <si>
    <t>迅捷 Speedy</t>
  </si>
  <si>
    <t>法術射手 Spell Sniper</t>
  </si>
  <si>
    <t>念動力 Telekinetic</t>
  </si>
  <si>
    <t>心靈感應 Telepathic</t>
  </si>
  <si>
    <t>戰鬥施法者 War Caster</t>
  </si>
  <si>
    <t>武器大師 Weapon Master</t>
  </si>
  <si>
    <t>~~~~戰鬥風格專長 Fighting Style Feat~~~~</t>
  </si>
  <si>
    <t>戰鬥風格：弓道 Archery</t>
  </si>
  <si>
    <t>戰鬥風格：盲鬥 Blind Fighting</t>
  </si>
  <si>
    <t>戰鬥風格：防禦 Defense</t>
  </si>
  <si>
    <t>戰鬥風格：決鬥 Dueling</t>
  </si>
  <si>
    <t>戰鬥風格：巨武戰鬥 Great Weapon Fighting</t>
  </si>
  <si>
    <t>戰鬥風格：攔截 Interception</t>
  </si>
  <si>
    <t>戰鬥風格：守護 Protection</t>
  </si>
  <si>
    <t>戰鬥風格：投擲武器戰鬥 Thrown Weapon Fighting</t>
  </si>
  <si>
    <t>戰鬥風格：雙武器戰鬥 Two-Weapon Fighting</t>
  </si>
  <si>
    <t>戰鬥風格：徒手格鬥 Unarmed Fighting</t>
  </si>
  <si>
    <t>戰鬥風格：受祝勇士 Blessed Warrior</t>
  </si>
  <si>
    <t>戰鬥風格：德魯伊教戰士 Druidic Warrior</t>
  </si>
  <si>
    <t>轉變種類</t>
  </si>
  <si>
    <t>第一階段選項</t>
  </si>
  <si>
    <t>I</t>
  </si>
  <si>
    <t>異形恐怖</t>
  </si>
  <si>
    <t>轉變種類：</t>
  </si>
  <si>
    <t>階段：</t>
  </si>
  <si>
    <t>第一階段</t>
  </si>
  <si>
    <t>鬼婆</t>
  </si>
  <si>
    <t>類型</t>
  </si>
  <si>
    <t>名稱</t>
  </si>
  <si>
    <t>效果</t>
  </si>
  <si>
    <t>巫妖</t>
  </si>
  <si>
    <t>恩賜 1</t>
  </si>
  <si>
    <t>狼人</t>
  </si>
  <si>
    <t>恩賜 2</t>
  </si>
  <si>
    <t>泥怪</t>
  </si>
  <si>
    <t>第二階段選項</t>
  </si>
  <si>
    <t>缺陷</t>
  </si>
  <si>
    <t>原初種</t>
  </si>
  <si>
    <t>熾天使</t>
  </si>
  <si>
    <t>第二階段</t>
  </si>
  <si>
    <t>影鋼石屍鬼</t>
  </si>
  <si>
    <t>幽靈</t>
  </si>
  <si>
    <t>吸血鬼</t>
  </si>
  <si>
    <t>第三階段選項</t>
  </si>
  <si>
    <t>第三階段</t>
  </si>
  <si>
    <t>第四階段選項</t>
  </si>
  <si>
    <t>第四階段</t>
  </si>
  <si>
    <t>Stage:I</t>
  </si>
  <si>
    <t>恩賜A</t>
  </si>
  <si>
    <t>異怪形態</t>
  </si>
  <si>
    <t>精類形態</t>
  </si>
  <si>
    <t>邪魔靈魂</t>
  </si>
  <si>
    <t>鬼婆形態</t>
  </si>
  <si>
    <t>不死形態</t>
  </si>
  <si>
    <t>狼人形態</t>
  </si>
  <si>
    <t>泥怪形態</t>
  </si>
  <si>
    <t>原初形態</t>
  </si>
  <si>
    <t>天界形態</t>
  </si>
  <si>
    <t>影鋼詛咒師</t>
  </si>
  <si>
    <t>幽靈形態</t>
  </si>
  <si>
    <t>獠牙啃咬</t>
  </si>
  <si>
    <t>恩賜B</t>
  </si>
  <si>
    <t>異形突變</t>
  </si>
  <si>
    <t>春宮僕從</t>
  </si>
  <si>
    <t>煉獄打擊</t>
  </si>
  <si>
    <t>蒼綠姐妹會</t>
  </si>
  <si>
    <t>傳承巫妖</t>
  </si>
  <si>
    <t>熊人形態</t>
  </si>
  <si>
    <t>多變肉體</t>
  </si>
  <si>
    <t>元素親和</t>
  </si>
  <si>
    <t>天使之翼</t>
  </si>
  <si>
    <t>影鋼武裝</t>
  </si>
  <si>
    <t>鬼觸</t>
  </si>
  <si>
    <t>索曼血脈</t>
  </si>
  <si>
    <t>恩賜C</t>
  </si>
  <si>
    <t>夏宮僕從</t>
  </si>
  <si>
    <t>魔鬼契約者</t>
  </si>
  <si>
    <t>猩紅姊妹會</t>
  </si>
  <si>
    <t>巫妖秘法</t>
  </si>
  <si>
    <t>鼠人形態</t>
  </si>
  <si>
    <t>黏液表面</t>
  </si>
  <si>
    <t>神聖打擊</t>
  </si>
  <si>
    <t>虛化移動</t>
  </si>
  <si>
    <t>斯特里戈伊血脈</t>
  </si>
  <si>
    <t>恩賜D</t>
  </si>
  <si>
    <t>秋宮僕從</t>
  </si>
  <si>
    <t>海洋姐妹會</t>
  </si>
  <si>
    <t>弗澤格血脈</t>
  </si>
  <si>
    <t>恩賜E</t>
  </si>
  <si>
    <t>冬宮僕從</t>
  </si>
  <si>
    <t>不穩形態</t>
  </si>
  <si>
    <t>位面束縛</t>
  </si>
  <si>
    <t>邪魔縛誓</t>
  </si>
  <si>
    <t>駭人容貌</t>
  </si>
  <si>
    <t>魂匣</t>
  </si>
  <si>
    <t>狩獵渴望</t>
  </si>
  <si>
    <t>遲緩</t>
  </si>
  <si>
    <t>衰弱魔法</t>
  </si>
  <si>
    <t>沉淪黑暗</t>
  </si>
  <si>
    <t>血族詛咒</t>
  </si>
  <si>
    <t>Stage:II</t>
  </si>
  <si>
    <t>高效殺手</t>
  </si>
  <si>
    <t>兩面性</t>
  </si>
  <si>
    <t>惡魔烙印</t>
  </si>
  <si>
    <t>蒼綠姐妹會老手</t>
  </si>
  <si>
    <t>不死隨從</t>
  </si>
  <si>
    <t>獵人專注</t>
  </si>
  <si>
    <t>彈性肢體</t>
  </si>
  <si>
    <t>雙重本質</t>
  </si>
  <si>
    <t>神聖寬仁</t>
  </si>
  <si>
    <t>魔法抗性</t>
  </si>
  <si>
    <t>乙太相位</t>
  </si>
  <si>
    <t>黑夜之眼</t>
  </si>
  <si>
    <t>蠕動觸肢</t>
  </si>
  <si>
    <t>魔法把戲</t>
  </si>
  <si>
    <t>強化契約</t>
  </si>
  <si>
    <t>猩紅姊妹會老手</t>
  </si>
  <si>
    <t>束縛詛咒</t>
  </si>
  <si>
    <t>鋼鐵獸皮</t>
  </si>
  <si>
    <t>黏稠耐力</t>
  </si>
  <si>
    <t>元素湧動</t>
  </si>
  <si>
    <t>神罰</t>
  </si>
  <si>
    <t>影鋼吸收</t>
  </si>
  <si>
    <t>索命飛行</t>
  </si>
  <si>
    <t>墓土之魂</t>
  </si>
  <si>
    <t>邪魔形態</t>
  </si>
  <si>
    <t>海洋姐妹會老手</t>
  </si>
  <si>
    <t>腐化魔法</t>
  </si>
  <si>
    <t>親族形態</t>
  </si>
  <si>
    <t>影鋼施法者</t>
  </si>
  <si>
    <t>非人反射</t>
  </si>
  <si>
    <t>影鋼武器大師</t>
  </si>
  <si>
    <t>不死韌性</t>
  </si>
  <si>
    <t>女王的命令</t>
  </si>
  <si>
    <t>鐵質敏感</t>
  </si>
  <si>
    <t>銀質敏感</t>
  </si>
  <si>
    <t>溶解容貌</t>
  </si>
  <si>
    <t>翻騰元素</t>
  </si>
  <si>
    <t>炫目輝光</t>
  </si>
  <si>
    <t>孤家寡人</t>
  </si>
  <si>
    <t>生命脫節</t>
  </si>
  <si>
    <t>高等血族詛咒</t>
  </si>
  <si>
    <t>Stage:III</t>
  </si>
  <si>
    <t>恐懼面容</t>
  </si>
  <si>
    <t>幻象披風</t>
  </si>
  <si>
    <t>地獄分包商</t>
  </si>
  <si>
    <t>蒼綠姐妹會大師</t>
  </si>
  <si>
    <t>魔能專注</t>
  </si>
  <si>
    <t>野性活力</t>
  </si>
  <si>
    <t>腐蝕膜</t>
  </si>
  <si>
    <t>覺醒光環</t>
  </si>
  <si>
    <t>淨化苦難</t>
  </si>
  <si>
    <t>詛咒爪</t>
  </si>
  <si>
    <t>精氣汲取</t>
  </si>
  <si>
    <t>迷惑騙術</t>
  </si>
  <si>
    <t>束縛觸肢</t>
  </si>
  <si>
    <t>獠牙與利爪</t>
  </si>
  <si>
    <t>壓制烙印</t>
  </si>
  <si>
    <t>猩紅姊妹會大師</t>
  </si>
  <si>
    <t>不死主宰</t>
  </si>
  <si>
    <t>變形者蠻勁</t>
  </si>
  <si>
    <t>吞噬</t>
  </si>
  <si>
    <t>太古之軀</t>
  </si>
  <si>
    <t>守護之翼</t>
  </si>
  <si>
    <t>麻痺之觸</t>
  </si>
  <si>
    <t>強化獠牙咬噬</t>
  </si>
  <si>
    <t>幻夢與噩夢</t>
  </si>
  <si>
    <t>海洋姐妹會大師</t>
  </si>
  <si>
    <t>不潔癒合</t>
  </si>
  <si>
    <t>萬物主宰</t>
  </si>
  <si>
    <t>天界裁決之弓</t>
  </si>
  <si>
    <t>迷霧形態</t>
  </si>
  <si>
    <t>操血術專家</t>
  </si>
  <si>
    <t>不穩存在</t>
  </si>
  <si>
    <t>體質衰弱</t>
  </si>
  <si>
    <t>下界引力</t>
  </si>
  <si>
    <t>淨化之痛</t>
  </si>
  <si>
    <t>死靈性萎縮</t>
  </si>
  <si>
    <t>混亂思緒</t>
  </si>
  <si>
    <t>生理退化</t>
  </si>
  <si>
    <t>元素失衡</t>
  </si>
  <si>
    <t>黑暗燈塔</t>
  </si>
  <si>
    <t>治癒抗性</t>
  </si>
  <si>
    <t>現實磨損</t>
  </si>
  <si>
    <t>至高血族詛咒</t>
  </si>
  <si>
    <t>Stage:IV</t>
  </si>
  <si>
    <t>上古異形</t>
  </si>
  <si>
    <t>高等魔法把戲</t>
  </si>
  <si>
    <t>深淵抗性</t>
  </si>
  <si>
    <t>邪眼</t>
  </si>
  <si>
    <t>魔能全知</t>
  </si>
  <si>
    <t>混種形態親和</t>
  </si>
  <si>
    <t>軟泥軍團</t>
  </si>
  <si>
    <t>原初光環</t>
  </si>
  <si>
    <t>神聖肅清光環</t>
  </si>
  <si>
    <t>影鋼奧術法器</t>
  </si>
  <si>
    <t>瓦解呼喚</t>
  </si>
  <si>
    <t>再生</t>
  </si>
  <si>
    <t>劇毒觸肢</t>
  </si>
  <si>
    <t>暮光魅影</t>
  </si>
  <si>
    <t>煉獄召喚</t>
  </si>
  <si>
    <t>祖母的詛咒</t>
  </si>
  <si>
    <t>碎魂攻擊</t>
  </si>
  <si>
    <t>野蠻本能</t>
  </si>
  <si>
    <t>擬態物品</t>
  </si>
  <si>
    <t>元素精通</t>
  </si>
  <si>
    <t>公義仁慈光環</t>
  </si>
  <si>
    <t>影鋼狂怒</t>
  </si>
  <si>
    <t>附身</t>
  </si>
  <si>
    <t>最終索曼血脈</t>
  </si>
  <si>
    <t>終極烙印</t>
  </si>
  <si>
    <t>不死之王</t>
  </si>
  <si>
    <t>天界主宰之弓</t>
  </si>
  <si>
    <t>最終斯特里戈伊血脈</t>
  </si>
  <si>
    <t>最終弗澤格血脈</t>
  </si>
  <si>
    <t>熵能憎惡</t>
  </si>
  <si>
    <t>季節影響</t>
  </si>
  <si>
    <t>真名</t>
  </si>
  <si>
    <t>老巫嫗的飢渴</t>
  </si>
  <si>
    <t>歲月之重</t>
  </si>
  <si>
    <t>終極掠食者</t>
  </si>
  <si>
    <t>濕滑自我</t>
  </si>
  <si>
    <t>原初混沌</t>
  </si>
  <si>
    <t>最終轉變</t>
  </si>
  <si>
    <t>影鋼自爆</t>
  </si>
  <si>
    <t>湮滅引力</t>
  </si>
  <si>
    <t>終極終極血族詛咒</t>
  </si>
  <si>
    <t>裝備與物品</t>
  </si>
  <si>
    <t>A</t>
  </si>
  <si>
    <t>物品/放置處</t>
  </si>
  <si>
    <t>總重</t>
  </si>
  <si>
    <t>貨幣/寶藏</t>
  </si>
  <si>
    <t>服裝/飾品</t>
  </si>
  <si>
    <t>背包</t>
  </si>
  <si>
    <t>金幣(GP)</t>
  </si>
  <si>
    <t>銀幣(SP)</t>
  </si>
  <si>
    <t>銅幣(CP)</t>
  </si>
  <si>
    <t>次元袋</t>
  </si>
  <si>
    <t>治療工具包</t>
  </si>
  <si>
    <t>治療藥水 2d4 +2</t>
  </si>
  <si>
    <t>白金幣(PP)</t>
  </si>
  <si>
    <t>銀金幣(EP)</t>
  </si>
  <si>
    <t>總額(金)</t>
  </si>
  <si>
    <t>貨幣計重</t>
  </si>
  <si>
    <t>貴重物</t>
  </si>
  <si>
    <t>價值</t>
  </si>
  <si>
    <t>囊袋</t>
  </si>
  <si>
    <t>麻袋</t>
  </si>
  <si>
    <t>負重</t>
  </si>
  <si>
    <t>裝備總重量</t>
  </si>
  <si>
    <t>次元袋物品總重量</t>
  </si>
  <si>
    <t>魔法物品</t>
  </si>
  <si>
    <t>同調魔法物品</t>
  </si>
  <si>
    <t>物品名稱</t>
  </si>
  <si>
    <t>稀有度</t>
  </si>
  <si>
    <t>物品描述</t>
  </si>
  <si>
    <t>)</t>
  </si>
  <si>
    <t>其他魔法物品</t>
  </si>
  <si>
    <t>5e的四大特徵在這裡</t>
  </si>
  <si>
    <t>人物性格</t>
  </si>
  <si>
    <t>角色個性</t>
  </si>
  <si>
    <t>個人理念</t>
  </si>
  <si>
    <t>人際羈絆</t>
  </si>
  <si>
    <t>人物缺點</t>
  </si>
  <si>
    <t>背景故事</t>
  </si>
  <si>
    <t>角色外觀描述</t>
  </si>
  <si>
    <t>所屬盟軍/組織</t>
  </si>
  <si>
    <t>派系聲望</t>
  </si>
  <si>
    <t>屬性值特質</t>
  </si>
  <si>
    <t>組織徽章</t>
  </si>
  <si>
    <t>力量特質</t>
  </si>
  <si>
    <t>敏捷特質</t>
  </si>
  <si>
    <t>體魄特質</t>
  </si>
  <si>
    <t>智力特質</t>
  </si>
  <si>
    <t>感知特質</t>
  </si>
  <si>
    <t>魅力特質</t>
  </si>
  <si>
    <t>陣營特質</t>
  </si>
  <si>
    <t>想不到怎麼開始寫背景嗎？先來想想這些？</t>
  </si>
  <si>
    <t>你是如何成為你指定的背景(比如嚮導)？</t>
  </si>
  <si>
    <t>在該背景中發生過什麼特別有意義的經歷？</t>
  </si>
  <si>
    <t>為什麼不好好過背景生活要出來冒險？</t>
  </si>
  <si>
    <t>長遠的目標/追求是什麼？想怎麼執行？</t>
  </si>
  <si>
    <t>未來希望自己有什麼樣的成長曲線？</t>
  </si>
  <si>
    <t>如何接上要跑的劇本？</t>
  </si>
  <si>
    <t>武器</t>
  </si>
  <si>
    <t>一般屬性</t>
  </si>
  <si>
    <t>棍棒</t>
  </si>
  <si>
    <t>簡易近戰武器</t>
  </si>
  <si>
    <t>1d4</t>
  </si>
  <si>
    <t>觸及</t>
  </si>
  <si>
    <t>鈍擊</t>
  </si>
  <si>
    <t>輕型</t>
  </si>
  <si>
    <t>緩速 Slow</t>
  </si>
  <si>
    <t>皮甲</t>
  </si>
  <si>
    <t>匕首</t>
  </si>
  <si>
    <t>20/60</t>
  </si>
  <si>
    <t>穿刺</t>
  </si>
  <si>
    <t>投擲、輕型、靈巧</t>
  </si>
  <si>
    <t>迅擊 Nick</t>
  </si>
  <si>
    <t>棉甲</t>
  </si>
  <si>
    <t>巨棍</t>
  </si>
  <si>
    <t>1d8</t>
  </si>
  <si>
    <t>雙手</t>
  </si>
  <si>
    <t>推離 Push</t>
  </si>
  <si>
    <t>鑲釘皮甲</t>
  </si>
  <si>
    <t>手斧</t>
  </si>
  <si>
    <t>1d6</t>
  </si>
  <si>
    <t>劈砍</t>
  </si>
  <si>
    <t>投擲、輕型</t>
  </si>
  <si>
    <t>侵擾 Vex</t>
  </si>
  <si>
    <t>生皮甲</t>
  </si>
  <si>
    <t>標槍</t>
  </si>
  <si>
    <t>30/120</t>
  </si>
  <si>
    <t>投擲</t>
  </si>
  <si>
    <t>鍊甲衫</t>
  </si>
  <si>
    <t>輕錘</t>
  </si>
  <si>
    <t>鱗甲</t>
  </si>
  <si>
    <t>硬頭錘</t>
  </si>
  <si>
    <t>削弱 Sap</t>
  </si>
  <si>
    <t>護胸甲</t>
  </si>
  <si>
    <t>長棍</t>
  </si>
  <si>
    <t>1d6(1d8)</t>
  </si>
  <si>
    <t>可雙手</t>
  </si>
  <si>
    <t>失衡 Topple</t>
  </si>
  <si>
    <t>半身板甲</t>
  </si>
  <si>
    <t>鐮刀</t>
  </si>
  <si>
    <t>環甲</t>
  </si>
  <si>
    <t>矛</t>
  </si>
  <si>
    <t>可雙手、投擲</t>
  </si>
  <si>
    <t>鎖子甲</t>
  </si>
  <si>
    <t>條板甲</t>
  </si>
  <si>
    <t>輕型、靈巧</t>
  </si>
  <si>
    <t>全身板甲</t>
  </si>
  <si>
    <t>飛鏢</t>
  </si>
  <si>
    <t>簡易遠程武器</t>
  </si>
  <si>
    <t>投擲、靈巧</t>
  </si>
  <si>
    <t>輕弩</t>
  </si>
  <si>
    <t>80/320</t>
  </si>
  <si>
    <t>裝填、彈藥(弩矢)、雙手</t>
  </si>
  <si>
    <t>短弓</t>
  </si>
  <si>
    <t>彈藥(箭矢)、雙手</t>
  </si>
  <si>
    <t>投石索</t>
  </si>
  <si>
    <t>彈藥(投石索彈丸)</t>
  </si>
  <si>
    <t>戰斧</t>
  </si>
  <si>
    <t>軍用近戰武器</t>
  </si>
  <si>
    <t>1d8(1d10)</t>
  </si>
  <si>
    <t>連枷</t>
  </si>
  <si>
    <t>長柄刀</t>
  </si>
  <si>
    <t>1d10</t>
  </si>
  <si>
    <t>觸及(10呎)</t>
  </si>
  <si>
    <t>重型、觸及、雙手</t>
  </si>
  <si>
    <t>擦掠 Graze</t>
  </si>
  <si>
    <t>巨斧</t>
  </si>
  <si>
    <t>1d12</t>
  </si>
  <si>
    <t>重型、雙手</t>
  </si>
  <si>
    <t>橫掃 Cleave</t>
  </si>
  <si>
    <t>巨劍</t>
  </si>
  <si>
    <t>2d6</t>
  </si>
  <si>
    <t>斧槍</t>
  </si>
  <si>
    <t>騎槍</t>
  </si>
  <si>
    <t>重型、觸及、雙手(除非騎乘)</t>
  </si>
  <si>
    <t>巨錘</t>
  </si>
  <si>
    <t>釘頭錘</t>
  </si>
  <si>
    <t>長柄槍</t>
  </si>
  <si>
    <t>重型、雙手、觸及</t>
  </si>
  <si>
    <t>刺劍</t>
  </si>
  <si>
    <t>靈巧</t>
  </si>
  <si>
    <t>彎刀</t>
  </si>
  <si>
    <t>短劍</t>
  </si>
  <si>
    <t>三叉戟</t>
  </si>
  <si>
    <t>投擲、可雙手</t>
  </si>
  <si>
    <t>戰錘</t>
  </si>
  <si>
    <t>戰鎬</t>
  </si>
  <si>
    <t>鞭</t>
  </si>
  <si>
    <t>觸及、靈巧</t>
  </si>
  <si>
    <t>吹箭筒</t>
  </si>
  <si>
    <t>軍用遠程武器</t>
  </si>
  <si>
    <t>25/100</t>
  </si>
  <si>
    <t>彈藥(吹箭)、裝填</t>
  </si>
  <si>
    <t>手弩</t>
  </si>
  <si>
    <t>彈藥(弩矢)、裝填、輕型</t>
  </si>
  <si>
    <t>重弩</t>
  </si>
  <si>
    <t>100/400</t>
  </si>
  <si>
    <t>彈藥(弩矢)、重型、裝填、雙手</t>
  </si>
  <si>
    <t>長弓</t>
  </si>
  <si>
    <t>150/600</t>
  </si>
  <si>
    <t>彈藥(箭矢)、重型、雙手</t>
  </si>
  <si>
    <t>40/120</t>
  </si>
  <si>
    <t>彈藥(子彈)、裝填、雙手</t>
  </si>
  <si>
    <t>30/90</t>
  </si>
  <si>
    <t>彈藥(子彈)、裝填</t>
  </si>
  <si>
    <t>法杖</t>
  </si>
  <si>
    <t>奧術法器</t>
  </si>
  <si>
    <t>權杖</t>
  </si>
  <si>
    <t>魔杖</t>
  </si>
  <si>
    <t>法球</t>
  </si>
  <si>
    <t>水晶</t>
  </si>
  <si>
    <t>法術書</t>
  </si>
  <si>
    <t>奧術法器、法師法器</t>
  </si>
  <si>
    <t>木質法杖</t>
  </si>
  <si>
    <t>德魯伊法器</t>
  </si>
  <si>
    <t>紫杉魔杖</t>
  </si>
  <si>
    <t>圖騰</t>
  </si>
  <si>
    <t>槲寄生枝</t>
  </si>
  <si>
    <t>聖徽</t>
  </si>
  <si>
    <t>護符</t>
  </si>
  <si>
    <t>聖物匣</t>
  </si>
  <si>
    <t>彈藥(雷筒彈丸)、重型、裝填、雙手</t>
  </si>
  <si>
    <t>散射 Scatter</t>
  </si>
  <si>
    <t>彈藥(霰彈)、火器、後座力、換彈(2發)、雙手</t>
  </si>
  <si>
    <t>彈藥(子彈)、火器、換彈(4發)、雙手</t>
  </si>
  <si>
    <t>瞄準 Sighted</t>
  </si>
  <si>
    <t>2d4</t>
  </si>
  <si>
    <t>彈藥(子彈)、火器、輕型、換彈(2發)</t>
  </si>
  <si>
    <t>彈藥(子彈)、火器、後座力、換彈(6發)</t>
  </si>
  <si>
    <t>2d8</t>
  </si>
  <si>
    <t>火焰</t>
  </si>
  <si>
    <t>彈藥(砲彈)、火器、重型、裝填、雙手</t>
  </si>
  <si>
    <t>爆破 Explode</t>
  </si>
  <si>
    <t>60/240</t>
  </si>
  <si>
    <t>彈藥(子彈)、火器、重型、換彈(40發)、雙手</t>
  </si>
  <si>
    <t>自動 Automatic</t>
  </si>
  <si>
    <t>彈藥(子彈)、火器、重型、後座力、換彈(6發)</t>
  </si>
  <si>
    <t>彈藥(信號彈)、火器、裝填</t>
  </si>
  <si>
    <t>彈藥(子彈)、火器、輕型、換彈(10發)</t>
  </si>
  <si>
    <t>彈藥(子彈)、火器、換彈(20發)</t>
  </si>
  <si>
    <t>自動步槍(現代)</t>
  </si>
  <si>
    <t>80/240</t>
  </si>
  <si>
    <t>彈藥(子彈)、掃射、換彈(30發)、雙手</t>
  </si>
  <si>
    <t>獵槍(現代)</t>
  </si>
  <si>
    <t>2d10</t>
  </si>
  <si>
    <t>彈藥(子彈)、換彈(5發)、雙手</t>
  </si>
  <si>
    <t>彈藥(霰彈)、火器、重型、後座力、換彈(8發)、雙手</t>
  </si>
  <si>
    <t>左輪手槍(現代)</t>
  </si>
  <si>
    <t>彈藥(子彈)、換彈(6發)</t>
  </si>
  <si>
    <t>半自動手槍(現代)</t>
  </si>
  <si>
    <t>50/150</t>
  </si>
  <si>
    <t>彈藥(子彈)、換彈(15發)</t>
  </si>
  <si>
    <t>霰彈槍(現代)</t>
  </si>
  <si>
    <t>彈藥(子彈)、換彈(2發)、雙手</t>
  </si>
  <si>
    <t>彈藥(子彈)、火器、重型、裝填、雙手</t>
  </si>
  <si>
    <t>彈藥(子彈)、火器、輕型、換彈(16發)</t>
  </si>
  <si>
    <t>反物質步槍(未來)</t>
  </si>
  <si>
    <t>6d8</t>
  </si>
  <si>
    <t>120/360</t>
  </si>
  <si>
    <t>暗蝕</t>
  </si>
  <si>
    <t>彈藥(能量匣)、換彈(2發)、雙手</t>
  </si>
  <si>
    <t>雷射手槍(未來)</t>
  </si>
  <si>
    <t>3d6</t>
  </si>
  <si>
    <t>光耀</t>
  </si>
  <si>
    <t>彈藥(能量匣)、換彈(50發)</t>
  </si>
  <si>
    <t>雷射步槍(未來)</t>
  </si>
  <si>
    <t>3d8</t>
  </si>
  <si>
    <t>100/300</t>
  </si>
  <si>
    <t>彈藥(能量匣)、換彈(30發)、雙手</t>
  </si>
  <si>
    <t>進階近戰武器</t>
  </si>
  <si>
    <t>裝柄、觸及、雙手</t>
  </si>
  <si>
    <t>捉拿 Entangling</t>
  </si>
  <si>
    <t>1d8(1d12)</t>
  </si>
  <si>
    <t>動能</t>
  </si>
  <si>
    <t>迅捷 Swift</t>
  </si>
  <si>
    <t>穿甲、動能</t>
  </si>
  <si>
    <t>迴旋 Returning</t>
  </si>
  <si>
    <t>兇殘 Brutal</t>
  </si>
  <si>
    <t>1d6(1d10)</t>
  </si>
  <si>
    <t>雙頭、動能、雙手</t>
  </si>
  <si>
    <t>預備 Set</t>
  </si>
  <si>
    <t>雙頭、靈巧、觸及、雙手</t>
  </si>
  <si>
    <t>繳械 Disarming</t>
  </si>
  <si>
    <t>鈍擊、穿刺</t>
  </si>
  <si>
    <t>鈍擊、劈砍</t>
  </si>
  <si>
    <t>劈砍、穿刺</t>
  </si>
  <si>
    <t>裝柄、重型、觸及、雙手</t>
  </si>
  <si>
    <t>2d6(2d10)</t>
  </si>
  <si>
    <t>動能、觸及、雙手</t>
  </si>
  <si>
    <t>防禦 Defending</t>
  </si>
  <si>
    <t>穿甲、輕型、靈巧</t>
  </si>
  <si>
    <t>雙頭</t>
  </si>
  <si>
    <t>2d6(2d8)</t>
  </si>
  <si>
    <t>裝柄、重型、動能、雙手</t>
  </si>
  <si>
    <t>進階遠程武器</t>
  </si>
  <si>
    <t>80/300</t>
  </si>
  <si>
    <t>拉力 Strong-Draw</t>
  </si>
  <si>
    <t>20/80</t>
  </si>
  <si>
    <t>彈藥(紙殼子彈)、黑火藥、輕型、裝填</t>
  </si>
  <si>
    <t>彈藥(紙殼子彈)、黑火藥、裝填、雙手</t>
  </si>
  <si>
    <t>彈藥(紙殼子彈)、黑火藥、沉重、裝填、雙手</t>
  </si>
  <si>
    <t>15/60</t>
  </si>
  <si>
    <t>彈藥(紙殼子彈)、黑火藥、裝填</t>
  </si>
  <si>
    <t>200/600</t>
  </si>
  <si>
    <t>彈藥(龍息彈)、黑火藥、裝填</t>
  </si>
  <si>
    <t>散射(5尺) Scatter</t>
  </si>
  <si>
    <t>散射(10尺) Scatter</t>
  </si>
  <si>
    <t>彈藥(風箱管)、沉重、裝填、彈匣(20)、雙手</t>
  </si>
  <si>
    <t>彈藥(弩矢)、彈匣(6)、連射、雙手</t>
  </si>
  <si>
    <t>彈藥(弩矢)、輕型、彈匣(3)、連射</t>
  </si>
  <si>
    <t>彈藥(弩矢)、重型、彈匣(9)、連射</t>
  </si>
  <si>
    <t>彈藥(吹箭)、輕型、彈匣(6)、連射</t>
  </si>
  <si>
    <t>彈藥(投石索彈丸)、彈匣(6)、連射、雙手</t>
  </si>
  <si>
    <t>竊賊套裝 Burglar's Pack</t>
  </si>
  <si>
    <t>大使套裝 Diplomat's Pack</t>
  </si>
  <si>
    <t xml:space="preserve">學者套裝  Scholar's Pack </t>
  </si>
  <si>
    <t>滾珠(一袋1,000粒)</t>
  </si>
  <si>
    <t>箱子</t>
  </si>
  <si>
    <t>書</t>
  </si>
  <si>
    <t>鈴鐺</t>
  </si>
  <si>
    <t>高級服裝</t>
  </si>
  <si>
    <t>墨水</t>
  </si>
  <si>
    <t>蠟燭</t>
  </si>
  <si>
    <t>墨水筆</t>
  </si>
  <si>
    <t>撬棍</t>
  </si>
  <si>
    <t>油燈</t>
  </si>
  <si>
    <t>附蓋提燈</t>
  </si>
  <si>
    <t>燈油</t>
  </si>
  <si>
    <t>羊皮紙</t>
  </si>
  <si>
    <t>口糧</t>
  </si>
  <si>
    <t>地圖或卷軸筒</t>
  </si>
  <si>
    <t>打火匣</t>
  </si>
  <si>
    <t>繩子</t>
  </si>
  <si>
    <t>紙</t>
  </si>
  <si>
    <t xml:space="preserve">祭司套裝  Priest's Pack </t>
  </si>
  <si>
    <t>水袋</t>
  </si>
  <si>
    <t>香水</t>
  </si>
  <si>
    <t>毛毯</t>
  </si>
  <si>
    <t>聖水</t>
  </si>
  <si>
    <t xml:space="preserve">表演家套裝 Entertainer's Pack </t>
  </si>
  <si>
    <t>睡袋</t>
  </si>
  <si>
    <t xml:space="preserve">地城探險家套裝 Dungeoneer's Pack </t>
  </si>
  <si>
    <t>鐵蒺藜</t>
  </si>
  <si>
    <t>長袍</t>
  </si>
  <si>
    <t>牛眼提燈</t>
  </si>
  <si>
    <t>鏡子</t>
  </si>
  <si>
    <t xml:space="preserve">探索者套裝  Explorer's Pack </t>
  </si>
  <si>
    <t>戲服</t>
  </si>
  <si>
    <t>火把</t>
  </si>
  <si>
    <t>肌肉發達Muscular</t>
  </si>
  <si>
    <t>輕盈Lithe</t>
  </si>
  <si>
    <t>精力充沛Energetic</t>
  </si>
  <si>
    <t>果斷Decisive</t>
  </si>
  <si>
    <t>平靜祥和Serene</t>
  </si>
  <si>
    <t>迷人Charming</t>
  </si>
  <si>
    <t>強健Sinewy</t>
  </si>
  <si>
    <t>活潑Dynamic</t>
  </si>
  <si>
    <t>身強體壯Hale</t>
  </si>
  <si>
    <t>邏輯性強Logical</t>
  </si>
  <si>
    <t>體貼Considerate</t>
  </si>
  <si>
    <t>威嚴Commanding</t>
  </si>
  <si>
    <t>安全感Protective</t>
  </si>
  <si>
    <t>好動Fidgety</t>
  </si>
  <si>
    <t>熱情Hearty</t>
  </si>
  <si>
    <t>博學多聞Informative</t>
  </si>
  <si>
    <t>細心Attentive</t>
  </si>
  <si>
    <t>幽默風趣Hilarious</t>
  </si>
  <si>
    <t>直率Direct</t>
  </si>
  <si>
    <t>沉著Poised</t>
  </si>
  <si>
    <t>沉穩Stable</t>
  </si>
  <si>
    <t>凡事好奇Curious</t>
  </si>
  <si>
    <t>警覺Wary</t>
  </si>
  <si>
    <t>鼓舞人心Inspiring</t>
  </si>
  <si>
    <t>--高低區分線--</t>
  </si>
  <si>
    <t>虛弱Weak</t>
  </si>
  <si>
    <t>緊張不安Jittery</t>
  </si>
  <si>
    <t>體弱多病Frail</t>
  </si>
  <si>
    <t>單蠢Artless</t>
  </si>
  <si>
    <t>草率Rash</t>
  </si>
  <si>
    <t>迂腐Pedantic</t>
  </si>
  <si>
    <t>纖細Slight</t>
  </si>
  <si>
    <t>笨拙Clumsy</t>
  </si>
  <si>
    <t>神經質Squeamish</t>
  </si>
  <si>
    <t>沒邏輯Illogical</t>
  </si>
  <si>
    <t>容易分心Distracted</t>
  </si>
  <si>
    <t>缺乏幽默Humorless</t>
  </si>
  <si>
    <t>侷促Self-conscious</t>
  </si>
  <si>
    <t>優柔寡斷Hesitant</t>
  </si>
  <si>
    <t>無精打采Lethargic</t>
  </si>
  <si>
    <t>沒見識Uninformed</t>
  </si>
  <si>
    <t>冷漠Oblivious</t>
  </si>
  <si>
    <t>內向拘謹Reserved</t>
  </si>
  <si>
    <t>不坦率Indirect</t>
  </si>
  <si>
    <t>陰晴不定Unsteady</t>
  </si>
  <si>
    <t>情感脆弱Fragile</t>
  </si>
  <si>
    <t>輕浮Frivolous</t>
  </si>
  <si>
    <t>天真Naive</t>
  </si>
  <si>
    <t>無禮Tactless</t>
  </si>
  <si>
    <t>善良特質</t>
  </si>
  <si>
    <t>邪惡特質</t>
  </si>
  <si>
    <t>中立特質</t>
  </si>
  <si>
    <t>守序特質</t>
  </si>
  <si>
    <t>混亂特質</t>
  </si>
  <si>
    <t>富同情心Compassionate</t>
  </si>
  <si>
    <t>說謊成性Dishonest</t>
  </si>
  <si>
    <t>自私Selfish</t>
  </si>
  <si>
    <t>善於合作Cooperative</t>
  </si>
  <si>
    <t>大頭症Boastful</t>
  </si>
  <si>
    <t>樂於助人Helpful</t>
  </si>
  <si>
    <t>報復心強Vengeful</t>
  </si>
  <si>
    <t>公正客觀Disinterested</t>
  </si>
  <si>
    <t>忠誠Loyal</t>
  </si>
  <si>
    <t>衝動Impulsive</t>
  </si>
  <si>
    <t>誠懇Honest</t>
  </si>
  <si>
    <t>殘忍Cruel</t>
  </si>
  <si>
    <t>簡潔Laconic</t>
  </si>
  <si>
    <t>嚴以待人Judgemental</t>
  </si>
  <si>
    <t>叛逆Rebellious</t>
  </si>
  <si>
    <t>親切Kind</t>
  </si>
  <si>
    <t>貪婪Greedy</t>
  </si>
  <si>
    <t>務實Pragmatic</t>
  </si>
  <si>
    <t>有條不紊Methodical</t>
  </si>
  <si>
    <t>自我中心Self-absorbed</t>
  </si>
  <si>
    <t>法術表</t>
  </si>
  <si>
    <t>準備法術</t>
  </si>
  <si>
    <t>每日法術環</t>
  </si>
  <si>
    <r>
      <rPr>
        <rFont val="Acme"/>
        <b/>
        <color rgb="FFCC0000"/>
        <sz val="12.0"/>
      </rPr>
      <t>職業Ⅰ</t>
    </r>
    <r>
      <rPr>
        <rFont val="Acme"/>
        <b/>
        <color rgb="FF000000"/>
        <sz val="12.0"/>
      </rPr>
      <t xml:space="preserve"> 法術豁免DC</t>
    </r>
  </si>
  <si>
    <r>
      <rPr>
        <rFont val="Acme"/>
        <b/>
        <color rgb="FFCC0000"/>
        <sz val="12.0"/>
      </rPr>
      <t>職業Ⅰ</t>
    </r>
    <r>
      <rPr>
        <rFont val="Acme"/>
        <b/>
        <color theme="1"/>
        <sz val="12.0"/>
      </rPr>
      <t xml:space="preserve"> 法術攻擊調整值</t>
    </r>
  </si>
  <si>
    <t>職業Ⅱ 法術豁免DC</t>
  </si>
  <si>
    <t>職業Ⅱ 法術攻擊調整值</t>
  </si>
  <si>
    <t>施法</t>
  </si>
  <si>
    <t>職業Ⅲ 法術豁免DC</t>
  </si>
  <si>
    <t>職業Ⅲ 法術攻擊調整值</t>
  </si>
  <si>
    <t>契約魔法</t>
  </si>
  <si>
    <t>契約法術環</t>
  </si>
  <si>
    <t xml:space="preserve">      戲法</t>
  </si>
  <si>
    <t>已準備</t>
  </si>
  <si>
    <t>來源</t>
  </si>
  <si>
    <t>法術名稱</t>
  </si>
  <si>
    <t>學派</t>
  </si>
  <si>
    <t>施法時間</t>
  </si>
  <si>
    <t>法術射程</t>
  </si>
  <si>
    <t>法術效果</t>
  </si>
  <si>
    <t>持續時間</t>
  </si>
  <si>
    <t>專注</t>
  </si>
  <si>
    <t>儀式</t>
  </si>
  <si>
    <t>構材</t>
  </si>
  <si>
    <t>花費材料</t>
  </si>
  <si>
    <t>聲音</t>
  </si>
  <si>
    <t>姿勢</t>
  </si>
  <si>
    <t>材料</t>
  </si>
  <si>
    <t>冷凍射線</t>
  </si>
  <si>
    <t>電爪</t>
  </si>
  <si>
    <t>光亮術</t>
  </si>
  <si>
    <t>毒氣噴灑</t>
  </si>
  <si>
    <t>酸液濺爆</t>
  </si>
  <si>
    <t xml:space="preserve">      一環</t>
  </si>
  <si>
    <t>法師護甲</t>
  </si>
  <si>
    <t>護盾術</t>
  </si>
  <si>
    <t>睡眠術</t>
  </si>
  <si>
    <t>巫術箭</t>
  </si>
  <si>
    <t>跳躍術</t>
  </si>
  <si>
    <t xml:space="preserve">      二環</t>
  </si>
  <si>
    <t>隱形術</t>
  </si>
  <si>
    <t>鏡影術</t>
  </si>
  <si>
    <t xml:space="preserve">      三環</t>
  </si>
  <si>
    <t xml:space="preserve">      四環</t>
  </si>
  <si>
    <t xml:space="preserve">      五環</t>
  </si>
  <si>
    <t xml:space="preserve">      六環</t>
  </si>
  <si>
    <t xml:space="preserve">      七環</t>
  </si>
  <si>
    <t xml:space="preserve">      八環</t>
  </si>
  <si>
    <t xml:space="preserve">      九環</t>
  </si>
  <si>
    <t>0環</t>
  </si>
  <si>
    <t>1環</t>
  </si>
  <si>
    <t>2環</t>
  </si>
  <si>
    <t>3環</t>
  </si>
  <si>
    <t>4環</t>
  </si>
  <si>
    <t>5環</t>
  </si>
  <si>
    <t>6環</t>
  </si>
  <si>
    <t>7環</t>
  </si>
  <si>
    <t>8環</t>
  </si>
  <si>
    <t>9環</t>
  </si>
  <si>
    <t>警報術</t>
  </si>
  <si>
    <t>援助術</t>
  </si>
  <si>
    <t>秘法眼</t>
  </si>
  <si>
    <t>秘法之門</t>
  </si>
  <si>
    <t>召喚天界之力</t>
  </si>
  <si>
    <t>動物化形</t>
  </si>
  <si>
    <t>星界投影</t>
  </si>
  <si>
    <t>劍刃防護</t>
  </si>
  <si>
    <t>化獸為友</t>
  </si>
  <si>
    <t>變造自身</t>
  </si>
  <si>
    <t>活力靈光</t>
  </si>
  <si>
    <r>
      <rPr>
        <rFont val="arial"/>
        <b/>
        <color theme="1"/>
      </rPr>
      <t>生命靈光</t>
    </r>
  </si>
  <si>
    <t>反活物護罩</t>
  </si>
  <si>
    <t>劍刃障壁</t>
  </si>
  <si>
    <t>延遲爆裂火球</t>
  </si>
  <si>
    <t>反魔法結界</t>
  </si>
  <si>
    <t>預視術</t>
  </si>
  <si>
    <t>寒顫之觸</t>
  </si>
  <si>
    <t>艾嘉西斯之鎧</t>
  </si>
  <si>
    <t>秘法鎖</t>
  </si>
  <si>
    <t>希望信標</t>
  </si>
  <si>
    <t>淨化靈光</t>
  </si>
  <si>
    <t>啟蒙術</t>
  </si>
  <si>
    <t>連環閃電</t>
  </si>
  <si>
    <t>聖言術</t>
  </si>
  <si>
    <t>嫌惡/共感術</t>
  </si>
  <si>
    <t>異界之門</t>
  </si>
  <si>
    <t>舞光術</t>
  </si>
  <si>
    <t>哈達之臂</t>
  </si>
  <si>
    <t>動物信使</t>
  </si>
  <si>
    <t>降咒</t>
  </si>
  <si>
    <t>放逐術</t>
  </si>
  <si>
    <t>放逐斬</t>
  </si>
  <si>
    <t>死亡之環</t>
  </si>
  <si>
    <t>跨入乙太界</t>
  </si>
  <si>
    <t>摧毀心智</t>
  </si>
  <si>
    <t>禁錮術</t>
  </si>
  <si>
    <t>​德魯伊伎倆</t>
  </si>
  <si>
    <t>災禍術</t>
  </si>
  <si>
    <t>秘法活力</t>
  </si>
  <si>
    <t>致盲斬</t>
  </si>
  <si>
    <t>枯萎術</t>
  </si>
  <si>
    <t>畢格比之掌</t>
  </si>
  <si>
    <t>召喚精類之力</t>
  </si>
  <si>
    <t>死亡一指</t>
  </si>
  <si>
    <t>克隆術</t>
  </si>
  <si>
    <t>群體治癒術</t>
  </si>
  <si>
    <t>魔能爆</t>
  </si>
  <si>
    <t>祝福術</t>
  </si>
  <si>
    <t>卜筮</t>
  </si>
  <si>
    <t>閃現術</t>
  </si>
  <si>
    <t>魅惑怪物</t>
  </si>
  <si>
    <t>威能法環</t>
  </si>
  <si>
    <t>觸發術</t>
  </si>
  <si>
    <t>火焰風暴</t>
  </si>
  <si>
    <t>操控天氣</t>
  </si>
  <si>
    <t>流星爆</t>
  </si>
  <si>
    <t>元素調控</t>
  </si>
  <si>
    <t>燃燒之手</t>
  </si>
  <si>
    <t>樹膚術</t>
  </si>
  <si>
    <t>召雷術</t>
  </si>
  <si>
    <t>強迫術</t>
  </si>
  <si>
    <t>死雲術</t>
  </si>
  <si>
    <t>創造不死生物</t>
  </si>
  <si>
    <t>力場監牢</t>
  </si>
  <si>
    <t>創造半位面</t>
  </si>
  <si>
    <t>律令治癒</t>
  </si>
  <si>
    <t>火焰箭</t>
  </si>
  <si>
    <t>魅惑人類</t>
  </si>
  <si>
    <t>野獸知覺</t>
  </si>
  <si>
    <t>銳眼術</t>
  </si>
  <si>
    <t>困惑術</t>
  </si>
  <si>
    <t>通神術</t>
  </si>
  <si>
    <t>解離術</t>
  </si>
  <si>
    <t>海市蜃樓</t>
  </si>
  <si>
    <t>支配怪物</t>
  </si>
  <si>
    <t>律令死亡</t>
  </si>
  <si>
    <t>交友術</t>
  </si>
  <si>
    <t>幻色法球</t>
  </si>
  <si>
    <t>目盲/耳聾術</t>
  </si>
  <si>
    <t>召喚動物之力</t>
  </si>
  <si>
    <t>召喚次級元素之力</t>
  </si>
  <si>
    <t>問道自然</t>
  </si>
  <si>
    <t>卓姆吉瞬間召喚</t>
  </si>
  <si>
    <t>魔鄧肯豪宅術</t>
  </si>
  <si>
    <t>地震術</t>
  </si>
  <si>
    <t>虹光法牆</t>
  </si>
  <si>
    <t>神導術</t>
  </si>
  <si>
    <t>七彩噴射</t>
  </si>
  <si>
    <t>朦朧術</t>
  </si>
  <si>
    <t>召喚箭幕</t>
  </si>
  <si>
    <t>召喚森靈之力</t>
  </si>
  <si>
    <t>寒冰錐</t>
  </si>
  <si>
    <t>攝心目光</t>
  </si>
  <si>
    <t>魔鄧肯之劍</t>
  </si>
  <si>
    <t>花言巧語</t>
  </si>
  <si>
    <t>形體變化</t>
  </si>
  <si>
    <t>命令術</t>
  </si>
  <si>
    <t>安定心神</t>
  </si>
  <si>
    <t>反制法術</t>
  </si>
  <si>
    <t>操控水體</t>
  </si>
  <si>
    <t>召喚元素之力</t>
  </si>
  <si>
    <t>尋找捷徑</t>
  </si>
  <si>
    <t>異界傳送</t>
  </si>
  <si>
    <t>神聖靈光</t>
  </si>
  <si>
    <t>復仇風暴</t>
  </si>
  <si>
    <t>法師之手</t>
  </si>
  <si>
    <t>強迫決鬥</t>
  </si>
  <si>
    <t>匕首之雲</t>
  </si>
  <si>
    <t>創造飲食</t>
  </si>
  <si>
    <t>防死護咒</t>
  </si>
  <si>
    <t>召喚箭雨</t>
  </si>
  <si>
    <t>石化術</t>
  </si>
  <si>
    <t>律令鞏固</t>
  </si>
  <si>
    <t>焚雲術</t>
  </si>
  <si>
    <t>時間停止</t>
  </si>
  <si>
    <t>修復術</t>
  </si>
  <si>
    <t>通曉語言</t>
  </si>
  <si>
    <t>不滅明焰</t>
  </si>
  <si>
    <t>十字軍斗篷</t>
  </si>
  <si>
    <t>次元門</t>
  </si>
  <si>
    <t>異界探知</t>
  </si>
  <si>
    <t>禁制術</t>
  </si>
  <si>
    <t>虹光噴射</t>
  </si>
  <si>
    <t>迷宮術</t>
  </si>
  <si>
    <t>完全變形術</t>
  </si>
  <si>
    <t>傳訊術</t>
  </si>
  <si>
    <t>造水術/枯水術</t>
  </si>
  <si>
    <t>警戒箭陣</t>
  </si>
  <si>
    <t>晝明術</t>
  </si>
  <si>
    <t>預言術</t>
  </si>
  <si>
    <t>疫病術</t>
  </si>
  <si>
    <t>法術無效結界</t>
  </si>
  <si>
    <t>投射幻影</t>
  </si>
  <si>
    <t>心靈屏障</t>
  </si>
  <si>
    <t>完全復活術</t>
  </si>
  <si>
    <t>心靈之楔</t>
  </si>
  <si>
    <t>治療傷勢</t>
  </si>
  <si>
    <t>瘋狂冠冕</t>
  </si>
  <si>
    <t>解除魔法</t>
  </si>
  <si>
    <t>支配野獸</t>
  </si>
  <si>
    <t>造物術</t>
  </si>
  <si>
    <t>銅牆鐵壁</t>
  </si>
  <si>
    <t>再生術</t>
  </si>
  <si>
    <t>律令震懾</t>
  </si>
  <si>
    <t>怪影殺手</t>
  </si>
  <si>
    <t>次級幻象</t>
  </si>
  <si>
    <t>偵測善惡</t>
  </si>
  <si>
    <t>黑暗術</t>
  </si>
  <si>
    <t>元素武器</t>
  </si>
  <si>
    <t>艾伐黑觸手</t>
  </si>
  <si>
    <t>湮滅波</t>
  </si>
  <si>
    <t>傷害術</t>
  </si>
  <si>
    <t>復活術</t>
  </si>
  <si>
    <t>陽炎爆</t>
  </si>
  <si>
    <t>祈願術</t>
  </si>
  <si>
    <t>偵測魔法</t>
  </si>
  <si>
    <t>黑暗視覺</t>
  </si>
  <si>
    <t>恐懼術</t>
  </si>
  <si>
    <t>鬼斧神工</t>
  </si>
  <si>
    <t>反制善惡</t>
  </si>
  <si>
    <t>治癒術</t>
  </si>
  <si>
    <t>重力反轉</t>
  </si>
  <si>
    <t>心靈感應</t>
  </si>
  <si>
    <t>魔法技倆</t>
  </si>
  <si>
    <t>偵測毒性與疾病</t>
  </si>
  <si>
    <t>偵測思想</t>
  </si>
  <si>
    <t>假死術</t>
  </si>
  <si>
    <t>火焰護盾</t>
  </si>
  <si>
    <t>支配人類</t>
  </si>
  <si>
    <t>英雄宴</t>
  </si>
  <si>
    <t>隔離術</t>
  </si>
  <si>
    <t>海嘯術</t>
  </si>
  <si>
    <t>燃火術</t>
  </si>
  <si>
    <t>易容術</t>
  </si>
  <si>
    <t>龍息術</t>
  </si>
  <si>
    <t>火球術</t>
  </si>
  <si>
    <t>月光湧泉</t>
  </si>
  <si>
    <t>託夢術</t>
  </si>
  <si>
    <t>魔魂壺</t>
  </si>
  <si>
    <t>擬像術</t>
  </si>
  <si>
    <t>噪音暗語</t>
  </si>
  <si>
    <t>強化屬性</t>
  </si>
  <si>
    <t>飛行術</t>
  </si>
  <si>
    <t>行動自如術</t>
  </si>
  <si>
    <t>焰擊術</t>
  </si>
  <si>
    <t>群體暗示術</t>
  </si>
  <si>
    <t>徽記術</t>
  </si>
  <si>
    <t>提升抗力</t>
  </si>
  <si>
    <t>神恩術</t>
  </si>
  <si>
    <t>變巨/縮小術</t>
  </si>
  <si>
    <t>氣化形體</t>
  </si>
  <si>
    <t>指使術</t>
  </si>
  <si>
    <t>地動術</t>
  </si>
  <si>
    <t>傳送術</t>
  </si>
  <si>
    <t>聖焰</t>
  </si>
  <si>
    <t>至聖斬</t>
  </si>
  <si>
    <t>注目術</t>
  </si>
  <si>
    <t>守衛銘文</t>
  </si>
  <si>
    <t>抓攫藤蔓</t>
  </si>
  <si>
    <t>高等復原術</t>
  </si>
  <si>
    <t>歐提路克冰凍法球</t>
  </si>
  <si>
    <t>橡棍術</t>
  </si>
  <si>
    <t>誘捕打擊</t>
  </si>
  <si>
    <t>加速術</t>
  </si>
  <si>
    <t>高等隱形術</t>
  </si>
  <si>
    <t>聖居</t>
  </si>
  <si>
    <t>奧圖狂舞術</t>
  </si>
  <si>
    <t>糾纏術</t>
  </si>
  <si>
    <t>尋找陷阱</t>
  </si>
  <si>
    <t>哈達之欲</t>
  </si>
  <si>
    <t>虔誠守衛</t>
  </si>
  <si>
    <t>怪物定身術</t>
  </si>
  <si>
    <t>異界盟友</t>
  </si>
  <si>
    <t>術法爆發</t>
  </si>
  <si>
    <t>腳底抹油</t>
  </si>
  <si>
    <t>火焰刀</t>
  </si>
  <si>
    <t>催眠圖紋</t>
  </si>
  <si>
    <t>幻景</t>
  </si>
  <si>
    <t>疫病蟲群</t>
  </si>
  <si>
    <t>預置幻象</t>
  </si>
  <si>
    <t>拯救瀕死</t>
  </si>
  <si>
    <t>妖火術</t>
  </si>
  <si>
    <t>熾焰法球</t>
  </si>
  <si>
    <t>李歐蒙小屋</t>
  </si>
  <si>
    <t>冰風暴</t>
  </si>
  <si>
    <t>賈拉茲的光輝風暴</t>
  </si>
  <si>
    <t>點點星芒</t>
  </si>
  <si>
    <t>摹造生命</t>
  </si>
  <si>
    <t>遺體防腐</t>
  </si>
  <si>
    <t>閃電箭矢</t>
  </si>
  <si>
    <t>李歐蒙秘藏箱</t>
  </si>
  <si>
    <t>通曉傳奇</t>
  </si>
  <si>
    <t>烈日光束</t>
  </si>
  <si>
    <t>奇術</t>
  </si>
  <si>
    <t>羽落術</t>
  </si>
  <si>
    <t>造風術</t>
  </si>
  <si>
    <t>閃電束</t>
  </si>
  <si>
    <t>生物定位術</t>
  </si>
  <si>
    <t>群體治療傷勢</t>
  </si>
  <si>
    <t>塔莎的冒泡坩堝</t>
  </si>
  <si>
    <t>荊棘之鞭</t>
  </si>
  <si>
    <t>灼熱金屬</t>
  </si>
  <si>
    <t>防護法陣</t>
  </si>
  <si>
    <t>魔鄧肯忠犬</t>
  </si>
  <si>
    <t>假象術</t>
  </si>
  <si>
    <t>植物遁走術</t>
  </si>
  <si>
    <t>鳴雷破</t>
  </si>
  <si>
    <t>雲霧術</t>
  </si>
  <si>
    <t>人類定身術</t>
  </si>
  <si>
    <t>強效幻影</t>
  </si>
  <si>
    <t>魔鄧肯私人密室</t>
  </si>
  <si>
    <t>修改記憶</t>
  </si>
  <si>
    <t>真知術</t>
  </si>
  <si>
    <t>亡者喪鐘</t>
  </si>
  <si>
    <t>神莓術</t>
  </si>
  <si>
    <t>群體治癒真言</t>
  </si>
  <si>
    <t>歐提路克魔封法球</t>
  </si>
  <si>
    <t>穿牆術</t>
  </si>
  <si>
    <t>冰牆術</t>
  </si>
  <si>
    <t>克敵一擊</t>
  </si>
  <si>
    <t>油膩術</t>
  </si>
  <si>
    <t>敲擊術</t>
  </si>
  <si>
    <t>融身入石</t>
  </si>
  <si>
    <t>魅影殺手</t>
  </si>
  <si>
    <t>異界誓縛</t>
  </si>
  <si>
    <t>棘牆術</t>
  </si>
  <si>
    <t>惡毒嘲笑</t>
  </si>
  <si>
    <t>光導箭</t>
  </si>
  <si>
    <t>次級復原術</t>
  </si>
  <si>
    <t>迴避偵測</t>
  </si>
  <si>
    <t>變形術</t>
  </si>
  <si>
    <t>喚醒死者</t>
  </si>
  <si>
    <t>​御風而行</t>
  </si>
  <si>
    <t>光耀禱詞</t>
  </si>
  <si>
    <t>棘刺雹</t>
  </si>
  <si>
    <t>浮空術</t>
  </si>
  <si>
    <t>魅影駒</t>
  </si>
  <si>
    <t>驚震斬</t>
  </si>
  <si>
    <t>拉瑞心靈聯結</t>
  </si>
  <si>
    <t>回返真言</t>
  </si>
  <si>
    <t>治癒真言</t>
  </si>
  <si>
    <t>動植物定位術</t>
  </si>
  <si>
    <t>植物滋長</t>
  </si>
  <si>
    <t>塑石術</t>
  </si>
  <si>
    <t>轉生術</t>
  </si>
  <si>
    <t>煉獄叱喝</t>
  </si>
  <si>
    <t>物品定位術</t>
  </si>
  <si>
    <t>防護能量</t>
  </si>
  <si>
    <t>石膚術</t>
  </si>
  <si>
    <t>探知</t>
  </si>
  <si>
    <t>英雄氣概</t>
  </si>
  <si>
    <t>魔嘴術</t>
  </si>
  <si>
    <t>移除詛咒</t>
  </si>
  <si>
    <t>偽裝術</t>
  </si>
  <si>
    <t>脆弱詛咒</t>
  </si>
  <si>
    <t>魔化武器</t>
  </si>
  <si>
    <t>回生術</t>
  </si>
  <si>
    <t>鋼風打擊</t>
  </si>
  <si>
    <t>獵人印記</t>
  </si>
  <si>
    <t>馬友夫強酸箭</t>
  </si>
  <si>
    <t>短訊術</t>
  </si>
  <si>
    <t>冰刃</t>
  </si>
  <si>
    <t>心靈探針</t>
  </si>
  <si>
    <t>雪雨暴</t>
  </si>
  <si>
    <t>硫酸法球</t>
  </si>
  <si>
    <t>鑑定術</t>
  </si>
  <si>
    <t>緩速術</t>
  </si>
  <si>
    <t>火牆術</t>
  </si>
  <si>
    <t>迅捷箭袋</t>
  </si>
  <si>
    <t>迷幻手稿</t>
  </si>
  <si>
    <t>迷蹤步</t>
  </si>
  <si>
    <t>死者交談術</t>
  </si>
  <si>
    <t>突觸噪亂</t>
  </si>
  <si>
    <t>造成傷勢</t>
  </si>
  <si>
    <t>月華之光</t>
  </si>
  <si>
    <t>植物交談術</t>
  </si>
  <si>
    <t>心靈遙控</t>
  </si>
  <si>
    <t>涅斯圖魔法靈光</t>
  </si>
  <si>
    <t>靈體守衛</t>
  </si>
  <si>
    <t>傳送法陣</t>
  </si>
  <si>
    <t>大步奔行</t>
  </si>
  <si>
    <t>行蹤無跡</t>
  </si>
  <si>
    <t>臭雲術</t>
  </si>
  <si>
    <t>樹躍術</t>
  </si>
  <si>
    <t>魅影之力</t>
  </si>
  <si>
    <t>力場牆</t>
  </si>
  <si>
    <t>魔法飛彈</t>
  </si>
  <si>
    <t>治癒祈禱</t>
  </si>
  <si>
    <t>石牆術</t>
  </si>
  <si>
    <t>防護善惡</t>
  </si>
  <si>
    <t>防護毒素</t>
  </si>
  <si>
    <t>巧舌術</t>
  </si>
  <si>
    <t>悠蘭德王者威儀</t>
  </si>
  <si>
    <t>淨化飲食</t>
  </si>
  <si>
    <t>衰弱射線</t>
  </si>
  <si>
    <t>吸血鬼之觸</t>
  </si>
  <si>
    <t>致病射線</t>
  </si>
  <si>
    <t>通天繩</t>
  </si>
  <si>
    <t>水下呼吸</t>
  </si>
  <si>
    <t>聖域術</t>
  </si>
  <si>
    <t>灼熱射線</t>
  </si>
  <si>
    <t>水面行走</t>
  </si>
  <si>
    <t>熾焰斬</t>
  </si>
  <si>
    <t>識破隱形</t>
  </si>
  <si>
    <t>風牆術</t>
  </si>
  <si>
    <t>粉碎音波</t>
  </si>
  <si>
    <t>虔誠護盾</t>
  </si>
  <si>
    <t>閃耀斬</t>
  </si>
  <si>
    <t>無聲幻影</t>
  </si>
  <si>
    <t>沉默術</t>
  </si>
  <si>
    <t>蛛行術</t>
  </si>
  <si>
    <t>動物交談術</t>
  </si>
  <si>
    <t>荊棘叢生</t>
  </si>
  <si>
    <t>塔莎狂笑術</t>
  </si>
  <si>
    <t>靈體武器</t>
  </si>
  <si>
    <t>譚森浮碟術</t>
  </si>
  <si>
    <t>暗示術</t>
  </si>
  <si>
    <t>雷霆斬</t>
  </si>
  <si>
    <t>雷鳴波</t>
  </si>
  <si>
    <t>守護聯結</t>
  </si>
  <si>
    <t>隱形僕役</t>
  </si>
  <si>
    <t>蛛網術</t>
  </si>
  <si>
    <t>誠實之域</t>
  </si>
  <si>
    <t>激憤斬</t>
  </si>
  <si>
    <t>奇</t>
  </si>
  <si>
    <t>詩</t>
  </si>
  <si>
    <t>英文名稱</t>
  </si>
  <si>
    <t>環數</t>
  </si>
  <si>
    <t>材料
內容</t>
  </si>
  <si>
    <t>持續
時間</t>
  </si>
  <si>
    <t>Acid Splash</t>
  </si>
  <si>
    <t>塑能</t>
  </si>
  <si>
    <t>動作</t>
  </si>
  <si>
    <t>60 呎</t>
  </si>
  <si>
    <t>即效</t>
  </si>
  <si>
    <t xml:space="preserve"> 你在施法距離內一點創造出一顆酸液泡，在該點5呎球狀範圍內爆發。該球狀區域內的每個生物必須通過敏捷豁免，否則受到1d6強酸傷害。
  戲法升級。此法術的傷害會在你達到下列等級時提升1d6：5級（2d6）、11級（3d6）以及17級（4d6）。</t>
  </si>
  <si>
    <t>Aid</t>
  </si>
  <si>
    <t>防護</t>
  </si>
  <si>
    <t>30 呎</t>
  </si>
  <si>
    <t>一小片白布</t>
  </si>
  <si>
    <t>8 小時</t>
  </si>
  <si>
    <t xml:space="preserve">  選擇法術距離內最多三個生物。每個目標的生命值上限和當前生命值在法術持續時間內提高5 點。
  升環施法效應：使用三環或更高法術位施展該法術時，你使用的法術位每比二環高一環，每個目標的生命值上限和當前生命值就額外提高5 點。</t>
  </si>
  <si>
    <t>Alarm</t>
  </si>
  <si>
    <t>1 分鐘</t>
  </si>
  <si>
    <t>一個小鈴鐺和一小段銀線</t>
  </si>
  <si>
    <t>你設定一個針對不速之客的警報。在施法距離內指定一扇門窗或選擇一個邊長不大於20 呎的立方區域。在法術持續時間內，任何觸碰或進入被法術保護區域的生物都會觸發警報。施法時，你可以決定哪些生物不會觸發警報，也可以選擇警報方式為聲音警報或精神警報。
  聲音警報Audible Alarm。警報將在其保護區域60 呎範圍內將響起持續10 秒搖鈴聲。
  精神警報Mental Alarm。如果你距離目標區域不超過1哩，警報會在你腦海中會傳來「乒乓」的警報聲。如果你在睡覺，警報將使你驚醒。</t>
  </si>
  <si>
    <t>Alter Self</t>
  </si>
  <si>
    <t>變化</t>
  </si>
  <si>
    <t>自身</t>
  </si>
  <si>
    <t>最多 1 小時</t>
  </si>
  <si>
    <t xml:space="preserve"> 你變換了自身形態。施法時，從下列選項中選擇其一生效，其效應維持至其持續時間結束。在持續時間內，你還可以以一個魔法動作將效應切換為另一個不同的選項。
  水生適應Aquatic Adaptation。你長出鰓和蹼。你可以在水下呼吸，並且獲得等同於步行速度的游泳速度。
  改變外貌Change Appearance。你改變了自己的外表。你可以自行設定自己的外觀：包括身高、體重、臉部細節、聲線、頭髮長短、膚色以及（可能具有的）獨特外觀特徵。你可以讓自己的外觀形狀像其他物種的一員而你的任何數據都不會改變。你無法變成一個體型不同的生物，而且你的基礎身體輪廓不會改變。例如，如果你兩足行動，就不能變成四足生物。你可以在持續時間內以一個魔法動作改變這些外貌細節。
  天生武器Natural Weapons。你長出爪子（劈砍）、獠牙（穿刺）、犄角（穿刺）或蹄（鈍擊）。當你使用徒手打擊以這些新長的器官造成傷害時，它會造成1d6對應類型傷害，而不是你通常的徒手打擊傷害，並且你使用你的施法關鍵屬性調整值而非力量調整值來作為攻擊和傷害的調整值。</t>
  </si>
  <si>
    <t>Animal Friendship</t>
  </si>
  <si>
    <t>惑控</t>
  </si>
  <si>
    <t>一點食物</t>
  </si>
  <si>
    <t>24 小時</t>
  </si>
  <si>
    <t>在施法距離內指定一隻你能看見的野獸。該野獸必須通過一次感知豁免，否則將在法術持續時間內被你魅惑。如果你或你的盟友對目標造成傷害，則法術終止。
  升環施法效應：使用2環或更高法術位施展法術時，你使用的法術位每比一環高一環，就可以多選擇一個野獸作為目標。</t>
  </si>
  <si>
    <t>Animal Messenger</t>
  </si>
  <si>
    <t>指定一隻在施法距離內你能看見的微型野獸。該生物必須成功通過一次魅力豁免，否則它會為你傳遞一則訊息（如果該生物的挑戰等級不是0，則豁免自動成功）。你選擇一個你曾經造訪過的地點，然後描述收信人的基本訊息，如「一個穿著城鎮守衛制服的男人或女人」或「一個戴著尖頂帽子的紅髮矮人」。你還需要說出一段不超過二十五個字的訊息。目標野獸將會在法術持續時間內前往你選定的地點。會飛的信差24 小時內可移動50哩，不會飛的信差只能移動25哩。
  野獸抵達目的地後，會模仿你的聲音把訊息傳遞給你描述的人。信差只會把訊息傳遞給符合你描述的人。如果法術持續時間內信使未能抵達目的地則訊息將遺失，而曾經作為信使的野獸將自行尋路返回你施法的地點。
  升環施法效應：使用三環或更高法術位施展該法術時，你使用的法術位每比2環高一環，其法術持續時間增加48 小時。</t>
  </si>
  <si>
    <t>Animal Shapes</t>
  </si>
  <si>
    <t>選擇施法距離內任意數量的自願生物。每個目標都變形為一隻挑戰等級不超過4，體型不大於大型的野獸。你可以將每個目標變成不同的形態。在法術持續時間內之後的回合中，你可以使用一個魔法動作將這些目標再度變形。
  生物的遊戲數據被選擇的野獸資料卡替換，但目標保留其生物類型、生命值、生命骰、陣營、交流的能力以及智力、感知和魅力能力值。目標的動作受到新形態身體結構的限制，無法施法。目標的裝備會融入其新形態，處於此形態時無法使用任何裝備。
  目標獲得等於其變化成的第一個野獸形態生命值的臨時生命值，這些臨時生命值會在法術結束時消失。此變形會在持續時間結束，目標也能以一個附贈動作變回原型。</t>
  </si>
  <si>
    <t>Animate Dead</t>
  </si>
  <si>
    <t>死靈</t>
  </si>
  <si>
    <t>10 呎</t>
  </si>
  <si>
    <t>一滴血，一塊肉，以及一點骨灰</t>
  </si>
  <si>
    <t>在施法距離內指定一具中型或小型類人生物遺骨或遺體，如果你選擇的是遺骨，則目標變為骷髏skeleton，選擇的是遺體則變為殭屍zombie。
  在你的任一回合內，你可以使用一個附贈動作並以精神命令操縱60 呎內任何你用此法術喚起的生物（如果你操縱多個生物，則你的命令可以同時傳達給它們全部或是其中的某幾個，不過只能用同一種指令）。你決定被操縱生物下回合的動作和移動。或者，你也可以選擇下達寬泛的命令（例如守護某個房間或走廊）。如果你沒有下達命令，生物會使用迴避動作並且只會在躲避危險時移動。一旦被下達命令，該生物會持續執行命令直到任務完成。
  這些受操縱生物只會在24 小時內服從你的命令，在之後，它們會停止遵守你下達的命令。如果你在目前的24 小時時段終止前再施展該法術，則你對這些生物的操縱時間再延長24 小時。法術的此種用法只能延長你對最多四個你使用此法術所創造生物的控制時間，而不會創造新的生物。
  升環施法效應：使用四環或更高法術位施展該法術時，你使用的法術位每比三環高一環，就會多喚起兩隻不死生物，或是多延長對兩隻不死生物的控制。你無法用同一具骸骨或遺體喚起多個不死生物。</t>
  </si>
  <si>
    <t>Animate Objects</t>
  </si>
  <si>
    <t>120 呎</t>
  </si>
  <si>
    <t>最多 1 分鐘</t>
  </si>
  <si>
    <t>物件在你的命令下「活」了過來。在施法距離內指定最多十個未被持用或穿戴，也未被固定在一處表面的非超巨型非魔法物件作為法術目標。可活化物件的最大數量等於你的施法屬性調整值，中型或小型目標算一個物件，大型目標算兩個物件，巨型目標算三個物件。
  被指定的目標會活化並長出腿來，成為一個使用活化物件資料卡的構裝。直到法術結束或生命值降低到0，生物受你的控制。每個你以該法術製造的生物都是你的盟友（對你的其它盟友亦是如此）。它在戰鬥中使用你的先攻，並在你回合結束後即效行動。
  在法術結束前，你可以使用一個附贈動作並以精神命令操縱500 呎內任何你用此法術喚起的生物（如果你操縱多個生物，則你的命令可以同時傳達給它們全部或是其中的某幾個，不過只能使用同一種指令）。如果你不發令，它將執行迴避動作並遠離危險。當生命值降低為0時，活化物體會變回物件，並且會受到超出其生命值的剩餘傷害。
  升環施法效應：使用5環或更高法術位施展該法術時，你使用的法術位每比五環高一環，活化物件生物的猛擊傷害提升1d4（對中型或更小的生物）、 1d6（對大型生物）、1d12（對巨型生物）。</t>
  </si>
  <si>
    <t>防活物護罩</t>
  </si>
  <si>
    <t>Antilife Shell</t>
  </si>
  <si>
    <t xml:space="preserve"> 一道靈光從你身上延伸而出並在持續時間內形成10呎光環。這道靈光能阻絕除不死生物和構裝生物之外類型的生物，使它們無法穿過或觸及內部。受影響的生物施展的法術，、使用遠程武器或觸及武器發動的攻擊可以穿過屏障。
  若你移動迫使受影響生物進入護罩內，則法術隨之終止。</t>
  </si>
  <si>
    <t>Antimagic Field</t>
  </si>
  <si>
    <t>一撮鐵粉或鐵屑</t>
  </si>
  <si>
    <t>反魔法靈光的10 呎光環環繞著你。在靈光內部無法施展法術，使用魔法動作或創造魔法效應，而這些也無法以靈光內的事物為目標或影響內在的事物。魔法物品的魔法屬性在靈光內部不起作用，也無法影響在其內部的事物。
  法術和其他魔法效應產生的區域影​​響無法波及靈光內部。傳送無法進出其範圍，位面旅行無法使用。當處於靈光內部時，傳送門會暫時關閉。
  除非其來自神器或神本身，否則持續的法術在區域內會被壓制。壓制的魔法效應不會生效，但其持續時間仍如常計算。
  解除魔法對靈光無效，不同來源的反魔法場之間也不會相互抵消。</t>
  </si>
  <si>
    <t>Antipathy/Sympathy</t>
  </si>
  <si>
    <t>1 小時</t>
  </si>
  <si>
    <t>醋和蜂蜜的混合</t>
  </si>
  <si>
    <t>10 天</t>
  </si>
  <si>
    <t>當你施展此法術時，選擇它是產生嫌惡還是關懷效應，並選擇一個巨型或更小體型的生物或物體。然後指定特定類型的生物，例如紅龍、地精或吸血鬼。當此類生物進入被選擇的生物120呎內時，它必須進行一次感知豁免。你選擇的嫌惡或關懷效應會決定當豁免失敗時，這個生物身上所產生的效應。
  嫌惡Antipathy。該生物將陷入恐懼狀態。因此陷入恐懼的生物必須在其回合內使用其移動力盡可能遠離目標，並沿著最安全的路線移動。
  關懷Sympathy。該生物將陷入魅惑狀態。因此陷入魅惑的生物必須在其回合內使用其移動力盡可能接近目標，並沿著最安全的路線移動。如果生物位於目標的5呎內，它就無法自主遠離目標。如果目標傷害陷入魅惑的生物，該生物能夠如下文描述一樣進行一次感知豁免來結束這一效應。
  結束效應Ending the Effect。如果陷入恐懼或魅惑的生物在距離目標距離120呎以上結束時結束回合，則該生物進行一次感知豁免。在豁免成功的情況下，該生物不再被目標影響。在對抗該效應的豁免中成功的生物將不受此法術的效應影響，持續1 分鐘，隨後仍可能受到該效應影響。</t>
  </si>
  <si>
    <t>Arcane Eye</t>
  </si>
  <si>
    <t>預言</t>
  </si>
  <si>
    <t>一點蝙蝠毛皮</t>
  </si>
  <si>
    <t>你在施法距離內創造出一個漂浮在空中，不受傷害的隱形魔法眼。你透過精神連結接收秘法眼傳來的視覺訊息。秘法眼擁有30 呎黑暗視覺且可以察覺任何方向。
  以一個附贈動作，你可以讓秘法眼向任何方向移動30 呎。固體障礙物會阻擋秘法眼的移動，但它可以穿過任何直徑大於1 寸的縫隙。</t>
  </si>
  <si>
    <t>Arcane Gate</t>
  </si>
  <si>
    <t>咒法</t>
  </si>
  <si>
    <t>500 呎</t>
  </si>
  <si>
    <t>最多 10 分鐘</t>
  </si>
  <si>
    <t>你創造兩個相連的傳送門。指定地面上你能看見的兩處未被佔據的大型空間，其中一點在法術距離內，另一點則在你身邊10 呎內。隨後將會開啟一個通往兩處的圓形傳送門，並持續到法術結束。
  傳送門邊緣為閃爍的二維環形，其內佈滿遮擋視野的迷霧，且整個垂直地懸浮在離地幾寸處。傳送門單面開啟（由你選擇），那一面就是傳送門生效的一面。
  任何進入其中一個傳送門的東西將從另一個傳送門裡出現，就像兩個傳送門鄰接一樣。以一個附贈動作，你可以改變其開門的方向。</t>
  </si>
  <si>
    <t>Arcane Lock</t>
  </si>
  <si>
    <t>觸碰</t>
  </si>
  <si>
    <t>價值25gp+ 的金粉，作為此法術的耗材</t>
  </si>
  <si>
    <t>直到被解除</t>
  </si>
  <si>
    <t xml:space="preserve"> 你觸碰關上的一扇門，一扇窗，一個容器或出入口，並使目標在法術持續時間內被魔法閉鎖。這種閉鎖無法被任何非魔法方式解除。你和你施展法術時允許的其他生物能夠無視秘法鎖打開和關閉被封鎖的物體。你也可以設定一條密語，在該鎖閉物件5 呎內念出密語時，秘法鎖將被壓制1 分鐘。</t>
  </si>
  <si>
    <t>Arcane Vigor</t>
  </si>
  <si>
    <t>附贈動作</t>
  </si>
  <si>
    <t>你利用自己的生命力來治癒自身。投一個或兩個你還未消耗的生命骰，然後回復等於結果加你的施法屬性調整值的總和的生命值。這些生命骰會被法術消耗。
  升環施法效應：使用高於二環的法術位施展該法術時，你使用的法術位每比二環高一環，你能夠使用的未消耗生命骰就增加1。</t>
  </si>
  <si>
    <t>Armor of Agathys</t>
  </si>
  <si>
    <t>一塊藍色玻璃碎片</t>
  </si>
  <si>
    <t>防護性的魔法寒霜包裹著你。 你獲得5 點臨時生命值。如果有生物在法術結束之前以近戰攻擊命中你，則該生物將受到5 點寒冷傷害。當你失去所有臨時生命值時，法術就提前結束。
  升環施法效應：使用高於一環的法術位施展法術時，你使用的法術位每比一環高一環，臨時生命和寒冷傷害就各增加5 點。</t>
  </si>
  <si>
    <t>Arms of Hadar</t>
  </si>
  <si>
    <t>你祈喚哈達的力量，讓觸鬚從你身上蔓延而出。以你為源點的10呎光環範圍內，每個生物都必須進行一次力量豁免。在失敗的情況下，該生物將受到2d6 點暗蝕傷害，並且直到下一回合前都無法執行反應。豁免成功的生物只受到半數傷害。
  升環施法效應：使用高於一環的法術位施展法術時，你使用的法術位每比一環高一環，法術的傷害就會增加1d6。</t>
  </si>
  <si>
    <t>Astral Projection</t>
  </si>
  <si>
    <t>你必須為此法術影響的每個生物準備一枚價值1000gp+ 的紅鋯石和一根價值100gp+ 的銀棒，作為此法術的耗材</t>
  </si>
  <si>
    <t>你和施法距離內最多八名自願的生物將星界軀體投影到星光位面（如果你已經在星光位面，則法術即效結束）。目標原本的軀體會被留在原地陷入靜止，它會陷入昏迷狀態，不需要空氣和食物也不會衰老。
目標的星界軀體幾乎完美的保持了原本的形態，並保留你本體的遊戲資料和隨身物。星界軀體和你本體的主要差異是從你肩胛骨間向後伸出的一條銀線。這條線可見長度僅有一呎。
如果線被切斷——只有明確註明可以切斷這種銀線的效應才可以將其切斷，目標的身體和星界軀體都會死亡。
你的星界軀體可以在星光位面任意旅行。當星界軀體離開星光位面時，你的本體和物品將沿著銀線被傳送，使你以本體的形態到達新位面。
星界軀體承受的傷害或效應不會反映在你的本體上，反之亦然。若某生物的本體或星界軀體的生命值降至0，則該生物本身的投影效應終止。你可以以一個魔法動作解除法術，結束所有目標的星界投影。
法術終止時，如果目標沒有死亡，受術生物會被拉回原本的軀體，並脫離靜止狀態。</t>
  </si>
  <si>
    <t>Augury</t>
  </si>
  <si>
    <t>繪有標記的短棒、骨頭、卡片，或類似的預言道具，價值25gp+</t>
  </si>
  <si>
    <t>你從異界存在處獲得對某件你計劃在接下來的30 分鐘內做的事的預示。 DM 從下列預示中選取一項：
  預兆
預兆        預示著…
吉        好的結果。
兇        壞的結果。
吉凶並存        結果既有好的方面，也有壞的方面。
無
  若你在兩次長休之間使用兩次或更多次的卜筮術，則法術在第一次之後會每次累積25%機率會不給出任何結果。</t>
  </si>
  <si>
    <t>生命靈光</t>
  </si>
  <si>
    <t>Aura of Life</t>
  </si>
  <si>
    <t xml:space="preserve"> 一道靈光自你身上發出並形成30 呎半徑的光環。在靈光範圍內時，你和你的盟友獲得對暗蝕傷害的抗性，生命值上限也無法被降低。另外，生命值為0 的盟友在靈光範圍內開始其回合時，恢復1 點生命值。</t>
  </si>
  <si>
    <t>Aura of Purity</t>
  </si>
  <si>
    <t>一道靈光自你身上發出並形成30 呎半徑的光環。在靈光範圍內時，你和你的盟友獲得對毒素傷害的抗性，並且在進行對抗和結束下列狀態的豁免時具有優勢：目盲、魅惑、耳聾、恐懼、麻痺、中毒和震懾。</t>
  </si>
  <si>
    <t>Aura of Vitality</t>
  </si>
  <si>
    <t xml:space="preserve"> 動作</t>
  </si>
  <si>
    <t xml:space="preserve">  一道靈光自你身上發出並形成30 呎半徑的光環。當你創造靈光時和它持續時你的每個回合開始，你可以為一個範圍內的生物回复2d6生命值。</t>
  </si>
  <si>
    <t>Awaken</t>
  </si>
  <si>
    <t>你利用施法的時間引導一塊昂貴寶石中的魔法迴路，然後觸碰目標。這個目標必須是一個野獸或植物，並且必須是一個智力小於等於3的生物或是一個並非生物的自然植物。
  目標的智力會變成10，並學會說一門你所掌握的語言。如果目標是一株自然植物，則它變成一個植物生物，並且獲得使用枝、根、藤、蔓或類似部位移動的能力，和類似人類的感官。 DM 為啟蒙植物決定屬性數據，可參考《怪物圖鑑》中的啟蒙灌木Awakened Shrub與啟蒙樹木Awakened Tree。
  被啟蒙的目標在30 日內處於魅惑狀態，或直到你或你的盟友做出任何傷害它的舉動。魅惑終止後，啟蒙生物自行決定對你的態度。</t>
  </si>
  <si>
    <t>Bane</t>
  </si>
  <si>
    <t xml:space="preserve">動作
</t>
  </si>
  <si>
    <t>一滴血</t>
  </si>
  <si>
    <t>你選擇施法距離內最多三個你可見的生物，迫使其分別進行一次魅力豁免。若有目標在此次豁免中失敗，則在法術結束前，該目標進行的攻擊檢定或豁免檢定都必須從檢定結果中減去一個d4。
  升環施法效應。使用高於一環的法術位施展此法術時，你使用的法術位每比一環高一環，就能多指定一個生物。</t>
  </si>
  <si>
    <t>Banishing Smite</t>
  </si>
  <si>
    <t>附贈動作，當你使用近戰武器或徒手打擊命中一個生物後</t>
  </si>
  <si>
    <t>被此攻擊檢定命中的目標會在此次攻擊中額外受到5d10力場傷害。如果這次攻擊將目標的生命值削減到50點或更低，則目標必須進行一次魅力豁免，豁免失敗則會在法術持續期間被轉移到一個無害的半位面。身處半位面期間，目標會陷入失能狀態。當法術終止時，目標將重新出現在被放逐前的位置。如果該位置被佔據，則目標將出現在距離該位置最近的一個未被佔據空間。</t>
  </si>
  <si>
    <t>Banishment</t>
  </si>
  <si>
    <t>一顆五芒星</t>
  </si>
  <si>
    <t>一個在你施法距離內你可見的生物必須進行一次魅力豁免，豁免失敗者會在法術持續期間被轉移到一個無害的半位面，身處半位面期間，目標會陷入失能狀態。當法術終止時，目標將重新出現在被放逐前的位置。如果該位置被佔據，則目標將出現在距離該位置最近的一個未被佔據空間。
  若該目標是一隻異怪，一個天界生物，一個元素生物，一個精類或一隻邪魔，則在法術持續一分鐘後，目標不會返回。此目標會改為轉移到與其生物類型相關的一個平面（由DM決定）中的隨機地點。
  升環施法效應。使用高於四環的法術位施展此法術時，你使用的法術位每比四環高一環，就能多指定一個生物。</t>
  </si>
  <si>
    <t>Barkskin</t>
  </si>
  <si>
    <t>一把樹皮</t>
  </si>
  <si>
    <t xml:space="preserve"> 1 小時</t>
  </si>
  <si>
    <t>你觸碰一個自願生物。直到法術終止前，目標的皮膚呈現出樹皮樣的外貌，並且若目標AC低於17，則其具有17護甲等級。</t>
  </si>
  <si>
    <t>Beacon of Hope</t>
  </si>
  <si>
    <t>在施法距離內指定任意數量的生物，並使其在法術持續時間內進行的感知豁免和死亡豁免具有優勢。此外，其獲得的所有治療的生命值恢復量都取最大值</t>
  </si>
  <si>
    <t>Beast Sense</t>
  </si>
  <si>
    <t>你觸碰一隻自願的野獸。在持續期間內，你可以透過該野獸的感官來感知事物，如同你自己的感官一樣。當你透過該野獸的感官感覺事物時，你同樣會獲得其擁有的任何特殊感官。</t>
  </si>
  <si>
    <t>摧心術</t>
  </si>
  <si>
    <t>Befuddlement</t>
  </si>
  <si>
    <t>150 呎</t>
  </si>
  <si>
    <t>一把沒有鑰匙的鑰匙圈</t>
  </si>
  <si>
    <t>你將一個施法距離內你可見的生物的心靈爆破。該目標必須進行一次智力豁免。
  若豁免失敗，目標受到10d12心靈傷害，無法施展法術也無法執行魔法動作。受術生物每過30 日即可在當日結束時重複進行該豁免，豁免成功則此法術效應終止。此效應也可以被高等復原術、治療術或祈願術終止。
  若豁免成功，則目標只會受到一半傷害。</t>
  </si>
  <si>
    <t>Bestow Curse</t>
  </si>
  <si>
    <t>你觸碰一名生物。該生物必須進行一次感知豁免並成功通過，否則將在法術持續時間內被詛咒。直到詛咒終止前，目標會遭受以下一項效應，由你選擇：
  ·選擇一項屬性。目標使用該屬性所進行的屬性檢定和豁免檢定具有劣勢。
  ·目標對你發動的攻擊檢定具有劣勢。
  ·在戰鬥中，目標在其每回合開始時必須進行一次感知豁免，豁免失敗則在該回合中被迫執行迴避動作。
  ·若你的攻擊檢定或法術對目標造成了傷害，則目標還會額外受到1d8黯蝕傷害。
  升環施法效應。使用四環法術位施展此法術時，你可以維持此法術的專注最多 10 分鐘。使用五環及更高的法術位施展此法術時，此法術無需專注，並且持續時間變為8 小時（5-6環法術位）或24 小時（7-8環法術位）。若你使用9環法術位施展此法術，則此法術會持續到被解除。</t>
  </si>
  <si>
    <t>Bigby's Hand</t>
  </si>
  <si>
    <t>一個蛋殼和一隻分指手套</t>
  </si>
  <si>
    <t>你在施法距離內指定一處你能看見且未被佔據的空間，並在該處創造出一隻由魔法能量組成的閃爍著微光的大型手掌。這隻手會在持續時間內維持存在，並聽從你的命令進行移動，模仿你自己手掌的各類動作。
  這隻手是一個物件，其AC為20，生命值等於你的最大生命值。如果它的生命值降至0則法術將提前終止。這隻手不會佔據其所處的空間。
  施展此法術時，你可以令巨手移動最多60呎並造成下列效應之一。你也可以在自己隨後的回合裡以一個附贈動作再造成下列效應之一：
  金剛拳Clenched Fist。這隻手對自身周圍5呎範圍內的目標發動一次攻擊。進行一次近戰法術攻擊。若命中，則該目標受到5d8力場傷害。
  飛擊掌Forceful Hand。這隻手嘗試推撞自身周圍5呎範圍內的一個體型不超過巨型的生物。目標必須進行一次力量豁免，若失敗，這隻手會將目標推擠最多5+你施法屬性調整值的五倍呎。巨手將隨著目標一起移動，保持自己處在目標周圍5呎的範圍內。
  擒拿掌Grasping Hand。這隻手嘗試對自身周圍5呎範圍內的一個體型不超過巨型的生物進行擒抱。目標必須進行一次敏捷豁免，若失敗，則目標陷入被擒狀態，逃脫DC等於你的法術豁免DC。在這隻手擒抱目標期間，你可以使用一個附贈動作指令這隻手對其進行擠壓，此時目標將受到4d6+你的施法屬性調整值點鈍擊傷害。
  護身掌Interposing Hand。這隻手會在你對抗以其所處空間為源點發出攻擊或其他效應時，以及需要穿過其所處空間的攻擊以及其他效應時給予你半身掩護Half Cover。此外，這隻手所處空間對你的敵人來說視作困難地形。
  升環施法效應。使用比五環更高的法術位施展此法術時，你使用的法術位每比五環高一環，金剛拳的傷害就會提高2d8點，擒拿掌的傷害就會提高2d6點。</t>
  </si>
  <si>
    <t>Blade Barrier</t>
  </si>
  <si>
    <t>90 呎</t>
  </si>
  <si>
    <t>你創造出一面由旋轉著的魔法能量劍刃組成的牆壁。牆壁在持續時間內在你的施法距離之內持續存在。你可以選擇創造長不過100呎、高不過20呎、厚不過5呎的直牆；或是直徑不過60呎、高不過20呎、厚不過5呎的環牆。牆提供四分之三掩護，而牆體所佔據的空間則視為困難地形。
  所有處於牆所佔據空間的生物必須進行敏捷豁免，豁免失敗者受到6d10力場傷害，成功則受到一半傷害。生物在進入牆所佔據的空間或在其中結束回合時也需要進行此豁免。生物每回合只會進行一次此豁免。</t>
  </si>
  <si>
    <t>Blade Ward</t>
  </si>
  <si>
    <t>當生物在此法術結束前對你發動一次攻擊檢定，則攻擊者需要從該次攻擊檢定結果中減去1d4。</t>
  </si>
  <si>
    <t>Bless</t>
  </si>
  <si>
    <t>一枚價值5gp+的聖徽</t>
  </si>
  <si>
    <t xml:space="preserve"> 你祝福施法範圍內最多3個生物。在法術終止前，每當受術目標進行攻擊檢定或豁免檢定時，都可以在檢定結果中額外加入1d4。
  升環施法效應。使用高於一環的法術位施展此法術時，你使用的法術位每比一環高一環，就能多指定一個生物。</t>
  </si>
  <si>
    <t>Blight</t>
  </si>
  <si>
    <t xml:space="preserve">  一個在你施法距離內你可見的生物必須進行一次體魄豁免，豁免失敗者受到8d8黯蝕傷害，成功則只受到一半傷害。生物類型為植物的生物在此豁免中自動失敗。
  或者，如果你指定一個並非生物的非魔法植物為目標，如樹木或灌木，那麼它無需進行豁免，而是直接凋謝死亡。
  升環施法效應。使用比四環更高的法術位施展此法術時，你使用的法術位每比四環高一環，其傷害就提升1d8。</t>
  </si>
  <si>
    <t>Blinding Smite</t>
  </si>
  <si>
    <t>被該次攻擊檢定命中的目標會在此次攻擊中額外受到3d8光耀傷害，並且目標會在法術結束前陷入目盲狀態。陷入目盲的目標在其每回合結束時可以進行一次體魄豁免，豁免成功則終止其身上的法術。
  升環施法效應。使用比三環更高的法術位施展此法術時，你使用的法術位每比三環高一環，額外傷害提升1d8。</t>
  </si>
  <si>
    <t>Blindness/Deafness</t>
  </si>
  <si>
    <t xml:space="preserve"> 1 分鐘</t>
  </si>
  <si>
    <t>處於你施法範圍內的一個你可見的生物必須進行一次體魄豁免，豁免失敗者在法術持續期間陷入目盲或耳聾狀態（由你選擇）。目標可以在其每個回合結束時重複此豁免，豁免成功則終止在其身上的此法術。
  升環施法效應。使用高於二環的法術位施展此法術時，你使用的法術位每比二環高一環，就能多指定一個生物。</t>
  </si>
  <si>
    <t>Blink</t>
  </si>
  <si>
    <t xml:space="preserve">  你在法術持續時間內每次自己回合結束時擲一次d6。結果為4-6時，你從你現在身處的存在位面消失，並出現在以太位面Ethereal Plane（若你本已身處以太位面，此法術會即效終止）。在你身處以太位面期間，你可以觀測到你所離開位面的黑白影像，但只限於60呎之內。你只能影響其他身處以太位面的生物，或被其影響。而處於其他位面的生物在沒有能夠觀測到以太位面事物的特殊能力的情況下，同樣無法觀測到你。
  你會在你的下一回合開始時返回其他位面；如果當你法術終止時身處以太位面，你同樣會返回其他位面。你回到原先位面時會出現在一個你原先位置10呎之內你可見的未被佔據的空間之中。若在此範圍內沒有未被佔據的空間，則你會出現在最近的未被佔據的空間之中</t>
  </si>
  <si>
    <t>Blur</t>
  </si>
  <si>
    <t>幻術</t>
  </si>
  <si>
    <t>你的身體變得模糊不定，難以捉摸。在法術持續時間內，所有生物對你發動的攻擊檢定具有劣勢。透過盲視或真實視覺觀測到你的攻擊者免疫此效應。</t>
  </si>
  <si>
    <t>Buring Hands</t>
  </si>
  <si>
    <t>你向前噴射一片火焰。處於15呎錐狀區域內的生物必須進行一次敏捷豁免。豁免失敗者受到3d6點火焰傷害，豁免成功則傷害減半。
  在此錐狀區域內的未被著裝或攜帶易燃物件會開始燃燒。
  升環施法效應。使用比一環更高的法術位施展此法術時，你使用的法術位每比一環高一環，傷害提升1d6。</t>
  </si>
  <si>
    <t>Call Lightning</t>
  </si>
  <si>
    <t>一朵風暴雲在施法距離內你頭頂可見的一點出現。它是一處高10 呎、半徑60 呎的柱狀雷雲區域。
  當你施展這個法術時，指定一點該雷雲下一個你能看見的點。一束閃電從雲端射向該點。在該點5 呎內的生物必須進行一次敏捷豁免。豁免失敗者將受到3d10 點閃電傷害，豁免成功則受到半數傷害。
  直到法術終止前，你都可以使用一個魔法動作再次發射閃電，並指定閃電射向同一點或另選一點。
  若施法時你身處室外暴風雨環境，此法術令你得以控制空中的暴雨雲而非創造一朵新雷雲。且法術傷害增加1d10。
  升環施法效應：使用四環或更高法術位施展法術時，你使用的法術位每比三環高一環，法術的傷害就會增加1d10。</t>
  </si>
  <si>
    <t>Calm Emotions</t>
  </si>
  <si>
    <t xml:space="preserve"> 你指定施法距離內一點，以該點為源點半徑20呎球狀區域內的每個類人生物必須成功通過一次魅力豁免，否則將由你選擇以下兩項效應之一對其生效（分別為每個生物選擇）。
  ·直到法術結束，生物免疫魅惑和恐懼狀態。如果生物已經陷入魅惑或恐懼狀態，則這些狀態在持續時間內被壓制。
  ·該生物對你選擇的先前敵對的生物態度變成冷漠。這種冷漠態度持續到目標受到傷害或看到自己的盟友受到傷害。當法術結束時，該生物恢復到原本的態度。</t>
  </si>
  <si>
    <t>Chain Lightning</t>
  </si>
  <si>
    <t>三根銀質別針</t>
  </si>
  <si>
    <t>你放出一道閃電，射向施法距離內某個你能看見的指定目標。經過首個目標後，閃電分成三束跳向該目標30 呎內最多3 個其他目標。閃電的目標可以是生物或物件，但每束閃電必須指定不同的目標。
  每個目標必須進行一次敏捷豁免。豁免失敗者將受到10d8 點閃電傷害，豁免成功受到半數傷害。
  升環施法效應：使用高於六環的法術位施展該法術時，你使用的法術位每比六環高一環，跳躍後閃電就多分出一束射向一個不同的目標。</t>
  </si>
  <si>
    <t>Charm Monster</t>
  </si>
  <si>
    <t>一個你可見的法術距離內的生物進行一次感知豁免，如果你或你的同伴正在與它戰鬥，它在這次豁免上具有優勢。如果它豁免失敗，它陷入魅惑狀態直到法術結束，或直到你或你的同伴對它造成傷害。被魅惑的生物將對你友善。在法術結束時，生物會知道它曾被你魅惑。
  升環施法效應：當你使用高於四環的法術位施放該法術時，使用的法術位每高一環，你就可以多指定一個額外生物作為目標。</t>
  </si>
  <si>
    <t>Charm Person</t>
  </si>
  <si>
    <t>一個你可見的法術距離內的類人生物進行一次感知豁免，如果你或你的同伴正在與它戰鬥，它在這次豁免上具有優勢。如果它豁免失敗，它陷入魅惑狀態直到法術結束，或直到你或你的同伴對它造成傷害。被魅惑的生物將對你友善。在法術結束時，生物會知道它曾被你魅惑。
  升環施法效應：當你使用高於一環的法術位施放該法術時，使用的法術位每高一環，你就可以多指定一個額外生物作為目標。</t>
  </si>
  <si>
    <t>Chill Touch</t>
  </si>
  <si>
    <t>你引導出來自墳墓的刺骨陰冷，對目標進行一次近戰法術攻擊。命中時，目標受到1d10暗蝕傷害，並且直到下一回合的結束前都無法恢復生命值。
  戲法升級：當你到達5 級時，法術的傷害增加1d10（變成2d10）。 11 級時再加1d10（變成3d10），17 級時再加1d10（變成4d10）。</t>
  </si>
  <si>
    <t>Chromatic Orb</t>
  </si>
  <si>
    <t>一枚價值50gp+的鑽石</t>
  </si>
  <si>
    <t>你向施法距離內某個目標擲出一顆能量球。為所創造的球體從強酸、寒冷、火焰、閃電、毒素、雷鳴中選擇一種類型然後對該目標發動一次遠程法術攻擊。攻擊命中時，該目標將受到3d8 點你所選類型的傷害。
  如果你的兩枚以上d8骰子投出相同的數字，能量球跳向原目標30呎內你所選擇的另一個目標。對新目標進行一次攻擊檢定，然後再進行新的傷害擲骰。除非你以高於二環的法術位施展法術，否則能量球不會繼續跳躍。
  升環施法效應：使用高於一環的法術位施展法術時，你使用的法術位每比一環高一環，法術的傷害就會增加1d8。能量球能夠最多跳躍等於消耗的法術位數目的次數，並且每次施展該法術時，一個生物只能被指定為目標一次。</t>
  </si>
  <si>
    <t>Circle of Death</t>
  </si>
  <si>
    <t>價值500g​​p+的研磨過的黑珍珠粉末</t>
  </si>
  <si>
    <t>一陣負能量波從施法距離內某點放出，衝擊60 呎半徑的球狀區域。區域內的生物必須進行一次體魄豁免。豁免失敗者將受到8d8點暗蝕傷害，豁免成功受到半數傷害。
  升環施法效應：使用七環或更高法術位施展該法術時，你使用的法術位每比六環高一環，法術的傷害就會增加2d8。</t>
  </si>
  <si>
    <t>Circle of Power</t>
  </si>
  <si>
    <t>一道靈光自你身上發出並在法術持續時間內形成30 呎半徑的光環。處於靈光範圍內時，你和你的盟友為對抗法術或其他魔法效應而進行的豁免檢定具有優勢。受此法術效應影響的生物在對抗豁免成功受半數傷害的法術或魔法效應時，若成功則不受傷害。</t>
  </si>
  <si>
    <t>Clairvoyance</t>
  </si>
  <si>
    <t>10 分鐘</t>
  </si>
  <si>
    <t>1 里</t>
  </si>
  <si>
    <t>價值100gp+ 的法器，選擇聆聽時用一個以珠寶裝飾的號角，選擇察覺時用一顆玻璃眼珠</t>
  </si>
  <si>
    <t xml:space="preserve"> 你在施法距離內某處創造一個隱形的傳感器，該處可以是你熟悉的地點（你曾到訪過或看見過的地方），也可以是你不熟悉的顯眼處（例如一扇門後，轉角位置或樹林裡）。此感測器無法互動也不受傷害，在法術持續時間內停留在該地。
  施展該法術時，你可以選擇進行察覺或聆聽。你可以透過感測器以所選的感官方式感測目標空間。你也可以用一個附贈動作在察覺和聆聽之間切換。
  可以看見感測器的生物（例如生物受益於識破隱形或真實視覺時）會看到檢測點是一個拳頭大小發著微光的半透球體。</t>
  </si>
  <si>
    <t>Clone</t>
  </si>
  <si>
    <t>一枚價值1000gp+的鑽石作為此法術的耗材。外加一副價值2000gp+的密封功能的大容器，其尺寸必須足以存放一個要被克隆的生物</t>
  </si>
  <si>
    <t>你觸碰一個被克隆生物或其不小於1 立方寸的肉。一個被複製生物的無生命身體在法術施展時使用的容器中成形，並在120 日後成熟。你可以選擇完成的克隆體是和該生物同樣年齡或更年輕的版本。當容器未被外界影響時，其中的軀體會一直保持無意識的靜止狀態。
  克隆體成長成熟後，如果本體生物死亡，則其靈魂轉移到克隆體中，前提是該靈魂必須保持自由且自願復活。克隆體的肉體特質與本體相同，具有相同的個性、記憶和能力，但並不擁有本體隨身的裝備。由於靈魂已經轉移到別處，該生物原本的遺體（如果依然存在）失去活力，且不能被復活。</t>
  </si>
  <si>
    <t>Cloud of Daggers</t>
  </si>
  <si>
    <t>你在施法距離內指定一點，以該點為中心將一處邊長5 呎的立方區域召喚出旋轉的匕首。區域內的每個生物受到4d4劈砍傷害。生物同樣會在其進入立方區域、在立方區域中結束回合或立方區域移動進入其佔據空間時受到此傷害。一個生物一回合只會受到該傷害一次。
  在你後續的回合中，你可以使用一個魔法動作將立方區域傳送最多30呎距離。
  升環施法效應：使用高於二環的法術位施展該法術時，你使用的法術位每比二環高一環，法術的傷害就會增加2d4。</t>
  </si>
  <si>
    <t>Cloudkill</t>
  </si>
  <si>
    <t>你以施法距離內指定一點為中心創造一片20 呎半徑球狀區域的黃綠色劇毒濃霧。霧氣在法術持續時間內維持存在，但仍會被強風吹散（如造風術）並解除法術。其存在區域則視為重度遮蔽。
  每個球狀區域內的生物都進行一次體魄豁免，豁免失敗者將受到5d8 點毒素傷害，豁免成功受到半數傷害。當球狀區域移動進一個生物的區域和當一個生物進入球狀區域或在其中結束回合時，該生物同樣需要進行一次豁免。一個生物一回合只進行一次這一豁免。
  在你的每個回合開始，球狀區域會往遠離你的方向移動10呎。
  升環施法效應：使用高於五環法術位施展法術時，你使用的法術位每比五環高一環，法術的傷害就會增加1d8。</t>
  </si>
  <si>
    <t>Color Spray</t>
  </si>
  <si>
    <t>一撮彩色沙子</t>
  </si>
  <si>
    <t>你射出一道炫目的閃耀彩光。每個以你為源點的15呎錐狀區域內的生物必須進行一次體魄豁免。否則直到你下回合的結束陷入目盲狀態。</t>
  </si>
  <si>
    <t>Command</t>
  </si>
  <si>
    <t>你對施法距離內一個你能看見的生物說出一個單字的指令。目標生物必須成功通過感知豁免，否則必須在自己的下一回合服從該命令行事。從以下選項中選擇一條指令：
  過來Approach。目標以最短、最直接的路線向你移動，並在到達距離你5呎時結束其回合。
  放下Drop。目標放下手中持握物並結束其回合。
  走開Flee。目標利用其回合以最快最有效的方式遠離你。
  趴下Grovel。目標陷入伏地並結束其回合。
  立定Halt。在其回合內，目標不移動且不作任何動作和附贈動作。
  升環施法效應：使用高於一環法術位施展法術時，你使用的法術位每比一環高一環，法術就能多影響一個目標。</t>
  </si>
  <si>
    <t>Commune</t>
  </si>
  <si>
    <t>焚香</t>
  </si>
  <si>
    <t>你與所信奉神或其代理人進行聯繫，並詢問最多三個能以「是」或「否」回答的問題。你必須在法術終止前完成提問，並在隨後分別獲得每個​​問題的答案。
  這些神能存在也並非全知全能，因此當問題涉及的信息超過神的認知範圍時，你可能會得到一句「不確定」作為回答。另外當一個單字可能引致誤導，或與神的興致相違背時，DM 可能會提供一句短語作為答案。
  若你在結束一次長休前兩次或更多次的施展該法術，則法術有一定的幾率不給任何答覆。此機率從第二次施展起每次累計25％ 。</t>
  </si>
  <si>
    <t>Commune with Nature</t>
  </si>
  <si>
    <t>你與自然的靈魂溝通並以此獲得周圍環境的資訊.在戶外時，該法術可以讓你了解3 哩大地的狀況。在洞穴和其他天然地下場所中，其範圍縮小為300 呎半徑區域內。自然環境中被建築物覆蓋的區域裡（例如城堡或城鎮中）法術無法生效。
  你即效獲得的自然資訊最多與該地域三個方面的主題相關，在以下項目中進行選擇：
  ·聚居地位置
  ·通往其他位面的傳送門位置
  ·一個挑戰等級10+的類型為天族、妖精、邪魔、元素或亡靈的生物（由DM選擇）的位置
  ·區域內最廣泛分佈的植物、礦物或動物（你選擇得知其中一項）
  ·水體的位置
  例如，你可以偵測到某個強大怪物在區域中的位置、水體位置以及附近城鎮的方位。</t>
  </si>
  <si>
    <t>Compelled Duel</t>
  </si>
  <si>
    <t>你嘗試強令一個生物與你決鬥。施法距離內一個你能看見的生物必須進行一次感知豁免，豁免失敗的情況下，該生物對除你之外任何生物發動攻擊檢定時都具有劣勢，且該生物不能自主移動到距離你超過30呎的位置。
  當你攻擊另一個生物時，或者當你對另一個敵對生物施展法術時，又或者當一個你的盟友對該目標造成傷害或對其施展傷害性法術時，又或者你在距離該目標超過30呎的位置結束你的回合時，法術終止。</t>
  </si>
  <si>
    <t>Comprehend Languages</t>
  </si>
  <si>
    <t>一撮煤灰和鹽</t>
  </si>
  <si>
    <t>你在法術持續時間內知曉你所聽到或看到手語的所有語言的字面意義。你也可以透過觸碰書寫的文字來讀懂其字面意義。以這種方式閱讀每頁文字需要花費1 分鐘的時間。這個法術並不能解讀符號和暗語。</t>
  </si>
  <si>
    <t>Compulsion</t>
  </si>
  <si>
    <t>每個你所選擇的，施法距離內你能看到的生物必須成功通過一次感知豁免。否則直到法術結束陷入魅惑狀態。
  法術持續期間，你可以以一個附贈動作指向某個水平方向。隨後，每個被魅惑的目標在其下一回合中必須使用其所有的移動力盡可能的向該方向移動，並採取最安全的路線。在移動之後，目標可以重複此豁免，成功則結束自己身上的效應。</t>
  </si>
  <si>
    <t>Cone of Cold</t>
  </si>
  <si>
    <t>一個小水晶或玻璃錐體</t>
  </si>
  <si>
    <t>你釋放出一團寒冷的空氣。以你為源點，在60 呎錐狀區域內的每個生物必須進行一次體魄豁免。豁免失敗者將受到8d8 點寒冷傷害，豁免成功則受到半數傷害。
  被該法術殺死的生物將成為一尊冰凍塑像並持續至被解凍。
  升環施法效應：使用高於五環法術位施展法術時，你使用的法術位每比五環高一環，法術傷害就會增加1d8。</t>
  </si>
  <si>
    <t>Confusion</t>
  </si>
  <si>
    <t>三顆堅果殼</t>
  </si>
  <si>
    <t>你選擇施法距離內一點為源點，10呎球狀區域內的每個生物必須成功通過一次感知豁免，否則目標不能執行反應和附贈動作，並且在每個回合開始時擲一次d10根據下表內容來決定本回合的行為。
1d10        當回合行為
1        此目標本回合不執行任何動作，它使用其所有移動力向一個隨機方向移動。你可以擲一次d4 決定其方向：1北2東3南4西。
2-6        該生物本回合不移動也不執行任何動作。
7-8        該生物不進行移動，使用其動作對可觸及範圍內一個隨機生物發動一次近戰攻擊。如果沒有生物在其觸及範圍內，則該生物本回合什麼都不做。
9-10        該生物自行決定當回合行為。
目標回合結束時，受影響的目標可以再次進行豁免檢定，成功時則結束其法術效果。
  升環施法效應：使用五環或更高法術位施展法術時，你使用的法術位每比四環高一環，球狀區域半徑就會增加5 呎。</t>
  </si>
  <si>
    <t>Conjure Animals</t>
  </si>
  <si>
    <t xml:space="preserve"> 你將自然精魂咒喚在施法距離內一處你可見的未佔據空間中，他們以幽靈般虛幻獸群的形像出現（佔據大型空間）。獸群在持續時間內一直存在，你可以選擇動物精魂的形態－例如狼群、蛇群或是鳥群。
  在你位於獸群5呎內期間，你的力量豁免檢定具有優勢。當你在你的回合移動時，你可以令獸群也移動最多30呎到一處你可見的未被佔據的空間中。
  每當獸群在移動中進入了一名你可見的生物10呎內時、一名你可見的生物進入位於獸群10呎內的空間或是在該空間結束其回合時，你都可以迫使該生物進行一次敏捷豁免檢定。失敗則該生物受到3d10的劈砍傷害。一名生物一回合只需要進行一次該豁免。
  升環施法效應。使用的法術位每比三環高一環，法術造成的傷害增加1d10。</t>
  </si>
  <si>
    <t>Conjure Barrage</t>
  </si>
  <si>
    <t>一把價值1cp+的近戰或遠程武器</t>
  </si>
  <si>
    <t>你揮舞作為施法材料的武器，令相似的幽靈武器（或適合這把武器的彈藥）顯現，它們將向前射出並在之後消失。每個由你選擇且你可見的位於60呎錐形區域內的生物進行一次敏捷豁免檢定，豁免失敗者將受到5d8的力場傷害，豁免成功則只受一半傷害。
  升環施法效應：使用的法術位每比三環高一環，法術造成的傷害增加1d8。</t>
  </si>
  <si>
    <t>Conjure Celestial</t>
  </si>
  <si>
    <t xml:space="preserve"> 你將來自上層位面的精魂咒喚，精魂表現為照耀以施法距離內一點為中心半徑10 呎、高40 呎的柱狀區域的光之立柱。對位於柱狀區域內的你可見的生物，分別選擇下列哪一種光芒照耀於它。
  治癒之光：目標恢復等於4d12加上你的施法屬性調整值總和的生命值。
  懲戒之光：目標進行一次敏捷豁免檢定，豁免失敗者將受到6d12的光耀傷害，豁免成功則只受一半傷害。
  直到法術結束為止，柱狀區域內處於明亮光照，並且當你在你的回合移動時，你可以令柱狀區域也移動最多30呎
  每當柱狀區域在移動中進入了一名你可見的生物區域內時、一名你可見的生物進入柱狀區域或是在該區域結束其回合時，你都可以令該生物沐浴其中一種光芒。一名生物一回合只能被該法術影響一次。
  升環施法效應：使用的法術位每比七環高一環，法術造成的治療和傷害就增加1d12。</t>
  </si>
  <si>
    <t>Conjure Elemental</t>
  </si>
  <si>
    <t>你將來自元素位面的大型虛幻精魂咒喚在施法距離內一處未佔據空間。選擇精魄的元素類別，這將決定它造成的傷害類型：氣元素（閃電）、土元素（雷鳴）、火元素（火焰）或水元素（寒冷）。精魂在持續時間內一直存在。
  每當一個你可見的生物進入精魂所在的空間或是在精魂5呎內開始其回合時，若沒有生物被精魂束縛，你可以迫使其進行一次敏捷豁免檢定。失敗則目標受到8d8的對應精魂類型的傷害並且直到法術結束為止，目標處於束縛狀態。在處於束縛狀態的目標回合開始時，其重新豁免，失敗則目標受到4d8的對應精魂類型的傷害，豁免成功則目標不再被精魂束縛。
  升環施法效應：使用的法術位每比五環高一環，法術造成的傷害增加1d8。</t>
  </si>
  <si>
    <t>召喚妖精之力</t>
  </si>
  <si>
    <t>Conjure Fey</t>
  </si>
  <si>
    <t>你將來自妖精荒野的中型精魂咒喚在施法距離內一處你可見的未佔據空間。精魂在持續時間內一直存在，其外貌看起來像是一名你選擇的妖精生物。當精魂顯現時，你可以對位於精魂5呎內的一名生物進行一次近戰法術攻擊。命中則目標受到等於3d12加你施法屬性調整值總和的心靈傷害，並且直到你的下個回合開始為止，目標處於恐懼狀態，你和精魂均是目標的恐懼源。
  在後續的你的回合中，以一個附贈動作，你可以將精魂傳送至一處位於其原位置30呎內的你可見的未佔據空間，並對位於精魂5呎內的一名生物進行上述攻擊。
  升環施法效應：使用的法術位每比六環高一環，法術造成的傷害增加1d12。</t>
  </si>
  <si>
    <t>Conjure Minor Elementals</t>
  </si>
  <si>
    <t>你在持續時間內將來自元素位面的精魂咒喚在你身周15呎光環區域內。直到法術結束為止，你進行的任何攻擊檢定命中光環區域內的生物時，額外造成2d8的傷害。傷害類型為強酸、寒冷、火焰或閃電的一種（在你發動攻擊時選擇）。
  此外，光環區域內的地面對你的敵人而言是困難地形。
  升環施法效應：使用的法術位每比四環高一環，法術造成的傷害增加1d8。</t>
  </si>
  <si>
    <t>Conjure Volley</t>
  </si>
  <si>
    <t>你揮舞作為施法材料的武器並選擇施法距離內一點。數以百計相似的幽靈武器（或適合這把武器的彈藥）齊射而出，並在之後消失。以那一點為中心，半徑40 呎、高20 呎的柱狀區域內的每名由你選擇且你可見的生物進行一次敏捷豁免檢定，豁免失敗者將受到8d8的力場傷害，豁免成功則只受一半傷害。</t>
  </si>
  <si>
    <t>↑</t>
  </si>
  <si>
    <t>Conjure Woodland Beings</t>
  </si>
  <si>
    <t>你在持續時間內將自然精魂咒喚在你身周10呎光環區域內。每當光環區域進入一名你可見生物所在的空間時、一名你可見的生物進入光環區域或是在該區域結束其回合時，你都可以迫使該生物進行一次感知豁免檢定。失敗則該生物受到5d8的力場傷害，成功則傷害減半。一名生物一回合只需要進行一次該豁免。
  此外，在持續時間內，你可以以附贈動作執行撤離動作。
  升環施法效應：使用的法術位每比四環高一環，法術造成的傷害增加1d8。</t>
  </si>
  <si>
    <t>Contact Other Plane</t>
  </si>
  <si>
    <t>你與一名半神、一位古老賢者的亡魂或是其他位面的博學實體建立了精神的連結。與超越人智存在的連結可能會破壞你的心智。當你施展此法術時，進行一次DC15 的智力豁免。豁免成功時，你可以詢問該實體最多五個問題。你必須在法術結束前提出你的問題。 DM 將以一個字回答你的每個問題，例如“是”“不是”“可能”“不可能”“無關”或“不清楚”（如果該實體不知道該問題的答案）。如果一個單字的答案會造成誤解，DM 可能會用一句話作為答案。
  當豁免失敗時，你將受到6d6的心靈傷害並且直到你完成一次長休為止，你處於失能狀態。對你施展法術高等復原術將結束該效應。</t>
  </si>
  <si>
    <t>Contagion</t>
  </si>
  <si>
    <t>7 天</t>
  </si>
  <si>
    <t>你的觸碰會傳染魔法疫病。目標必須成功於一次體魄豁免，否則受到11d8點毒素傷害並陷入中毒狀態。此外，在你施展法術時選擇一項屬性。處於中毒狀態期間，目標在所選屬性的豁免上具有劣勢。
  目標的每一回合結束時，必須進行一次體魄豁免直到其累積三次成功或失敗。若該目標累計三次該豁免成功，則法術終止。若該目標累計三次該豁免失敗，其身上的法術會持續7日。
  每當中毒的目標受到能夠結束其中毒狀態的效應作用時，目標必須成功於一次體魄豁免，否則其陷入的中毒狀態不會終止。</t>
  </si>
  <si>
    <t>Contingency</t>
  </si>
  <si>
    <t>一尊價值1500gp+的飾寶石自塑像</t>
  </si>
  <si>
    <t>選擇一道五環或以下的你能夠施展的法術，其施法時間需為動作且能以你為目標。這道法術稱為憑依法術。你作為施展觸發術的一部分施展憑依法術，同時消耗憑依法術與觸發術的法術位，但憑依法術並不會即效生效，而是在滿足特定觸發條件時才生效。你在施展這兩道法術的時候描述觸發條件。例如，觸發術與水下呼吸一起施展可以確保水下呼吸在你被水或類似液體淹沒時觸發其效應。
  憑依法術的效應在對應狀況第一次出現時即效生效，而無論你是否想要這麼做，在那之後觸發術隨即終止。
  憑依法術的效應只能作用於你，即使它通常可以指定其他目標也無法再作指定。你同一時間只能使用一道觸發術。如果你再次施展該法術，則你身上前一道觸發術的效應即效終止。另外，當觸發術的材料成分不在你身上時，你身上的觸發術效應也會即效終止。</t>
  </si>
  <si>
    <t>Continual Flame</t>
  </si>
  <si>
    <t>價值50gp+的紅寶石塵，作為此法術的耗材</t>
  </si>
  <si>
    <t>你所觸碰的物件上冒出火焰。此效應發出20呎半徑的明亮光照和額外20呎的微量光照。
  法術效應看起來與一般火焰無異，不過其並不會發熱，也不需要燃料。你可以掩蓋或隱藏火焰，但無法將其悶熄或撲滅。</t>
  </si>
  <si>
    <t>Control Water</t>
  </si>
  <si>
    <t>300 呎</t>
  </si>
  <si>
    <t>水塵混合物</t>
  </si>
  <si>
    <t xml:space="preserve"> 直到法術結束為止，你控制你指定的一處邊長100呎的立方區域中的任意一處獨立水體，從以下效應中選擇其一生效。在你之後的每個自己回合中，你可以用一個魔法動作重複同一效應，或是選擇另一個效應。
  上漲Flood。你使控制區域內水位上升最多20呎。如果你指定的區域是一片大水體中的一部分，則你改為製造一片20呎高的波浪，並從區域的一邊撲向另一邊再拍下水面。波浪中任何巨型或更小的載具都會被帶到水浪行進的另一邊。且所有巨型或更小的載具都有25%的幾率傾覆。
  直到法術終止或你選擇另一個效應前，水位的上升情況將保持不變。如果該效應用於產生波浪，則波浪在你下一回合開始時再次進行翻打。
  分水Part Water。你使區域內的水體分開並形成一條水體的溝壑。溝壑從法術區域的一頭延伸到另一頭，而被分開的水體則在兩邊形成兩道水牆。溝壑持續存在至法術終止或直至你選擇另一個效應。此效應終止時，水流會逐漸在下一輪中將溝壑填滿，直到其恢復成通常的水位。
  轉向Redirect Flow。你使區域內的水體向一個你自選的方向流動，即使水流需要繞過障礙，或沿著牆壁向上流，甚至流向一些不太可能的方向，區域內的水體都將遵照你指使的方向流動，但一旦其流出法術區域，則會重新基於其所在地形選擇流向。水體持續向你所選方向流動，直到法術終止或直到你選擇另一個效應。
  漩渦Whirlpool。此效應需要水體至少50呎的方形區域並且至少有25呎深。你在區域中央形成一個漩渦。其形態為底部寬5呎，頂部寬50呎，高25呎。水中任何距漩渦25呎內的生物或物體均被漩渦向自身拉動10呎。當生物在一個回合內第一次進入漩渦或在漩渦內結束其回合時，受影響的生物進行一次力量豁免。豁免失敗則受到2d8點鈍擊傷害。豁免成功則只受一半傷害。一個生物若想以游泳方式離開漩渦，則必須先用一個動作遠離漩渦並成功於一次對抗你法術豁免DC的力量（運動）檢定。</t>
  </si>
  <si>
    <t>Control Weather</t>
  </si>
  <si>
    <t>燃燒的薰香</t>
  </si>
  <si>
    <t>最多 8 小時</t>
  </si>
  <si>
    <t xml:space="preserve"> 你在法術持續時間內操控距你5哩內的天氣。你在施法時必須位於戶外，如果你回到室內，法術會提前終止。
  當你施展此法術時，可以改變現有的天氣狀況（由DM決定）。你可以改變降水、氣溫和風勢。新狀況需要1d4×10 分鐘才能發揮作用。一旦新狀況起效，你便能再次改變天氣狀況。法術結束時，天氣狀況會逐漸回歸正常。
  改變天氣狀況時，你可以從下述表格找出與目前狀況對應的等級，再選擇同一表格中高一級或低一級的狀況作為其改變結果。改變風勢時，你還可以同時改變其風向。
  降水Precipitation
階段	狀況
1	晴
2	薄雲
3	多雲或有霧
4	雨、冰雹或雪
5	傾盆大雨、猛烈冰雹或漫天暴雪
        氣溫Temperature
階段	狀況
1	酷熱
2	炎熱
3	溫暖
4	涼爽
5	寒冷
6	極寒
        風勢Wind
階段	狀況
1	靜風
2	和風
3	強風
4	大風
5	暴風</t>
  </si>
  <si>
    <t>Cordon of Arrows</t>
  </si>
  <si>
    <t>一根裝飾穗帶</t>
  </si>
  <si>
    <t xml:space="preserve"> 8 小時</t>
  </si>
  <si>
    <t>你觸碰最多四根非魔法箭矢或弩矢，將其插入位於你所處空間的地面上。直到法術結束為止，這些彈藥不能被物理方法拔起，且當除你之外的生物第一次進入距彈藥30呎內空間或在距彈藥30呎內空間結束回合時，一枚彈藥便會飛起攻擊此生物。那名生物必須成功於一次敏捷豁免，否則會受到2d4點穿刺傷害。那枚彈藥隨之被摧毀。當所有彈藥都沒有插在地面上時，法術就終止。
  施展法術時，你可以指定任意名你選擇的生物，法術效應將無視於他們。
  升環施法效應Using a Higher-Level Spell Slot。使用的法術位每比二環高一環，可被影響的彈藥數量增加兩枚。</t>
  </si>
  <si>
    <t>Counterspell</t>
  </si>
  <si>
    <t>反應，當你看見距你60呎內一名生物施展一道具有聲音、姿勢或材料成分的法術時</t>
  </si>
  <si>
    <t>你試圖打斷正在施法的生物。該生物進行一次體魄豁免。豁免失敗，則法術消散且毫無效果，並且用於施展法術的動作，附贈動作或反應隨之浪費。如果那道法術是使用法術位施展的，則法術位並不會消耗。</t>
  </si>
  <si>
    <t>Create Food and Water</t>
  </si>
  <si>
    <t>你在施法距離內的地面或容器中創造45磅食物和30加侖淡水，此法術創造的食物和水均可用於避免飢餓和脫水的危害。食物味道寡淡卻營養豐富，看起來像一種你選擇的食物，水也是乾淨的。食物若24 小時內未被食用即會變壞。</t>
  </si>
  <si>
    <t>Create or Destroy Water</t>
  </si>
  <si>
    <t>水沙混合物</t>
  </si>
  <si>
    <t>你選擇其一執行：
  造水Create Water。你在施法距離內一個打開的容器中創造最多10加侖乾淨的水。或以降雨的方式在施法距離內一處30呎的立方區域降下等量水分並澆熄區域內不受遮蓋的火焰。
  枯水Destroy Water。你使施法距離內一個打開的容器里最多10加侖水枯竭不見。或使施法距離內一片30呎立方區域的濃霧消失不見。
  升環施法效應Using a Higher-Level Spell Slot。使用的法術位每比一環高一環，法術就多創造或枯竭10加侖額外的水分，或影響的立方區域邊長增加5呎。</t>
  </si>
  <si>
    <t>Create Undead</t>
  </si>
  <si>
    <t>每具屍體一顆價值150gp+的縟瑪瑙</t>
  </si>
  <si>
    <t>你只能在夜晚施展這道法術。選擇施法距離內最多三具中型或小型類人生物屍體。每具屍體都會變成一隻你控制下的食屍鬼Ghoul。
  在每個你的回合用一個附贈動作，你能精神性地命令任何距你120呎內以此法術活化的生物（如果你操縱多個生物，則你的命令可以同時傳達給它們中的任意成員，不過只能使用同一種指令）。你決定生物下回合使用何種動作並決定它們移動至何處，抑或你可以下達寬泛的命令，例如守護某個房間或某處走廊。沒有接受到你命令的生物則只會採取迴避Dodge動作並只會為了避免受傷而移動。一旦被下達命令，該生物會持續執行命令直到任務完成。
  你只能操縱生物24 小時，在那之後它會拒絕執行你曾經下達的​​任何命令。若你在目前的24 小時時間段終止前再次施展此法術，則你對該生物的操縱時間再延長24 小時。法術的此種用法只能延長你對最多三個你使用此法術所創造生物的控制時間，不會造出新的生物。
  升環施法效應Using a Higher-Level Spell Slot。使用七環法術位施展該法術時，你可以喚起並維持四隻食屍鬼Ghoul。使用八環法術位施展法術時，你可以喚起並維持五隻食屍鬼Ghoul，也可以改為喚起並維持兩隻妖鬼Ghast，或兩隻屍妖Wight。當你使用九環法術位施展該法術時，你可以喚起並維持六隻食屍鬼Ghoul，也可以改為喚起並維持三隻妖鬼Ghast，或三隻屍妖Wight，或兩隻木乃伊Mummy。</t>
  </si>
  <si>
    <t>Creation</t>
  </si>
  <si>
    <t>一支畫筆</t>
  </si>
  <si>
    <t>特殊</t>
  </si>
  <si>
    <t>你從墮影冥界取來一些暗影物質，在施法距離內創造一個物件。你可以創造一個植物質（類似紡織品、繩子、木質等）物件，也可以創造出一個礦物質（類似石質、水晶、金屬等）物件。創造出來的物體大小必須不超過5呎立方，且其必須是一種你所見過的形態與材質。
  法術的持續時間由所創造物體的材質決定，如材料表所示。若所創造物件由多種材質組合而成，則其存在時間取其中最短者。施展其他法術時，如果以這些創造物作為其材料成分將會使該法術失敗。
  材料Materials
材料        持續時間
植物質        24 小時
岩石或水晶        12小時
貴金屬        1 小時
寶石        10 分鐘
精金或秘銀        1 分鐘
        升環施法效應：使用的法術位每比五環高一環，創造物尺寸的立方邊長就增加5呎。</t>
  </si>
  <si>
    <t>Crown of Madness</t>
  </si>
  <si>
    <t>一名施法距離內你可見的生物必須成功於一次感知豁免，否則於法術持續時間內陷入魅惑狀態。非類人生物自動成功於此豁免。
  一頂虛體王冠出現在被魅惑目標的頭頂，且目標每回合必須在移動之前使用其動作對除自身以外你精神性選擇的目標發動一次近戰攻擊。若你並未選擇任何生物，或目標觸及內沒有生物，則目標可在其回合正常行動。目標在其每回合結束時都可以重新豁免，豁免成功則結束其身上該法術的效應。
  在施法後，你必須在每個自己回合中用一個魔法動作來維持對目標的控制，否則法術就會終止。</t>
  </si>
  <si>
    <t>Crusader's Mantle</t>
  </si>
  <si>
    <t>你在30呎光環範圍內散發出魔法靈光。位於靈光範圍期間，你和你盟友的武器攻擊或徒手打擊命中時將額外造成1d4點光耀傷害。</t>
  </si>
  <si>
    <t>Cure Wounds</t>
  </si>
  <si>
    <t>你觸碰的一名生物恢復等同於2d8+你施法屬性調整值點生命值。
  升環施法效應：使用的法術位每比一環高一環，治療量增加2d8點。</t>
  </si>
  <si>
    <t>Dancing Lights</t>
  </si>
  <si>
    <t>一點磷</t>
  </si>
  <si>
    <t>你在施法距離內創造最多四個火把大小的光源，使其在法術持續時間內看起來如同火把、燈籠或懸浮珠。或者，你可以將四個光源合併為一個發光的中型形態，使其看起來像模糊的人形。無論你選擇哪一種形態，每個光源都會發出10呎半徑的微量光照。
  用一個附贈動作，你可以將光源移動到多60呎至施法距離內的一處空間。由此法術所創造的光源必須在另一個光源20呎內，而離開施法距離的光源會隨即熄滅。</t>
  </si>
  <si>
    <t>Darkness</t>
  </si>
  <si>
    <t>蝙蝠毛與一塊煤</t>
  </si>
  <si>
    <t>你指定施法距離內一點，並在法術持續時間內使魔法性黑暗充斥以該點為中心半徑15呎的球狀區域。黑暗視覺也無法看穿這這種黑暗，非魔法的光線也無法將其照亮。
  或者，你可以將此法術施展於一個未被著裝或攜帶的物體上，使黑暗充斥以該物體為中心的15呎光環區域。將此物件用不透明的東西遮掩（例如用碗或頭盔蓋住）時，會將黑暗隔絕。
  如果法術區域與任何二環或更低環階法術創造的明亮光照或微光光照區域重疊，則這些造光的法術將被解除。</t>
  </si>
  <si>
    <t>Darkvision</t>
  </si>
  <si>
    <t>一根乾胡蘿蔔</t>
  </si>
  <si>
    <t xml:space="preserve">  一名你觸摸的自願生物在法術持續時間內擁有150呎黑暗視覺。</t>
  </si>
  <si>
    <t>Daylight</t>
  </si>
  <si>
    <t>法術持續時間內，日光從施法距離內一點發散而出，填滿一個60呎球狀區域。日光區域視為明亮光照，且會再額外散發出60​​呎微光光照。
  或者，你可以將此法術施展於一個未被著裝或攜帶的物件上，使日光充斥以該物件為中心的60呎光環區域。將此物件用不透明的東西遮掩（例如用碗或頭盔蓋住）時，會將日光隔絕。
  如果法術區域與任何三環或更低環階法術所創造的黑暗區域重疊，則這些造暗的法術將被解除。</t>
  </si>
  <si>
    <t>Death Ward</t>
  </si>
  <si>
    <t>你觸摸一名生物，並給予其對死亡的防護。目標第一次生命值因承受傷害而降至0時，改為其生命值降至1，隨後法術終止。
  若目標在法術生效時受到不造成傷害但直接致死效應影響時，改為目標受到的致死效應失效，隨後法術終止。</t>
  </si>
  <si>
    <t>Delayed Blast Fireball</t>
  </si>
  <si>
    <t xml:space="preserve">塑能
</t>
  </si>
  <si>
    <t>一顆蝙蝠糞和硫磺搓成的小球</t>
  </si>
  <si>
    <t>一束黃光從你的指尖射向施法距離內你指定的一點，並在法術持續時間內在該點凝結成一顆珠子。法術終止時，珠子將伴著低吼炸裂成四竄的烈焰，位於目標點半徑20呎球狀區域內的每名生物都必須進行一次敏捷豁免。豁免失敗者將承受全部累積的火焰傷害，豁免成功則傷害減半。
  此法術的基礎傷害為12d6，且若在你回合結束時法術尚未終止，則其傷害增加1d6。
  如果珠子爆炸前被生物觸碰到，則該生物必須進行敏捷豁免。豁免失敗則法術即效終止並觸發爆炸效應。豁免成功則該生物可將珠子拋開最多40呎。當珠子進入一名生物的空間或撞到某個固態物件時，法術即效終止並觸發爆炸效應。
  珠子爆炸時，區域內未被穿著或攜帶的可燃物件會開始燃燒。
  升環施法效應：使用的法術位每比七環高一環，基礎傷害就會提高1d6點。</t>
  </si>
  <si>
    <t>Demiplane</t>
  </si>
  <si>
    <t>你在施法距離內你可見的一處平坦固體表面上創造一扇虛幻的中型門。這扇通往半位面的門可以被關閉和開啟。半位面是一間各邊均長30呎，木質或石質（由你選擇）的空房間。
  法術終止時，門消失不見，任何仍位於半位面中的物體會留在內部。任何仍然位於半位面中的生物也會留在那裡，除非他們選擇在門消失的時候被拋出，在距門先前佔據的空間中最近的未佔空間中落地，陷入伏地狀態。
  你每次施展此法術時都可以創造一個新的半位面，也可以將門連向你先前用此法術創造的半位面。此外，如果你知曉了某個其他生物用此法術創造的半位面的本質和內容物，則你也可以透過此法術連接到那裡。</t>
  </si>
  <si>
    <t>Destructive Wave</t>
  </si>
  <si>
    <t>毀滅能量從你身上擴散而出，覆蓋了30呎光環範圍。光環範圍內你選擇的每個生物進行一次體魄豁免。豁免失敗者受到5d6點雷鳴傷害和5d6點光耀或暗蝕傷害（由你選擇）並且陷入伏地狀態。豁免成功只受一半傷害。</t>
  </si>
  <si>
    <t>Detect Evil and Good</t>
  </si>
  <si>
    <t>在法術持續時間內，你定位距你30呎內任何異怪、天界生物、元素生物、精類、邪魔、不死生物。你也可以感知到範圍內是否具有啟動的聖居Hallow並確定其位置。
  此法術會被1呎厚的岩石、泥土或木頭，1寸厚的金屬，或薄薄一層鉛阻隔。</t>
  </si>
  <si>
    <t>Detect Magic</t>
  </si>
  <si>
    <t>在法術持續時間內，你感受到距你30呎內的魔法效應。若你感知到了此類效應，則你可以用一個魔法動作以看到任何帶有此魔法的可見生物或物體周圍環繞著微弱的靈光，且若此魔法屬於被法術創造的效應，則你可分辨出其所屬的魔法學派。
  此法術會被1呎厚的岩石、泥土或木頭，1寸厚的金屬，或薄薄一層鉛阻隔。</t>
  </si>
  <si>
    <t>Detect Poison and Disease</t>
  </si>
  <si>
    <t>在法術持續時間內，你定位距你30呎內的毒藥、有毒生物和魔法疾病。你可以感知到毒藥、有毒生物和疾病的種類。
  此法術會被1呎厚的岩石、泥土或木頭，1寸厚的金屬，或薄薄一層鉛阻隔。</t>
  </si>
  <si>
    <t>Detect Thoughts</t>
  </si>
  <si>
    <t>1cp</t>
  </si>
  <si>
    <t>你啟動下述效應之一。直到法術結束為止，你可以在你隨後的回合用一個魔法動作以啟動下述任意效應之一。
  感知思想Sense Thoughts。你感知到你30呎內，知曉語言或能心靈感應的思想的存在。你並不會閱讀這些思想，但你知道這裡存在著一個有理智的生物。
  此法術會被1呎厚的岩石、泥土或木頭，1寸厚的金屬，或薄薄一層鉛阻隔。
  閱讀思想Read Thoughts。選擇一名距你30呎內的可見生物，或距你30呎內被感知思想偵測到的生物。你了解到此時目標最關心的事。如果目標不知曉任何語言也不會心靈感應，則你不能得到任何資訊。
  在你的下一回合，用一個魔法動作，你可以試著深入目標的心靈。如果你選擇這麼做，目標進行一次感知豁免。豁免失敗，則你了解到他的邏輯推理、情緒狀態以及他頭腦中的一些大事（例如憂慮、摯愛和仇恨的事物）。豁免成功，法術終止。無論哪種情況，目標都會知道你正在窺探其心靈，並且直到你的注意力從它的心靈上移開為止，目標均可以在其回合內使用動作進行一次智力（奧秘）檢定，對抗你的法術豁免DC，目標勝出對抗時，法術終止。</t>
  </si>
  <si>
    <t>Dimension Door</t>
  </si>
  <si>
    <t xml:space="preserve"> 你將傳送至施法距離內的地點。你會準確到達該目的地。法術的目的地可以是你能看見的、可想像的地點，也可以是通過距離和方向說明的地點，比如“徑直向下200呎”，“西北偏上45度300呎”。
  你還可以帶一個自願生物。該生物在你施法時必須距你5呎內，且其傳送終點也位於你所選目的地的5呎內。
  如果你、你攜帶的生物、或兩者均被將傳送至一處已被一名生物佔據、或被一個或更多物體填滿的空間中，則你和任何與你一起傳送的生物都將受到4d6點力場傷害，且傳送失敗。</t>
  </si>
  <si>
    <t>Disguise Self</t>
  </si>
  <si>
    <t>你改變自身以及隨身的衣物、護甲、武器等在你身上的所有物。此效應在法術終止時結束。肉眼看來你的身高可以有1呎的增減，體態可胖可瘦。你必須選擇一個和你肢體基礎排列方式一致的形態。此外，幻術的影響範圍由你決定。
  此法術產生的變化無法應付物理檢查。例如，你用此法術添了一頂帽子，那麼現實物件就會從帽子穿過去，且任何觸碰帽子的人將摸不到任何東西。
  如果生物想要分辨你是否易容，則必須使用一個研究動作研究你的外貌，並成功於一次對抗你法術豁免DC的智力（調查）檢定。</t>
  </si>
  <si>
    <t>Disintegrate</t>
  </si>
  <si>
    <t>一塊天然磁石和灰塵</t>
  </si>
  <si>
    <t>你向施法距離內一個你能看見的目標射出一道綠色射線。這個目標可以是一名生物或一個非魔法物件，或是魔法力場的創造物（例如由力場牆創造的牆壁）。
  目標生物必須進行一次敏捷豁免，豁免失敗則受10d6+40點力場傷害，若目標生命值因此降至0，則目標連同其穿著和攜帶的非魔法物品一起變成一堆灰塵。該生物只能透過完全復活術或祈願術復活。
  此法術會直接解離大型或更小的非魔法物件或魔法力場造物。如果目標是巨型或更大的物體或魔法力場造物，則此法術會解離其10呎立方大小的部分。
  升環施法效應：使用的法術位每比六環高一環，傷害就會提高3d6。</t>
  </si>
  <si>
    <t>Dispel Evil and Good</t>
  </si>
  <si>
    <t>在施法距離內指定一名生物、物體或一處魔法效應。所有影響該目標的三環或更低環階法術即告終止。每個影響目標的四環或更高環階法術都需要以你的施法屬性進行一次屬性檢定（DC 10+目標法術環階），檢定成功時目標法術終止。
  升環施法效應Using a Higher-Level Spell Slot。你直接終止影響目標的小於等於該施法環階的法術效應。</t>
  </si>
  <si>
    <t>Dispel Magic</t>
  </si>
  <si>
    <t>Dissonant Whispers</t>
  </si>
  <si>
    <t xml:space="preserve"> 一名施法距離內你選擇的可見生物的心靈中聽見一段不協和旋律。目標進行一次感知豁免。豁免失敗則受到3d6點心靈傷害，並即效執行其反應（若可用）盡可能往遠離你的方向移動，並採取最安全的路徑。豁免成功則只受一半傷害。
  升環施法效應Using a Higher-Level Spell Slot。使用的法術位每比一環高一環，傷害就會提高1d6。</t>
  </si>
  <si>
    <t>Divination</t>
  </si>
  <si>
    <t>價值25gp+的薰香，作為此法術的耗材</t>
  </si>
  <si>
    <t>此法術讓你得以與一位神祇或其僕人取得聯絡。你可以就某個未來7日內將要發生的特定目標、事件或活動提出一個問題。 DM將給予你真實的答复，這個答复可能是一段短語或一節神秘的短詩。此法術的回答並不會顧及所有可能影響結果的情況。例如其他法術的影響。
  若你在完成一次長休之前施展多於一次該法術，則法術有機率不給出任何結果。此機率從第二次施展起每次累計25％。</t>
  </si>
  <si>
    <t>Divine Favor</t>
  </si>
  <si>
    <t xml:space="preserve"> 直到法術結束前，你使用武器的攻擊在命中時造成額外1d4點光耀傷害。</t>
  </si>
  <si>
    <t>Divine Smite</t>
  </si>
  <si>
    <t>被該次攻擊檢定命中的目標會在此次攻擊中額外受到2d8點光耀傷害。若目標為邪魔或不死生物，此傷害增加1d8。
  升環施法效應Using a Higher-Level Spell Slot。使用的法術位每比一環高一環，傷害就會提高1d8。</t>
  </si>
  <si>
    <t>Divine Word</t>
  </si>
  <si>
    <t>你吟誦一句充盈上層位面力量的箴言。在施法距離內你指定的生物進行一次魅力豁免。豁免失敗者，若其生命值低於50，則基於其當前生命值承受以下效應，如聖言效應表中所示。無論其生命值如何，失敗於豁免的天界生物、元素生物、精類、邪魔均會被遣送回其起源位面（若其並不在其起源位面）並且除非通過祈願術，否則其在24 小時內不能以任何方式返回目前位面。
  聖言效應Divine Word Effects
生命值        效應
0-20        目標死亡。
21-30        目標陷入目盲、耳聾、震懾狀態，持續1 小時。
31-40        目標陷入目盲、耳聾狀態，持續10 分鐘。
41-50        目標陷入耳聾狀態，持續1 分鐘。</t>
  </si>
  <si>
    <t>Dominate Beast</t>
  </si>
  <si>
    <t>一名法術範圍內你可見的野獸必須成功於一次感知豁免，否則在持續時間內陷入魅惑狀態。若你或你的盟友正在與其戰鬥，則目標在此豁免上具有優勢。目標受到傷害時，可以重複進行豁免，豁免成功則其身上的此法術終止。
  該野獸被魅惑期間，只要你與其處於同一位面就可以與之保持心靈感應。在你的回合，你可以透過心靈感應命令生物（無需動作），例如「攻擊那個生物」「跑到那個位置」或「去拿那個物品」。當生物完成一項指令卻未收到你的進一步指示時，將會憑自身喜好行動，盡可能的保護自己。
  你可以用自己的反應去要求目標執行一項反應。
  升環施法效應：使用更高環階法術位施展時，你的專注能持續更長時間，五環最多 10 分鐘，六環最多 1 小時，七環及以上最多 8 小時。</t>
  </si>
  <si>
    <t>Dominate Monster</t>
  </si>
  <si>
    <t xml:space="preserve"> 一名法術範圍內你可見的生物必須成功於一次感知豁免，否則在持續時間內陷入魅惑狀態。若你或你的盟友正在與其戰鬥，則目標在此豁免上具有優勢。目標受到傷害時，可以重複進行豁免，豁免成功則其身上的此法術終止。
  目標被魅惑期間，只要你與其處於同一位面就可以與之保持心靈感應。在你的回合，你可以透過心靈感應命令生物（無需動作），例如「攻擊那個生物」「跑到那個位置」或「去拿那個物品」。目標完成一項指令卻未收到你的進一步指示時，將會憑自身喜好行動，盡可能的保護自己。
  你可以用自己的反應去要求目標執行一項反應。
  升環施法效應：使用更高環階法術位施展時，你的專注能持續更長時間，九環最多 8 小時。</t>
  </si>
  <si>
    <t>Dominate Person</t>
  </si>
  <si>
    <t xml:space="preserve"> 一名法術範圍內你可見的類人生物必須成功於一次感知豁免，否則在持續時間內陷入魅惑狀態。若你或你的盟友正在與其戰鬥，則目標在此豁免上具有優勢。目標受到傷害時，可以重複進行豁免，豁免成功則其身上的此法術終止。
  該目標被魅惑期間，只要你與其處於同一位面就可以與之保持心靈感應。在你的回合，你可以透過心靈感應命令生物（無需動作），例如「攻擊那個生物」「跑到那個位置」或「去拿那個物品」。目標完成一項指令卻未收到你的進一步指示時，將會憑自身喜好行動，盡可能的保護自己。
  你可以用自己的反應去要求目標執行一項反應。
  升環施法效應：使用更高環階法術位施展時，你的專注能持續更長時間，六環最多 10 分鐘，七環最多 1 小時，八環及以上最多 8 小時。</t>
  </si>
  <si>
    <t>Dragon’s Breath</t>
  </si>
  <si>
    <t>一根辣椒</t>
  </si>
  <si>
    <t>你觸摸一名自願生物，然後從強酸、寒冷、火焰、閃電或毒素中任選其一。在法術結束前，目標可以用一個魔法動作呼出15呎錐形範圍的吐息。區域內的所有生物進行一次敏捷豁免，豁免失敗受到3d6點所選類型的傷害，豁免成功只受一半傷害。
  升環施法效應Using a Higher-Level Spell Slot。使用的法術位每比二環高一環，傷害就提高1d6。</t>
  </si>
  <si>
    <t>Drawmij’s Instant Summons</t>
  </si>
  <si>
    <t>一顆價值1000gp+的藍寶石</t>
  </si>
  <si>
    <t>你觸摸施展法術時使用的藍寶石與一件最重不超過10磅，最長不超過6呎的物件。法術在物件上留下一個隱形的標記，也在藍寶石上留下隱形的物件名稱。你每次施展法術時都必須使用不同的藍寶石作為其材料成分。
  在那之後，你可以用一個魔法動作喚出該物體的名稱並粉碎這顆藍寶石，該物體將無視任何距離和位面的限制即效出現在你的手上，法術隨即終止。
  如果另一個生物正持握或攜帶著該物件，則粉碎藍寶石無法將該物品送過來。不過你會知曉是誰佔有了該物品，以及此刻身處何處。</t>
  </si>
  <si>
    <t>Dream</t>
  </si>
  <si>
    <t>一把沙</t>
  </si>
  <si>
    <t>你指定一名你知道且與你同處一個存在位面的生物。你或一個被你觸碰的自願生物將作為信差進入出神狀態。此狀態下，信差陷入失能狀態且速度降為0。
  如果目標正睡著，則信使可以在法術持續時間內出現在其夢中並在其沉睡期間與之交流。信差能夠塑造夢中的環境，創造景觀，物體和其他影像。信差可以隨時結束出神狀態，以此終止法術。目標在醒來後能清楚記得其夢境的內容。
  如果你施法時目標醒著，則信差可以了解這一點。此時信差可以終止出神並結束法術，或是等待目標入睡再進入其夢境。
  你可以讓信差以可怕的形像出現。但此時信差只能提供不超過十個字的訊息，隨後目標必須成功通過一次感知豁免。豁免失敗時，目標便無法從休息中獲益，並在其醒來時受到3d6點心靈傷害。</t>
  </si>
  <si>
    <t>德魯伊伎倆</t>
  </si>
  <si>
    <t>Druidcraft</t>
  </si>
  <si>
    <t>你向自然精魂低語，在施法距離內創造下述效應之一。
  感知天氣Weather Sensor。你創造一個微型而無害的感官效應，並以之預測你所在地接下來4小時的天氣狀況。此效應可表現為一個代表晴空的金球，一朵代表雨天的雲彩，代表雪日而飄飛的雪花等等。此效應將持續1輪。
  盛放Blossom。你可以即效讓一朵花綻放，一顆種子破殼，一片葉蕾發芽。
  感官效應Sensory Effect。你創造一個無害的感官效應，例如落葉，幽靈般舞動的小仙靈們，微風，動物的聲音或是臭鼬的微弱臭氣。此效應只能在5呎的立方空間內起效。
  點火Fire Play。你點亮或熄滅一根蠟燭、一根火把或一處小篝火。</t>
  </si>
  <si>
    <t>Earthquake</t>
  </si>
  <si>
    <t>一塊碎岩</t>
  </si>
  <si>
    <t>選擇施法距離內你可見的地面上一點。法術持續時間內，一股強烈的震顫在以震源為中心半徑100呎的圓形範圍內傳遞。在此範圍內的地面被視為困難地形。
  當你施展此法術時，以及法術持續時間內每個你的回合結束時，區域地面上的每個生物都必須進行一次敏捷豁免，豁免失敗則其陷入伏地狀態，且其專注被打斷。
  你也可以應用下述的額外效應：
  裂縫Fissures。在你施展此法術的回合結束時，受法術影響的區域會撕開總計1d6條裂縫。你選擇裂縫生成的地點，但裂縫的位置不可位於建築物之下。每條裂縫深1d10×10呎，寬10呎，並由影響區域的一邊向另一邊延伸。當裂縫撕開時，處於其位置上的生物必須成功通過一次敏捷豁免，否則將墜落其中。豁免成功則該生物在裂縫張開時隨之移動到裂縫的邊緣。
  建築Structures。當你施展此法術時及法術終止前你的每個回合結束時，地震對影響區域內的所有與地面有接觸的建築都造成50點鈍擊傷害。建築生命值降為0時即效崩塌。
  與該建築距離不大於該建築高度一半的生物進行一次敏捷豁免。豁免失敗則受12d6點鈍擊傷害並陷入伏地狀態且被埋於廢墟之下。該生物可用一個動作透過一次DC20的力量（運動）檢定來嘗試逃離廢墟。 DM可依廢墟的情況調整DC高低。豁免成功則只受一半傷害。</t>
  </si>
  <si>
    <t>Eldritch Blast</t>
  </si>
  <si>
    <t>你丟出一束爆裂能量。對施法距離內一名生物或物體發動一次遠程法術攻擊。如果命中，則該目標受1d10點力場傷害。
  戲法升級：此法術在5級時創造兩條射線，11級時三條，17級時四條。你可以使這些射線攻擊同一個目標或分別攻擊不同的目標。為每條射線分別進行攻擊檢定。</t>
  </si>
  <si>
    <t>Elemental Weapon</t>
  </si>
  <si>
    <t xml:space="preserve"> 一把你觸碰的非魔法武器變成魔法武器。選擇下述傷害類型之一：強酸、寒冷、火焰、閃電、雷鳴。法術持續時間內，那把武器在攻擊檢定上有+1加值，且在命中時造成額外1d4點你所選傷害類型的傷害。
  升環施法效應：使用五環或六環法術位時，攻擊檢定的加值變為+2，額外傷害變為2d4。使用七環或更高法術位時，攻擊檢定的加值變為+3，額外傷害變為3d4。</t>
  </si>
  <si>
    <t>Elementalism</t>
  </si>
  <si>
    <t>你操控元素，在施法距離內創造下述效應之一。
  召氣Beckon Air。你在5呎立方範圍內創造一股足以吹動布料，攪動灰塵，使落葉沙沙作響，關閉打開的門和百葉窗的和風。若打開的門或百葉窗被某人或某物頂住，則其不受該效應影響。
  召土Beckon Earth。你創造灰塵或沙子組成的薄帷，覆蓋在5呎方狀區域內的表面上，或者你可以在一堆泥土或沙子中使一個單字以你的手寫體出現。
  召火Beckon Fire。你在5呎立方範圍內創造一片無害餘燼與一股富有色彩和氣味的煙。你選擇煙的色彩和氣味，而餘燼可以點燃區域中的蠟燭、火把或油燈。煙的氣味會存留1 分鐘。
  召水Beckon Water。你在5呎立方範圍內創造一片涼爽的，使範圍內生物和物體略微潮濕的霧氣。或者，你可以在一個打開的容器或表面上創造一杯乾淨的水，水會在1 分鐘內蒸發。
  塑形元素Sculpt Element。你使1呎立方區域內的泥土、沙子、火焰、煙塵、霧氣或水呈現出一個粗略的形狀（如一名生物），持續1 小時。</t>
  </si>
  <si>
    <t>Enhance Ability</t>
  </si>
  <si>
    <t>毛髮或羽毛</t>
  </si>
  <si>
    <t xml:space="preserve"> 你觸碰一名生物並在力量、敏捷、智力、感知、魅力中選擇一種屬性。法術持續時間內，目標在使用所選屬性進行的屬性檢定上具有優勢。
  升環施法效應：使用的法術位每比二環高一環，就可以多指定一個目標。你可以為每個目標選擇不同的屬性。</t>
  </si>
  <si>
    <t>Enlarge/Reduce</t>
  </si>
  <si>
    <t>一撮鐵粉</t>
  </si>
  <si>
    <t xml:space="preserve">  在法術持續時間內，法術使施法距離內一個你可見的生物或物體的大小改變（見下可選效應）。若你以物件為目標，則其不能被穿著或攜帶。如果目標為非自願生物，則其可以進行一次體魄豁免。豁免成功則法術無效。
  如果目標是生物，則其服裝和攜帶物的尺寸也隨之變化。隨後任何從該生物身上脫離的物品都會即效恢復為正常大小。一把投擲武器或一枚彈藥在命中或未命中目標後會恢復為正常大小。
  變巨Enlarge。目標的體型增大一級（如中型到大型）。目標在力量檢定和力量豁免時具有優勢。目標使用變鉅的武器發動攻擊或進行徒手打擊時，命中時將額外造成1d4點傷害。
  縮小Reduce。目標的體型縮小一級（如中型到小型）。目標在力量檢定和力量豁免時具有劣勢。目標使用縮小的武器發動攻擊或進行徒手打擊時，命中時將額外減少1d4點傷害。</t>
  </si>
  <si>
    <t>Ensnaring Strike</t>
  </si>
  <si>
    <t>附贈動作，在你用武器命中目標後</t>
  </si>
  <si>
    <t>你命中目標時，目標身上出現一根緊緊將其攫住的藤蔓，使其進行一次力量豁免，大型或更大體型的生物進行該豁免時具有優勢。豁免失敗，則目標將直到法術結束為止陷入束縛狀態。豁免成功，則藤蔓即效枯萎，法術結束。
  處於束縛狀態期間，目標在其每回合開始受到1d6點穿刺傷害。目標或其他位於其觸及內的生物可用一個動作進行一次對抗法術豁免DC的力量（運動）檢定。檢定成功則法術結束。
  升環施法效應：使用的法術位每比一環高一環，傷害就提高1d6。</t>
  </si>
  <si>
    <t>Entangle</t>
  </si>
  <si>
    <t>纏繞的植物在施法距離內從20呎方狀區域地面中破土而出。在法術持續時間內，這片被植物覆蓋的區域變成困難地形。法術結束時，這些植物會消失。
  當你施展法術時，該區域內的生物（除你之外）必須成功於一次力量豁免，否則陷入束縛狀態，直到法術終止。一名因此被束縛的生物可以用其動作進行一次力量（運動）檢定對抗該法術的豁免DC。檢定成功則成功擺脫纏繞在其身上的藤蔓並不再被其束縛。</t>
  </si>
  <si>
    <t>Enthrall</t>
  </si>
  <si>
    <t>你編排一段讓人分心的話語，指定施法距離內任何你能看見的生物。目標生物必須進行一次感知豁免。如果你或你的同伴正在和目標生物戰鬥，則其自動成功於該豁免。豁免失敗時，目標直到法術終止前在感知（察覺）檢定和被動察覺上具有-10減值。</t>
  </si>
  <si>
    <t>Etherealness</t>
  </si>
  <si>
    <t>你進入目前所處位面與以太位面Ethereal Plane邊緣的重疊空間。你在法術持續時間內一直待在該以太邊界Border Ethereal。在此期間，你可以向任意方向移動。如果你向上或向下移動，則你移動的每呎距離需要額外消耗一呎的移動力。你可以察覺原位面，但所有事物都以灰度顯示，而你也看不到60呎外的東西。
  在以太位面期間，只有同樣處在以太位面的其他生物、物件和效應才能被你影響或影響你。不在以太位面的生物無法察覺你，也無法與你互動，除非有一個特性允許他們這麼做。
  當法術終止時，你即效回到原本所在的位面中與以太邊界中你所處位置相對應的空間位置。若你出現於一處被佔空間，則你即效被彈到最靠近的一處未佔空間中，並受到兩倍於你因此被移動呎數點的力場傷害。
  如果你在施展法術時正處於以太位面，或所在位面與以太位面不相連（例如某個外層位面），則法術即效結束。
  升環施法效應：使用的法術位每比七環高一環，你就可以多指定三名自願生物（包括你在內）。這些生物在你施法時必須離你10呎內。</t>
  </si>
  <si>
    <t>Evard’s Black Tentacles</t>
  </si>
  <si>
    <t>觸手</t>
  </si>
  <si>
    <t>蠕動的烏黑觸鬚填滿了一處施法距離內你可見的20呎方狀地面。在法術持續區間，這些觸手會將此區域變成困難地形。
  每名區域內的生物進行一次力量豁免。豁免失敗受到3d6點鈍擊傷害，並且直到法術結束為止陷入束縛狀態。一名進入此區域或在區域內結束回合的生物也要進行此豁免。一名生物一回合只進行一次此豁免。
  被束縛的生物可以用一個動作進行一次力量（運動）檢定對抗你的法術豁免DC，若檢定成功則結束其身上的束縛狀態。</t>
  </si>
  <si>
    <t>Expeditious Retreat</t>
  </si>
  <si>
    <t xml:space="preserve">  你採取疾走動作，直到法術結束為止，你均能以附贈動作進行疾走動作。</t>
  </si>
  <si>
    <t>Eyebite</t>
  </si>
  <si>
    <t>在法術持續時間內，你的眼睛變成漆黑虛空。一名你選擇的60呎內可見生物必須成功於進行一次感知豁免，否則將承受由你選擇的下列效應之一。
  在法術終止前的每個你的回合內，你可以使用一個魔法動作來指定另一個目標。不過你不能指定那些已經通過本次施展的該法術豁免的生物。
  沉睡Asleep。目標陷入昏迷狀態。其在受到任何傷害，或另一個生物使用一個動作搖晃它時，即可再次醒來。
  驚慌Panicked。目標陷入恐懼狀態，它必須在每個其自己回合裡執行疾走動作並移動，且以最短、最安全的路徑盡可能的逃離你，直至其無路可逃為止。如果目標移至一處距離你至少60呎遠且看不見你的空間，則此效應終止。
  患病Sickened。目標陷入中毒狀態。</t>
  </si>
  <si>
    <t>Fabricate</t>
  </si>
  <si>
    <t>你將一種原料轉化成該材料製作的成品。例如，你可以將一叢樹木轉化為一座木橋，一把麻草化為繩子，或是將亞麻和羊毛化作衣物。
  指定施法距離內你能看見的原料。只要有足夠的材料，你就可以將他們轉化為一件大型或更小的物件（最多佔據10呎立方區域或八個相鄰的5呎立方區域）。如果你的目標材料是金屬、石料或其他礦石材料，那麼被製造的物件就不能大於中型（最多佔據5 呎立方區域），製成品的品質和原料品質相同。
  該法術不能創造生物或魔法物品。你只有對製作某件物品的工匠工具擁有熟練項時，才能使用該法術製作相應需要高工藝水平製作的物品，如武器、護甲等。</t>
  </si>
  <si>
    <t>Faerie Fire</t>
  </si>
  <si>
    <t>施法距離內一處20呎立方區域內每個物體都會被藍色、綠色、或紫色的光所包圍（顏色由你指定）。區域內的生物則必須進行一次敏捷豁免，豁免失敗時也會被光線勾勒出輪廓。受術物體和生物在法術持續時間內發出10呎半徑的微量光照。
  受術生物或物體無法受益於隱形狀態，且任何能看見他們的攻擊者對其發動的攻擊檢定具有優勢。</t>
  </si>
  <si>
    <t>False Life</t>
  </si>
  <si>
    <t>一滴酒精</t>
  </si>
  <si>
    <t>你獲得2d4+4點臨時生命值。
  升環施法效應Using a Higher Level Spell Slot。使用的法術位每比一環高一環，其給予的臨時生命值就增加5。</t>
  </si>
  <si>
    <t>Fear</t>
  </si>
  <si>
    <t>30呎錐狀區域內的所有生物必須成功於一次感知豁免，豁免失敗者將丟棄其所有持握物，並在法術持續時間內陷入恐懼狀態。
  以此法被恐懼的生物必須在其回合內執行疾走Dash動作，並以此尋找最安全的路線遠離你，直至其無路可走為止。如果生物結束其回合時位於一條使其視覺線中沒有你的空間，則其可以再進行一次感知豁免，豁免成功則法術對該生物的效應終止。</t>
  </si>
  <si>
    <t>Feather Fall</t>
  </si>
  <si>
    <t>反應，你或距你60呎內的可見生物墜落時</t>
  </si>
  <si>
    <t>一小根羽毛或一塊羽絨</t>
  </si>
  <si>
    <t>指定施法距離內最多五個正墜落的生物。受術生物的墜落速度在法術持續時間內降低至每回合60呎。如果該生物在法術終止前落地，則其不會受到任何墜落傷害，且著地後法術對該生物的效應隨即終止。</t>
  </si>
  <si>
    <t>Feign Death</t>
  </si>
  <si>
    <t>一撮墓土</t>
  </si>
  <si>
    <t xml:space="preserve"> 你觸碰一名自願生物並將其變得如死去一樣的僵直狀態。
  在法術持續時間內，對目標進行的任何肉體檢查和法術檢測都顯示目標已處於死亡狀態。此狀態下的目標陷入目盲以及失能狀態，且其速度降至0。
  目標對除了心靈傷害外的所有傷害類型具有抗性，也免疫中毒狀態。</t>
  </si>
  <si>
    <t>Find Familiar</t>
  </si>
  <si>
    <t>價值10gp+的焚香，作為此法術的耗材</t>
  </si>
  <si>
    <t>你獲得一隻為你服務的魔寵，魔寵精魄可以採用下述你選擇的動物形態之一：蝙蝠Bat、貓Cat、青蛙Frog、鷹Hawk、蜥蜴Lizard、章魚Octopus、貓頭鷹Owl、老鼠Rat、渡鴉Raven、蜘蛛Spider、鼬Weasel，你也可以選擇其他挑戰等級為0的野獸作為魔寵的型態。魔寵出現在施法距離內一處未被佔據的空間，雖然有著所選的生物屬性數據，但其生物種類為天界生物，精類或邪魔（由你選擇）而非野獸。你的魔寵可脫離你獨立行動，不過它會一直遵循你的命令行事。
  心靈連結Telepathic Connection。你的魔寵距你100呎內期間，你可以與其進行心靈交流。此外，你還可以用一個附贈動作將自己的視覺和聽覺切換到魔寵的感官，並一持續至你下一回合開始。在此期間，你同時享有該魔寵自身的特殊感官。
  最後，當你施展施法距離為觸碰的法術時，你的魔寵可以幫你傳遞這道觸碰法術。此時你的魔寵必須離你100呎內，且其必須在你施展這道法術時執行一個反應將其傳遞。
  戰鬥Combat。魔寵是你和你盟友的盟友。戰鬥時，它為自己骰先攻，並在自己回合裡行動。魔寵無法攻擊，但是它能如常執行其他動作。
  魔寵消失Disappearance of the Familiar。當魔寵生命值降至0點時，它會消失。它會在你再次施展此法術後重新出現。你可以用一個魔法動作，暫時解散你的魔寵，將其送入一個口袋位面。你也可以選擇永久解散它。暫時解散時，你可以用一個魔法動作使其重新出現於距你30呎內任意未佔空間中。當魔寵生命值歸0或消失進入了口袋位面時，它都會將自己穿著或攜帶的任何物品留在自己曾經佔據的空間中。
  獨一無二One Familiar Only。你在同一時間不能擁有多於一隻魔寵。如果你在已擁有一隻魔寵期間施展此法術，作為替代，你會使其採用一個新的符合條件的形態。</t>
  </si>
  <si>
    <t>Find Steed</t>
  </si>
  <si>
    <t>你召喚某個異界存在作為忠誠坐騎，坐騎會出現在施法範圍內你選擇的未佔空間中。此生物使用異界坐騎Otherworldly Steed資料。如果你已經有一隻以此法術獲得的坐騎，則其會被新坐騎取代。
  坐騎看起來像一匹大型的可騎乘動物（由你選擇），例如一匹馬，一頭駱駝，一隻恐狼或一頭駝鹿。你在施展此法術時從下述三種生物類型中選擇坐騎的生物類型：天界生物，精類或邪魔，其數據中的特定特質由坐騎的生物類型決定。
  戰鬥 Combat。坐騎是你和你盟友的盟友。戰鬥時，它共用你的先攻，並在你騎乘它期間視同受控坐騎（如騎乘戰鬥規則中所定義）。如果你具有失能 Incapacitated 狀態，則坐騎會在你的回合之後立刻進行自己的回合並獨立行動，集中精力保護你。
  坐騎的消失 Disappearance of the Steed。坐騎在其降至 0 生命值或你死亡時會消失。當它消失時，它會將自己穿著或攜帶的任何物品留下。如果你再次施展此法術，你決定是重新召喚消失的那頭坐騎還是召喚一頭不同的。
  升環施法效應 Using a Higher Level Spell Slot。在生物數據中使用更高的法術環階。</t>
  </si>
  <si>
    <t>Find the Path</t>
  </si>
  <si>
    <t>一套價值100gp+的預言工具，如紙牌或符文</t>
  </si>
  <si>
    <t>最多 24 小時</t>
  </si>
  <si>
    <t>你魔法性地感知到通往你所陳述地點的最直接的物理路徑。你必須熟悉你所描述的地點，如果你尋找的目的地在另一位面，或者其會不斷移動（例如一座移動堡壘），或者描述不夠具體（例如“一條綠龍的巢穴”），該法術失效。
  你在法術持續時間內，只要和目的地在同一位面，就知曉目的地的遠近和所在方向。當你往目的地移動並遇到岔路時，你會得知哪一條路是最直接通往目的地的路。</t>
  </si>
  <si>
    <t>Find Traps</t>
  </si>
  <si>
    <t xml:space="preserve"> 你感測到施法距離範圍內，且在你視覺線範圍內的任何陷阱。此法術的目標「陷阱」包括任何創造意圖是造成傷害或其他傷害的物體或裝置。因此法術可以感測警報術和守衛銘文也可以發現某個陷坑型機械陷阱。不過它不能揭示地板的某處自然產生的脆弱點，或某處不穩定的天花板，又或是某個隱藏的陷坑。
  此法術只單純揭示陷阱的存在而不能得知陷阱的位置。不過你可以知曉所感測到陷阱其能夠構成危害的大致形式。</t>
  </si>
  <si>
    <t>Finger of Death</t>
  </si>
  <si>
    <t>你向施法距離內的一個可見生物釋放負能量。該生物必須進行一次體魄豁免。豁免失敗則受到7d8+30點黯蝕傷害，豁免成功則傷害減半。
  被該法術殺死的類人生物將在你下一回合開始時被喚起為一隻受你操控的殭屍Zombie，並在隨後盡力遵循你的口頭指令。</t>
  </si>
  <si>
    <t>Fire Bolt</t>
  </si>
  <si>
    <t>你對施法距離內一名生物或物體擲出一把火焰，對目標進行一次遠程法術攻擊。若命中，目標受到1d10點火焰傷害。未被著裝或攜帶的可燃物件被該法術命中時將開始燃燒。
  升級戲法效應：當你到達特定等級時，其傷害增加1d10（5級2d10、11級3d10、17級4d10）。</t>
  </si>
  <si>
    <t>Fire Shield</t>
  </si>
  <si>
    <t>一小塊磷或一隻螢火蟲</t>
  </si>
  <si>
    <t xml:space="preserve"> 輕薄縹緲的火焰在法術持續期間環繞著你的身體，散發出10呎半徑的明亮光照和額外10呎的微量光照。
  這層火焰可以提供你溫暖護盾或凍寒護盾，由你選擇。溫暖護盾將賦予你對寒冷傷害的抗性，而凍寒護盾則會賦予你對火焰傷害的抗性。
  此外，每當一名距你5呎內的生物以一次近戰攻擊命中你時，這個護盾將會迸發出火焰。溫暖護盾將對攻擊者造成2d8點火焰傷害，凍寒護盾將對攻擊者造成2d8點寒冷傷害。</t>
  </si>
  <si>
    <t>Fire Storm</t>
  </si>
  <si>
    <t>一片烈焰風暴出現在施法距離內。風暴的區域由最多十個10呎立方區域組成。你可以自行安排各立方區域的組合方式。每個立方區域必須至少與一個其他的立方區域相連。區域內每個生物必須進行一次敏捷豁免。豁免失敗者將受到7d10點火焰傷害，豁免成功則傷害減半。
  區域內所有未被著裝或攜帶的可燃物件會開始燃燒。</t>
  </si>
  <si>
    <t>Fireball</t>
  </si>
  <si>
    <t xml:space="preserve"> 明亮的閃光從你的指間飛馳向施法距離內你指定的一點，並隨著一聲低吼迸成一片烈焰。目標點周圍半徑20呎球狀區域內的每個生物必須進行一次敏捷豁免。豁免失敗者將受到8d6點火焰傷害，豁免成功則傷害減半。
  區域內所有未被著裝或攜帶的可燃物件會開始燃燒。
  升環施法效應Using a Higher Level Spell Slot。使用的法術位每比三環高一環，其傷害增加1d6。</t>
  </si>
  <si>
    <t>Flame Blade</t>
  </si>
  <si>
    <t>一片漆樹葉</t>
  </si>
  <si>
    <t>你在一隻空手上召出一把火焰刀。此刀刃的尺寸和形狀近似於一把彎刀並在法術持續時間內持續存在。當你放下刀刃時其將消失不見，但你可以用一個附贈動作重新將其喚出。
  你可以用一個魔法動作使用該火焰刀發動一次近戰法術攻擊。若命中，目標受到3d6+你的施法屬性調整值點火焰傷害。
  火焰刀提供半徑10呎的明亮光照，以及額外10呎的微光照。
  升環施法效應：使用的法術位每比二環高一環，其傷害增加1d6。</t>
  </si>
  <si>
    <t>Flame Strike</t>
  </si>
  <si>
    <t>一撮硫磺</t>
  </si>
  <si>
    <t>一支輝煌火焰的立柱從上方呼嘯著降落。位於以施法範圍內一點為中心，半徑10呎、高40呎柱狀區域內的每個生物必須進行敏捷豁免。豁免失敗者將受到5d6點火焰傷害和5d6點光耀傷害，豁免成功則傷害減半。
  升環施法效應：使用的法術位每比五環高一環，其火焰傷害和光耀傷害就均增加1d6。</t>
  </si>
  <si>
    <t>Flaming Sphere</t>
  </si>
  <si>
    <t>一顆蠟球</t>
  </si>
  <si>
    <t>一顆直徑5呎的火焰球顯現施法距離內你指定的地面上的一處未佔空間，並在法術持續時間內持續存在。任何生物在火球周圍5呎內結束其回合時必須進行一次敏捷豁免。豁免失敗者將受到2d6點火焰傷害，豁免成功則傷害減半。
  你可以用一個附贈動作將火球移動30呎。如果你將火球移入某位生物的空間，則該生物必須進行對抗火球傷害的豁免，而火球在該回合內停止移動。
  移動火球時，你可以指引它越過不高於5呎的障礙，或是越過不寬過10呎的陷坑。被火球觸碰的任何未被著裝或攜帶的可燃物件都會開始燃燒。火球向其周圍散發出半徑20呎的明亮光照，以及額外20呎的微光照。
  升環施法效應：使用的法術位每比二環高一環，其傷害增加1d6。</t>
  </si>
  <si>
    <t>Flesh to Stone</t>
  </si>
  <si>
    <t>一根雞蛇獸羽毛</t>
  </si>
  <si>
    <t>你試著將施法距離內一名你可見的生物變成石頭。目標必須進行一次體魄豁免。豁免失敗，目標陷入束縛狀態。豁免成功，目標的速度直到你的下個回合開始前變成0。構裝體在此豁免中自動成功。
  因該法術陷入束縛的生物必須在其每回合結束時再進行一次體魄豁免。在累計三次豁免成功後，法術終止。在累計三次豁免失敗後，生物被轉化為石頭並在持續時間內陷入石化狀態。成功或失敗的檢定不需要連續；只要記錄各情況的次數直至其中一方累計三次為止。
  如果你為該法術維持的專注持續至法術最長的持續時間，則該生物陷入的石化狀態將持續至被一道高等復原術或類似的魔法移除為止。</t>
  </si>
  <si>
    <t>Fly</t>
  </si>
  <si>
    <t>一根羽毛</t>
  </si>
  <si>
    <t xml:space="preserve"> 你觸碰一個自願生物。目標在法術持續時間內獲得60呎的飛行速度且可以懸浮。法術終止時，如果目標仍在空中則隨即墜落，除非其能停止墜落。
  升環施法效應：使用的法術位每比三環高一環，就可以額外再指定一名生物為法術目標。</t>
  </si>
  <si>
    <t>Fog Cloud</t>
  </si>
  <si>
    <t xml:space="preserve"> 你以施法距離內一點為中心創造一片半徑20呎的球狀濃霧。球狀區域被重度遮蔽。濃霧持續至法術持續時間結束，但仍可被強風（如造風術所創造的風）吹散。
  升環施法效應：使用的法術位每比一環高一環，濃霧的半徑就會增加20呎。</t>
  </si>
  <si>
    <t>Forbiddance</t>
  </si>
  <si>
    <t>價值1000gp+的紅寶石塵</t>
  </si>
  <si>
    <t>你創造一個對抗魔法旅行的結界，此結界區域最多覆蓋40000平方呎地面及其上30呎高的空間。在法術持續時間內，生物無法傳送進區域內或使用傳送門（如異界之門法術所創造的那種）進入其內。此法術使該區域無法進行位面旅行，因此生物無法通過星幽位面、以太位面、妖精荒野、墮影冥界，或透過異界傳送法術進入該區域。
  此外，此法術可以對你在施法時所選定類別的生物造成傷害。從下列選項中選擇一項或多項：異怪、天界生物、元素生物、精類、邪魔、不死生物。所選生物在一個回合內第一次進入法術區域或在其內結束回合時，將受到5d10點光耀傷害或黯蝕傷害（由你在施法時選擇其一）。
  施展該法術時，你可以設定一段密語。說出密語的生物即使進入區域也不會受到該法術的傷害。
  此法術的效應區域不能與另一道禁制術的區域重疊。如果你對同一區域連續30日每日施展禁制術，則其效應會持續至被解除，並在最後一次施法時將該​​法術的材料成分消耗殆盡。</t>
  </si>
  <si>
    <t>Forcecage</t>
  </si>
  <si>
    <t>100 呎</t>
  </si>
  <si>
    <t>價值1500gp+的紅寶石塵，作為此法術的耗材</t>
  </si>
  <si>
    <t xml:space="preserve"> 你圍繞施法距離內一處指定地點力場構築出一個固定的立方隱形監牢。你可以選擇監牢的形式為籠狀或盒狀。
  籠狀監牢為各邊長最多20呎的立方體，其牆體由1/2寸粗的力場柵欄桿組成，每根桿子之間相距1/2寸。盒狀監牢為各邊長最多10呎的立方體，其牆體為由力場牆密封，並阻擋一切物質進出，也會阻擋任何從區域向外界施展或從外界向區域施展的法術。
  施展法術時，所有完全在法術區域內的生物都會被牢籠困住。部分處於區域內或體型比區域更大的生物則被從區域中心向外推開，直到其完全離開該區域。
  牢籠內的生物不能以非魔法的手段離開。如果生物試圖使用傳送或跨位面旅行來離開牢籠，則其必須先進行一次魅力豁免。豁免成功則該生物可以用該魔法離開牢籠。豁免失敗者將無法以此離開牢籠並浪費掉該法術或效應。此牢籠同時延伸至以太位面從而屏蔽途經以太位面的旅行。
  該法術不能被解除魔法解除。</t>
  </si>
  <si>
    <t>Foresight</t>
  </si>
  <si>
    <t>一根蜂鳥羽毛</t>
  </si>
  <si>
    <t>你觸碰一名自願生物，並授予其預見近未來事件的有限能力。此目標在法術持續時間內在D20檢定上具有優勢。而其他生物對其進行攻擊檢定時具有劣勢。如果你在法術持續時間結束前再施展該法術，則原法術效應提前終止。</t>
  </si>
  <si>
    <t>Fount of Moonlight</t>
  </si>
  <si>
    <t>一道冷冽光芒在法術持續時間內繚繞你身，散發出20呎半徑的明亮光照和額外20呎的微量光照。
  直到法術結束，你具有光耀傷害的抗性，並且你的近戰攻擊在命中時額外造成2d6點光耀傷害。
  此外，在你受到距你60呎內一名可見生物的傷害後，你可以即效用一個反應，強迫其進行一次體魄豁免。豁免失敗者直到你的下個回合結束為止陷入目盲狀態。</t>
  </si>
  <si>
    <t>Freedom of Movement</t>
  </si>
  <si>
    <t>一條皮帶</t>
  </si>
  <si>
    <t>你觸碰一個自願生物，並使目標在法術持續時間內移動時不受困難地形限制，並且任何法術或其他魔法效應都​​不能降低目標的速度，或者使目標陷入麻痺或束縛狀態。目標也會獲得等同於其速度的游泳速度。
  該目標還可以花費5呎移動力直接從非魔法的束縛中掙脫（諸如鐐銬或生物使其陷入的被擒狀態）。
  升環施法效應：使用的法術位每比四環高一環，就可以額外再指定一名生物為法術目標。</t>
  </si>
  <si>
    <t>Friends</t>
  </si>
  <si>
    <t>一些化妝品</t>
  </si>
  <si>
    <t>你魔法性地向施法距離內的一名可見生物散發出友誼感。目標必須成功於一次感知豁免，否則在法術持續時間內陷入魅惑狀態。若目標並非類人生物，或你正在與其戰鬥，又或者你在過去24 小時內已經對其施展過這道法術，則其在豁免中自動成功。
  若目標受到傷害，或你進行一次攻擊檢定、造成傷害、迫使任何人進行一次豁免，則法術會提早結束。法術結束時，目標會知道他曾被你魅惑。</t>
  </si>
  <si>
    <t>Gaseous Form</t>
  </si>
  <si>
    <t>一小塊紗布</t>
  </si>
  <si>
    <t xml:space="preserve"> 在法術持續時間內，你將觸碰到的一名自願生物連同其穿著攜帶物一起轉化為一團雲霧。如果目標的生命值降至0或其以一個魔法動作終止其身上的法術效應，則該目標身上的法術終止。
  在這個型態下，目標唯一的移動方式即是10呎的飛行速度，且可以懸浮。這個目標可以進入並佔據一個已有生物佔據的空間。其擁有鈍擊、穿刺和揮砍傷害的抗性，其對倒地狀態免疫，且進行力量、敏捷和體魄豁免時具有優勢。此目標可以穿過狹隙，但會將液態物質視為固體表面。
  雲霧形態的目標不能講話或操作物件，其隨身攜帶或持握的物件不會掉落，也不能被使用或與之互動。另外，目標也不能攻擊或施法。
  升環施法效應：使用的法術位每比三環高一環，就可以額外再指定一名生物為法術目標。</t>
  </si>
  <si>
    <t>Gate</t>
  </si>
  <si>
    <t>一顆價值5000gp+的鑽石</t>
  </si>
  <si>
    <t>你召喚一扇傳送門將施法距離內你能看到的一處未佔空間與一個不同位面的準確地點連接在一起。傳送門是你打開的一個直徑5到20呎的圓形開口。其開口朝向你指定的任意方向，並持續至法術終止。傳送門在法術持續時間內一直存在，且可以透過傳送門看見其目的地。
  傳送門在每個位面顯現時均有著明確的正反面。只有從正面穿過傳送門的事物才能實現其傳送功能，從而傳送至另一面，並在離傳送門最近的未佔據空間中顯現。
  神祇和其他位面統治者可以阻止該法術在其所在或屬於其領域的任何地點創造傳送門。
  施展法術時，你可以說出某個特定生物的名字（不能是假名、頭銜、綽號等）。如果該生物在與你不同的位面，則傳送門會緊挨著被指名生物打開並將該生物傳送至你這一側，出現在離傳送門最近的未佔空間。你不會獲得任何用來控制被傳送生物的特殊能力，而它此時可以自由的作任何DM認為合適的行動。它可能離開，也可以攻擊你或協助你。</t>
  </si>
  <si>
    <t>Geas</t>
  </si>
  <si>
    <t>30 天</t>
  </si>
  <si>
    <t>你對施法距離內你能看見的一個生物下達一條魔法口頭命令，並強迫其執行相應的某種服務或克制某種行為，或遵照你的要求行動。目標必須成功通過感知豁免，否則將在法術持續時間內陷入魅惑狀態。目標不能理解你的命令，則其在豁免中自動成功。
  被魅惑生物每次做出與你的命令相違背的行為時，即受到5d10點心靈傷害。該傷害一日最多生效一次。
  除了涉及導致必死結果的行為外，你向目標下達的任何命令都會生效。如果你發布自殺指令則法術即時終止。
  一道移除詛咒，高等復原術或祈願術可以終止該法術。
  升環施法效應：使用七環或八環法術位施展法術時，持續時間變為365日。使用九環法術位施展法術時，法術將持續至上文提及的法術所終止。</t>
  </si>
  <si>
    <t>Gentle Repose</t>
  </si>
  <si>
    <t>2cp，作為此法術的耗材</t>
  </si>
  <si>
    <t>你觸碰一具屍體或其他遺骸。目標在法術持續時間內不會腐爛且無法被轉變為不死生物。
  此法術同樣可以有效的延長復活目標的時間限制，因為受該法術影響下度過的時間不計入法術如喚醒死者的時間限制內。</t>
  </si>
  <si>
    <t>Giant Insect</t>
  </si>
  <si>
    <t>你召喚一隻巨化的蜈蚣、蜘蛛或黃蜂（你施法時選擇）。其使用下文巨蟲Giant Insect的數據，並會在施法距離內一處你可見的未佔空間中顯現。你選擇的形態決定了其數據中的部分細節。該生物會在生命值降為0或法術結束時消失。
  該生物是你和你盟友的盟友。它在戰鬥中使用你的先攻，並在你回合結束後即效行動。它遵從於你的口頭指示（無需任何動作）。如果你不發令，它將執行迴避動作並使用其移動力遠離危險。
  升環施法效應：在生物數據中使用更高的法術環階。</t>
  </si>
  <si>
    <t>Glibness</t>
  </si>
  <si>
    <t>直到法術終止前，你每次進行魅力檢定時可以用15代替你擲出的數值。此外，無論你說什麼，判斷你是否說謊的魔法都會將你的話視為真實。</t>
  </si>
  <si>
    <t>Globe of Invulnerability</t>
  </si>
  <si>
    <t>一顆玻璃珠</t>
  </si>
  <si>
    <t xml:space="preserve"> 一個固定的微光屏障在你周圍10呎光環範圍內出現並在法術持續時間內維持存在。
  任何在屏障外施放的五環或更低環階的法術無法影響其內的任何東西。這些法術可以以屏障內的生物或物件為目標，但無法對其生效。區域效應法術則類似，其效果有如屏障內的區域被排除在法術效應範圍之外。
  升環施法效應：使用的法術位每比六環高一環，屏障能阻擋的法術就高一環。</t>
  </si>
  <si>
    <t>Glyph of Warding</t>
  </si>
  <si>
    <t>價值200gp+的鑽石塵，作為此法術的耗材</t>
  </si>
  <si>
    <t>直到被解除或觸發</t>
  </si>
  <si>
    <t xml:space="preserve"> 施展該法術時，你在某個表面（諸如桌面或地板）或某個能被關閉以隱藏刻紋的物體裡（諸如書本或寶箱）刻畫一個會釋放魔法效應的刻紋。此刻紋可以覆蓋直徑不超過10呎的區域。若受術的物體或表面從被施法位置移開超過10呎，則其刻紋被破壞且法術不被觸發即告終止。
  結界刻紋近乎隱形，需要以法術的豁免DC進行一次成功的感知（察覺）檢定才能被發現。
  刻畫刻紋時，你可以設定其觸發條件，並從爆炸符文和法術刻紋兩者中選擇其一：
  設定觸發條件Set the Trigger。你在施法時設定結界刻紋的觸發條件。刻畫於表面的刻紋其最典型的觸發條件包括：觸碰或站立在刻紋上；拿掉覆蓋在刻紋上的物體；進入刻紋一定範圍。刻畫在物體內的刻紋其最典型的觸發條件包括：打開物體；看到該刻紋。刻紋一旦被觸發，則該法術終止。
  你可以進一步細化觸發條件，例如設定只有特定生物種類（例如設定為只影響異怪）才能觸發刻紋。你也可以將特定條件者排除在刻紋觸發者之外，諸如某說出特定口令的人。
  爆炸符文Explosive Runes。符文被觸發時將在半20呎球狀區域內爆發魔法能量。區域內的每個生物必須進行一次敏捷豁免。豁免失敗者將受到5d8點強酸，寒冷，火焰，閃電，或雷鳴傷害（你在製造刻紋時指定），豁免成功則傷害減半。
  法術刻紋Spell Glyph。作為創造符文的一部分，你可以施展一道已準備好的三環或更低的環階法術，並將其儲備在所創造的刻紋中。所儲備法術必須以單一生物或一個區域為目標，而其以該方式施展時並不會即效生效。
  符文被觸發時，所儲備的法術即刻生效。如果法術有一個目標，則以觸發刻紋的生物為目標；如果法術影響一個區域，則該區域以此生物為中心；如果法術召喚敵對Hostile生物或創造傷害性質的物體或陷阱，則這些造物將顯現在盡可能靠近觸發者的地方並攻擊它。如果法術需要專注，則其效應將在其最大持續時間內維持。
  升環施法效應：使用的法術位每比三環高一環，一個爆炸符文的傷害就增加1d8。如果你創造一個法術刻紋，則其儲備法術的環階至高可以與你施放守衛刻文時所使用的法術位環階相同。</t>
  </si>
  <si>
    <t>Goodberry</t>
  </si>
  <si>
    <t>一顆槲寄生</t>
  </si>
  <si>
    <t xml:space="preserve"> 10顆莓果出現在你手中。果子在法術持續時間內充滿魔法。一名生物可以用一個附贈動作吃下一顆漿果。吃掉一顆漿果可以恢復1點生命值，而且一枚漿果就可以滿足該生物一整天的營養需求。
  法術結束時還沒有被吃掉的漿果會消失。</t>
  </si>
  <si>
    <t>Grasping Vine</t>
  </si>
  <si>
    <t>你指定施法距離內一個你能夠看見的未佔空間，並召喚一條藤蔓使其從該空間的地面上破土而出。藤蔓直到法術結束為止會一直存在。
  對一名距藤蔓30呎內的生物進行一次近戰法術攻擊。命中時，目標受到4d8點鈍擊傷害並被拉向藤蔓所在方向拉近30呎。如果目標為巨型或更小，則目標同時陷入被擒狀態（逃脫DC等同於你的法術豁免DC）。藤蔓在同一時間只能擒抱一名生物，你可以讓藤蔓放開一名被擒的生物（無需動作）。
  直到該法術終止前，你可以在隨後的回合裡用一個附贈動作指使藤蔓再次對一名距其30呎內的生物進行攻擊。
  升環施法效應：使用的法術位每比四環高一環，藤蔓便可額外擒抱一名生物。</t>
  </si>
  <si>
    <t>Grease</t>
  </si>
  <si>
    <t>一塊豬皮或奶油</t>
  </si>
  <si>
    <t>你在施法距離內指定一點，光滑的不可燃油脂以此點為中心覆蓋一個10呎的方狀區域。在法術持續時間內。該區域變為困難地形。
  當油脂出現時，站在其範圍內的每個生物必須成功通過一次敏捷豁免，否則陷入伏地狀態。進入該區域或在區域內結束其回合的生物也必須進行該敏捷豁免，豁免失敗則陷入伏地。</t>
  </si>
  <si>
    <t>Greater Invisibility</t>
  </si>
  <si>
    <t>你觸碰的一名生物直到法術結束前擁有隱形狀態。</t>
  </si>
  <si>
    <t>Greater Restoration</t>
  </si>
  <si>
    <t>價值100gp+的鑽石塵，作為此法術的耗材</t>
  </si>
  <si>
    <t>你觸碰一名生物來魔法性地移除目標身上的下列效應之一：
  ·減少1級力竭
  ·魅惑或石化狀態
  ·一道詛咒，包括目標與一件被詛咒魔法物品的同調
  ·目標某項屬性值的減損
  ·目標生命值上限的降低</t>
  </si>
  <si>
    <t>Guardian of Faith</t>
  </si>
  <si>
    <t>一名大型幽靈守護者出現在施法距離內一處由你指定的可見未佔空間，並在法術持續時間內在該處懸浮。佔據該空間的守護者是無敵的，並且會以適合你神祇或神系的形態出現。
  任何敵人在一回合內第一次進入距守護者10呎內或於其10呎內開始其回合時必須進行一次敏捷豁免。豁免失敗受到20點光耀傷害，豁免成功則傷害減半。守護者在造成總計60點傷害後隨即消失。</t>
  </si>
  <si>
    <t>Guards and Wards</t>
  </si>
  <si>
    <t>10gp+的銀權杖</t>
  </si>
  <si>
    <t>你製造一個覆蓋最多2500平方呎地面面積的受保護區域。保護區域至高可達20呎，並隨你的意願塑形為一個50呎的方形區域，或一百個相接的5呎方形區域，或二十五個相接的10呎方形區域。
  施展該法術時，你可以指明特定個體以讓其不受法術效應的影響。你也可以指明一句口令，當在保護區域5呎內並大聲說出口令時，即可讓說出口令的人對這些效應免疫。
  法術在受保護區域內創造出下述效應。解除魔法對銅牆鐵壁本身沒有效應，但下述每個效應都能各自解除。如果所有四個效應都被解除，則本法術結束。如果你365日中每日均對同一處施展該法術，此法術便會持續至其所有效應均被解除為止。
  過道Corridors。濃霧充斥受保護的過道使其處於重度遮蔽。此外，除你以外的生物在過道上遇到需要選擇方向的岔路或交叉路口時，有50%機率誤認錯的方向為正確的前進方向。
  門Door。所有受保護區域內的門都被魔法性地鎖住，如同被秘法鎖封上。此外，你也可以用一道幻象掩蓋最多十扇門使其看起來有如普通牆面的一部分。
  樓梯Stairs。受保護區域內的樓梯從上到下佈滿了蛛網，如同受到蛛網術的效應。銅牆鐵壁法術持續期間，這些蛛網即使被摧毀也可以在10 分鐘後再次生成。
  其他法術效應Other Spell Effect。你可以在要塞的保護區域內佈置你指定的下列魔法效應之一：
  ·在四條過道中佈置舞光術。你可以為光點其指定一個簡單的程序，使在銅牆鐵壁持續期間重複此程序
  ·在兩個地點佈置魔嘴術
  ·在兩個地點佈置臭雲術（在銅牆鐵壁法術持續期間，臭氣即使被驅散也會在10 分鐘後重新聚集）
  ·在一條過道或一個房間中佈置一道造風術（法術持續期間，風會一直吹）
  ·在一個最多5呎的方形區域佈置一道暗示術。任何進入該區域的生物將透過精神受到法術的暗示。</t>
  </si>
  <si>
    <t>Guidance</t>
  </si>
  <si>
    <t>你觸碰一名自願生物並選擇一項技能。直到法術結束為止，受術生物在使用所選技能進行的所有屬性檢定上具有1d4加值。</t>
  </si>
  <si>
    <t>Guiding Bolt</t>
  </si>
  <si>
    <t>1 輪</t>
  </si>
  <si>
    <t xml:space="preserve"> 你向施法距離內的生物擲光箭。對目標進行一次遠程法術攻擊。命中時，目標受4d6點光耀傷害。在你下個回合結束前，對目標發動的下一次攻擊檢定具有優勢。
  升環施法效應：使用的法術位每比一環高一環，傷害就增加1d6。</t>
  </si>
  <si>
    <t>Gust of Wind</t>
  </si>
  <si>
    <t>一顆豆類種子</t>
  </si>
  <si>
    <t>一股長60呎，寬10呎的線狀強風從你吹向你指定的方向。每個位於線狀區域內的生物必須成功於一次力量豁免，豁免失敗則沿著線狀的方向被推離你15呎。在線狀區域內結束其回合的生物也必須進行同樣的豁免。
  任何生物在線狀區域內向更靠近你的方向移動時，其每移動1呎必須花費2呎的移動力。
  強風吹散區域內的毒氣或蒸汽，並吹熄蠟燭等不受保護的其他類似火焰。而有保護的火焰（如提燈）則會劇烈搖晃並有50%的機率被吹熄。
  你可以在自己隨後的回合內用一個附贈動作改變線狀風道的方向。</t>
  </si>
  <si>
    <t>Hail of Thorns</t>
  </si>
  <si>
    <t>附贈動作，在你使用遠程武器命中一個生物時</t>
  </si>
  <si>
    <t xml:space="preserve"> 當你攻擊命中生物時，法術會從你的遠程武器或彈藥中創造出棘刺，並形成一片棘刺之雨。目標和在目標周圍5呎內每個生物必須進行一次敏捷豁免檢定，豁免失敗者將受到1d10 點穿刺傷害，豁免成功則受到半數傷害。
  升環施法效應：使用高於一環的法術位施展法術時，你使用的法術位每比一環高一環，法術的傷害就會增加1d10。</t>
  </si>
  <si>
    <t>Hallow</t>
  </si>
  <si>
    <t>1000gp+的薰香，作為此法術的耗材</t>
  </si>
  <si>
    <t>你觸碰一點並將神聖（或邪穢）的力量注入該點周圍區域。區域半徑最多60 呎，若此區域內包含了已被另一個聖居術影響的區域，則此次施法失敗。受法術影響的區域具有以下效應。
  神聖防護Hallowed Ward。選擇以下生物類型的任何一種：異怪，天族，元素，妖精，邪魔，亡靈。所選類型生物不能自願進入該區域，任何被這些生物魅惑，恐懼或附身的生物只要在該區域內將不再被他們魅惑，恐懼或附身。
  額外效果。你可以為該區域綁定一種額外效應，從以下列表中選擇：
  無畏Courage。你選擇的任何類型生物在該區域內不會獲得恐懼狀態。
  黑暗Darkness。區域內處於黑暗環境，普通光源以及比本法術更低環法術所創造的魔法光源均無法照亮該區域。
  晝明Daylight。區域內處於明亮光照，比本法術更低環法術所創造的魔法黑暗無法掩蓋亮光。
  平靜長眠Peaceful Rest。區域內埋葬的屍體不能轉化成亡靈。
  次元乾涉Extradimensional Interference。你選擇的任何類型生物，不能透過傳送或位面旅行的方式進入或離開該區域。
  恐懼Fear。區域內的你所選擇的任何類型生物陷入恐懼狀態。
  抗力Resistance。區域內你所選擇的任何類型生物對你所選擇的一種傷害類型具有抗力。
  沉默Silence。聲音無法從區域內發出，區域外的聲音也無法傳到區域內。
  巧言Tongues。你所選擇的任何類型生物與區域內的任何其他生物即使語言不通也可以隨意溝通。
  易傷Vulnerability。區域內你所選擇的任何類型生物對你所選擇的一種傷害類型具有易傷。</t>
  </si>
  <si>
    <t>Hallucinatory Terrain</t>
  </si>
  <si>
    <t>一顆蘑菇</t>
  </si>
  <si>
    <t>你使施法距離內一處150 呎立方區域內的自然地形在視覺、聽覺、嗅覺上都像是另一種自然地形。因此，開闊的平原或道路可能會變得像是一片沼澤，或是丘陵、裂谷以及其他難以通過，甚至是無法通過的地形。一個池塘可能變得看起來像一片草地，一個懸崖像是一個緩坡，或者使一條亂石溝像是一條寬闊平坦的道路。區域內經過加工的建築、裝備或生物的外觀不會改變。
  地形的觸覺特徵不會改變，所以進入這區域的生物可能會看穿幻象。如果觸覺差異不明顯，仔細調查幻象的生物可以採取研究動作，嘗試進行一次對抗法術豁免DC 的智力（調查）檢定以不信。對於一個識破了幻象本體的生物，幻像看起來就像是一層模糊的圖像疊加在真實地形上。</t>
  </si>
  <si>
    <t>Harm</t>
  </si>
  <si>
    <t>對施法距離內一個你能看到生物降下惡毒致命的魔法。目標必須通過一次體魄豁免，豁免失敗則受到14d6 的暗蝕傷害，並且它的最大生命值會降低等同它受到的暗蝕傷害的數值。豁免成功則受到半數傷害。此法術不能將目標的最大生命值降至1 以下。</t>
  </si>
  <si>
    <t>Haste</t>
  </si>
  <si>
    <t>一片甘草根切片</t>
  </si>
  <si>
    <t>指定施法距離內一個你能看見的自願生物。直至法術終止前，目標速度翻倍；其AC 獲得+2 加值；其進行敏捷豁免時具有優勢；其每個回合都可作出一個額外的動作，但該動作只能用於執行攻擊（只限一次武器攻擊），或疾行、撤離、躲藏和利用動作。  法術終止時，目標將泛起一陣倦意使其失能並且速度為0，並持續至其下一回合結束。</t>
  </si>
  <si>
    <t>Heal</t>
  </si>
  <si>
    <t>指定施法距離內一個你能看見的生物。洶湧澎湃的正能量將充盈該生物，使其恢復70 點生命值。該法術也會終止正在影響目標的目盲、耳聾以及中毒狀態。  升環施法效應：使用高於六環的法術位施展法術時，你使用的法術位每比六環高一環，治療量就會增加10點。</t>
  </si>
  <si>
    <t>Healing Word</t>
  </si>
  <si>
    <t>你指定施法距離內一個你能看見的生物並恢復其生命值，恢復量等於2d4+你的施法屬性調整值。
  升環施法效應：使用高於一環的法術位施展法術時，你使用的法術位每比一環高一環，治療量就會增加2d4點。</t>
  </si>
  <si>
    <t>Heat Metal</t>
  </si>
  <si>
    <t>一片鐵片和一團火焰</t>
  </si>
  <si>
    <t xml:space="preserve"> 指定施法距離內一件你能看見的人造金屬物件（例如一把金屬武器，或一套金屬質的重甲或中甲），並使該物件變得熾熱。施展法術時，任何與該物體有物理接觸的生物均受到2d8 的火焰傷害。直到法術終止前，只要這個物件依然在施法距離內，你都可以在你隨後的每個回合在以一個附贈動作來再次造成此傷害。
  若握持或穿著該物件的生物因此受到傷害，則該生物必須通過一次體魄豁免，否則如果這個生物只要能丟下該物件，該生物就必須丟下該物件。如果該物件沒有被丟下，則直至你的下一回合開始為止，該生物進行攻擊檢定和屬性檢定時具有劣勢。
  升環施法效應：使用高於二環的法術位施展法術時，你使用的法術位每比二環高一環，傷害就會增加1d8。</t>
  </si>
  <si>
    <t>Hellish Rebuke</t>
  </si>
  <si>
    <t>反應，當60呎內一個你能看見的生物對你造成傷害時</t>
  </si>
  <si>
    <t xml:space="preserve">即效 </t>
  </si>
  <si>
    <t>傷害你的生物即效被綠色的烈焰席捲。生物必須進行敏捷豁免，豁免失敗則受到2d10 點火焰傷害，豁免成功則受到半數傷害。
 升環施法效應：使用二環或更高法術位施展法術時，你使用的法術位每比一環高一環，傷害就增加1d10。</t>
  </si>
  <si>
    <t>Heroes' Feast</t>
  </si>
  <si>
    <t>一個價值1000+gp 的鑲飾寶石的碗，作為此法術的耗材</t>
  </si>
  <si>
    <t>你咒喚一場盛宴出現在你周圍地面上未被佔據的10呎立方空間。盛宴需要1 小時來享用，並會在這段時間結束後消失不見，而且下述增益效應在這1 小時結束前不會生效。你可以讓最多十二個生物一同分享盛宴。  所有享用了大餐的生物都會獲得幾種增益。這些生物對毒素傷害具有抗力，免疫中毒和恐懼狀態，生命值上限也將提高2d10 點，並獲得等量的生命值。這些增益將持續24 小時。</t>
  </si>
  <si>
    <t>Heroism</t>
  </si>
  <si>
    <t>你觸碰一個自願生物使其充滿勇氣。該生物直至法術終止前免疫恐懼狀態，且它將在其每回合開始時獲得臨時生命值，其數值等於你的施法屬性調整值。
升環施法效應：使用二環或更高法術位施展該法術時，你使用的法術位每比一環高一環，就可以額外指定一個生物作為目標。</t>
  </si>
  <si>
    <t>Hex</t>
  </si>
  <si>
    <t>風乾的蠑螈眼</t>
  </si>
  <si>
    <t xml:space="preserve">最多 1 小時 </t>
  </si>
  <si>
    <t>你對施法距離內一個你能看見的一個生物施加詛咒。直到法術終止前，你對命中該目標的任意攻擊都將額外造成1d6 點黯蝕傷害。此外，你在施展該法術的同時選擇一項屬性，使該目標進行所選屬性的屬性檢定時具有劣勢。  如果目標在法術終止前HP 降至0，則你可以在法術終止前後續的某一回合中使用一個附贈動作詛咒另一個生物。  
升環施法效應：使用二環法術位施展法術時，其專注可維持最多4小時。使用三環或四環法術位施展法術時，其專注可維持最多 8 小時。使用五環或更高法術位施展法術時，其專注可維持最多24 小時。</t>
  </si>
  <si>
    <t>Hold Monster</t>
  </si>
  <si>
    <t>直的小鐵片</t>
  </si>
  <si>
    <t>指定施法距離內一個你能看見的生物。此目標必須進行一次感知豁免，豁免失敗則其在法術持續時間內陷入麻痺狀態。目標在其每回合結束時可以重新進行這次豁免，豁免成功則終止其身上該法術的效應。  
升環施法效應：使用六環或更高法術位施展該法術時，你使用的法術位每比五環高一環，就可以額外指定一個生物作為目標。</t>
  </si>
  <si>
    <t>Hold Person</t>
  </si>
  <si>
    <t>指定施法距離內一個你能看見的類人生物。此目標必須進行一次感知豁免，豁免失敗則其在法術持續時間內陷入麻痺狀態。目標在其每回合結束時可以重新進行這次豁免，豁免成功則終止其身上該法術的效應。  
升環施法效應：使用三環或更高法術位施展法術時，你使用的法術位每比二環高一環，就可以額外指定一個生物作為目標。</t>
  </si>
  <si>
    <t>Holy Aura</t>
  </si>
  <si>
    <t>一個價值1000+gp 的小聖物箱</t>
  </si>
  <si>
    <t>你在持續時間中發出靈光形成半徑30 呎的光環。你可以指定若干生物，在光環內時，他們進行的所有豁免均具有優勢，而其他生物對它們進行的攻擊檢定具有劣勢。另外，當一個邪魔或亡靈以近戰攻擊命中受術生物時，攻擊者必須進行一次體魄豁免，豁免失敗者將陷入目盲狀態直至它的下一回合結束。</t>
  </si>
  <si>
    <t>Hunger of Hadar</t>
  </si>
  <si>
    <t>一條酸洗過的觸手</t>
  </si>
  <si>
    <t>你打開了通往遙遠國度的大門，展現其中難以名狀的恐怖。以施法距離內一點為中心，半徑20 呎的黑暗球狀區域顯現並持續至該法術終止。這個球狀區域是困難地形，並同時發散著能在30呎內聽到的不和諧耳語和啜嚼噪音。任何光照，魔法或其他手段的，都無法照亮這個區域，而完全進入該區域內的生物將陷入目盲狀態。
  任何在區域內開始其回合的生物將受到2d6 點寒冷傷害。任何在區域內結束其回合的生物必須進行一次敏捷豁免，豁免失敗者將因異界軟體觸手的觸碰而受到2d6 點強酸傷害。</t>
  </si>
  <si>
    <t>Hunter's Mark</t>
  </si>
  <si>
    <t>你指定施法距離內一個你能看見的生物並以魔法標記其作為你的獵物。直到法術終止前，你每次以任何攻擊命中該目標時都會額外造成1d6 點力場傷害，且每當你為尋找目標生物而進行感知（察覺）或感知（求生）檢定時都具有優勢。  如果在法術結束前目標HP 降至0，則你可以在法術結束前的後續某一個回合中用一個附贈動作標記施法距離內另一個可見生物。
  升環施法效應：使用三環及四環法術位施展法術時，其專注可維持最多 8 小時。使用五環或更高法術位施展法術時，其專注可維持最多24 小時。</t>
  </si>
  <si>
    <t>Hypnotic Pattern</t>
  </si>
  <si>
    <t>一撮五彩紙屑</t>
  </si>
  <si>
    <t>你在施法距離內一處邊長30 呎的立方區域內創造出一個在空中舞動旋轉的彩色圖紋。圖紋在出現片刻後消失，然後迫使區域內每個看到它的生物進行一次感知豁免，豁免失敗者將在法術持續時間內陷入魅惑狀態。被該法術魅惑的生物陷入失能狀態，且速度降為0。如果受術生物受到任何傷害，或有其他生物用動作將其從恍惚中搖醒，則其身上的此效應將提前終止。</t>
  </si>
  <si>
    <t>Ice Knife</t>
  </si>
  <si>
    <t>一滴水或冰</t>
  </si>
  <si>
    <t>你製造出一塊冰晶裂片，並將它射向施法距離內的一個生物。你對目標進行一次遠程法術攻擊。若擊中，目標受到1d10 點穿刺傷害。無論擊中與否，裂片都會在之後爆裂。目標和周圍5 呎範圍內的每個生物必須通過一次敏捷豁免檢定，否則受到2d6 點寒冷傷害。  
升環施法效應：使用二環或更高法術位施展法術時，你使用的法術位每比一環高一環，寒冷傷害就會增加1d6。</t>
  </si>
  <si>
    <t>Ice Storm</t>
  </si>
  <si>
    <t>連指手套</t>
  </si>
  <si>
    <t>施法距離內一點為中心的一處半徑20 呎，高40 呎的柱狀區域內，岩石般堅硬的冰雹重重地砸向地面。每個處在範圍內的生物都必須進行一次敏捷豁免，豁免失敗者將受到2d10 的鈍擊傷害和4d6 點寒冷傷害，豁免成功則受到半數傷害。  冰雹使風暴影響的區域變為困難地形，直到你的下一輪結束。  
升環施法效應：使用五環或更高法術位施展法術時，你使用的法術位每比四環高一環，鈍擊傷害就會增加1d10。</t>
  </si>
  <si>
    <t>Identify</t>
  </si>
  <si>
    <t>一顆價值100+gp的珍珠</t>
  </si>
  <si>
    <t>你指定一個物件，並在施法過程中一直與其保持接觸。如果該物件是魔法物品或其他附有魔力的物件，則你將知曉其屬性和使用方式，以及了解是否需要與之同調。若它是充能物品則你將得知它現存的可用次數。你也可以發現是否有法術正影響該物件，以及可能存在的法術效應具體來自哪項法術。如果目標由法術所創，則你將知曉具體來自哪項法術。  如果你施法過程中一直接觸的是一生物，則你將知曉其是否受法術影響，以及產生影響的法術效應具體來自哪些法術。</t>
  </si>
  <si>
    <t>Illusory Script</t>
  </si>
  <si>
    <t>價值10+gp 的墨水，作為此法術的耗材</t>
  </si>
  <si>
    <t>你在羊皮紙，紙張或其他適合書寫的材質上書寫文字並對其施加一個強力的幻象。其效應將持續至法術終止。
文件對於你和你施法時所指定的生物而言是一份普通的文件，文件內容即是以你的筆跡傳達你寫下手稿時想要傳達的一切意義。而對於所有其他閱讀者而言，該文件看起來就像由難懂的未知文字或魔法文字所書寫。此外，你還可以使該文件呈現出完全不同的訊息，使其看起來是用另一種筆跡或語言所書寫，不過你必須懂得該語言。
  如果法術被解除，則幻象和原始手稿一同消失不見。
  擁有真實視覺的生物可以讀出其內被隱藏的訊息。</t>
  </si>
  <si>
    <t>Imprisonment</t>
  </si>
  <si>
    <t>一個價值5000+gp的與目標相似的小雕像</t>
  </si>
  <si>
    <t>你創造一個魔法監牢，將施法距離內一個你能看見的生物監禁於其內。目標必須進行一次感知豁免，豁免失敗則被該法術禁錮；成功通過豁免的生物不受影響，並且在24小時內對該法術免疫。被該法術禁錮時，目標生物不需要呼吸，不需要吃喝，也不會變老。預言法術無法定位或感知到該目標，且目標生物不能傳送。  你可以從以下選擇一種效果，使受術目標在法術結束之前必須承受：
埋葬Burial：目標深埋在地表下的球體魔法力場內，其大小剛好能包覆目標。任何事物均無法穿過該球體。
鎖鏈Chaining：沉重的鎖鏈牢固地深植於大地，將目標禁錮在原地。目標承受束縛狀態，其間它不能移動或以任何方式被移動。
避世監牢Hedged Prison：此法術將目標傳送至一個隔絕了傳送和位面旅行的小型半位面。這個半位面可以是一個迷宮，一間牢房，一座塔樓，或是任意由你選擇的幽閉建築或區域。
微縮牢籠Minimus Containment：目標縮小到1 寸高，並囚禁於一塊寶石或是類似的物件裡。光線可以正常地穿透寶石（這讓目標可以看到外面，其他生物也可以看到裡面），但其他任何事物都無法在任何意義上出入。
沉睡Slumber：目標陷入昏迷狀態且無法被喚醒。終止法術。當你施展法術時，需要設定一個使法術終止並釋放目標的條件。此條件可以依照你的意願設定其明確或複雜的程度，但必須經由DM 認可該條件在未來十年內有較高可能性發生。這個條件必須是一個可觀測的行為，例如某人在你信仰的神廟內獻上了一份特殊的祭品，某人拯救了你的真愛，或者是某人擊敗了一個特定的怪物。
  法術解除魔法可以終止該法術，但只有使用九環法術位並針對監牢或針對創造監牢效果的特殊物質施展時才有效。</t>
  </si>
  <si>
    <t>Incendiary Cloud</t>
  </si>
  <si>
    <t>一片充滿了熾熱灰燼的旋轉煙雲顯現，並以施法距離內一點為中心的蔓延至半徑20 呎的球狀區域。煙雲區域處於重度遮蔽。煙雲會存在直至持續時間結束，或是直至被一陣強風（例如被造風術所創造）所吹散。  當煙雲出現時，每個處在其內的生物都必須進行一次敏捷豁免，豁免失敗者將受到10d8 的火焰傷害，豁免成功則受到半數傷害。生物在一個回合內被球狀區域移動進入空間，或進入球狀區域內，或在球狀區域內結束其回合時，也必須進行此豁免。一名生物每回合僅需進行一次該豁免。  在你的每回合開始時，煙雲會向你指定的遠離你的方向直線移動10 呎。</t>
  </si>
  <si>
    <t>Inflict Wounds</t>
  </si>
  <si>
    <t>你迫使觸碰的一個生物進行體魄豁免檢定，豁免失敗將受到2d10 的暗蝕傷害，豁免成功則受到半數傷害。  
升環施法效應：使用二環或更高法術位施展法術時，你使用的法術位每比一環高一環，暗蝕傷害就會增加1d10。</t>
  </si>
  <si>
    <t>Insect Plague</t>
  </si>
  <si>
    <t>一隻蝗蟲</t>
  </si>
  <si>
    <t>你指定施法距離內一點，並以此點為中心使半徑20 呎的球狀區域內堆滿成群的噬人蝗蟲。蟲群使整個區域成為困難地形，且處於輕度遮蔽，在法術終止前都會持續存在。  當蟲群顯現時，其區域內的每個生物都必須進行一次體魄豁免，豁免失敗則受到4d10 的穿刺傷害，豁免成功受到半數傷害。生物在一個回合內第一次進入該區域內，或在區域內結束其回合時，也必須進行該豁免。一名生物每回合僅需進行一次該豁免。 
 升環施法效應：使用六環或更高法術位施展法術時，你使用的法術位每比五環高一環，傷害就增加1d10。</t>
  </si>
  <si>
    <t>Invisibility</t>
  </si>
  <si>
    <t>一根包裹在阿拉伯膠中的睫毛</t>
  </si>
  <si>
    <t>你觸碰的生物進入隱形狀態並維持至法術終止。如果目標進行攻擊檢定、造成傷害或施展法術，則該法術提前終止。  
升環施法效應：使用三環或更高法術位施展法術時，你使用的法術位每比二環高一環，就可以額外指定一個生物作為目標。</t>
  </si>
  <si>
    <t>Jailarzi‘s Storm of Radiance</t>
  </si>
  <si>
    <t>一撮磷粉</t>
  </si>
  <si>
    <t xml:space="preserve">  你以施法距離內你能看到的一點為中心，創造出一場閃光和雷鳴交織的風暴席捲10呎半徑、40呎高度的柱狀區域。在這片區域內，生物會陷入目盲和耳聾狀態，並且不能施展任何含有聲音成分的法術。
  當風暴出現時，任何處於其中的生物都必須進行一次體魄豁免，豁免失敗則受到2d10 的光耀傷害和2d10的雷鳴傷害，豁免成功受到半數傷害。生物在一個回合內第一次進入該區域內，或在區域內結束其回合時，也必須進行該豁免。一名生物每回合僅需進行一次該豁免。
  升環施法效應：使用六環或更高法術位施展該法術時，你使用的法術位每比五環高一環，光耀和雷鳴傷害都增加1d10。</t>
  </si>
  <si>
    <t>Jump</t>
  </si>
  <si>
    <t>一支蚱蜢的後腿</t>
  </si>
  <si>
    <t>你觸碰一個自願生物。在法術結束前，每個他的回合內一次該生物可以消耗10呎移動力來跳躍30呎。
  升環施法效應：使用二環或更高法術位施展該法術時，你使用的法術位每比一環高一環，就可以額外指定一個生物作為目標。</t>
  </si>
  <si>
    <t>Knock</t>
  </si>
  <si>
    <t>指定施法距離內一個你能看見的物體。該物件可以是一扇門，一個盒子，一個箱子，一副鐐銬，一把掛鎖，或是一個其他的透過魔法或普通手段來防止被打開的物件。
  被一把普通鎖鎖住的目標其鎖會被解開，被卡死的目標會被鬆開，被閂住的目標會被打開。如果目標被多把鎖鎖住，則只有一把鎖會被打開。
  若你指定的目標被法術秘法鎖鎖住，則該秘法鎖被壓制10 分鐘，這段時間內目標可被正常開啟和關閉。
  施展法術時，受術目標會發出響亮的敲擊聲，其聲響最遠300 呎內都能聽見。</t>
  </si>
  <si>
    <t>Legend Lore</t>
  </si>
  <si>
    <t>價值250+gp的熏香，作為此法術的耗材。以及每塊價值50+gp的四塊象牙板</t>
  </si>
  <si>
    <t>點名或描述一個人物，或一處地點、一個物件。該法術在你腦海中形成一段由DM描述的關於該事物重要傳聞的簡單概述。
  這些傳聞可能包括了重要的細節，有趣的揭秘，也可能是不曾被廣泛知曉的秘聞。你掌握目標越多的訊息，所得到的資訊就越精確細緻。你由此得到的信息必定是準確的，但仍可能以比喻或詩歌來表達，具體將由DM決定。
  如果你選的事物其實並不著名，你會聽到彷彿由長號演奏而出的悲傷的音符，隨後法術失敗。</t>
  </si>
  <si>
    <t>Leomund's Secret Chest</t>
  </si>
  <si>
    <t>一個3×2×2呎，由稀有材料製成，價值5000+gp的箱子以及由相同材料製成的一個價值50+gp的箱子微縮模型</t>
  </si>
  <si>
    <t xml:space="preserve"> 你將一個箱子及其內容物藏在以太位面。你必須同時接觸箱子和作為法術材料成分的微縮模型。箱子最多可容納12 立方呎的非活體物質（3×2×2 呎）。
  當箱子處於以太位面時，你可以用一個魔法動作並觸摸箱子的模型來召回箱子。箱子出現在你5 呎內一個未被佔據空間的地面。隨後，你可以使用一個魔法動作並同時觸摸箱子與複製品來把箱子送回以太位面。
  60 日之後，法術的效應會每日累積5%的機率自動結束。如果你再次施展該法術或箱子的模型被摧毀，又或以一個動作終止該法術時，該法術的效應將隨之終止。如果法術終止時箱子處於以太界，則其留在那裡以被你或其他人找到。</t>
  </si>
  <si>
    <t>Leomund's Tiny Hut</t>
  </si>
  <si>
    <t>一個小水晶珠子</t>
  </si>
  <si>
    <t xml:space="preserve">  你釋放出一個半徑10 呎的光環，光環會在法術持續時間內保持固定。如果光環的大小不足以完全覆蓋其區域內的所有生物，法術就會失敗。
  在施展此法術時即處於光環內的生物和物體可以自由進出光環。而所有其他生物和物體都將被阻擋而無法進出。 3環或更低等級的法術既無法直接穿過光環施放，也無法使法術效果延伸至穿過光環。
  光環內的空氣乾爽舒適，而無論外側氣候。你可以在法術終止前使光環內的光線變為微光或黑暗（無需任何動作）。光環從外側看是不透明的，並且呈現出由你選定的顏色，但從內側看它則是透明的。
  當你離開該區域，或試圖再次施展該法術時，法術將提前終止。</t>
  </si>
  <si>
    <t>Lesser Restoration</t>
  </si>
  <si>
    <t>你觸碰一個生物，並終止正影響它的一種狀態：目盲，耳聾，麻痺或中毒。</t>
  </si>
  <si>
    <t>Levitate</t>
  </si>
  <si>
    <t>一個金屬彈簧</t>
  </si>
  <si>
    <t>指定施法距離內你能看見的一個生物或未固定的物件，使其垂直上升至多20 呎，並在該處維持懸浮直至持續時間結束。此法術可懸浮一個重量至多500 磅的目標。一個非自願的生物可以對法術進行一次體魄豁免，若成功將避免受其影響。
  目標只能透過推或拉一個固定的物體或平面（例如一面牆或天花板）來進行移動，這種移動方式視為等同於攀爬。你可以在自己回合裡將目標的懸浮高度向上或向下改變至多20 呎：如果你本身就是該法術的目標，則你可以進行上升和下降並將其作為你移動的一部分；如果你不是該法術的目標，則你可以使用魔法動作來移動目標，但目標必須始終在你的施法距離內。
  法術終止時，仍處於空中的目標會緩緩飄落到地面。</t>
  </si>
  <si>
    <t>Light</t>
  </si>
  <si>
    <t>一隻螢火蟲或一片磷光苔蘚</t>
  </si>
  <si>
    <t>你觸碰一個大型或更小，且未被他人攜帶或穿著的物件。在法術終止前，物件將在其20 呎半徑範圍內發出明亮光照，並在其外20 呎範圍發出微光光照。光的顏色由你決定。
  當物體被不透明的東西完全遮蓋時，其光照被遮蔽。如果你再次施展該法術，則該法術終止。</t>
  </si>
  <si>
    <t>Lightning Arrows</t>
  </si>
  <si>
    <t>附贈動作，在你使用遠程武器命中一個生物或失手時</t>
  </si>
  <si>
    <t xml:space="preserve"> 當你的攻擊命中一個目標或失手時，該武器的彈藥或該武器本身變成一束閃電。取代目標從這次攻擊中受到的任何傷害或其他效果，目標在被命中時受到4d8 點閃電傷害，若未命中則受到半數傷害。無論你的攻擊是否命中，目標周圍10 呎範圍內的每個生物都必須進行一次敏捷豁免，豁免失敗則受到2d8 點閃電傷害，豁免成功則受到半數傷害。
  在此之後，該彈藥或武器變回其正常形態。
  升環施法效應：使用高於三環的法術位施展法術時，你使用的法術位每比三環高一環，上述兩種閃電傷害就各增加1d8。</t>
  </si>
  <si>
    <t>Lightning Bolt</t>
  </si>
  <si>
    <t>一些毛皮和一把水晶權杖</t>
  </si>
  <si>
    <t xml:space="preserve">  一束100 呎長，5呎寬的線狀閃電從你的位置向你指定的任意方向爆發迸出。在線狀區域內的每個生物必須進行一次敏捷豁免，豁免失敗者將受到8d6 的閃電傷害，豁免成功則受到半數傷害。
  升環施法效應：使用高於三環的法術位施展法術時，你使用的法術位每比三環高一環，傷害就會增加1d6。</t>
  </si>
  <si>
    <t>Locate Animals or Plants</t>
  </si>
  <si>
    <t>一塊尋血獵犬的皮毛</t>
  </si>
  <si>
    <t>你點名或描述一種特定的野獸、植物生物或非魔法植物。如果5里內存在該類生物或植物，你將知道其中最接近個體與你的相對方位和距離。</t>
  </si>
  <si>
    <t>Locate Creature</t>
  </si>
  <si>
    <t>點名或描述一個你熟悉的生物。只要該生物與你相距不超過1000 呎，你就會感測到該生物的方位。如果該生物正在移動，你也將知曉其移動的方向。  此法術可以定位一個你認識的特定生物；或者它也可以定位特定的一類生物（例如人類或獨角獸）中距你最近個體，不過你需要在30 呎的近距離內看到過該類生物至少一次。如果被點名或描述的生物並不處於其原本的形態（例如正被一個變形術polymorph 或石化術Flesh to Stone 的法術效應影響），則該法術無法定位該生物。  如果有任意厚度的鉛，即使只是薄薄一片鉛片阻擋了你與被定位物體間的通路，則該生物也無法被該法術所定位。</t>
  </si>
  <si>
    <t>Locate Object</t>
  </si>
  <si>
    <t>一根分叉的樹枝</t>
  </si>
  <si>
    <t>你點名或描述一個你熟悉的物件。只要該物件與你相距不超過1000 呎，你就會感測到該物體的方位。如果該物件正在移動，則你也將知曉其移動的方向。  此法術可定位一個你認識的特定物件，不過你需要在30 呎內近距離看到過該物件至少一次；或者它也可定位特定的一類物件（如某種服裝、珠寶、家具、工具或武器）中距你最近個體。  如果有任意厚度的鉛，即使只是薄薄一片鉛片阻擋了你與被定位物體間的通路，則該物體也無法被該法術所定位。</t>
  </si>
  <si>
    <t>Longstrider</t>
  </si>
  <si>
    <t>一撮泥土</t>
  </si>
  <si>
    <t xml:space="preserve"> 你觸碰觸一個生物，該目標的速度增加10 呎直到法術結束。  
升環施法效應：使用高於一環的法術位施展法術時，你使用的法術位每比一環高一環，你就可以額外指定一個目標。</t>
  </si>
  <si>
    <t>Mage Armor</t>
  </si>
  <si>
    <t>一塊鞣製過的皮革</t>
  </si>
  <si>
    <t>你觸碰一個未著裝護甲的自願生物。直到法術終止前，目標的基礎AC 變成13+它的敏捷調整值。目標著裝護甲則法術提前終止。</t>
  </si>
  <si>
    <t>Mage Hand</t>
  </si>
  <si>
    <t xml:space="preserve"> 一隻漂浮的幽靈手出現在施法距離內你指定的一點。幽靈手持續存在至法術終止。如果幽靈手離你的距離超過30 呎，或是當你再次施展了該法術時，則現存的幽靈手消失不見。
  你可以在施展該法術時使用幽靈手實施一個行為：你可以操控一個物件，或者打開一扇未上鎖的門或容器，或者將一件物品放入或取出一個打開的容器，或者將小瓶中的內容物傾倒出來。
  在後續的回合中，以一個魔法動作，你可以控制幽靈手再次實施一個行為。作為那個動作的一部分，你可以讓幽靈手移動至多30 呎。
  該幽靈手不能攻擊，也不能啟動魔法物品或承載超過10 磅重的物質。</t>
  </si>
  <si>
    <t>Magic Circle</t>
  </si>
  <si>
    <t>總價值100gp+的鹽和銀粉，作為此法術的耗材</t>
  </si>
  <si>
    <t>定以下生物類型中的一種或多種：天族、元素、精類、邪魔、亡靈。法陣將會對被指定類型的生物產生以下效應：
  · 該類生物不能以非魔法手段主動進入柱狀區域內。如果該類生物試圖使用傳送或位面旅行進入此區域，則它必須先進行一次魅力豁免以判定其是否成功。
  · 該類生物對柱狀區域內的生物進行攻擊檢定時具有劣勢。
  · 柱狀區域內的目標不受該類生物魅惑、恐懼、或附身。
  施展法術時，你可以選擇讓魔法作用於相反的方向來阻止特定種類的生物離開柱狀區域內，以保護區域外的目標。
  升環施法效應；使用的法術位每比三環高一環，法術持續時間增加1 小時。</t>
  </si>
  <si>
    <t>Magic Jar</t>
  </si>
  <si>
    <t>價值500gp+的一塊寶石、水晶或聖物匣</t>
  </si>
  <si>
    <t>你的靈魂離開身體進入作為法術材料成分的容器中，而你的身體則陷入失神的狀況。當靈魂處於容器中時，你可以如同身處容器所在位置一樣察覺週邊。你不能移動，也不能使用反應，而此時你唯一能做的動作就是將你的靈魂投射出容器至多100 呎的距離，或者回到你仍活著的身體中去（並終止該法術），或者試著佔據另一個類人生物的身體。
  你可以嘗試附身於任何距你100 呎內你能看見的類人生物（受法術防護善惡或防護法陣所保護的生物無法被附身）。該目標必須進行一次魅力豁免。豁免失敗，則你的靈魂進入目標的身體，而目標的靈魂被困在容器中；豁免成功，則目標抵抗了你的附身，而隨後的24 小時內你將無法再次嘗試附身該生物。
  附身成功後，目標生物的身體將由你控制。你的生命值、生命骰、力量、敏捷、體魄、速度和感官替換為目標生物的數據，此外將保留你的遊戲數據。
  附身期間，被附身生物的靈魂可以用它自己的感官從容器內部察覺外部，但它不能移動且陷入失能狀態。
  附身於一具軀體時，如果容器處在你身邊100 呎內，則你可以用一個魔法動作從宿主的身體回到容器中，並讓宿主的靈魂回到它自己的身體裡。當你處於宿主的身體中時，如果宿主的身體死亡，則宿主生物死亡，且你必須進行一次對抗該法術豁免DC 的魅力豁免。豁免成功且容器距你不超過100 呎時，你回歸容器內。否則你也隨之死亡。
  如果容器被毀或法術終止，你的靈魂會立即回到你自己身體。如果你在嘗試回到自己身體時，身體距你超過100 呎或你的身體已死，則你也隨之死亡。如果容器被毀時另一生物的靈魂在容器內，而該生物的身體仍然活著並距它不超過100 呎，則其靈魂會回到身體裡。否則該生物死亡。
  該法術終止時，其容器將隨之被摧毀。</t>
  </si>
  <si>
    <t>Magic Missile</t>
  </si>
  <si>
    <t>你創造三枚由魔法力場形成的閃光飛鏢，並讓每發飛鏢襲向施法距離內你能看見的指定生物。每發飛鏢對目標造成1d4+1 的力場傷害。所有飛鏢將同時襲向目標，而你也可以指定它們擊中同一個目標或是分別擊中幾個目標。
升環施法效應：使用的法術位每比一環高一環，法術就會多製造出一支飛鏢。</t>
  </si>
  <si>
    <t>Magic Mouth</t>
  </si>
  <si>
    <t>價值10gp+的翡翠塵，作為此法術的耗材</t>
  </si>
  <si>
    <t xml:space="preserve">  你將一段訊息植入施法距離內的一個物件中，其訊息會在滿足預設事件時說出。指定一個你能看見且未被另一個生物穿著或攜帶的物件。然後，你可以用至多10 分鐘來傳達這段不超過25 個字的訊息。最後再來設定觸發法術傳達訊息的事件。
  預設的事件發生時，目標物件上出現一張魔法嘴，並以與你相同的聲音和音量複述所儲存的資訊。如果你指定的目標本身有一張嘴或類似嘴的結構（例如雕像的嘴），則魔法嘴將生成在該嘴結構的位置，使其看起來如同是物體的嘴在說話一樣。施展該法術時，你可以讓法術在傳達過訊息後隨即終止，或者也可以讓法術一直持續並在每次被預設條件觸發時進行複述。
  你所決定的觸發條件可以很概括也可以很具體，不過你只能根據目標物體30 呎內的視覺或聽覺狀況來設定條件。例如，你可以命令魔嘴在任何生物移動至物件30 呎內時說出訊息，或是當其30 呎有銀鈴響起時說出訊息。</t>
  </si>
  <si>
    <t>Magic Weapon</t>
  </si>
  <si>
    <t>你觸碰一件非魔法武器。直到法術結束前，它成為魔法武器且在進行攻擊檢定和傷害擲骰時具有+1 加值。當你再次施放它時，該法術會提前結束。
  升環施法效應：使用三至五環的法術位時，加值增加至+2，使用高於五環的法術位時，加值增加至+3。</t>
  </si>
  <si>
    <t>Major Image</t>
  </si>
  <si>
    <t>一撮羊毛</t>
  </si>
  <si>
    <t>你創造一個影像，其形象來自一個大小不超過邊長20 呎立方體的物件，生物或其他的可視現象。影像出現在施法距離內你能看見的一處位置並在法術持續時間內維持存在。它看起來完全是真實的，並且還具有相應的聲音、氣味和溫度。但它無法造成傷害或讓人陷入任何狀態。
  在這個幻象施法距離內時，你可以以一個魔法動作將影像移動到施法距離內的另一個位置。當影像改變位置時，你可以改變影像的外觀來使它移動得更自然。例如，如果你創造了一個生物的影像並移動它，則你可以改變影像，使它看起來像是在走路。或者你也可以讓影像在不同的時間發出不同的聲音，甚至可以讓它參與一場對話。
  由於影像可以被穿過，任何與該影像進行的物理互動都會暴露其幻象的本質。當一個生物用研究動作調查影像時，它可以進行一次對抗你的法術豁免DC 的智力（調查）檢定，以判定是否看穿幻象。辨認出幻象的生物可以看破該影像，而影像的其他感官效應在該生物看來會變得微弱而模糊。
  升環施法效應；使用高於三環的法術位時，法術時間持續至解除且無需專注。</t>
  </si>
  <si>
    <t>Mass Cure Wounds</t>
  </si>
  <si>
    <t xml:space="preserve"> 一道治癒能量從施法距離內你指定的一點滌蕩而出。你在該點週邊30 呎半徑的球狀區域內指定至多六個生物，並使每個目標生物恢復一定的生命值，其數值等於5d8+你的施法屬性調整值。
  升環施法效應：使用的法術位每比五環高一環，法術的治療量增加1d8。</t>
  </si>
  <si>
    <t>Mass Heal</t>
  </si>
  <si>
    <t>泉湧般的治癒能量從你流向周圍的生物。你為施法距離內任意數量你能看見的生物恢復總計至多700 點生命值，而具體治療量則由你隨意分配。受該法術所治療的生物的目盲、耳聾和中毒狀態也一併被移除。</t>
  </si>
  <si>
    <t>Mass Healing Word</t>
  </si>
  <si>
    <t>指定施法距離內至多六個你能看見的生物，使它們恢復一定的生命值，其數值等於2d4+你的施法屬性調整值。
  升環施法效應：使用的法術位每比三環高一環，法術的治療量增加1d4。</t>
  </si>
  <si>
    <t>Mass Suggestion</t>
  </si>
  <si>
    <t>一條蛇的舌頭</t>
  </si>
  <si>
    <t>你以魔法影響施法距離內至多十二個你能看見的生物，並對其施以某種行動暗示（至多以25個字的形式）。你指定的受術目標必須能聽到並理解你的話語。你的暗示言論必須是聽起來可實現的，且不涉及任何傷害目標或其盟友的內容。例如，你可以說”沿著那條路走到村子，並幫那兒的村民收莊稼直到日落。”或者你可以說“現在不是打架的時候。放下你們的武器，跳舞吧！跳上一個小時。”
  每個目標必須進行感知豁免，豁免失敗者將陷入魅惑狀態，直到法術持續時間結束或在你或你的盟友對其造成傷害時提前結束。每個受魅惑的目標將盡其所能地從事你所暗示的行為。暗示的行為可能會在整個法術持續時間內保持進行。而如果你所暗示的活動可以用更短的時間完成，則在完成了活動的目標身上該法術隨之終止。
  你也可以描述一種在持續時間內發生的特定狀況，作為觸發特殊行為的條件。例如，你可以暗示一隊士兵將所有的錢交給他們遇到的第一個乞丐。如果在法術終止前條件始終沒有滿足，則指定的行為不會被執行。
  如果你或你同伴中的任何人傷害了一個被該法術影響的生物，則該法術對該生物產生的效應隨之終止。
  升環施法效應：使用的法術位高於六環時，法術的持續時間增加，七環為10日，8環為30日，9環為366日。</t>
  </si>
  <si>
    <t>Maze</t>
  </si>
  <si>
    <t xml:space="preserve"> 你將施法距離內一個你能看見的生物放逐到一個迷宮般錯綜複雜的半位面。目標將留在該處直至法術持續時間結束，或直到它逃出該迷宮。
  目標可以使用研究動作嘗試逃出迷宮。此時它可以進行一次DC20 （調查）的智力檢定，檢定成功者將逃出迷宮，而法術隨之終止。
  法術終止時，目標將重新出現在它之前消失的位置。如果該位置被佔據，則目標出現在最近的未佔據位置。</t>
  </si>
  <si>
    <t>Meld Into Stone</t>
  </si>
  <si>
    <t>你進入一個足以完全容納你身體的石料物件或石料表面內，使你自己和你攜帶的所有裝備在法術持續時間內與石料融為一體，你必須接觸該石料來做到這一點。此後，任何非魔法的感官都無法看見或偵測到你的存在。
  與石料融合後，你看不到外界發生了什麼，並且你為了聆聽外界聲音而進行的任何感知（察覺）檢定都具有劣勢。與石頭融合時，你仍能感覺到時間的流逝，也可以對自己施展法術。你無法移動，但可以消耗5呎移動力從進入石頭的地方離開石內，法術隨之終止。
  石頭所受的輕微損傷不會對你造成傷害，不過石頭部分損毀或形狀改變時（改變到不再適合容納你的程度），會將你從石中排擠出並對你造成6d6 的力場傷害。石頭完全損壞（或材質改變）時，也會將你從石中排擠出並對你造成50 點力場傷害。被排擠出石頭時，你移動至距離第一次進入石頭處最近的一處未被佔據的空間位置，並陷入倒地狀態。</t>
  </si>
  <si>
    <t>Melf's Acid Arrow</t>
  </si>
  <si>
    <t>大黃粉</t>
  </si>
  <si>
    <t xml:space="preserve"> 一支閃爍的綠色箭矢朝一個施法距離內的目標疾速飛去，並噴射一注強酸。法術對目標發動一次遠程法術攻擊。若命中，目標立即受到4d4 點強酸傷害，並在其下一回合結束時再受到2d4 點強酸傷害。若未命中，則箭矢以酸液濺射目標，僅造成初始傷害一半的傷害。
  升環施法效應：使用的法術位每比二環高一環，法術傷害（包括初始和後續）增加1d4。</t>
  </si>
  <si>
    <t>Mending</t>
  </si>
  <si>
    <t>兩塊天然磁石</t>
  </si>
  <si>
    <t>法術修復你所觸碰一個物體上的一處破損或裂縫，例如修復一條斷裂的鏈條，或者一把碎成兩半的鑰匙、一件撕裂的斗篷、一個漏了的酒袋等。只要破損或斷裂處在任何方向上都不超過1 呎，你就可以不留痕跡地修復它。
  該法術可以物理性地修復一件魔法物品，但無法恢復其上的魔法。</t>
  </si>
  <si>
    <t>Message</t>
  </si>
  <si>
    <t>一段銅線</t>
  </si>
  <si>
    <t>你用指向施法距離內的一個生物並低聲說出一段訊息。該目標（且只有該目標）會聽到這段訊息並可以用只有你能聽見的低語回覆你。
  你可以隔著固態物件施展該法術，但你必須熟悉法術目標並知曉其就在屏障後方。魔法的沉默，1 呎厚的石頭、金屬或木料，一片薄鉛都可以阻擋法術。</t>
  </si>
  <si>
    <t>Meteor Swarm</t>
  </si>
  <si>
    <t>熾熱的焰球墜向地面上你指定的你所能看見的施法距離內四個不同地點。以每個指定點為中心，週邊40 呎半徑的球狀區域內的每個生物必須進行一次敏捷豁免。豁免失敗者將受到20d6 的火焰傷害和20d6 的鈍擊傷害，豁免成功則傷害減半。另外，同時處於多個球狀火焰內的生物仍只受一次效應影響。
  法術區域內的未被著裝或攜帶的非魔法物件也會承受該傷害，若其可燃則也會被點燃。</t>
  </si>
  <si>
    <t>Mind Blank</t>
  </si>
  <si>
    <t>直到法術終止前，你所觸碰的一個自願生物對下列項目具有免疫：心靈傷害；魅惑狀態；任何可以感知到其情緒、陣營或閱讀其思想的效應；魔法性偵測其位置。任何法術，即使是祈願術wish，都不能收集目標資訊、遠端監視之或控制其心智。</t>
  </si>
  <si>
    <t>Mind Sliver</t>
  </si>
  <si>
    <t>指定施法距離內一個你可見的生物，你試圖暫時刺入目標的心靈。目標必須通過一次智力豁免。豁免失敗將受到1d6 心靈傷害，並在你的下回合結束前其進行的下一次豁免檢定中減去1d4。
  升級戲法效應：法術傷害會增加1d6 點，當你到達5級（2d6）、11級（3d6）、17級（4d6）。</t>
  </si>
  <si>
    <t>Mind Spike</t>
  </si>
  <si>
    <t>指定施法距離內一個可見生物，你驅動心靈能量的錐刺侵入目標的心智。目標必須進行一次感知豁免檢定，失敗則會受到3d8 心靈傷害，成功則傷害減半。在目標豁免失敗時，你在法術結束前能隨時得知目標所在的位置，只要你們還處於同一位面上。當你擁有這個訊息時，目標將不能對你躲藏，如果它隱形了，在對抗你時它不能從這個狀態中受益。
  升環施法效應：使用的法術位每比二環高一環，法術的傷害增加1d8。</t>
  </si>
  <si>
    <t>Minor Illusion</t>
  </si>
  <si>
    <t>你在施法距離內創造一段聲響或一個物體的影像，並使之維持至法術持續時間結束，詳見以下對應效應的描述。你可以再次施展該法術來終止幻象。
  生物以一個研究動作調查該聲響或影像時，必須進行一次對抗該法術豁免DC 的智力（調查）檢定，檢定成功則判斷出是幻象。幻像在看穿它的生物面前會顯得​​模糊不清。
  聲響。如果你創造一段聲響，其音量可以是低聲耳語也可以是高聲尖叫。它可以是你或其他任何人的嗓音，或者是一頭獅子的咆哮、一段鼓聲以及任何你指定的其它聲響。聲響在持續時間內不會減弱，或者你也可以在法術終止前在不同的時間段創造幾段分散的聲響。
  影像。如果你創造一個物件的影像，例如一把椅子、泥濘的腳印、一個小箱子等，則該物件大小不得大於一個邊長5 呎的立方體。此影像不具有聲音、光亮、味道或任何其他的感官效應。由於影像可以被任何物體穿透，因此與之進行物理互動時都會揭露其幻象的本質。</t>
  </si>
  <si>
    <t>Mirage Arcane</t>
  </si>
  <si>
    <t>視野</t>
  </si>
  <si>
    <t>你使至多1 裡方形區域內的地形在視覺、聽覺、嗅覺、甚至觸覺上都像是某種其它的地形，不過其地形的大致形狀仍保持不變。你可以讓開闊的平原或一條路可能變得像一片濕地，一座小山，一個裂谷或是其它困難或無法通行的地形。你也可以讓一個池塘變得像一片茂盛的草地，一個懸崖變得像一個緩坡，或者讓一個亂石溝變得像一條寬闊平坦的大路。
  另外，你也可以改變建築物的外觀，或是在本來沒有建築物的地方添購建築物。此法術不可以偽裝、隱藏或增添生物。
  該幻術是聽覺、視覺、觸覺和嗅覺的綜合體，因而其可以把空曠的地面變成困難地形（或反過來），乃至阻礙區域內的通行。幻像地形的任何一小部分（例如一塊石頭或一根樹枝）被移動到法術區域外時都會立刻消失不見。
  擁有真實視覺的生物可以看穿幻術，洞悉地形的真實形態；然而幻象的所有其它元素仍會得以保留，所以一個意識到這是幻象的生物仍然可以與該幻象進行物理互動。</t>
  </si>
  <si>
    <t>Mirror Image</t>
  </si>
  <si>
    <t>三個你自身的幻象分身出現在你的位置。直到法術終止前，分身都會隨你移動，並模仿你的動作和位置變換，使人無法追蹤判斷哪一個是你的真身。
  在法術持續時間內，每當一個生物攻擊命中你時，為每個剩餘分身投擲一個d6，只要有任一d6骰出3或以上，一個分身代你承受本次命中並隨之被摧毀。分身無視於所有其他的傷害和效應。三個分身都被摧毀時，法術隨之結束。
  如果生物處於目盲狀態，或擁有盲視，或擁有真實視覺，則該法術無法影響該生物。</t>
  </si>
  <si>
    <t>Mislead</t>
  </si>
  <si>
    <t>你獲得隱形狀態，同時在你站的地方出現一個和你一樣的幻象分身。分身會持續存在至法術持續時間結束；但如果你發動攻擊、造成傷害或施展法術，則隱形隨之結束。
  以一個魔法動作，你可以令分身以至多兩倍於你的速度移動並可以令其打手勢、說話，以及以任何你指定的方式行事。分身無法被觸及且無法受傷。
  你可以透過分身的眼睛視物，用分身的耳朵聆聽，如同你處於它的位置一樣。</t>
  </si>
  <si>
    <t>Misty Step</t>
  </si>
  <si>
    <t>你短暫地被銀白的霧氣所籠罩，傳送到至多30呎內一個你能看見且未被佔據的空間。</t>
  </si>
  <si>
    <t>Modify Memory</t>
  </si>
  <si>
    <t>你嘗試重塑另一個生物的記憶。指定施法距離內一個你能看見的生物進行一次感知豁免。如果你正與該生物戰鬥，則它進行該豁免時具有優勢。豁免失敗時，生物會在法術持續時間內陷入魅惑狀態。被魅惑的目標陷入失能狀態且無法感知週邊的事物，但它仍然能聽到你的聲音。如果它受到任何傷害或成為另一個法術的目標，則該法術終止且目標的記憶不會被修改。
  當魅惑持續時，你可以改變目標關於過去24 小時內經歷的一個持續時間不超過十分鐘的事件記憶。你可以永久地消除所有關於該事件的記憶，也可以讓目標完美清晰地回憶起該事件的所有細節，還可以改變目標關於該事件記憶細節，或創造一段關於其他事情的記憶。
  你必須透過對目標說話來描述如何改變其記憶，並且目標必須能夠聽懂你的語言以便你植入被改變後的記憶。目標的意識會將你描述中所有缺失的細節填補完全。如果法術在你描述完被修改的記憶前就結束，則目標的記憶不會被改變，否則修改過的記憶會在法術終止時根植於目標心中。
  修改過的記憶不一定會影響生物的行為，特別是當修改後的記憶違背了目標的天性，陣營或信仰時。如果植入一段不合邏輯的記憶（例如你灌輸給目標關於它有多享受在強酸中泡澡的記憶），則目標會將其視為一場噩夢而加以忽視。 DM 也可以判定某段修改過的記憶太過荒謬，故而無法影響生物。
  對目標施展法術移除詛咒或高等復原術後即可使目標恢復真實的記憶。
  升環施法效應：使用五環以上的法術位時，你可以改變目標關於過去7 日內（六環）、30 日內（七環）、1 年內（八環）或在過去任意時刻（九環）所發生事件的記憶。</t>
  </si>
  <si>
    <t>Moonbeam</t>
  </si>
  <si>
    <t>一片月紫藤葉</t>
  </si>
  <si>
    <t>指定施法距離內一點，以此點為中心半徑5 呎、高40 呎的柱狀區域內沐浴在一束淡淡的銀光中。直至法術終止前，柱狀區域內處於微光照。在施展法術的後續回合內，你可以以一個魔法動作將柱狀區域移動至多60 呎。
  當柱狀區域出現時，每個區域內的生物進行一次體魄豁免檢定，豁免失敗則受到2d10 的光耀傷害，豁免失敗時若生物已變形（例如受變形術影響），其變回真實形態且無法在離開柱狀區域前變形。豁免成功則只承受前述傷害的一半。在法術區域進入生物空間、生物進入法術區域或在其內結束回合時，目標生物也需要進行此體魄豁免檢定。一名生物每回合僅需進行一次該豁免檢定。
  升環施法效應：使用的法術位每比二環高一環，法術的傷害增加1d10。</t>
  </si>
  <si>
    <t>Mordenkainen's Faithful Hound</t>
  </si>
  <si>
    <t>一支銀哨</t>
  </si>
  <si>
    <t>指定施法距離內一處你能看見且未被佔據的空間，你在該處創造出一隻幻影守護犬。守護犬持續存在至法術結束或你們之間的距離超過300 呎。
  只有你能看見守護犬，它無法被觸及且無法受傷。當一個小型或更大的生物進入守護犬30 呎內時，如果該生物無法說出你在施法時設定的口令，守護犬則會開始大聲吠叫。守護犬擁有30呎真實視覺。
  在你的每回合開始時，守護犬會嘗試嚙咬其5呎範圍內一個與你敵對的生物。該生物進行一次敏捷豁免，失敗則受到4d8 力場傷害。
  在你施展法術的後續回合裡，你可以以一個魔法動作讓守護犬移動至多30呎。</t>
  </si>
  <si>
    <t>Mordenkainen's Magnificent Mansion</t>
  </si>
  <si>
    <t>一個價值15gp+微縮模型門</t>
  </si>
  <si>
    <t>你在施法距離內召喚一扇微微發光的門，並維持至法術持續時間結束。門寬5呎，高10呎，指向一個異次元居所。只要該門保持開啟，你和你施展該法術時指定的任意生物都可以進入該異次元居所中。你可以在離該門不超過30 呎處開啟或關閉之（無需動作）。門在關閉狀態下其無法被發現。
  門的另一側是一個連接著眾多房間的華麗大廳。整個居所的空氣潔淨清新而溫暖舒適。
  你可以隨意創造自己喜歡的房間構造，但不得超出50個相連的邊長10呎的立方體。空間內依你喜好配置好家具和裝飾，其內儲備的食材足以製作供至多100人享用的九菜大宴。由該法術創造的家具和其他物品如果被移出豪宅，就會化為煙霧消散。
  一組共100名的近乎透明的僕從會招待任何進入房間的人。僕從的外表服裝由你決定，它們無法受傷並服從你的命令。每個僕從都可以完成一個普通人程度的工作，但它們不能攻擊或進行任何直接傷害其他生物的行動。因而僕從可以完成的工作包括：取來物品、清潔、修理、摺衣服、生火、上菜、倒酒等等。僕從不能離開該居所。
  當法術終止時，任何仍處於該異次元空間內的生物或物體都會被移出空間內，並出現在距離入口最近未被佔據的空間內。</t>
  </si>
  <si>
    <t>Mordenkainen's Private Sanctum</t>
  </si>
  <si>
    <t>一片薄鉛</t>
  </si>
  <si>
    <t>你對施法距離內一片區域施以魔法防護。此區域為一立方區域，其邊長至小5 呎，大至100 呎。此法術持續至持續時間結束。
  施展法術時，其生效的保護內容由你決定。在以下幾項屬性中任意選擇組合：
  · 聲音無法穿透被保護區域邊緣的障壁
  · 被保護區域的障壁變得黑暗而模糊，無法透過視覺（包括黑暗視覺）看穿。
  · 預言法術所創造的感應器無法出現在被保護區域內，也無法穿過區域邊界處的障壁。
  · 區域內的生物不能成為預言法術的目標。
  · 任何事物無法透過傳送進出被保護區域。
  · 在被保護區域內，位面旅行被封鎖。
  每日在同一個位置施展此法術，持續365日，會使法術成為永久性效果（直到解除）。
  升環施法效應：使用的法術位每比四環高一環，法術立方區域的邊長就可以增加100呎。</t>
  </si>
  <si>
    <t>Mordenkainen's Sword</t>
  </si>
  <si>
    <t>一個價值250gp+微縮模型劍</t>
  </si>
  <si>
    <t>你在施法距離內創造出懸浮的幽靈劍，其在法術持續時間內持續存在。
  當幽靈劍出現時，你可以對該劍5 呎內的一個目標進行一次近戰法術攻擊。命中時，目標受到4d12+你的施法屬性調整值點的力場傷害。
  在你的後續回合內，你可以以一個附贈動作將劍移動至多30 呎至一個你能看見的位置。隨後你可以對相同或不同目標再次發動該攻擊。</t>
  </si>
  <si>
    <t>Move Earth</t>
  </si>
  <si>
    <t>一個微縮模型的鏟子</t>
  </si>
  <si>
    <t>最多 2 小時</t>
  </si>
  <si>
    <t xml:space="preserve"> 指定施法距離內一處任何方向邊長都不大於40 呎的地形區域，在法術持續時間內你可以隨意重塑區域內的泥土，沙土或黏土。你可以升高或降低區域內的地面高度，製造或填平一道溝渠，豎起或夷平一道屏障，或形成一根立柱。上述任何改造的地形範圍不得超過整個區域最大邊長的一半。例如，如果你影響了40 呎立方區域，則你可以創造一根至多20呎高的立柱，將地面升高或降低至多20 呎，挖一條至多20 呎深的壕溝，等等。這些改變需要花10 分鐘的時間來完成。由於地形的變化發生得很緩慢，區域內的生物通常不會被地面的移動困住或受傷。
  每為法術維持10 分鐘專注，你都可以選擇一片新的地形區域再施以影響。
  該法術無法改變天然的岩石或石製建築。但石頭和建築仍會因適應地形的變化而改變。如果你改變地形的方式會使得建築不穩定，則它有可能倒塌。
  類似地，該法術也無法直接影響植物生長。而被移走的地面會帶走任何生長在其上的植物。</t>
  </si>
  <si>
    <t>Nondetection</t>
  </si>
  <si>
    <t>一撮價值25gp+的鑽石塵，作為此法術的耗材</t>
  </si>
  <si>
    <t xml:space="preserve"> 法術持續時間內，你使你觸摸的目標不會被預言系法術發現。目標可以是自願生物，或是在任何方向上都不長於10呎的地點或物件。目標不能被任何預言系法術選為目標，也不能被魔法探知感測器​​感測到。</t>
  </si>
  <si>
    <t>Nystul’s Magic Aura</t>
  </si>
  <si>
    <t>一小片方形絲綢</t>
  </si>
  <si>
    <t xml:space="preserve"> 你觸摸一個自願生物或一個未被著裝或攜帶的物品以在其上設置一道幻術。生物獲得下述偽裝效應，物件則獲得下述虛假靈光效應。效應持續至法術結束。如果你持續30日每日均對同一個目標施展此法術，則幻術會的持續時間變為直至被解除。
  偽裝（生物）Mask (Creature)。選擇一種目標實際生物類別以外的生物類別。法術和其他魔法效應會將目標生物視為屬於該類別處理其效果。
  虛假靈光（物件）False Aura (Object)。你改變物件在能夠偵測魔法靈光的偵測法術和魔法效應（例如偵測魔法）中所呈現的樣子。你可以使一個非魔法物件呈現魔法，一個魔法物件呈現非魔法，或改變物件的魔法靈光學派，使其呈現出由你所選的特定魔法學派的靈光。</t>
  </si>
  <si>
    <t>Otiluke’s Freezing Sphere</t>
  </si>
  <si>
    <t>一顆微縮水晶球</t>
  </si>
  <si>
    <t>一顆冰球從你的指尖射向施法距離內你指定的一點，並在該處迸裂為一個半徑60呎的球狀區域。區域內的每個生物必須進行一次體魄豁免。豁免失敗者受到10d6點寒冷傷害，豁免成功則只受一半傷害。
  若冰球擊中某處水體，水面將凝結出6吋厚、邊長30呎的方狀凍結區域。任何在其表面上游泳的生物將被冰面所困，陷入束縛狀態。受困的生物可以用一個動作進行一次對抗你的法術豁免DC的力量（運動）檢定以破冰掙脫。
  你可以在施法完畢後不發射冰球。此時你手上將出現一枚如投石索彈丸大小的觸感冰冷的小冰球。你可以選擇將冰球交給任一生物。持有冰球的生物可以將冰球投出去（射程至多為40呎）或用投石索將其彈射出去（射程至多為投石索的常規射程）。冰球會在撞擊時破碎，產生與正常施法時相同的效應。你還可以將冰球放下而不直接打破它。冰球若在1分鐘後仍未被打破，它將自動爆炸。
  升環施法效應：使用的法術位每比六環高一環，其傷害增加1d6。</t>
  </si>
  <si>
    <t>Otiluke’s Resilient Sphere</t>
  </si>
  <si>
    <t>一顆玻璃球</t>
  </si>
  <si>
    <t xml:space="preserve">  一顆微微發光的法球將施法距離內一個大型或更小的生物或物件封在其中。一個非自願的生物必須成功於敏捷豁免，否則在法術持續時間內被封在球體中。
  任何事物，包括實體物體、能量或其它法術效應，都無法穿透障壁進出其內，不過生物在球內仍可正常呼吸。球體免疫一切傷害，且球內的生物或物體不能被來自球外的攻擊或效應所傷害，球內的生物也不能對球外的任何事物造成傷害。
  該球體沒有重量，而其尺寸恰好可以容納球內的生物或物體。被封住的生物可以使用一個動作推動球壁並以至多該生物速度一半的速度滾動球體。另外，球體也可以被其他生物拿起或移動。
  以球體為目標施展一道解離術可以摧毀球體而不傷害球內的任何事物。</t>
  </si>
  <si>
    <t>Otto’s Irresistible Dance</t>
  </si>
  <si>
    <t xml:space="preserve">  一名施法距離內你可見的生物必須進行一次感知豁免，豁免成功則目標直到其下個回合結束為止會跳起滑稽的舞蹈，在此期間其必須消耗所有的移動力在原地跳舞。
  豁免失敗，目標在法術持續時間內陷入魅惑狀態。在魅惑狀態期間，目標會跳起滑稽的舞蹈，必須使用所有的移動力在原地跳舞，並且在敏捷豁免和攻擊檢定上具有劣勢，且其他生物以其為目標的攻擊檢定具有優勢。在目標的每個自己的回合，它可以用一個動作使自己鎮定下來並重複豁免，豁免成功則其身上的法術終止。</t>
  </si>
  <si>
    <t>Pass without Trace</t>
  </si>
  <si>
    <t>槲寄生燒成的灰燼</t>
  </si>
  <si>
    <t>你在法術持續時間於30呎光環範圍內散發出遮蔽靈光。位於靈光範圍期間，你和每名你選擇的生物在敏捷（隱匿）檢定上獲得+10加值，且不會留下任何痕跡。</t>
  </si>
  <si>
    <t>Passwall</t>
  </si>
  <si>
    <t>一撮芝麻</t>
  </si>
  <si>
    <t xml:space="preserve">  一處通道在施法距離內木質、泥灰、或岩石表面（如牆壁、天花板、地板）上你可見的一點出現，且持續至法術結束。你選擇開口的大小，至多寬5呎，高8呎，深20呎。通道不會使其周圍的結構變得不穩定。
  當開口消失時，任何仍舊位於通道中的生物或物體會被安全地彈射到距你施展此法術時選擇的表面最近的一處未佔空間中。</t>
  </si>
  <si>
    <t>Phantasmal Force</t>
  </si>
  <si>
    <t>一點羊毛</t>
  </si>
  <si>
    <t>你試圖對施法距離內你可見的一名生物腦內植入一段幻術。目標進行一次智力豁免。豁免失敗時，你創造出一個不大於10呎立方且只能被目標感知到的魅影物件，生物或其他你指定的現象。魅影將持續至法術終止。該魅影包括聲音、溫度和其他刺激因素。
  目標可以用研究動作進行一次對抗你法術豁免DC的智力（調查）檢定來仔細研究這個魅影。檢定成功則目標意識到魅影是一道幻術，法術終止。
  目標受法術影響期間會認定魅影是真實的，並且會合理化任何與其互動產生的不合邏輯的結果。例如，如果目標試圖走過一座跨越峽谷的魅影橋時從橋上墜落並存活，它仍然會相信該橋是真實存在的，並且會覺得是其他什麼東西導致了自己的墜落。
  若魅影代表危險生物或一處災害，則受術目標甚至會受到幻術的直接傷害。在每個你的回合中，若目標在魅影區域內或距其5呎範圍內，則上述形態的魅影可以對目標造成2d8點心靈傷害。而此時目標則會感覺到該傷害類型與魅影適於造成的一種傷害類型相符。</t>
  </si>
  <si>
    <t>Phantasmal Killer</t>
  </si>
  <si>
    <t>你指定施法距離內一名你可見的生物，窺探其惡夢，依此創造一道只有目標能看見的幻象。目標生物進行一次感知豁免。豁免失敗時，目標受到4d10點心靈傷害，且在法術持續時間內在屬性檢定和攻擊擲骰上具有劣勢。豁免成功，則目標只受一半傷害，法術終止。
  法術持續時間內，目標在其每回合結束時進行一次感知豁免，豁免失敗則再次受到心靈傷害。豁免成功則法術終止。
  升環施法效應：使用的法術位每比四環高一環，傷害就增加1d10。</t>
  </si>
  <si>
    <t>Phantom Steed</t>
  </si>
  <si>
    <t xml:space="preserve"> 一匹大型，擬真的馬形生物出現在施法距離內你所選的一處地面上的未佔空間。你決定該生物的樣貌，且它裝備著鞍座、嚼子和韁繩。這些隨法術創造的裝備一旦離開坐騎10呎即化為一陣煙消失不見。
  在法術持續時間內，你或一名你指定的生物可以騎乘此坐騎。坐騎使用乘用馬Riding Horse的數據，不過其具有100呎速度，每小時可行進13裡。法術終止時，坐騎會慢慢消失，騎士有1分鐘的時間下馬。坐騎受到傷害時，法術將提前終止。</t>
  </si>
  <si>
    <t>Planar Ally</t>
  </si>
  <si>
    <t>你祈求一位異界實體的援助。你必須對該存在有所了解，它可以是一位神祇，一位惡魔主君，或是其他擁有宇宙級偉力的存在。該實體將派遣一名效忠它的天界生物，元素生物或邪魔來援助你，並使該生物顯現施法距離內一處未佔空間。如果你知道某個特定生物的名字，則你可以在施展法術時說出其名字來請求指派該生物來援，但是你仍然有可能得到一名不同的生物（由DM選擇）。
  當生物出現時，它並未被強迫作任何事。你可以用報酬為交換請求其提供服務，只是它並沒有為你實現請求的義務。請求的任務可以簡單（幫我們飛越峽谷，或協助我們進行一場戰鬥），也可以複雜（暗中監視我們的敵人，或在我們掃蕩地城時保護我們）。你必須能與該生物交流從而為其服務討價還價。
  報酬的形式各式各樣。天界生物可能會要求為一座同盟的神殿捐獻一份相當可觀的金幣或魔法物品，而一隻邪魔可能會索要一次活祭或一份財寶作為禮物。有些生物可能會要求你進行一個任務來換取它們的服務。
  一個可以按分鐘計算的任務需要每分鐘100gp的報酬。一個可以按小時計算的任務需要每小時1000gp的報酬。一個可以按日計算的任務（至多10日）需要每日10000gp 的報酬。 DM可以依你施展法術時的具體情況調整報酬。如果任務與生物的行為準則一致，則其可能只會索取一半報酬甚至不收取報酬。沒有風險的任務一般只需要建議報酬的一半，而特別危險的任務可能需要更大的禮物。生物極少接受看起來像自殺的任務。
  生物完成任務後，或當提前商定的服務時間結束後，如果可能的話，生物會在回來向你報告後再返回自己的家鄉位面。如果你無法就生物的服務價格與之達成共識，則其將立即返回其家鄉位面。</t>
  </si>
  <si>
    <t>Planar Binding</t>
  </si>
  <si>
    <t>一顆價值1000gp+的寶石，作為此法術的耗材</t>
  </si>
  <si>
    <t xml:space="preserve">  你試著誓縛一名天界生物、元素生物、精類或邪魔使其為你服務。生物必須在施法過程中一直位於施法距離內。 （通常來說，在施展該法術期間，生物會先被召喚到一道反向作用的防護法陣中困住。施法完成時，目標必須成功於一次魅力豁免，否則在持續時間內必須為你服務。如果生物是被另一道法術召喚或創造的，則那道法術的持續時間會延長到與此法術的持續時間一致。
  被誓縛的生物必須盡其最大的努力遵循你的命令。你可能命令該生物在你冒險時陪伴你，或守護一個地點，又或傳遞一個訊息。如果此生物與你敵對Hostile，則它會努力曲解你的字面意思來達到它自己的目標。如果生物在法術終止前完全執行了你的指示而你們仍處於同一位面，則它會當面向你報告。如果你們處於不同位面，則它會回到與其建立誓約之地，並停留該處直至法術終止。
  升環施法效應：使用更高環法術位施展法術時，法術持續時間增加：六環10日，七環30日，八環180日，九環366日。</t>
  </si>
  <si>
    <t>Plane Shift</t>
  </si>
  <si>
    <t>一根與一个存在位面同調的價值250gp+的分叉金屬棒</t>
  </si>
  <si>
    <t xml:space="preserve"> 你和至多八名手牽著手形成一個圓圈的生物被輸送到一個不同的存在位面。你可以概括地指名一個目的地，例如火元素位面的黃銅之城或九層地獄第二層迪斯帕特的宮殿，按照DM的判斷，你將出現在目的地裡或其附近。 。
  另外，如果你知道某個處於另一位面的傳送法陣的印記序列，則該法術可以把你帶到該法陣。如果該傳送法陣太小而裝不下所有你輸送的生物，則他們會出現在離傳送法陣最近的未佔空間中。</t>
  </si>
  <si>
    <t>Plant Growth</t>
  </si>
  <si>
    <t>動作或 8 小時</t>
  </si>
  <si>
    <t>法術將活力引導給特定區域中的植物。本法術的施法時間取決於你選擇下述效應之一：繁茂或豐產。
  繁茂Overgrowth。你指定施法距離內一點，距該點100呎半徑的球狀範圍內的普通植物將變的粗壯繁茂。一名穿過該區域的生物每移動1呎必須花費4呎移動力。你可以在該法術範圍內空出一塊或多塊任意大小的區域，使其排除在法術效應影響之外。
  豐產Enrichment。你指定施法距離內一點，距該點半里內的植物的產量將在365日內被強化。這些植物收穫時將產出兩倍於正常產量的作物。這些植物每年僅能從一道植物滋長中獲益。</t>
  </si>
  <si>
    <t>Poison Spray</t>
  </si>
  <si>
    <t>你向施法距離內一個你可見的生物噴出一股毒氣。對目標進行一次遠程法術攻擊。命中，則目標受1d12點毒素傷害。
  戲法升級：當你到達特定等級時，其傷害增加1d12（5級2d12、11級3d12、17級4d12）。</t>
  </si>
  <si>
    <t>Polymorph</t>
  </si>
  <si>
    <t xml:space="preserve"> 你試著將施法距離內你可見的生物轉變為一隻野獸。目標必須成功於一次感知豁免，否則在持續時間內被變形為一種野獸形態。此型態可以是你選擇的挑戰等級小於等於目標（若目標沒有挑戰等級，則使用目標的等級）的任意野獸。目標的遊戲數據被替換為所選野獸的數據，但目標保留其陣營、性格、生物類型、生命值、生命值骰。野獸資料範例請見附錄B。
  目標獲得等同於野獸形態生命值的臨時生命值，這些臨時生命執會在法術結束時消失。此法術會在目標已不具有任意來源的臨時生命值時提前結束。
  該生物只可做出其新形態的生理結構所允許的動作。它不能說話也不能施法。
  目標的裝備融入新形態。目標不能使用裝備或透過其他方式從裝備中獲得增益。</t>
  </si>
  <si>
    <t>Power Word Fortify</t>
  </si>
  <si>
    <t>你增強施法距離內你可見的至多六名生物的防禦。此法術賦予受術者共120點臨時生命值，由你在受術者中任意分配。</t>
  </si>
  <si>
    <t>Power Word Heal</t>
  </si>
  <si>
    <t>一股治療能量沖刷著一名施法距離內你可見的生物。目標恢復其所有生命值。若目標具有魅惑、恐懼、麻痺、中毒、震懾狀態，則目標身上的這些狀態立刻結束。若目標具有伏地狀態，則其可以用其反應起身。</t>
  </si>
  <si>
    <t>Power Word Kill</t>
  </si>
  <si>
    <t>你強迫一個施法距離內你可見的生物死亡。若目標的生命值為100點或更少，則其立即死亡。否則，其受到10d12點心靈傷害。</t>
  </si>
  <si>
    <t>Power Word Stun</t>
  </si>
  <si>
    <t>你壓垮施法距離內一名你可見生物的心靈。若目標生命值為150點或更少，則其陷入震懾狀態。否則，目標的速度直至你下個回合開始變成0。
  被震懾目標在其每回合結束時進行一次體魄豁免。豁免成功，則其身上的此狀態終止。</t>
  </si>
  <si>
    <t>Prayer of Healing</t>
  </si>
  <si>
    <t>在施展法術期間一直位於施法距離內的至多五名生物獲得等同於一次短休的增益，並且恢復2d8點生命值。一名生物直到完成一次長休為止不能再被此法術影響。
  升環施法效應：使用的法術位每比二環高一環，治療量增加1d8。</t>
  </si>
  <si>
    <t>Prestidigitation</t>
  </si>
  <si>
    <t xml:space="preserve"> 你在施法距離內創造一個魔法效應。從下述效應中選擇一項。如果你多次施展該法術，則可以同時維持至多三個不同的非即時效應。
  感官效應Sensory Effect。你創造一個立即生效的，無害的感官效應，例如一束火花，一陣風，微弱音樂或古怪的臭味。
  玩火Fire Play。你立即點亮或熄滅一根蠟燭、一根火把或一處小篝火。
  清潔或弄髒Clean or Soil。你立即清潔或弄髒一個不大於1立方呎的物件。
  次級感覺Minor Sensation。你使一個不大於1立方呎的無生命物質變冷、變暖或對其調味，持續1小時。
  魔法印記Magic Mark。你在一個物件或一個表面上創造一塊色斑，一個小印記，或一個徽記，持續1小時。
  次級造物Minor Creation。你創造出一個非魔法小飾品或一張虛幻圖像，其大小不能超過你的手掌大小，它會持續存在至下個你的回合結束為止。一個小飾品不能造成傷害，也不值錢。</t>
  </si>
  <si>
    <t>Prismatic Spray</t>
  </si>
  <si>
    <t>八條光線從你的手上閃出，作用於60呎錐形範圍。每位位於錐形之中的生物進行一次敏捷豁免。為每個目標擲一次1d8來決定影響到它的射線種類，參考虹光射線表。
  虹光射線Prismatic Rays
1d8        射線
1        紅Red。豁免失敗：12d6點火焰傷害。豁免成功：半傷。
2        橙Orange。豁免失敗：12d6點強酸傷害。豁免成功：半傷。
3        黃Yellow。豁免失敗：12d6點閃電傷害。豁免成功：半傷。
4        綠Green。豁免失敗：12d6點毒素傷害。豁免成功：半傷。
5        藍Blue。豁免失敗：12d6點寒冷傷害。豁免成功：半傷。
6        靛Indigo。豁免失敗：目標陷入束縛狀態，且其每回合結束進行一次體魄豁免。在累計三次豁免成功後，狀態終止。在累積三次豁免失敗後，生物被轉化為石頭陷入石化狀態，直到此狀態被高等復原術或類似效應解除為止。成功或失敗的檢定不需要連續；只要記錄各情況的次數直至其中一方累計三次為止。
7        紫Violet。豁免失敗：目標陷入目盲狀態且在下一個你的回合開始時進行一次感知豁免。豁免成功，狀態終止。豁免失敗，狀態終止，且該生物會被傳送到另一個存在位面（由DM選擇）。
8        特殊Special。目標被兩道射線擊中。擲兩次骰，若有骰子出目為8則重骰那顆骰子。</t>
  </si>
  <si>
    <t>Prismatic Wall</t>
  </si>
  <si>
    <t>由光構成的閃光多彩平面形成一幅垂直而不透光的牆壁。牆壁至多長90呎，高30呎，厚1寸，並以施法距離內你能看見的一點為源點。你也可以將此牆塑造成一個直徑至多30呎的球體，並以施法距離內你能看到的一點為中心。法牆在持續時間內一直存在。如果你指定法牆生成的空間有生物佔據，則法術立即結束且不產生任何效應。
  法牆發出100呎的明亮光照外加100呎的微量光照。你和施展該法術時指定的生物可以穿過法牆或停留在法牆附近而不受傷害。如果其他能看見法牆的生物移動到距牆20呎內或在該處開始其回合，則該生物必須進行一次體魄豁免，豁免失敗則陷入目盲狀態，持續1分鐘。
  法牆由七層組成，每層都有不同顏色。生物試圖進入或穿過法牆時，將逐層穿過法牆所有的光層。其每穿過一層就必須進行一次敏捷豁免，豁免失敗則受虹光光層表中所述特性影響。
  法牆具有AC 10，可以被摧毀，不過也必須由紅到紫的順序一次一個光層地按照特定的方式逐層摧毀。某個光層一旦被摧毀則其在法術持續時間內保持被摧毀狀態。反魔法立場無法對法牆生效，解除魔法只對紫牆有效。
  虹光光層Prismatic Layers
順序        效應
1        紅Red。豁免失敗：12d6點火焰傷害。豁免成功：半傷。額外效應：非魔法遠程攻擊無法
穿過此層，此層受到25點寒冷傷害後被摧毀。
2        橙Orange。豁免失敗：12d6點強酸傷害。豁免成功：半傷。額外效應：魔法遠程攻擊無法穿過此層，此層受強風（如造風術創造的風）吹襲後被摧毀。
3        黃Yellow。豁免失敗：12d6點閃電傷害。豁免成功：半傷。額外效應：此層受到60點力場傷害後被摧毀。
4        綠Green。豁免失敗：12d6點毒素傷害。豁免成功：半傷。額外效應：此層受穿牆術，或其它相同或更高環階法術在固態表面開口的效應影響時被摧毀。
5        藍Blue。豁免失敗：12d6點寒冷傷害。豁免成功：半傷。額外效應：此層受到25點火焰傷害後被摧毀。
6        靛Indigo。豁免失敗：目標陷入束縛狀態，且其每回合結束進行一次體魄豁免。在累計三次豁免成功後，狀態終止。在累積三次豁免失敗後，生物被轉化為石頭陷入石化狀態，直到此狀態被高等復原術或類似效應解除為止。成功或失敗的檢定不需要連續；只要記錄各情況的次數直至其中一方累計三次為止。額外效應：法術無法穿過此層，此層受到晝明術的明亮光照照射後被摧毀。
7        紫Violet。豁免失敗：目標陷入目盲狀態且在下一個你的回合開始時進行一次感知豁免。豁免成功，狀態終止。豁免失敗，狀態終止，且該生物會被傳送到另一個存在位面（由DM選擇）。額外效應：此層受解除魔法解除後被摧毀。</t>
  </si>
  <si>
    <t>Produce Flame</t>
  </si>
  <si>
    <t xml:space="preserve"> 一朵搖曳的火焰出現在你手中並火焰在法術持續時間存在。火焰在你手中期間，不會散發任何熱量也不會點燃任何東西，發出半徑20呎明亮光照，以及額外20呎微量光照。當你再次施展法術時，法術就終止。
  直到法術結束為止，你可以用一個魔法動作向距你60呎內的一個生物或一個物體丟出火焰。進行一次遠程法術攻擊。命中時，目標受到1d8點火焰傷害。
  戲法升級：當你到達特定等級時，其傷害增加1d8（5級2d8、11級3d8、17級4d8）。</t>
  </si>
  <si>
    <t>Programmed Illusion</t>
  </si>
  <si>
    <t>價值25gp+的翡翠塵</t>
  </si>
  <si>
    <t>你在施法距離內創造一個物體，一個生物，或其他可視現象的幻術，此幻術在滿足特定觸發條件時會被激活。該幻術在啟動前無法被察覺。幻術必須不大於30呎立方，由你決定幻術如何行動和發聲。這種按腳本執行的表演可以持續至多5分鐘。
  當你指定的觸發條件發生時，幻術會迅速成型，並以你設定的方式運作。幻術終止運作之後，它消失並休眠10分鐘，在休眠結束後幻術便可再次被啟動。
  觸發條件可以寬泛也可以依你喜好進行細化，但必須是發生在距幻術區域30呎內的能看到或聽到的現象。例如，你可以製造一個自己的幻象，在其他人試圖打開一扇卡住的門時出現並發出警告。
  由於東西可以穿過幻象，因此與該幻象進行的物理互動都會暴露其幻覺本質。生物可以採取研究動作進行一次對抗你法術豁免DC的成功智力（調查）檢定以看穿幻象。辨認出幻象的生物可以看穿該影像，其產生的聲響對該生物而言顯得虛假。</t>
  </si>
  <si>
    <t>Project Image</t>
  </si>
  <si>
    <t>500 里</t>
  </si>
  <si>
    <t>一尊價值5gp+的自塑像</t>
  </si>
  <si>
    <t>你創造一個自己的幻象分身，並使其在法術持續時間內維持存在。該分身可以出現在施法距離內你曾經見過的任何地點，而不論中間是否有障礙物。該幻像看起來和聽起來都與你一樣，只是沒有現實形體。幻象受到傷害時會立即消失，法術終止。
  你可以透過分身的眼睛視物，用分身的耳朵聆聽，如同你處於它的位置一樣。用一個魔法動作，你能使分身移動至多60呎，而其姿態、言語和行為均按照你的指定作表現。幻象可以完美地模仿你的舉止。
  由於東西可以穿過幻象，任何與該幻象進行的物理互動都會暴露其幻覺本質。生物可以採取研究動作進行一次對抗你法術豁免DC的成功智力（調查）檢定以看穿幻象。辨認出幻象的生物可以看穿該影像，其產生的聲響對該生物而言顯得虛假。</t>
  </si>
  <si>
    <t>Protection from Energy</t>
  </si>
  <si>
    <t>法術持續時間內，你觸及的一個自願生物對你選擇的一種傷害類型具有抗性：強酸、寒冷、火焰、閃電、雷鳴。</t>
  </si>
  <si>
    <t>Protection from Evil and Good</t>
  </si>
  <si>
    <t>一瓶25gp+的聖水，作為此法術的耗材</t>
  </si>
  <si>
    <t>法術結束前，你使一名自願生物獲得針對下述生物類型的防護：異怪、天界生物、元素生物、精類、邪魔、不死生物。
 此防護提供下述幾種增益。具有上述生物類型的生物對目標的攻擊檢定具有劣勢。目標不能被其附身，也不會因其陷入魅惑或恐懼狀態。如果目標已經被具有上述生物類型的生物附身、陷入魅惑或恐懼狀態，目標在針對相關效應的豁免上具有優勢。</t>
  </si>
  <si>
    <t>Protection from Poison</t>
  </si>
  <si>
    <t>你觸及一名生物並結束其陷入的中毒狀態。在持續時間內，目標在避免陷入或結束中毒狀態的豁免上具有優勢，且具有對毒素傷害的抗性。</t>
  </si>
  <si>
    <t>Purify Food and Drink</t>
  </si>
  <si>
    <t>你移除以施法距離內一點為中心半徑5呎球狀區域內非魔法飲食中的毒素和腐敗。</t>
  </si>
  <si>
    <t>Raise Dead</t>
  </si>
  <si>
    <t>一顆價值500gp+的鑽石，作為此法術的耗材</t>
  </si>
  <si>
    <t>你觸碰一名已死，但死亡時間不超過10日，且死亡時並不是不死生物的生物，使其回生。
  生物以1點生命值重生。該法術同樣會中和在該生物死亡時仍在生效的毒素。
  此法術能治癒所有致命傷，但無法恢復失去的身體部位。如果生物缺失了它求生所必要的身體部位或器官（例如頭），則該法術會自動失敗。
  死而復生是一種痛苦的體驗。目標進行D20檢定時具有-4減值。目標每完成一次長休，其減損就減少1，直到減損變成0。</t>
  </si>
  <si>
    <t>Rary’s Telepathic Bond</t>
  </si>
  <si>
    <t>兩顆蛋</t>
  </si>
  <si>
    <t>你與施法距離內你選擇的至多八名自願生物在法術持續時間內建立心靈連線。不能以任何語言進行溝通的生物不受該法術影響。
  直到法術終止，所有受術生物都可以透過心靈連線與其他受術生物進行心靈感應，而不論他們是否語言相連。此交流方式可以跨越任意遠近的距離但不能跨存在位面。</t>
  </si>
  <si>
    <t>Ray of Enfeeblement</t>
  </si>
  <si>
    <t>你向施法距離內的一名生物射出一道讓人衰弱的能量射線。目標必須進行一次體魄豁免。豁免成功，則目標直到你的下個回合開始在下一次攻擊擲骰上具有劣勢。
  豁免失敗，目標在持續時間內在使用力量屬性的D20檢定上具有劣勢。在此期間，它同樣會在其所有的傷害擲骰上減去1d8。目標在每個其回合結束時可以重複豁免，豁免成功則法術終止。</t>
  </si>
  <si>
    <t>Ray of Frost</t>
  </si>
  <si>
    <t xml:space="preserve"> 一道冰冷的藍白色光線朝施法距離內的一名生物射去。對目標進行一次遠程法術攻擊。若命中，則目標受到1d8點寒冷傷害，並且直到你的下一輪開始，速度減少10呎。
  戲法升級：當你到達特定等級時，其傷害增加1d8（5級2d8、11級3d8、17級4d8）。</t>
  </si>
  <si>
    <t>Ray of Sickness</t>
  </si>
  <si>
    <t>你朝施法距離內一名生物射出一道綠色射線。對目標進行一次遠程法術攻擊。若命中，則目標受到2d8點毒素傷害且陷入中毒狀態直到你的下一回合結束。
  升環施法效應：使用的法術位每比一環高一環，傷害就增加1d8。</t>
  </si>
  <si>
    <t>Regenerate</t>
  </si>
  <si>
    <t>一個轉經輪</t>
  </si>
  <si>
    <t xml:space="preserve"> 一名你觸及的生物恢復4d8+15點生命值。在持續時間內，目標在其每回合開始時恢復1點生命值，且其失去的任何身體部位都將在2分鐘後重新長出。</t>
  </si>
  <si>
    <t>Reincarnate</t>
  </si>
  <si>
    <t>價值1000gp+的珍稀油，作為此法術的耗材</t>
  </si>
  <si>
    <t>你觸及一名類人生物的遺體或遺體的一部分。若該生物死亡時間不超過10日，則法術會創造出一具新的成年身體，並呼喚該生物的靈魂進入此新身軀。骰1d10，然後參考下表來決定新軀體的物種，或者DM也可以選擇其他可選物種。
1d10	物種
1	阿斯莫
2	龍裔
3	矮人
4	精靈
5	地侏
6	歌利亞
7	半身人
8	人類
9	獸人
10	提夫林
  若物種描述中提供了可選選項，則由被轉生的生物做出選擇，且其保留其前生記憶。目標保留原形的一切能力，不過其物種特質將以新物種的相應特質做更替。</t>
  </si>
  <si>
    <t>Remove Curse</t>
  </si>
  <si>
    <t xml:space="preserve"> 你觸及一個生物或一個物件，使影響其的所有詛咒終止。如果該物件是一件詛咒魔法物品，則其上的詛咒不會因此解除，不過該法術可以打破詛咒物品與其所有者之間的同調Attunement，使其所有者可以將其卸下或丟棄。</t>
  </si>
  <si>
    <t>Resistance</t>
  </si>
  <si>
    <t>你觸及一名自願生物並選擇一種傷害類型：強酸、鈍擊、寒冷、火焰、閃電、暗蝕、穿刺、毒素、光耀、揮砍、雷鳴。當生物在法術結束之前受到了所選類型的傷害，那名生物將其受到的總傷害減去1d4。一名生物一回合只能受到一次該法術的增益。</t>
  </si>
  <si>
    <t>Resurrection</t>
  </si>
  <si>
    <t>一顆價值1000gp+的鑽石，作為此法術的耗材</t>
  </si>
  <si>
    <t xml:space="preserve">  你觸碰一名已死，但死亡時間不超過100年，並非死於年老，且死亡時並不是不死生物的生物，使其回生。
  生物以生命值全滿的狀態重生。該法術同樣會中和在該生物死亡時仍在生效的毒素。此法術能治癒所有致命傷，恢復所有失去的身體部位。
  死而復生是一種痛苦的體驗。目標進行D20檢定時具有-4減值。目標每完成一次長休，其減損就減少1，直到減損變成0。
  使用該法術復活一名已死去365日或更久的生物會使你耗費大量精力。在完成一次長休前，你將無法再施展任何法術，且此時你進行的一切D20檢定具有劣勢。</t>
  </si>
  <si>
    <t>Reverse Gravity</t>
  </si>
  <si>
    <t>一顆天然磁石和鐵屑</t>
  </si>
  <si>
    <t>此法術以施法距離內一點為中心，創造半徑50呎、高100呎的重力反轉柱狀區域。區域內所有未固定在地面上的生物和物體都會向上落去，直到碰到該區域頂端為止。生物可以進行一次敏捷豁免以抓住一件他能觸及的固定物件，從而避免向上墜落。
  如果目標在墜落過程中撞上任何固體（例如天花板或被固定的物體），則墜落的物體和生物會受到同樣情況下正常墜落時所會受到的衝擊。如果物體或生物到達該區域的頂部並且沒有撞到任何東西，則它將在持續時間內懸浮在該處。法術終止時，受術物體和生物向下墜落。</t>
  </si>
  <si>
    <t>Revivify</t>
  </si>
  <si>
    <t>一顆價值300gp+的鑽石，作為此法術的耗材</t>
  </si>
  <si>
    <t>你接觸在前一分鐘內剛死亡的生物。該生物以1點生命值回生。此法術不能復活老死的生物，也不能恢復失去的身體部位。</t>
  </si>
  <si>
    <t>Rope Trick</t>
  </si>
  <si>
    <t>一段繩子</t>
  </si>
  <si>
    <t>你接觸一段繩子。繩的一端會向上升起，直到整條繩子都垂直於地面掛在空中，或繩子觸及到天花板。繩子向上的末端存在一個隱形的3呎×5呎大小的傳送門，其通往一個法術持續時間內一直存在的異次元空間。沿著繩子向上攀爬即可進入此空間，繩子也可被拉入空間或從空間中丟出。
  空間可容納至多八名中型或更小的生物。攻擊，法術和其他效應都無法穿過空間，但空間內的生物可以透過入口看到外面的景象。法術終止時，異次元空間內的一切都會掉出來。</t>
  </si>
  <si>
    <t>Sacred Flame</t>
  </si>
  <si>
    <t>如同火焰般的輝光向施法距離內你能看見的一個生物傾瀉而下。目標必須要進行一次敏捷豁免，豁免失敗則受到1d8 點光耀傷害。目標在這次豁免檢定中無法獲得半掩護和四分之三掩護的增益。
  戲法升級：該法術的傷害會在你達到下列等級時增加1d8：5級（2d8），11 級（3d8），17 級1d8（4d8）。</t>
  </si>
  <si>
    <t>Sanctuary</t>
  </si>
  <si>
    <t>一塊鏡子碎片</t>
  </si>
  <si>
    <t xml:space="preserve"> 你的法術保護一個施法距離內的生物不受傷害。在法術終止前，任何試圖對受保護者進行攻擊或對受保護者施放傷害性法術的生物都必須成功通過一次感知豁免，若豁免失敗，該生物必須選定一個新目標，否則將失去本次的攻擊或法術。此法術不能保護受術者免受範圍效應（如爆炸或火球）的影響。若受保護生物發動攻擊，施展一道法術，或造成任何傷害，則該法術隨之終止。</t>
  </si>
  <si>
    <t>Scorching Ray</t>
  </si>
  <si>
    <t>你射出三道火焰的射線。你可以將其射向施法距離內的一個或多個目標。每道射線需要你分別進行一次遠程法術攻擊。若命中，目標受到2d6 點火焰傷害。
  升環施法效應：使用高於二環的法術位施展該法術時，使用的法術位每比二環高一環，你就能多創造出一道射線。</t>
  </si>
  <si>
    <t>Scrying</t>
  </si>
  <si>
    <t>一個價值1000gp+的聚焦镜，例如水晶球、銀鏡、裝滿水的聖水池</t>
  </si>
  <si>
    <t xml:space="preserve"> 你能看見和聽到一個和你處於同一存在位面上的生物。目標生物必須進行一次感知豁免；該豁免的調整值與你對目標的了解程度有關（見下文），也與你和目標之間的物理聯係程度有關。目標不知道它進行此豁免在對抗什麼，只是會感覺不自在。
你對目標的了解有…	豁免調整值
二手資訊（你曾經聽說過目標）	+5
直接訊息（你曾經看過目標）	+0
熟悉（你對目標很了解）	-5
你具有目標的…	豁免調整值
肖像或其他圖像	-2
衣物或其他物品	-4
身體部位如頭發或指甲	-10
  如果對方豁免成功，則目標不受該法術影響，且在24 小時內你不能嘗試探知同一個目標。
  如果對方豁免失敗，則你在目標身邊10 呎內創造出一個隱形的傳感器。透過傳感器，你可以身臨其境地看見和聽到周圍的環境。傳感器會跟隨目標移動，並在法術持續時間內始終保持在目標10 呎之內。在能夠看到感測器的生物眼中，你的感測器是一個拳頭大小的光球。
  除生物之外，你也可以選擇一個你以前見過的地點作為該法術的目標。這種情況下，感測器會出現在目標地點且不會移動。</t>
  </si>
  <si>
    <t>Searing Smite</t>
  </si>
  <si>
    <t xml:space="preserve"> 被該次攻擊檢定命中的目標會在此次攻擊中額外受到1d6火焰傷害，並被魔法性火焰引燃。直至法術終止前，目標會在每個其回合開始時受到1d6點火焰傷害，並進行一次體魄豁免。豁免失敗則法術繼續生效，成功則法術終止。
  升環施法效應：使用高於一環的法術位施放本法術時，你使用的法術位每比1環高一環，此法術造成的所有傷害都增加1d6。</t>
  </si>
  <si>
    <t>See Invisibility</t>
  </si>
  <si>
    <t>一撮滑石粉</t>
  </si>
  <si>
    <t xml:space="preserve"> 在法術持續時間內，你能看見任何隱形的生物和物件，如同其處於正常可見狀態一樣。你也能夠看見以太位面，以太位面的生物和物體在你眼中會以幽靈般的半透明形狀顯現。</t>
  </si>
  <si>
    <t>Seeming</t>
  </si>
  <si>
    <t>你選擇施法距離內你能看見的任意數量生物，為他們提供一個虛假外觀。不願意受該法術影響的目標可以進行一次魅力豁免，豁免成功則不受該法術影響。
  你可以為不同目標提供同樣或不同的外觀。法術能改變生物的身體和裝備外觀。你可以讓目標看起來身高有1 呎的增減，看起來更輕或更重。目標的新形貌的肢體結構必須與目標原形相符，但你可以隨意改變其他的外觀特徵。法術會持續至時間結束。
  此法術產生的變化無法應付物理檢查。例如，你用此法術為一個生物添了一頂帽子，那麼現實物件就會穿過帽子。
  一個使用研究動作來檢查目標的生物可以進行一次智力（調查）檢定來對抗你的法術豁免DC。如果它成功了，它會意識到目標進行了偽裝。</t>
  </si>
  <si>
    <t>Sending</t>
  </si>
  <si>
    <t>無限</t>
  </si>
  <si>
    <t xml:space="preserve">  你向你所遇到的或某人遇到且向你描述的一個生物發送一小段二十五個字以內的信息。該生物將在心中聽到你的訊息，它可以認出你是發訊人（如果他認識你），還可以用同樣的方式立即回復一條訊息。法術會讓目標能夠理解你短訊的訊息。
  你的傳訊可以跨越任意長的距離，甚至跨越位面。但如果目標和你不在同一個存在位面，則短訊術有5%的機率無法到達。如果法術沒有到達，你會知曉。
  在收到你的訊息後，一個生物能夠阻塞你在8小時內以這個法術對他發信的能力。如果你在這段時間內試圖送出另一個訊息，你會得知你的短訊被阻塞，並且法術失敗。 、</t>
  </si>
  <si>
    <t>Sequester</t>
  </si>
  <si>
    <t>價值5000gp+寶石粉塵，作為此法術的耗材</t>
  </si>
  <si>
    <t>你觸碰一個物件或自願生物，以魔法隔離。在法術持續期間，目標具有隱形狀態並且不會被預言係法術作為目標，不會被魔法偵測，也不會被魔法遠程察覺到。
  如果目標是一個生物，它會進入靜滯。它陷入昏迷狀態，不會衰老，也不需要進食、飲水或呼吸空氣。
  你可以設定一個讓該法術提前終止的條件。該條件由你自由設定，但必須是發生在目標周圍1 裡內或目標在周圍一里內能看見的事件。例如：「1000 年以後」或「當泰拉斯奎巨獸甦醒時」。若受術者受到任何傷害，則該法術立刻終止。</t>
  </si>
  <si>
    <t>Shapechange</t>
  </si>
  <si>
    <t>一支價值1500gp+的玉環</t>
  </si>
  <si>
    <t>在法術持續時間內，你變形為另一個生物。你可以使用魔法動作來變形為另一個符合條件的形態。新形態必須是挑戰等級不高於你的等級或挑戰等級的生物。你必須在之前見過該生物至少一次，而且它不能是構裝或亡靈。
  當你施放這個法術，你獲得等於新形態生命值的臨時生命值，這些臨時生命會在法術結束時一同消失。
  你的遊戲資料卡替換為選擇形態的資料卡，但你保留你的生物類型、陣營、人格
  智力、感知、魅力、生命值、生命骰、熟練以及溝通的能力。如果你具有施法特性，你同樣保留它。
  在變形時，你可以決定你的裝備落到地上，或改變其尺寸和形狀來適應你的新形態。</t>
  </si>
  <si>
    <t>Shatter</t>
  </si>
  <si>
    <t>一片雲母</t>
  </si>
  <si>
    <t xml:space="preserve">  一陣震耳欲聾的噪音在你指定的施法距離內一點上爆發出來。以此點為中心半徑10 呎球狀區域內的所有生物必須進行一次體魄豁免。豁免失敗將受到3d8 點雷鳴傷害；豁免成功受到半數傷害。構裝生物進行此豁免時具有劣勢。
  如果法術的範圍內存在不被任何生物著裝攜帶的非魔法物件，則它也要受到該傷害。
  升環施法效應：使用高於二環的法術位施展法術時，使用的法術位每比二環高一環，法術傷害增加1d8。</t>
  </si>
  <si>
    <t>Shield</t>
  </si>
  <si>
    <t>反應，當你被攻擊命中或被作為魔法飛彈法術的目標時</t>
  </si>
  <si>
    <t xml:space="preserve">  一道看不見的力場製護盾浮現在你身旁，保護著你。在你的下一回合開始前，你的AC 有+5 加值（在觸發該法術的攻擊之前生效），並且不會受到魔法導彈的傷害。</t>
  </si>
  <si>
    <t>Shield of Faith</t>
  </si>
  <si>
    <t>一張禱文卷軸</t>
  </si>
  <si>
    <t xml:space="preserve">  一片閃著微光的魔法力場圍繞著施法距離內你指定的一個生物，使目標在法術持續時間內AC 獲得+2 加值。</t>
  </si>
  <si>
    <t>Shillelagh</t>
  </si>
  <si>
    <t>槲寄生</t>
  </si>
  <si>
    <t xml:space="preserve"> 你將自然之力灌入手中持握的一根短棒或長棍中。當你在法術持續時間內使用該武器進行近戰攻擊時，可以用你的施法屬性值取代力量值來進行攻擊檢定和傷害擲骰，且該武器的傷害骰變成d8。如果該攻擊造成傷害，你可以選擇它造成力場傷害或該武器原本的傷害類型。當你再次施展法術或丟掉該武器時，法術也隨之終止。
  戲法升級：此武器的傷害骰會在你達到下列等級時改變：5級（1d10）、11級（1d12）以及17級（2d6）。</t>
  </si>
  <si>
    <t>Shining Smite</t>
  </si>
  <si>
    <t>被該次攻擊檢定命中的目標會在此次攻擊中額外受到2d6點光耀傷害。目標會發出5呎半徑的明亮光照直至法術結束。在此期間，對其進行的攻擊檢定具有優勢，且其不能從隱形狀態中受益。
  升環施法效應：使用高於二環的法術位施放本法術時，你使用的法術位每比2環高一環，額外傷害就會增加1d6。</t>
  </si>
  <si>
    <t>Shocking Grasp</t>
  </si>
  <si>
    <t>你放出閃電，擊向一名你試圖觸碰的生物。對目標發動一次近戰法術攻擊。若命中，則目標受到1d8 點閃電傷害，且在其下一輪開始前不能執行借機攻擊。
  戲法升級：此法術的傷害會在你達到下列等級時增加1d8：5級（2d8），11 級（3d8），17 級1d8（4d8）。</t>
  </si>
  <si>
    <t>Silence</t>
  </si>
  <si>
    <t>你指定施法距離內一點，以該點為中心半徑20 呎的球狀區域在法術持續時間內將無法產生任何聲音，且外界的聲音也無法穿梭於該區域內。任何完全位於該區域內的生物和物體都會免疫雷鳴傷害，而任何生物在完全位於該區域內時都將陷入耳聾狀態。此外，該區域內無法施展包含言語成分的法術。</t>
  </si>
  <si>
    <t>Silent Image</t>
  </si>
  <si>
    <t>少量羊毛</t>
  </si>
  <si>
    <t xml:space="preserve"> 你創造一個影像，其形象來自一個大小不超過邊長15 呎立方體的物件，生物或其他的可視現象。影像出現在施法距離內的一處位置並在法術持續時間內持續存在。該影像是純粹的視覺影像；它不會被聽覺，嗅覺或其他感官感受到。
  你可以使用一個魔法動作將影像移動到施法距離內的另一個位置。當影像改變位置時，你可以改變影像的外觀使其移動得更自然。例如，如果你創造了一個生物的影像並移動它，則你可以改變影像，使它看起來像是在走路。
  由於影像無法被碰到，任何與該影像的物理互動都會暴露其幻象的本質。一個生物使用研究動作調查影像時，它可以進行一次對抗法術豁免DC 的智力（調查）檢定。辨認出幻象的生物可以看破該影像，在該生物看來會透過影像看到背後的事物。</t>
  </si>
  <si>
    <t>Simulacrum</t>
  </si>
  <si>
    <t>12 小時</t>
  </si>
  <si>
    <t>價值1500gp+的红寶石粉，作為此法術的耗材</t>
  </si>
  <si>
    <t>你創造一個野獸或類人生物的擬像，該生物在整段施法時間內必須一直在你的10呎內。結束施法時，你同時觸碰該生物以及和該生物同樣體型的一堆冰或雪，然後冰雪變化為該生物的擬像。擬像是一個生物。它使用擬像物件本體在施法時的遊戲數據，但其類別為構裝，最大生命值為本體最大生命值的一半，且它無法施展擬像術。
  擬像對你和你所選定的生物態度友善。它服從你的命令並在戰鬥中你的回合中行動。擬像不能升級，也不能進行短休和長休。
  如果擬像受到傷害，它只能透過你在長休期間進行修理來回復生命值。擬像每恢復一點生命值就要消耗價值100gp 的材料，在修復期間，它必須位於你5呎內。
  擬像會持續到其生命值降至0，隨後就變回冰雪並立刻融化。再次施放該法術時，任何你已用該法術創造出來的擬像都會立刻被摧毀。</t>
  </si>
  <si>
    <t>Sleep</t>
  </si>
  <si>
    <t>一把細沙或玫瑰花瓣</t>
  </si>
  <si>
    <t>以施法距離內一點為源點，5呎半徑球狀區域內每個你選擇的生物都必須成功通過一次感知豁免否則直到其下個回合結束陷入失能狀態。在其下個回合結束時，它必須重複此豁免。如果目標第二次豁免失敗，目標在持續時間內陷入昏迷狀態。如果目標受到傷害，或其5呎內有人用一個動作將它搖醒，目標身上的法術結束。
  不會睡眠的生物，例如精靈或免疫力竭Exhaustion狀態的生物自動成功通過對抗此法術的豁免。</t>
  </si>
  <si>
    <t>Sleet Storm</t>
  </si>
  <si>
    <t>一把迷你雨傘</t>
  </si>
  <si>
    <t xml:space="preserve"> 你指定施法距離內一點，並使以該點為中心，高40 呎、半徑20 呎的柱狀區域內降下寒冷刺骨的凍雨和冰雹直至法術終止。該區域將造成重度遮蔽，且該區域內的一切開放的明火將被澆熄。
  該區域的地面上變成困難地形。生物在一個回合內第一次進入該區域或在區域內開始其回合時，它必須成功通過一次敏捷豁免，否則將陷入伏地狀態並失去專注。</t>
  </si>
  <si>
    <t>Slow</t>
  </si>
  <si>
    <t>一滴糖漿</t>
  </si>
  <si>
    <t>你在施法距離內一處40 呎立方區域內指定至多六個生物並扭曲其周圍的時間流。每個目標都要進行一次感知豁免，豁免失敗則受到該法術影響直至法術終止。
  被影響的生物的速度減半，而其AC 和敏捷豁免都具有-2 減值，且不能執行反應。該生物在其回合內可以執行一個動作或一個附贈動作，但不能在一回合內同時執行以上兩者。當它執行攻擊動作時，它只能發動一次攻擊。
  如果該生物嘗試施展一個具有姿勢成分的法術，有25%的可能法術會因為生物的動作太慢而施展失敗。
  受術生物在每個自己回合結束時可以再進行一次該感知豁免，豁免成功則終止其身上的該法術效應。</t>
  </si>
  <si>
    <t>Sorcerous Burst</t>
  </si>
  <si>
    <t xml:space="preserve">  你向距離內的一個生物或物體投射術法能量。對目標進行一次遠程攻擊檢定，命中時，目標受到1d8點傷害。你選擇法術造成的傷害類型：強酸，寒冷，火焰，閃電，毒素，心靈或雷鳴。
  如果你在法術的其中一個d8骰上丟出了8，你可以立刻再丟一個d8，將其加入法術造成的傷害中。當你施展此法術時，你最多以此法造成的額外d8傷害骰數等同於你的施法關鍵屬性調整值。
   戲法升級：這個法術的傷害在你到達特定等級時提高1d8：5級2d8，11級3d8，17級4d8。</t>
  </si>
  <si>
    <t>Spare the Dying</t>
  </si>
  <si>
    <t>15 呎</t>
  </si>
  <si>
    <t>選擇一個生命值為0 還未死亡的生物，使該生物的傷勢穩定。
  戲法升級：這個法術的射程在你到達特定等級時翻倍：5級30呎，11級60呎，17級120呎。</t>
  </si>
  <si>
    <t>Speak with Animals</t>
  </si>
  <si>
    <t>你在法術持續時間內獲得理解野獸並用語言與其溝通的能力，並且你可以對它們使用任意交涉動作的技能選項。
  大多數野獸在談及和求生與夥伴無關的話題時能說的很少，但至少，它們能夠給你提供關於周圍地域和怪物的情報，包括任何它們近一日內察覺到的東西。</t>
  </si>
  <si>
    <t>Speak with Dead</t>
  </si>
  <si>
    <t>燃燒的香</t>
  </si>
  <si>
    <t>你給施法距離內一具屍體表面的生命力，讓其可以回答你的問題。這具屍體必須還有一張嘴，並且如果該生物死亡時是不死生物，施法失敗。若目標屍體在最近十日內曾被作為該法術的目標，則本次施法失敗。
  在法術終止前，你可以向屍體提出最多五個問題。屍體的知識和它所講述的語言僅限於其生前所知。答案通常是簡短，含糊或重複的語句，如果你對屍體抱有敵意或屍體認為你是其敵人，它也不是一定要給你正確的答覆。該法術並不能讓該生物的靈魂回到其身體中，只是活化了其精神。因此，該屍體不能認知新的訊息，不能理解它死後發生的任何事情，也不能對未來的事件做出猜測。</t>
  </si>
  <si>
    <t>Speak with Plants</t>
  </si>
  <si>
    <t>自身（半徑 30 呎）</t>
  </si>
  <si>
    <t xml:space="preserve"> 你給周圍30 呎靈光範圍內的植物賦予有限的知覺與活力，使其能夠與你溝通並按你的命令行事。你可以向植物詢問最近一日該區域發生的事，並由此了解曾路過這裡的生物、天氣和其他狀況。
  你可以讓區域內因植物生長而形成的困難地形（如灌木叢）在法術持續時間內變成普通地形。你也可以在法術持續時間內將有植物生長的普通地形變成困難地形。
  雖然該法術並不能讓植物拔根而起或自由移動，但它們可以自由活動自己的樹枝、藤蔓和莖稈。
  如果法術區域內有一個植物生物，你可以如同你們有共同語言一般與其交流。</t>
  </si>
  <si>
    <t>Spider Climb</t>
  </si>
  <si>
    <t>一滴瀝青和一隻蜘蛛</t>
  </si>
  <si>
    <t xml:space="preserve"> 你觸碰一個自願的生物，並使其在法術終止前能夠在垂直表面上下或橫向移動，其甚至可以在天花板上倒掛著移動而不需要用到雙手。另外，目標獲得與步行速度相等的攀爬速度。
  升環施法效應：使用高於二環法術位施放本法術時，你使用的法術位每比2環高一環，便能額外指定一個生物為目標。</t>
  </si>
  <si>
    <t>Spike Growth</t>
  </si>
  <si>
    <t>七根棘刺</t>
  </si>
  <si>
    <t>以施法距離內一點為中心周圍20 呎半徑的球狀區域扭曲變形，大片堅硬的棘刺破土而出。該區域在法術持續時間內視為困難地形。而生物進入該區域或在其中移動時，其每移動5 呎就要受到2d4 點穿刺傷害。
  法術導致的地面變形經由偽裝，使其看起來並無異樣。如果生物在你施展該法術時不能看見該區域，則它必須進行一次感知（察覺或求生）檢定，檢定成功則能在進入之前發現該區域隱藏的危險。</t>
  </si>
  <si>
    <t>Spirit Guardians</t>
  </si>
  <si>
    <t>一卷禱文</t>
  </si>
  <si>
    <t xml:space="preserve"> 在法術持續時間內，保護性的靈體環繞在你的周圍15呎靈光範圍內飛舞。如果你屬於善良或中立陣營，則它們飄渺的身形看起來像是天使或精類生物（由你選擇）。如果你屬於邪惡陣營，則它們將形如邪魔。
  施展此法術時，你可以指定特定生物讓其不受該法術影響。除此之外的生物在靈光區域內將受法術影響致速度減半。當靈光進入一個生物的空間、一個生物進入靈光或在靈光內結束回合時，其必須進行一次感知豁免。豁免失敗將受到3d8 點光耀傷害（如果你屬於善良或中立）或3d8 點黯蝕傷害（如果你屬於邪惡），豁免成功則只受到半數傷害。一名生物一回合僅需進行一次該豁免。
  升環施法效應：使用高於三環的法術位施展法術時，你使用的法術位每比三環高一環，法術的傷害就會增加1d8。</t>
  </si>
  <si>
    <t>Spiritual Weapon</t>
  </si>
  <si>
    <t>你創造出一塊形似你選擇的武器的浮空靈體力場，並使其持續到法術持續時間結束。它出現在施法距離內你選擇的一點，並且你可以立即對該武器周圍5 呎內的一個生物發動一次近戰法術攻擊。若命中，則目標受到1d8+你的施法屬性調整值的力場傷害。
  在你之後的回合內，你可以以一個附贈動作讓該武器移動至多20 呎，並再對它周圍5 呎內的一個生物發動一次同樣的攻擊。
  升環施法效應：使用高於二環的法術位施展法術時，你使用的法術位每比二環高一環，法術的傷害就會增加1d8。</t>
  </si>
  <si>
    <t>Staggering Smite</t>
  </si>
  <si>
    <t>被該次攻擊檢定命中的目標會在此次攻擊中額外受到4d6 的心靈傷害。這個目標必須進行一次感知豁免，豁免失敗則目標直到你的下回合結束陷入震懾狀態。
升環施法效應：使用高於4環的法術位施放本法術時，你使用的法術位每比4環高一環，額外傷害就增加1d6</t>
  </si>
  <si>
    <t>Starry Wisp</t>
  </si>
  <si>
    <t>你對施法距離內一個生物或物體射出一點光芒。對目標進行一次遠程法術攻擊。若命中，則目標受到1d8 點光耀傷害，並且直到你的下個回合結束，它會散發出10呎微光光照，且不能從隱形狀態中受益。
  戲法升級：此法術的傷害會在你達到下列等級時增加1d8：5級（2d8），11 級（3d8），17 級1d8（4d8）。</t>
  </si>
  <si>
    <t>Steel Wind Strike</t>
  </si>
  <si>
    <t>一把價值1sp+的近戰武器</t>
  </si>
  <si>
    <t xml:space="preserve">  你舞動用於施法的武器，隨後忽然消失併發起襲擊，恰如一陣鋼鐵的疾風。選擇施法距離內最多5 個你可見的生物。向每個生物分別進行一次近戰法術攻擊。若擊中，目標受到6d10 力場傷害。
  在這之後，你可以傳送到法術目標之一的周圍5​​ 呎內，你可以看見的未被佔據的空間。</t>
  </si>
  <si>
    <t>Stinking Cloud</t>
  </si>
  <si>
    <t>一個臭雞蛋</t>
  </si>
  <si>
    <t xml:space="preserve">  你以施法距離內一點為中心創造出一團半徑20 呎的黃色噁心氣體雲團球狀區域。雲團內形成重度遮蔽。在法術持續時間結束前或一陣強風（例如造風術創造的強風）將其吹散為止，雲團都會一直留在空中。
  如果生物在回合開始時位於雲團內，則它必須成功通過一次體魄豁免，否則目標直到回合結束前陷入中毒狀態。以這種方式中毒時，該生物無法執行動作或附贈動作。</t>
  </si>
  <si>
    <t>Stone Shape</t>
  </si>
  <si>
    <t>軟黏土</t>
  </si>
  <si>
    <t>你觸碰一個體積為中型或較小的石質物件或某塊岩石在任何方向都不超過5 呎的一部分，並將其塑造成你想要的任意形狀。例如你可以將一塊大石頭變成武器、一尊塑像、保險箱，也可以在石牆上開出一條小通道，前提是牆的厚度不能超過5 呎。你也可以使一扇石門或石質門框變形來將門封死。你創造的物件最多可以有兩個鉸鍊和一個閂，除此之外不能以此法術能塑造出更複雜的機械結構。</t>
  </si>
  <si>
    <t>Stoneskin</t>
  </si>
  <si>
    <t>價值100gp+的鑽石粉塵，作為此法術的耗材</t>
  </si>
  <si>
    <t xml:space="preserve"> 在法術結束前，一個你觸碰的自願生物具有對鈍擊、穿刺和揮砍傷害的抗性。</t>
  </si>
  <si>
    <t>Storm of Vengeance</t>
  </si>
  <si>
    <t>以施法距離內一點為中心，一團翻騰攪動的烏雲在法術時間內成形，並擴散至半徑 300 呎的區域。當雲團出現時，所有位於雲團下的生物（必須進行一次體魄豁免。豁免失敗者將受到 2d6 點雷鳴傷害且在持續時間內陷入耳聾狀態。
 在持續時間內每個後續的你的回合開始，風暴會在產生不同的效應：
 第 2 輪：雲層降下酸雨。所有位於雲團下方的生物和物體受到4d6點強酸傷害。
 第 3 輪： 你從雲中召下六束閃電擊向你指定的六個位於雲團下的生物或物件，其中任一生物或物體都只能被該閃電擊中一次。遭電擊的生物必須進行敏捷豁免，豁免失敗者將受到 10d6 點閃電傷害，豁免成功則傷害減半。
 第 4 輪：冰雹從雲團傾瀉而下。所有位於雲團下方的生物將受到 2d6 點鈍擊傷害。
 第 5~10 輪：狂風和冰雨沖襲著雲團下的區域，該區域內的所有生物都受到 1d6 點寒冷傷害。在法術結束前，使該區域變為困難地形並形成重度遮蔽。該區域內無法進行武器的遠程攻擊，整個區域內會颳起強風。</t>
  </si>
  <si>
    <t>Suggestion</t>
  </si>
  <si>
    <t>一滴蜂蜜</t>
  </si>
  <si>
    <t>你以魔法影響施法距離內一個你能看見的生物，並對其施以某種行動暗示（不超過25個字）。由你指定的受術目標必須能聽到並理解你的話語。暗示必須聽起來可行，也不明顯涉及傷害目標及其盟友的內容。比如說，你可以說“把邪教的寶庫鑰匙找來，然後給我。”或者：“別打了，讓圖書館保持安靜，然後出去別回來。”
 目標必須成功通過感知豁免，否則在法術持續時間內或直到你或你的盟友對其造成傷害前陷入魅惑。被魅惑的目標會盡其所能地執行你所描述的行為。你所暗示的行為可能會在法術持續時間內始終一直進行，而如果你所暗示的活動可以用更短的時間完成，則此法術會在目標完成了你的要求後隨即終止。</t>
  </si>
  <si>
    <t>Summon Aberration</t>
  </si>
  <si>
    <t>一個價值至少400gp+，裝著一條醃製觸手和一顆眼球的白金瓶</t>
  </si>
  <si>
    <t>你喚來一個異怪靈魄。其使用下文異怪靈魄的數據，並會在施法距離內一處你可見的未被佔據的空間中顯現。當你施展法術時，從類眼魔，奪心魔和史拉蟾中選擇一個類別。該生物會顯化為你所選的那一類異怪，其數據中的部分特性也受此影響。該生物會在生命值降為0或法術結束時消失。
 該生物是你的盟友（對你的其它盟友亦是如此）。它在戰鬥中使用你的先攻，並在你回合結束後立即行動。它遵從於你的口頭指示（無需任何動作）。如果你不發令，它將執行迴避動作並遠離危險。
 升環施法效應。該生物的數據使用新的法術環階。</t>
  </si>
  <si>
    <t>Summon Beast</t>
  </si>
  <si>
    <t>一個價值200gp+，裝著一根羽毛、一簇毛皮和一條鱼尾鍍金橡果</t>
  </si>
  <si>
    <t>你喚來一個野獸靈魄。其使用下文野獸靈魄的數據，並會在施法距離內一處你可見的未被佔據的空間中顯現。當你施展法術時，從天空、大地和海洋中選擇一個環境。該生物會顯化符合為你所選的環境的形態，其數據中的部分特性也受此影響。該生物會在生命值降為0或法術結束時消失。
 該生物是你的盟友（對你的其它盟友亦是如此）。它在戰鬥中使用你的先攻，並在你回合結束後立即行動。它遵從於你的口頭指示（無需任何動作）。如果你不發令，它將執行迴避動作並遠離危險。
 升環施法效應。該生物的數據使用新的法術環階。</t>
  </si>
  <si>
    <t>Summon Celestial</t>
  </si>
  <si>
    <t>一件價值500gp+的金制聖物匣</t>
  </si>
  <si>
    <t>你喚來一個天界靈魄。其使用下文天界靈魄的數據，並會在施法距離內一處你可見的未被佔據的空間中顯現。當你施展法術時，從復仇聖靈或守護聖靈選擇一個，其資料中的部分特性也受此影響。該生物會在生命值降為0或法術結束時消失。
 該生物是你的盟友（對你的其它盟友亦是如此）。它在戰鬥中使用你的先攻，並在你回合結束後立即行動。它遵從於你的口頭指示（無需任何動作）。如果你不發令，它將執行迴避動作並遠離危險。
 升環施法效應。該生物的數據使用新的法術環階。</t>
  </si>
  <si>
    <t>Summon Construct</t>
  </si>
  <si>
    <t>一個價值400gp+的金屬密碼箱</t>
  </si>
  <si>
    <t>你喚來一個構裝靈魄。其使用下文構裝靈魄的數據，並會在施法距離內一處你可見的未被佔據的空間中顯現。當你施展法術時，從黏土、金屬、岩石中選擇一種材料，該生物會顯現為以該種材料製成的活化雕像（由你決定其外觀），其數據中的部分特性也受此影響。該生物會在生命值降為0或法術結束時消失。
 該生物是你的盟友（對你的其它盟友亦是如此）。它在戰鬥中使用你的先攻，並在你回合結束後立即行動。它遵從於你的口頭指示（無需任何動作）。如果你不發令，它將執行迴避動作並遠離危險。
 升環施法效應。該生物的數據使用新的法術環階。</t>
  </si>
  <si>
    <t>Summon Dragon</t>
  </si>
  <si>
    <t>一件價值500gp+刻有巨龍圖案的物品</t>
  </si>
  <si>
    <t>你喚來一個龍類靈魄。其使用下文巨龍靈魄的數據，並會在施法距離內一處你可見的未被佔據的空間中顯現。該生物會在生命值降為0或法術結束時消失。
 該生物是你的盟友（對你的其它盟友亦是如此）。它在戰鬥中使用你的先攻，並在你回合結束後立即行動。它遵從於你的口頭指示（無需任何動作）。如果你不發令，它將執行迴避動作並遠離危險。
 升環施法效應。該生物的數據使用新的法術環階。</t>
  </si>
  <si>
    <t>Summon Elemental</t>
  </si>
  <si>
    <t>一個價值400gp+，裝有空氣、一塊鵝卵石、灰燼與水的鑲金瓶</t>
  </si>
  <si>
    <t>你喚來一個元素靈魄。其使用下文元素靈魄的數據，並會在施法距離內一處你可見的未被佔據的空間中顯現。當你施展法術時，從氣、土、火、水中選擇一種元素，該生物會顯現為由你所選元素組成的二足模糊人影，其數據中的部分特性也受此影響。該生物會在生命值降為0或法術結束時消失。
 該生物是你的盟友（對你的其它盟友亦是如此）。它在戰鬥中使用你的先攻，並在你回合結束後立即行動。它遵從於你的口頭指示（無需任何動作）。如果你不發令，它將執行迴避動作並遠離危險。
 升環施法效應。該生物的數據使用新的法術環</t>
  </si>
  <si>
    <t>Summon Fey</t>
  </si>
  <si>
    <t>一朵價值300gp+鍍金花</t>
  </si>
  <si>
    <t>你喚來一個妖精靈魄。其使用下文妖精靈魄的數據，並會在施法距離內一處你可見的未被佔據的空間中顯現。當你施展法術時，從憤怒、歡欣、詭詐中選擇一種情緒，該生物會顯現為一個受你所選情緒所影響的妖精生物，其數據中的部分特性也受此影響。該生物會在生命值降為0或法術結束時消失。
 該生物是你的盟友（對你的其它盟友亦是如此）。它在戰鬥中使用你的先攻，並在你回合結束後立即行動。它遵從於你的口頭指示（無需任何動作）。如果你不發令，它將執行迴避動作並遠離危險。
 升環施法效應。該生物的數據使用新的法術環階。</t>
  </si>
  <si>
    <t>Summon Fiend</t>
  </si>
  <si>
    <t>一小瓶價值600gp+的血</t>
  </si>
  <si>
    <t>你喚來一個邪魔靈魄。其使用下文邪魔靈魄的數據，並會在施法距離內一處你可見的未被佔據的空間中顯現。當你施展法術時，從魔鬼，惡魔，尤格羅斯魔中選擇一類，該生物會顯現為你所選的那類邪魔中的一員，其數據中的部分特性也受此影響。該生物會在生命值降為0或法術結束時消失。
 該生物是你的盟友（對你的其它盟友亦是如此）。它在戰鬥中使用你的先攻，並在你回合結束後立即行動。它遵從於你的口頭指示（無需任何動作）。如果你不發令，它將執行迴避動作並遠離危險。
 升環施法效應。該生物的數據使用新的法術環階。</t>
  </si>
  <si>
    <t>Summon Undead</t>
  </si>
  <si>
    <t>一個價值300gp+鍍金頭骨</t>
  </si>
  <si>
    <t>你喚來一個亡靈靈魄。其使用下文亡靈靈魄的數據，並會在施法距離內一處你可見的未被佔據的空間中顯現。當你施展法術時，從幽體，腐屍，骷髏中選擇一類，該生物會顯現為你所選的那類形態的亡靈生物，其數據中的部分特性也受此影響。該生物會在生命值降為0或法術結束時消失。
 該生物是你的盟友（對你的其它盟友亦是如此）。它在戰鬥中使用你的先攻，並在你回合結束後立即行動。它遵從於你的口頭指示（無需任何動作）。如果你不發令，它將執行迴避動作並遠離危險。
 升環施法效應。該生物的數據使用新的法術環階。</t>
  </si>
  <si>
    <t>Sunbeam</t>
  </si>
  <si>
    <t>一面放大鏡</t>
  </si>
  <si>
    <t>一道陽炎射線從你手中射出並形成一條5 呎寬、60 呎長的線狀區域。所有區域內的生物必須進行一次體魄豁免。豁免失敗者將受到6d8 點光耀傷害，並且在你的下一回合前陷入目盲狀態。豁免成功則傷害減半，且不會陷入目盲。
  你可以在法術終止前的任一回合內以一個魔法動作重新創造一道線狀光芒。
  在法術持續時間內，你的手中一點散發出耀眼的光芒。其光耀為周圍提供30 呎的明亮光照，以及該範圍外30 呎的微光光照。這些光芒均視為等同於陽光。</t>
  </si>
  <si>
    <t>Sunburst</t>
  </si>
  <si>
    <t>一塊太陽石</t>
  </si>
  <si>
    <t>指定施法距離內一點，以其為中心周圍60 呎半徑的球狀區域閃耀出燦爛的陽光。所有球狀區域中的生物進行一次體魄豁免。豁免失敗者將受到12d6 點光耀傷害，並陷入1 分鐘的目盲狀態。豁免成功則傷害減半，且不會陷入目盲。
  因該法術陷入目盲的生物在其每回合結束時都可以再進行一次體魄豁免。豁免成功則不再目盲。
  該法術將驅散法術區域內所有由法術所創造的黑暗。</t>
  </si>
  <si>
    <t>Swift Quiver</t>
  </si>
  <si>
    <t>一個價值1gp+的箭袋</t>
  </si>
  <si>
    <t>你施展法術時和在法術結束前以一個附贈動作，可以用一個射出箭矢或弩矢的武器進行兩次攻擊，例如長弓或輕弩。法術會魔法性地為每次攻擊生成所需的彈葯。以此法產生的每發箭矢或弩矢如同類非魔法彈藥一般造成傷害，且會在命中或失手後立即瓦解。</t>
  </si>
  <si>
    <t>Symbol</t>
  </si>
  <si>
    <t>價值1000gp+的鑽石粉，作為此法術的耗材</t>
  </si>
  <si>
    <t>施展該法術時，你在某個表面（諸如地板或牆的一部分）或某個能被關閉的物體裡（諸如書本或寶箱）刻下一個傷害性的符紋。符紋可以覆蓋週邊不超過10 呎直徑的區域。如果你指定某個物件，則該物件必須待在其所在位置；如果該物件從你施法的位置被移動超過10 呎，則其符紋被破壞且法術不被觸發即告終止。
  此符紋近乎隱形，其需要成功以法術的豁免DC 進行一次智力（調查）檢定才能被發現。
  你在刻下符文時決定該符紋的觸發條件並選擇徽記承載的效應：死亡、爭鬥、恐懼、痛苦、睡眠或震懾。對應效應在下面詳述。
  設置觸發條件Set the Trigger。你在施法時決定由什麼來觸發符紋。刻劃於表面的符紋其通常的觸發條件包括：觸碰或站立在符紋上；拿掉覆蓋在符紋上的物體；進入符紋一定施法距離。刻畫在物體內的符紋其通常的觸發條件包括：開啟物件；看到該符紋等。
  你可以進一步細化觸發條件以便特定生物種類才能活化之（例如將符紋設定為影響異怪）。你也可以將符合條件者排除在符紋觸發者之外，例如說出特定口令的人。
  符紋一旦觸發就會開始變大，使其周圍60 呎半徑的球狀區域處於微光照並持續10 分鐘，此後法術即告終止。符紋生效時，所有位於球狀區域內的生物即成為法術效應的目標。生物在一個回合內第一次進入該區域內或在其中結束其回合時，也同樣會成為符文效應的目標。生物每回合只能成為其目標一次。
  死亡Death。每個目標進行一次體魄豁免，豁免失敗者將受到10d10 點黯蝕傷害，豁免成功則傷害減半。
  爭鬥Discord。每個目標進行一次感知豁免。豁免失敗者將在接下來的1 分鐘內將不停地與其他生物爭吵。期間它無法進行任何有意義的溝通，且其所進行的所有攻擊檢定和屬性檢定都具有劣勢。
  恐懼Fear。每個目標進行一次感知豁免，豁免失敗者將陷入1 分鐘的恐懼狀態。被恐懼時，生物只要可能，就必須在其回合內向遠離符文的方向移動至少30 呎。
  痛苦Pain。每個目標進行一次體魄豁免，豁免失敗者將陷入1 分鐘的失能狀態。
  睡眠Sleep。每個目標進行一次感知豁免，豁免失敗者將陷入10 分鐘的昏迷狀態。該睡眠者受到傷害時將會被驚醒，也可以被其他人用一個動作搖醒。
  震懾Stunning。每個目標進行一次感知豁免，豁免失敗者將陷入1 分鐘的震懾狀態。</t>
  </si>
  <si>
    <t>Synaptic Static</t>
  </si>
  <si>
    <t>選擇施法距離內的一點，你引爆其間的心靈能量。以那一點為中心，半徑20 呎球狀區域內的每個生物進行一次智力豁免檢定。豁免失敗的生物受到8d6 心靈傷害，成功則傷害減半。
  豁免失敗的目標也會在接下來的1分鐘內思想混亂。在此期間，目標每次進行攻擊檢定、屬性檢定和為維持專注而進行體魄豁免檢定時都需要從結果中減去一個d6。在目標的每個回合結束它都可以重新進行智力豁免檢定，若成功將結束這個效應對自己的影響。</t>
  </si>
  <si>
    <t>Tasha’s Bubbling Cauldron</t>
  </si>
  <si>
    <t>5 呎</t>
  </si>
  <si>
    <t>一支價值500gp+的鍍金長柄勺</t>
  </si>
  <si>
    <t>你咒喚一口充滿冒泡液體的爪足大鍋。大鍋出現在距你5呎內地面上的一處未佔空間內且持續存在至法術終止。大鍋不能被移動，且在法術結束時與其內的冒泡液體一同消失。
  大鍋中的液體會複製一瓶你選擇的普通或非普通藥水（如一瓶治療藥水）的屬性。用一個附贈動作，你或盟友可以從大鍋中撈出上述你所選擇的一瓶藥水。藥水會被裝在一個小瓶子中，且小瓶子會在喝完藥水後消失。大鍋能產生等於你施法屬性調整值（最小為1）瓶藥水。從大鍋中取出最後一瓶藥水後，大鍋會消失，法術終止。
  從大鍋中取出的藥水若在你再次施展此法術時未被喝掉，則藥水會消失。</t>
  </si>
  <si>
    <t>Tasha’s Hedious Laughter</t>
  </si>
  <si>
    <t>一塊甜餡餅和一根羽毛</t>
  </si>
  <si>
    <t>施法距離內你可見的生物進行一次感知豁免。豁免失敗，目標在持續時間內陷入失能和伏地狀態。在此期間，目標會不受控制地狂笑（只要它能夠發笑），且無法結束自身的伏地狀態。
  目標在其每回合結束或受到傷害時，可以再進行一次感知豁免。如果豁免是因受到傷害所致，則該次豁免具有優勢。豁免成功，法術終止。
  升環施法效應：使用的法術位每比一環高一環，就可以額外指定一個目標。</t>
  </si>
  <si>
    <t>Telekinesis</t>
  </si>
  <si>
    <t>你獲得以思想移動或操縱生物或物體的能力。你施展法術時或在法術終止前的其後回合中用一個魔法動作，你可以向施法距離內可見的一名生物或一個物體伸展你的意志，造成對應的下述效應。你可以一輪接一輪地影響同一個目標，也可以在任何時候選擇一個新的目標。如果你改變了目標，則先前的目標將不再受該法術影響。
  生物Creature。你可以嘗試移動一名巨型或更小的生物。目標必須成功於一次力量豁免，否則你可以將其往任意方向移動30呎，但不能讓它離開施法距離。在你的下個回合結束前，該生物陷入束縛狀態，而被你舉到空中的生物會在半空中懸停。除非你再次使用此選項且目標失敗於豁免，否則被舉到空中的生物會在你的下個回合結束墜落。
  對象Object。你可以嘗試移動一個巨型或更小的物件。如果該物品沒有被穿著或攜帶，則你可以自動使它朝任何方向移動30呎，但不能讓它離開施法距離。
  如果該物件已被一名生物著裝或攜帶，則那名生物必須成功於一次力量豁免，否則你可以把目標物體從該生物身上拿走，並且使該物體朝任意方向移動30呎，但不能讓它離開施法距離。
  你可以使用心靈遙控對物體進行精密操作，例如操縱一件簡單的工具，打開一扇門或一個容器，把東西放進或拿出一個打開的容器中，或者把一個小瓶子裡的東西倒出來。</t>
  </si>
  <si>
    <t>Telepathy</t>
  </si>
  <si>
    <t>一對銀連環</t>
  </si>
  <si>
    <t>你與一個你熟識的自願生物建起心靈連結。該生物可以身處你所在的存在位面的任意位置。一旦你與目標生物不再位於同一位面，則法術隨即終止。
  直至法術終止，你可以和目標生物透過心靈連結即時共享任何言語、圖像、聲音以及其他形式的感官訊息，而目標也能夠辨認出與之交流的對象正是你本人。這個法術可以讓目標生物理解你所發送的話語和任何感官訊息。</t>
  </si>
  <si>
    <t>Teleport</t>
  </si>
  <si>
    <t>此法術立即將你和至多八名施法距離內你可見的自願生物，或施法距離內你可見的物件轉移至你所選擇的目的地。如果目標為一個物件，則其必須為大型或更小，且不能被一個非自願生物持握或攜帶。
  你必須知道目的地，目的地必須與你位於同一個存在位面。你對目的地的熟悉程度決定了你抵達目的地的成功率。 DM骰1d100並參考傳送結果表及其後的詳述。
  傳送結果Teleportation Outcome
熟悉程度        罹難        相似區域        偏離地點        抵達地點
永久法陣        -        -        -        01-00
相關物件        -        -        -        01-00
非常熟悉        01-05        06-13        14-24        25-00
偶爾看過        01-33        34-43        44-53        54-00
看過一次或聽過描述        01-43        44-53        54-73        74-00
查無此地        01-50        51-00        -        -
  熟悉程度Familiarity。表中熟悉程度一列的術語解釋如下：
  ·「永久法陣」指某處你知道其印記序列的永久傳送法陣。
  ·「相關物件」指你持有一件在過去六個月內從目標地點取來的物件，例如某個法師圖書館內的一本書。
  ·「非常熟悉」指你常去的地方，你仔細研究過的地方，或是你在施展法術時能看見的地方。
  ·「偶爾見過」指你見過幾次的地方，但你不是很熟悉。
  ·「看過一次或聽過描述」指你只見過一次的地方，包括透過魔法看到的地點，或你從別人那裡聽來位置和外觀的地點，例如從地圖上看來的地點。
  ·「查無此地」指根本不存在的地點。也許你嘗試探知敵人的密室但看到的只是幻象，或是你嘗試傳送至一個如今已不再存在的地點。
  遇難Mishap。該法術不可控制的魔法效果導致這次旅行特別艱難。所有嘗試傳送的生物（或目標物）都受到3d10點力場傷害，隨後DM重骰d100並查閱上表來決定你們出現在哪裡（你們可能再次遇難，而每次遇難都要承受該傷害）。
  相似地區Similar Area。你和你的隊伍（或目標物）出現在一個和目的地外觀或主題相似的不同地點。你出現在最近的相似地區。例如，如果你想回你自己的研究室去，你可能會誤打誤撞出現在同一座城市其他法師的研究室。
  偏離地點Off Target。你和你的隊伍（或目標物）出現在目的地隨機方向上2d12裡距離的一點。骰1d8來判誤差出現在目的地的哪個方向：1，正東；2，東南；3，正南；4，西南；5，正西；6，西北；7，正北；8，東北。
  抵達地點On Target。你和你的隊伍（或目標物）出現在你欲抵達的地點。</t>
  </si>
  <si>
    <t>Teleportation Circle</t>
  </si>
  <si>
    <t>價值50gp+的珍稀墨水，作為此法術的耗材</t>
  </si>
  <si>
    <t xml:space="preserve"> 施展法術時，你在地上畫出一個半徑5呎的圓圈，並在其周圍畫出印記。這個圓形法陣將你所處的位置與你選擇的一個與你處在同個位面上的永久傳送法陣相連（你必須知道該法陣的印記序列）。圓圈中將打開一個發光的傳送門，並一直維持到你的下一個回合結束。任何進入傳送門的生物將立即出現在目標法陣附近5呎內，如果該空間已被佔據，則出現在最靠近目標法陣的未佔空間。
  許多大神殿、公會大廳和其他重要的場所都在其中某處設有永久的傳送法陣。這種法陣各有自己的印記序列，也就是依照特定順序排列的一串魔法符文。
  當你第一次獲得施展法術的能力時，你會習得物質位面上兩個永久法陣的印記序列（由DM決定），隨後你還可以在旅途中習得更多的印記序列。你只要花一分鐘仔細研究一個新的印記序列就能夠將其記錄下來。
  當你在365日中每日對同一地點連續施展該法術後，將創造出一個永久的傳送法陣。</t>
  </si>
  <si>
    <t>Tenser’s Floating Disk</t>
  </si>
  <si>
    <t>一滴汞</t>
  </si>
  <si>
    <t>指定施法距離內一處你可見的未佔空間，並在該處創造一個圓盤狀的碟型水平力場。浮碟直徑3呎，厚1寸，懸浮在離地3呎的空中。其可在法術持續時間內持續存在，至多可負載500磅重量。如果放在浮碟上的物件重量超過500磅，則該法術終止，浮碟上的所有東西也將掉落地面。
  浮碟距你20呎內時靜止不動。只要與其距離超過20呎，浮碟就會跟著你移動，並且保持在離你20呎範圍內。浮碟可以自由通過崎嶇地形，上下階梯，斜坡面或諸如此類的地面，但它不能越過高差超過10呎的地面。例如，浮碟不能越過一個10呎深的坑，如果浮碟在坑底被創造，它也無法離開這個深坑。
  如果你距離浮碟超過100呎（通常是因為它受障礙所阻無法跟上你），則法術終止。</t>
  </si>
  <si>
    <t>Thaumaturgy</t>
  </si>
  <si>
    <t>你在施法距離內顯現一個次級奇蹟。你在施法距離內創造下述效應之一。如果你多次施展該法術，則可以同時維持至多三個不同的持續1分鐘的效應。
  改變眼睛Altered Eyes。你改變自己眼睛的外觀，其效應持續1分鐘。
  擴音Booming Voice。你的聲音變成一般時候的三倍，其效應持續1分鐘。在此期間，你在魅力（威嚇）檢定上具有優勢。
  玩火Fire Play。你使一團火焰閃爍，變亮，變暗或變色，其效應持續1分鐘。
  看不見的手Invisible Hand。你使一扇沒有鎖上的門或窗立即打開或關上。
  幻音Phantom Sound。你使一陣瞬間聲音自施法距離內一點發出，例如雷鳴聲，渡鴉叫聲或不祥低語聲。
  震動Tremors。你在地面上引發無害的震動，其效應持續1分鐘。</t>
  </si>
  <si>
    <t>Thorn Whip</t>
  </si>
  <si>
    <t>一根带刺植物莖</t>
  </si>
  <si>
    <t xml:space="preserve"> 你創造出一條藤蔓般的帶刺長鞭，並猛抽向施法距離內一個你指定的生物。對目標進行一次近戰法術攻擊，若命中，則目標受到1d6點穿刺傷害，如果目標生物為大型或更小體型，則其將向你所在位置拉近至多10呎。
  戲法升級：當你到達特定等級時，其傷害增加1d6（5級2d6、11級3d6、17級4d6）。</t>
  </si>
  <si>
    <t>Thunderclap</t>
  </si>
  <si>
    <t xml:space="preserve"> 位於以你為原點5呎光環範圍內的每個生物必須成功於一次體魄豁免，否則受到1d6點雷鳴傷害。此法術會發出至多在100呎外都能被聽到的巨大聲響。
  戲法升級：當你到達特定等級時，其傷害增加1d6（5級2d6、11級3d6、17級4d6）。</t>
  </si>
  <si>
    <t>Thunderous Smite</t>
  </si>
  <si>
    <t>你的打擊發出距你300呎內都能聽見的雷鳴。被該次攻擊檢定命中的目標會在此次攻擊中額外受到2d6點雷鳴傷害，如果目標是一名生物，則它必須成功於一次力量豁免，否則其被推離10呎並陷入伏地狀態。
  升環施法效應：使用的法術位每比一環高一環，傷害就會提高1d6。</t>
  </si>
  <si>
    <t>Thunderwave</t>
  </si>
  <si>
    <t>你施放一道雷鳴能量。在以你為源點15呎立方區域內的每名生物必須進行一次體魄豁免。豁免失敗者將受到2d8點雷鳴傷害，並被推離10呎。豁免成功則只受一半傷害。
  此外，所有完全位於該區域內且未被固定住的物件都將被推離10呎。該法術還會發出距你300呎內都能聽見的雷霆巨響。
  升環施法效應：使用的法術位每比一環高一環，傷害就會提高1d8。</t>
  </si>
  <si>
    <t>Time Stop</t>
  </si>
  <si>
    <t>你短暫停止除你以外所有人的時間流。你一次進行1d4+1個回合，在此期間，時間對於其他生物來說是靜止的，但你可以像正常一樣移動和使用動作。
  在此期間，若你的一個動作或任何你創造出來的效應影響到除你之外的任何生物，或影響到其他生物著裝或攜帶的物體時，法術將終止。此外，如果你在施法後移動到了距施法位置超過1000呎處，則法術也將終止。</t>
  </si>
  <si>
    <t>Toll the Dead</t>
  </si>
  <si>
    <t xml:space="preserve"> 你對著施法距離內一位你可見的生物一指，隨後一聲哀慟的鐘鳴在目標10呎內響起。目標必須成功於一次感知豁免，否則受到1d8點黯蝕傷害。若目標失去了任何量的生命值，改為其受到1d12點黯蝕傷害。
  戲法升級：當您到達特定等級時，其傷害骰增加一顆（5級2d8或2d12、11級3d8或3d12、17級4d8或4d12）。</t>
  </si>
  <si>
    <t>Tounges</t>
  </si>
  <si>
    <t>一座微縮廟塔</t>
  </si>
  <si>
    <t>此法術賦予你觸碰的生物理解任何其能看見或聽見的口語或手語的能力。此外，當目標生物以口語或手語溝通時，任何能聽見其話語或看見其手語，且知道至少一門語言的生物都能理解它。</t>
  </si>
  <si>
    <t>Transport via Plants</t>
  </si>
  <si>
    <t xml:space="preserve"> 此法術在施法距離內一棵大型或更大的未活化植物與同位面上任意距離外的另一棵植物之間創造一道魔法連結。施法時，你必須見過或觸碰過出口植物至少一次。在持續時間內，任何生物都可以花費5呎移動力進入目標植物內，然後從出口植物處出來。</t>
  </si>
  <si>
    <t>Tree Stride</t>
  </si>
  <si>
    <t>你能夠進入樹木中，並從樹木內部移動到距其500呎內的一棵同類樹木內。兩棵樹必須都是活的，其體型至少要和你一樣。你進入一棵樹時必須消耗5呎移動力。你將在進入樹木後立即知道附近500呎內所有同類樹木的位置，且作為進入樹木所用移動的一部分，你可以移動到這些同類樹木的其中一棵，或走出你所在的樹木。你會出現在距作為目的地的樹木5呎內自選的一點，並因此再消耗5呎移動力。如果你的移動力已經耗盡，則你將出現在離你進入的樹木周圍5呎內某處。
  你在法術持續時間內每個你的回合僅能使用一次這樣的輸送能力。而且你必須在樹外結束你的回合。</t>
  </si>
  <si>
    <t>True Polymorph</t>
  </si>
  <si>
    <t>一滴汞、一團阿拉伯膠和一縷煙</t>
  </si>
  <si>
    <t>選擇施法距離內你可見的一名生物或一個非魔法物件。那名生物可以變成一個不同的生物或一個非魔法物件，或是那個物件變成一個生物（物體必須沒有被穿著或攜帶）。到持續時間結束或目標死亡或被摧毀為止，這一轉變會一直持續，但如果你為此法術維持了最長時間的專注，則其持續時間會變為直至被解除。
  一名非自願生物可以進行一次感知豁免，若豁免成功則不會被此法術影響。
  生物變生物Creature into Creature。如果你將生物變成另一種生物，則其新形態可以是你選擇的挑戰等級小於等於目標挑戰等級或等級的任何種類。目標的遊戲數據被新形態的數據所取代，但目標保留其生命值、生命骰、陣營、性格。
  目標獲得等同於新形態生命值的臨時生命值。這些臨時生命會在法術結束時一同消失。
  該生物只可做出其新形態的生理結構所允許的動作，不能說話也不能施法。
  目標的裝備融入新形態。目標不能使用裝備或透過其他方式從裝備中獲得增益。
  物件變成生物Object into Creature。你可以將一個物件變成任何一種符合下列要求的生物：生物的體型不能大於原物件，而生物的挑戰等級必須小於等於9。變形出的生物對你和你的同伴保持友善。而戰鬥中它將會在你的回合之後立刻進行其回合，並遵循你的命令。
  如果該法術持續超過1小時，則你將不再控制該生物。此後，該生物將根據你對待它的方式決定是否對你保持友善。
  生物變物件Creature into Object。如果你將一名生物變形成一個物件，則它連同其穿著與攜帶物一起變成新的形態。變成物體的體型不能大於原生物。受術者的資料變成和該物件一樣，在法術終止而受術者變回原形後，它將不會記得在變成物件時所發生的任何事情。</t>
  </si>
  <si>
    <t>True Resurrection</t>
  </si>
  <si>
    <t>一顆價值25000gp+的鑽石，作為此法術的耗材</t>
  </si>
  <si>
    <t>你觸碰一名已死，但死亡時間不超過200年，並非死於年老的生物，使其以生命值全滿的狀態回生。
  該法術治癒該生物死亡時仍在生效的所有傷口，中和所有該生物死亡時仍在生效的毒素，結束所有該生物死亡時仍在生效的魔法疾病，也會移除該生物死亡時仍在生效的所有詛咒。此法術能替換所有受損或失去的器官和肢體。若生物曾是不死生物，則其會恢復到其非不死生物形態。
  若受術生物的遺體不再存在，法術又能為它再造一個新的身體。在這種情況下，你必須喊出該生物的名字。該生物出現在你指定的距你10呎內一處未佔空間。</t>
  </si>
  <si>
    <t>True Seeing</t>
  </si>
  <si>
    <t>價值25gp+的蘑菇粉，作為此法術的耗材</t>
  </si>
  <si>
    <t>法術持續時間內，你觸碰的自願生物具有120呎真實視覺。</t>
  </si>
  <si>
    <t>True Strike</t>
  </si>
  <si>
    <t>一把價值1cp+你所熟練的武器</t>
  </si>
  <si>
    <t>你受到一瞬魔法洞見的指引，使用在此法術施法過程中使用的武器進行一次攻擊。這次攻擊使用你的施法屬性而非力量或敏捷進行攻擊和傷害擲骰。若攻擊造成傷害，則傷害類型可以是光耀或武器一般會造成的傷害類型（由你選擇）。
  戲法升級：當你到達特定等級時，無論你選擇光耀傷害或武器一般會造成的傷害類型，都會額外造成光耀傷害（5級1d6、11級2d6、17級3d6）。</t>
  </si>
  <si>
    <t>Tsunami</t>
  </si>
  <si>
    <t>最多 6 輪</t>
  </si>
  <si>
    <t xml:space="preserve"> 一面水牆從施法範圍內你指定的一點成型。水牆至多長300呎，高300呎，厚50呎，且持續存在至法術終止。
  當水牆出現時，所有位於範圍內的生物進行一次力量豁免。豁免失敗者受到6d10點鈍擊傷害，豁免成功只受一半傷害。
  當水牆出現後你的每回合開始時，水牆將帶著其內的所有生物一起向遠離你的方向移動50呎。當水牆進入一個巨型或更小體型生物所佔據空間，或他們原本就處於牆內時，該生物必須進行一次力量豁免，豁免失敗則受到5d10點鈍擊傷害。一名生物一輪只能受到一次此傷害。在你的回合結束時，水牆的高度減少50呎，其隨後每回合對生物造成的傷害也減少1d10。當水牆高度變成0呎時，法術就會終止。
  淹沒在水牆中的生物可以用游泳的方式移動，由於波濤阻力影響，該生物必須成功於一次對抗你法術豁免DC的力量（運動）檢定以決定其能否成功移動。檢定失敗者無法移動。移動離開水牆區域的生物會直接掉到地上。</t>
  </si>
  <si>
    <t>Unseen Servant</t>
  </si>
  <si>
    <t>一些線和木頭</t>
  </si>
  <si>
    <t xml:space="preserve"> 該法術創造出一個隱形、無心智、無定形的中型力場。你可以在法術終止前命令它進行簡單的工作。該僕役被創造出來後出現在施法距離內一處未佔空間的地面上。其具有AC 10，HP 1，力量2，且不能攻擊。若僕從的生命值降至0，則法術終止。
  你可以在每個自己回合內以一個附贈動作對僕役下達精神命令，使其移動至多15呎並與一個物體進行互動。僕役可以做人類能做到的簡單工作，例如拿東西、打掃、修補東西、摺衣服、點火、上菜、倒飲料等。一旦你下達了命令，僕役就會盡全力去進行任務直至完成任務，並在此後等待你的下一個命令。
  如果你命令僕役做一件需要它離開你身邊60呎的工作，則法術終止。</t>
  </si>
  <si>
    <t>Vampiric Touch</t>
  </si>
  <si>
    <t xml:space="preserve"> 你的陰影環繞著的手可以吸取他人的生命力來為自己療傷。對你觸及範圍內的一名生物進行一次近戰法術攻擊。若命中，則目標受到3d6點黯蝕傷害，而你則恢復數值等同於所造成黯蝕傷害一半的生命值。
  你可以在該法術終止前的每個回合內用一個魔法動作對相同或不同的生物進行一次這樣的攻擊。
  升環施法效應：使用的法術位每比三環高一環，傷害就會提高1d6。</t>
  </si>
  <si>
    <t>Vicious Mockery</t>
  </si>
  <si>
    <t xml:space="preserve"> 你對施法距離內一名你可見或可聽的生物連珠砲式地釋出一串蘊涵微妙惑控的侮辱。目標必須成功於一次感知豁免，否則受到1d6點心靈傷害，且其下一回合結束前進行的下一次攻擊檢定具有劣勢。
  戲法升級：當你到達特定等級時，其傷害增加1d6（5級2d6、11級3d6、17級4d6）。</t>
  </si>
  <si>
    <t>Vitriolic Sphere</t>
  </si>
  <si>
    <t>一滴膽汁</t>
  </si>
  <si>
    <t>你指向施法距離內一點，一顆發光的直徑1呎的酸液球飛向那個位置，隨後爆炸，波及20呎半徑球狀區域。在該區域中的每個生物進行一次敏捷豁免。豁免失敗的生物不僅將受到10d4點強酸傷害，下一回合結束時還會再受到5d4點強酸傷害。若豁免成功，該生物只受到一半初始傷害。
  升環施法效應：使用的法術位每比四環高一環，初始傷害便增加2d4。</t>
  </si>
  <si>
    <t>Wall of Fire</t>
  </si>
  <si>
    <t>一塊木炭</t>
  </si>
  <si>
    <t>你在施法距離內一塊實體地面上創造出一面火牆。你可以選擇創造長不過60 呎、高不過20 呎、厚不過1 呎的直線型火牆；或是直徑不過20 呎、高不過20 呎、厚不過1 呎的環形火牆。火牆不透明，且將持續存在至法術終止。
  當火牆出現時，所有位於火牆區域內的生物必須進行一次敏捷豁免。豁免失敗，受到5d8 點火焰傷害。豁免成功，則只受一半傷害。
  施展法術時，你選擇火牆的哪一側會造成傷害。生物在火牆造成傷害一側10呎內或牆內結束其回合時將受到5d8點火焰傷害。在一個回合內第一次進入火牆或在火牆區域內結束自己的回合時也會受到同樣的傷害。火牆的另一側不會造成傷害。
  升環施法效應：使用的法術位每比四環高一環，造成的傷害就會提高1d8。</t>
  </si>
  <si>
    <t>Wall of Force</t>
  </si>
  <si>
    <t>一塊玻璃碎片</t>
  </si>
  <si>
    <t>由力場構成的隱形力牆出現在施法距離內你指定的一點。這面力牆的方向由你決定：你可以讓力牆成為水平或垂直的結界，亦可以使它形成一定傾角。它可以浮在空中，也可以立於地上。你可以將它塑成半球狀或球狀（半徑最長10 呎），也可以塑成一個由十個10 呎×10 呎的方板塊構成的平面，而每塊板塊都必須要和至少一塊其他板塊相連。不管形狀如何，力牆的厚度總是1/4 吋。力場牆將持續存在至法術終止。如果在力牆形成時穿過了某個生物所佔據的空間，則該生物會被推到力牆的一側（由你來決定是哪一側）。
  沒有任何事物可以透過物理方式穿過力牆。力牆免疫所有傷害，也不能被解除魔法所解除，但法術解離術可以使其立即摧毀。力牆能夠延伸進以太位面Ethereal Plane，因此可以阻斷進入以太位面穿過牆壁旅行。</t>
  </si>
  <si>
    <t>Wall of Ice</t>
  </si>
  <si>
    <t>一塊石英</t>
  </si>
  <si>
    <t>你在施法距離內一塊堅實的地面上創造出一面冰牆。你可以將它塑成半球狀或球狀（半徑最長10呎），也可以塑成一個由十個10呎×10呎的方板塊構成的平面。每塊板塊都必須和至少一塊其他板塊相連。不管形狀如何，冰牆總是厚1呎並持續存在至法術終止。  如果冰牆形成時穿過了某生物所佔據的空間，則該生物會被推到冰牆的一側（由你來決定是哪一側）且必須進行一次敏捷豁免。豁免失敗，受到10d6點寒冷傷害。豁免成功，則只受一半傷害。  作為一個物件，冰牆可以因受到傷害而被打破。冰牆的AC為12，每段10呎長的冰牆有30點生命值，而且冰牆具有寒冷、毒素和心靈傷害的免疫，以及火焰傷害的易傷。當一段10呎長的冰牆的生命值降至0時，這段冰牆就會被摧毀，但原地會留下一片冰冷刺骨的空氣。  生物在一個回合內第一次通過這片寒氣時，必須進行一次體魄豁免。豁免失敗，受到5d6點寒冷傷害。豁免成功，則只受一半傷害。
升環施法效應：使用的法術位每比六環高一環，冰牆產生時造成的傷害就提高2d6，穿越冰冷刺骨的空氣造成的傷害就增加1d6。</t>
  </si>
  <si>
    <t>Wall of Stone</t>
  </si>
  <si>
    <t>一塊方形花崗岩</t>
  </si>
  <si>
    <t>一面堅硬的非魔法石牆出現在施法距離內你指定的一點。該石牆厚達6寸，由十個10×10呎的方板塊組成。每塊板塊都必須和至少一塊其他板塊相連。另外你也可以選擇以十個10×20 呎的板塊組成石牆，但厚度只有3吋。  如果石牆形成時穿過了某個生物所佔據的空間，則該生物會被推到石牆的一側（由你決定推到哪一側）。如果生物即將被石牆完全包圍住（或被石牆和另一個堅硬的平麵包圍），則它可以進行一次敏捷豁免。豁免成功，以執行一個反應來以正常速度移動，從而避免被牆圍住。  你可以將石牆塑成你想要的任何形狀，但它不能與其他生物或物體同佔一處空間。該牆不必垂直於地面，也不需要地基；但它必須從穩固的既有石塊中延伸出來。因此，你可以使用該法術創造一條跨越峽谷的橋或是造一個斜坡。  如果你創造的跨度超過了20呎，你必須把每一塊的大小減半來創造支撐。你可以對石牆進行粗略塑形，造出城垛等類似的東西。  這個牆是一個可以因為受到傷害而被打破的石製物件。每塊板塊的AC為15，每寸厚的石牆具有30點生命值。其具有對毒素、心靈傷害的免疫。當一塊板塊的生命值降至0時則該板塊被摧毀，而且與它相連的板塊也可能會崩塌，具體由DM判斷。  如果你在整個法術持續時間內一直保持住該法術的專注，則石牆將永久存在且不能被解除。如果你沒能這麼做，則石牆在法術終止時隨即消失。</t>
  </si>
  <si>
    <t>Wall of Thorns</t>
  </si>
  <si>
    <t>一把荊棘</t>
  </si>
  <si>
    <t xml:space="preserve"> 你創造出一面堅韌、糾纏、長滿銳利棘刺的灌木之牆。棘牆出現在施法距離內一處堅實的地面上並且持續存在至法術終止。你可以選擇創造長不過60 呎、高不過10 呎、厚不過5 呎的直牆；或是直徑不過20 呎、高不過20 呎、厚不過5 呎的環牆。此外，棘牆也會阻擋視線。  棘牆出現時所有位於其內的生物要進行一次敏捷豁免。豁免失敗，受到7d8 點穿刺傷害。豁免成功，則只受一半傷害。  生物可以移動穿過棘牆，但這是一個十分緩慢且痛苦的過程。生物在棘牆中每移動1 呎要消耗4 呎的移動力。另外，生物在一個回合內第一次進入棘牆或在棘牆裡結束其回合時，必須進行一次敏捷豁免。豁免失敗，受到7d8 點揮砍傷害。豁免成功，則只受一半傷害。一名生物一回合只進行一次此豁免。
升環施法效應：使用的法術位每比六環高一環，造成的傷害就會提高1d8。</t>
  </si>
  <si>
    <t>Water Breathing</t>
  </si>
  <si>
    <t>一根短蘆葦</t>
  </si>
  <si>
    <t>在法術終止前，該法術讓施法距離內你能看見的至多十個自願生物獲得在水下呼吸的能力。此外，受術者仍保有正常的呼吸能力。</t>
  </si>
  <si>
    <t>Warding Bond</t>
  </si>
  <si>
    <t>一對單個價值50gp+的鉑金戒指，並由你和目標在法術持續時間内一直佩戴著</t>
  </si>
  <si>
    <t>你觸碰另一個自願的生物，在法術終止前在你和目標之間建立一道神秘的連結。目標位於你身邊60 呎內時，其AC 和豁免檢定具有+1 加值，且對所有傷害具有抗性。此外，每當目標受到傷害時，你也會受到同樣的傷害。  如果你的生命值降至0，或你與目標距離超過60 呎，則法術終止。如果該法術再次施放於兩個已被連接生物中的任意一方，則原法術立刻終止。</t>
  </si>
  <si>
    <t>Water Walk</t>
  </si>
  <si>
    <t>一個軟木塞</t>
  </si>
  <si>
    <t xml:space="preserve"> 此法術使受術者行走於任何液體表面時（例如流水、酸液、泥漿、雪地、流沙、熔岩）都如同行走在無傷害性的實體地面上。 （但走在熔岩上的生物仍會因高熱而受傷）。你可以將此能力賦予施法距離內你能看見的至多十個自願生物，並使其在法術持續時間內擁有該能力。  受此法術影響的目標必須使用附贈動作以穿越液體表面進入其內部，反之亦然，但如果目標陷入液體中，此目標會穿行於液體內的表面。</t>
  </si>
  <si>
    <t>Web</t>
  </si>
  <si>
    <t>少量蜘蛛網</t>
  </si>
  <si>
    <t>你在法術範圍內指定一點召喚出一大片黏黏的網狀物。蛛網覆蓋以該點為源點的20 呎立方區域，並在法術持續時間內維持存在。蛛網範圍內視為困難地形，並造成輕度遮蔽Lightly Obscured。  如果蛛網沒有被固定在兩個固體中間（例如牆和樹）或跨在一片地板、牆壁、天花板中間，則蛛網會自動坍塌，而導致法術在你的下一輪開始時終止。攤在平面上的蛛網深度為5 呎。  在一個回合中首次進入蛛網，或任何在蛛網中開始其回合的生物必須進行一次敏捷豁免，否則陷入束縛狀態，直至其離開蛛網或掙脫束縛。  因蛛網陷入束縛狀態的生物可以用一個動作進行一次對抗你的法術豁免DC的力量（運動）檢定。如果成功，則其不再被束縛。  蛛網是可燃的。任何5呎立方區域的蛛網在遇到火焰後會在一輪內燃燒殆盡，並對火焰中開始其回合的生物造成2d4點火焰傷害。</t>
  </si>
  <si>
    <t>Weird</t>
  </si>
  <si>
    <t>你嘗試在他人的心中創造出虛幻的恐怖之物。以法術範圍內你所選擇的一點半徑30呎球狀範圍內的每一個生物進行一次感知豁免。豁免失敗，目標受到10d10點心靈傷害並直到法術結束為止陷入恐懼狀態。豁免成功，則只受一半傷害。  受恐懼的生物在自己的回合結束時可以進行一次感知豁免。豁免失敗，受到5d10點心靈傷害。豁免成功，法術對此目標的效應終止。</t>
  </si>
  <si>
    <t>Wind Walk</t>
  </si>
  <si>
    <t>一根蠟燭</t>
  </si>
  <si>
    <t>你和施法距離內你能看見的至多十個自願生物在法術持續時間內變成氣化形態，其外觀有如一團雲霧。處於此雲霧形態的生物具有300 呎的飛行速度且能夠懸浮，對伏地狀態免疫，並且對鈍擊、揮砍、穿刺傷害具有抗性。此形態下的生物除疾走和使用魔法動作變回原形以外不能執行其他動作。變回原形需要花1分鐘的時間，在這段時間內該生物處於震懾狀態。在法術終止前，生物還可以再次變成雲霧形態，而再次使用魔法動作進行變形同樣要花1分鐘時間。  如果法術終止時受術目標正以雲霧形態飛行，則該目標將在1 分鐘內以每輪60 呎的速度降落直至安全著陸。如果生物降落1 分鐘後還沒著陸，則在餘下的距離中它將會如正常情況一樣墜落。</t>
  </si>
  <si>
    <t>Wind Wall</t>
  </si>
  <si>
    <t>一把扇子和一根羽毛</t>
  </si>
  <si>
    <t xml:space="preserve">  你指定施法距離內地面上一點並從中升起了一道烈風形成的牆壁。你可以造出長度至多50 呎、高度至多15 呎、厚度至多1 呎的風牆。你可以自由塑造該牆的形狀，不過它必須沿著地面形成一條連續的軌道。風牆持續存在至法術終止。
  當風牆出現時，所有位於風牆區域內的生物必須進行一次力量豁免。豁免失敗，受到4d8點鈍擊傷害。豁免成功，則只受一半傷害。
  烈風可以阻隔濃霧、煙塵和其他氣體。體型為小型或更小的飛行生物或物體無法飛過風牆。重量輕的物質帶進風牆時會向上吹飛。對牆後目標射出的箭、矢和其他普通飛行物會被朝上吹走而直接判為打失。巨人或攻城器械投出的巨石和類似的飛行物不受影響。處於氣化形態的生物無法穿過風牆。</t>
  </si>
  <si>
    <t>Wish</t>
  </si>
  <si>
    <t>祈願術是凡間生物所能施展的最強大法術。你只需要大聲說出自己的願望就能改變現實世界本身。  法術最基礎的用法是用來模仿任一個八環或更低環階的法術。如果你以此種方式使用該法術，你不需要滿足目標法術所需的任何前提條件（包括有價值的材料成分）就可以讓該法術生效。  除此之外，你也可以選擇創造下列效應其中之一：
創造物件Object Creation。你創造出一個價值不超過25000gp 的物件，該物件不能是魔法物品。該物件最長尺寸不能超過300 呎，並隨法術出現在地面上你能看見的一處未被佔據位置。
即刻治療Instant Health。你讓你自己和至多二十個你可見的生物恢復其全部生命值，並且終止它們身上一切在高等復原術中描述過的所有效應。
傷害抗性Resistance。你讓至多十個你能看見的生物對你所指定的一種傷害類型具有抗性。這個抗性是永久存在的。
免疫法術Spell Immunity。你讓最多十個你能看見的生物在接下來的八小時內免疫某種法術或其他魔法效應。
突來學問Sudden Learning。你將你的一個專長替換為另一個符合條件的專長。你失去舊專長帶來的全部好處，並獲得新專長的好處。你無法取代其他專長或特性先決條件的專長。
重新擲骰Roll Redo。你改變一件剛剛發生的事件。重擲前一輪的任一次擲骰（包含你前一回合進行的擲骰），並讓現實隨著你的新擲骰結果改變。例如，祈願術Wish可以撤銷隊友的失敗豁免或敵人的重擊。你可以迫使重新進行的擲骰具有優勢或劣勢，並且可以選擇是使用重投後的結果還是使用原來的結果。
重塑現實Reshape Reality。你可能會許願一些沒有包含在其他所有效應中的東西。為了做到這樣，盡可能準確地向地下城主描述你的願望。地下城主在這種情況下有極高的自由來裁決會發生什麼。不過願望越大，出錯的機率就越大。法術可能會直接失敗，也可能部分的達成你想要的結果，你還有可能因表達願望時措辭不當而遭到意想不到的結果。例如，許願讓一個壞人死去可能會讓你穿越到多年後該人已死的一個時間段，使你相當於離開了遊戲一樣。此外，許願獲取傳說中的魔法物品或神器可能會立即將你傳送到該物品目前的持有者身邊。
如果你許的願望太過龐大，其效應影響了社群、區域或世界，你可能會引來強大的敵人。如果你的願望會影響神，這名神的神僕會立刻干涉，阻止它或是鼓勵你以一種特殊的方式許願。如果你的願望將會撤銷多元宇宙multiverse本身，威脅到了印記城City of Sigil，或者以某種方式影響到了痛苦女士Lady of Pain，你的心靈中就會浮現出她的影像：她搖了搖自己的腦袋，然後你的願望失效了。  除了模仿其他法術外，施展該法術以達成的任何其他目的都會使你的身體承受極大的負擔。承受負擔期間，直到你完成長休之前，你每次施展法術時都將受到一定傷害（傷害數值取決於你施展的法術的環階，每環階1d10 的暗蝕傷害），此傷害無法以任何方式減免。此外，你的力量屬性值將降至3（除非它已經是3 或更低），持續2d4 日。在這段時間內，你每花一整日休息（不從事輕度活動以外的行為），恢復所需的日數就減少2 日。最後，如果你承受了這種負擔，你將有33% 的機率永遠無法再施放祈願術。</t>
  </si>
  <si>
    <t>Witch Bolt</t>
  </si>
  <si>
    <t>一根被閃電擊中的樹枝</t>
  </si>
  <si>
    <t>一支纏繞著碎裂魔力的藍色能量長矛射向施法距離內的一個生物，並在你與目標之間生成一道持久的閃電弧。對目標進行一次遠程法術攻擊。若命中，目標受到2d12 點閃電傷害。  在你接下來的每個回合中，即使首次攻擊打失，你仍可以用附贈動作直接對目標造成1d12點閃電傷害。  此外，如果目標離開法術的施法距離或相對你處於全身掩護狀態，法術也會隨即終止。
升環施法效應：使用的法術位每比一環高一環，初始傷害就提高1d12。</t>
  </si>
  <si>
    <t>Word of Radiance</t>
  </si>
  <si>
    <t>一枚艷陽標誌</t>
  </si>
  <si>
    <t>灼熱的光輝噴薄而出，在你周身形成5呎光環區域。每個區域中你選擇且你可見的生物必須通過一次體魄豁免檢定，否則受到1d6 點光耀傷害。
戲法升級：此法術的傷害在你達到特定等級時提高1d6點，5級2d6，11級3d6，17 級4d6。</t>
  </si>
  <si>
    <t>Word of Recall</t>
  </si>
  <si>
    <t>和你身邊5 呎內的至多五個自願生物一起瞬間傳送到一個你事先設置好的聖殿。你和與你一起傳送的生物將出現在你準備聖殿時指定的地點（見下）旁邊最近的未被佔據位置。如果你在施放法術前沒有事先準備好聖殿，則該法術將不產生任何效應。  你必須指定一個例如一座寺廟的地方，作為聖殿，在那裡施放法術。</t>
  </si>
  <si>
    <t>Wrathful Smite</t>
  </si>
  <si>
    <t>被該次攻擊檢定命中的目標會在這次攻擊中額外受到1d6點暗蝕傷害，並且目標必須通過一次感知豁免檢定，否則直到法術結束為止陷入恐懼狀態。在自己的每回合結束時，被恐懼的目標可以重複此豁免，成功則結束該法術對自身的影響。</t>
  </si>
  <si>
    <t>Yolande's Regal Presence</t>
  </si>
  <si>
    <t>一頂微型皇冠</t>
  </si>
  <si>
    <t>你在自身周圍散發出覆蓋10呎光環區域可捏的威嚴，無論何時當光環進入一名你可見的生物的佔據空間，還是一名你可見的生物進入光環或是在光環之中結束自己的回合，你都可以迫使這名生物進行一次感知豁免。豁免失敗，目標受到4d6點心靈傷害並陷入伏地狀態，且你可以將其推離10呎。豁免成功，則只受一半傷害。一名生物一回合只進行一次此豁免。</t>
  </si>
  <si>
    <t>Zone of Truth</t>
  </si>
  <si>
    <t>你創造一個抵禦謊言的魔法區域，該區域以施法距離內一點為中心，覆蓋以此點為中心15呎半徑的球狀區域。在法術終止前，生物在一回合中第一次進入該區域，或在該區域內開始其回合時，必須進行一次魅力豁免。豁免失敗者在該區域內不能故意說謊。而你可以知曉每個受術生物的豁免是成功與否。
 受影響的生物可以意識到該效果的存在，因此它可以主動迴避回答那些通常會以謊言答复的問題。該生物在回答問題時可以閃爍其詞、避重就輕，但說的仍然需要是真話。</t>
  </si>
  <si>
    <t>艾拉斯卓月輝斗篷</t>
  </si>
  <si>
    <t>Alustriel's Mooncloak</t>
  </si>
  <si>
    <t>一塊價值50+GP的月長石</t>
  </si>
  <si>
    <t>月光從天而降，在持續時間內以微光光照籠罩源自你的20尺光環區域。你和你的盟友在位於該區域期間獲得半身掩護及對寒冷、閃電及光耀傷害的抗性。
在法術持續時間內，你可以使用以下選項之一（但這將令此法術立即結束）：
解放Liberation。當你失敗于一次用於避免或結束恐慌、被擒及束縛的豁免時，你可以用一個反應來將本次豁免改為成功。
回春Respite。以一個魔法動作，你或區域內的一名盟友恢復等於4d10+你的施法屬性調整值點生命值。</t>
  </si>
  <si>
    <t>反衝術</t>
  </si>
  <si>
    <t>Backlash</t>
  </si>
  <si>
    <t>反應，當你受到傷害時，作為對該次傷害的回應執行</t>
  </si>
  <si>
    <t>你將破壞性的能量抵禦並彈開，令該次你受到的傷害降低4d6+你的施法屬性調整值點。
若觸發該次反應的傷害來自一名位於施法距離內的生物，則你可以迫使該生物進行一次體質豁免。豁免失敗則其受到4d6力場傷害，豁免成功則僅受半傷。
升環施法。你使用的法術位每比四環高一環，法術能減免的傷害量和造成的力場傷害就都增加1d6。</t>
  </si>
  <si>
    <t>災厄之刃</t>
  </si>
  <si>
    <t>Blade of Disaster</t>
  </si>
  <si>
    <t>你創造一道形如劍刃的位面裂隙，持續直至法術結束。裂隙出現在施法距離內由你選擇的一處空間，且你可以立即發動兩次近戰法術攻擊，每次攻擊都要指定裂隙5尺內的一名生物或物件。若命中，則目標受到10d6力場傷害。該攻擊在d20投出18或更高即算作擲出重擊。
在你的後續回合中，你可以用一個附贈動作讓裂隙移動至多60尺，再發動兩次攻擊，每次攻擊依舊要指定裂隙5尺內的一名生物或物件。
該劍刃可以無害地通過任何屏障，包括由類似法術力場牆Wall of Force所創造的那些。</t>
  </si>
  <si>
    <t>噪音護盾</t>
  </si>
  <si>
    <t>Cacophonic Shield</t>
  </si>
  <si>
    <t>雷鳴般的巨聲於法術持續時間內回響在源自你的半徑10尺的光環區域。每當光環區域進入一名你可見生物所在的空間時、一名你可見的生物進入光環區域或是在該區域結束其回合時，該生物都要進行一次體質豁免檢定。失敗則該生物受到3d6雷鳴傷害且陷入耳聾狀態，持續至你的下一回合開始。豁免成功則僅受半傷。一名生物一回合只進行一次該豁免。你在施展該法術時可以指定哪些生物不受其影響。
此外，你獲得對雷鳴傷害的抗性，且對你發動的遠程攻擊檢定均具有劣勢。
升環施法。你使用的法術位每比三環高一環，法術的傷害就增加1d6。</t>
  </si>
  <si>
    <t>召喚構裝體之力</t>
  </si>
  <si>
    <t>Conjure Constructs</t>
  </si>
  <si>
    <t>一枚黃銅齒輪</t>
  </si>
  <si>
    <t>你召喚一群無形且守序的靈體，其于施法距離內的一處未占據空間中顯現為中型的、由一隊魔冢或其它構裝體組成的構裝體群。構裝體群會存在直至法術結束。
當你施展該法術時、或是在後續回合中以一個魔法動作，你可以令構裝體群指定其5尺內的一個生物或物件，創造下列效果之一：
機關之力Clockwork Force。目標進行一次敏捷豁免檢定，豁免失敗受3d6力場傷害，豁免成功則傷害減半。
秩序守護Orderly Ward。目標獲得等於1d6+你的施法屬性調整值點臨時生命值。
當你在你的回合移動時，你可以令機群也移動至多30尺到一處你可見的未佔據空間中。
升環施法。你使用的法術位每比三環高一環，法術的傷害和臨時生命值就增加1d6。</t>
  </si>
  <si>
    <t>死亡護甲</t>
  </si>
  <si>
    <t>Death Armor</t>
  </si>
  <si>
    <t>一塊價值50+GP的縞瑪瑙，作為法術的耗材</t>
  </si>
  <si>
    <t>墨黑色的靈光在法術持續時間內環繞你觸碰的一名生物。該生物進行的死亡豁免具有優勢，且每回合一次，當位於法術目標5尺內的生物用近戰攻擊檢定命中法術目標時，該攻擊者受2d4暗蝕傷害。</t>
  </si>
  <si>
    <t>德萊雅小幫手</t>
  </si>
  <si>
    <t>Deryan's Helpful Homunculi</t>
  </si>
  <si>
    <t>價值100+GP的寶石粉末，作為法術的耗材；外加一套你熟練的工匠工具</t>
  </si>
  <si>
    <t>你召喚一群靈體小幫手，持續至法術結束。小幫手們看起來像是人工生命體或是其它由你選擇的構裝體，但其不具備實體，亦無法被傷害。小幫手們視為具有對奧秘技能以及用來施展該法術的那套工匠工具的熟練項。
若你正在製造一件物品，這些靈體小幫手整體可被視為一名協助者，減半你製作這件物品的時間。</t>
  </si>
  <si>
    <t>凋零輓歌</t>
  </si>
  <si>
    <t>Dirge</t>
  </si>
  <si>
    <t>死亡的力量在持續時間內覆蓋源自你的60尺光環區域。
你在施展該法術時可以指定哪些生物不受其影響。任何其餘的生物在位於光環內期間都無法恢復生命值。當光環進入一名生物的占據空間，或是一名生物進入光環或是在光環之中結束自己的回合時，此生物都要進行一次體質豁免檢定。豁免失敗則受3d10暗蝕傷害且陷入倒地狀態。豁免成功則僅受半傷且速度減半。一名生物一回合只進行一次此豁免。
結陣施法。將該法術被作為結陣法術施展需要至少兩名輔施法者參與。此時其持續時間變為專注，至多10分鐘。
于對抗此法術的豁免中失敗的生物還會再獲得1級力竭等級。該生物具有力竭等級期間，其無法通過完成長休恢復失去的生命值或移除其力竭等級。
施展該法術時，每一名輔施法者都必須消耗一枚環階4+的法術位，否則法術失敗。</t>
  </si>
  <si>
    <t>末日黑潮</t>
  </si>
  <si>
    <t>Doomtide</t>
  </si>
  <si>
    <t>煤灰或煙灰，以及一片鰻魚干</t>
  </si>
  <si>
    <t>你指定施法距離內一點，在以該點為中心、半徑 20 尺球狀區域內，創造一片墨黑色霧氣。黑霧在法術持續時間內維持存在，其區域視為魔法黑暗。但仍會被強風吹散（比如造風術Gust of Wind）並解除法術。
黑霧出現時，每名位於其區域內的生物都進行一次體質豁免，豁免失敗者受到5d6點心靈傷害，且在進行豁免檢定受1d6減值，直至其下一回合結束。豁免成功則僅受半傷。每當球狀區域移動到一名生物區域內時、一名生物進入球狀區域時或是在該區域結束其回合時，該生物同樣需要進行一次豁免。一名生物一回合只進行一次該豁免。
在你的每個回合開始時，球狀區域會往遠離你的方向移動10尺。
結陣施法。將該法術被作為結陣法術施展需要至少五名輔施法者參與。除了通常的法術成分，你還需要提供一項特殊成分（三枚來自喧癲空隧的黑珍珠，串成串），作為該法術的耗材。該法術的施法距離增加至1英里，且持續時間增加為直至被解除（無需維持專注）。如果該法術的任意一名施法者參與施展了另一道作為結陣法術施展的末日黑潮Doomtide，則該法術會提前結束。
施展該法術時，每一名輔施法者都必須消耗一枚3+環的法術位，否則法術失敗。</t>
  </si>
  <si>
    <t>伊爾明斯特絢麗光球</t>
  </si>
  <si>
    <t>Elminster's Effulgent Spheres</t>
  </si>
  <si>
    <t>一塊價值1,000+GP的歐珀</t>
  </si>
  <si>
    <t>六枚顏色各異的彩色光球在持續時間內圍繞着你旋轉。
在這些光球存在期間，你可以消耗一枚光球製造以下一種效應：
吸收能量Absorb Energy。當你受到強酸、寒冷、火焰、閃電或雷鳴傷害時，你可以執行一個反應並消耗其中一枚光球，令你獲得對觸發此反應的那種傷害的抗性，直至你的下一回合開始。
能量爆發Energy Blast。以一個附贈動作，你可以令一枚光球飛向位於你120尺內的一個目標。發動一次遠程法術攻擊。若命中，則目標受到3d6點強酸、寒冷、火焰、閃電或雷鳴傷害（由你選擇）。無論這次攻擊命中與否，這枚光球都會被消耗。
此法術會在你消耗完所有光球後提前結束。
升環施法。你使用的法術位每比六環高一環，創造的光球就多一顆。</t>
  </si>
  <si>
    <t>伊爾明斯特法術閃避</t>
  </si>
  <si>
    <t>Elminster's Elusion</t>
  </si>
  <si>
    <t>奧術法陣令你能在持續時間內抵抗魔法。你對抗法術和其他魔法效應時進行的豁免檢定具有優勢。此外，若你對抗豁免成功受半數傷害的法術或魔法效應時，若豁免成功則不受傷害。</t>
  </si>
  <si>
    <t>密斯特拉神聖之星</t>
  </si>
  <si>
    <t>Holy Star of Mystra</t>
  </si>
  <si>
    <t>你創造一枚閃耀的、懸在你上方的能量微塵，持續至法術結束。微塵散發5尺明亮光照及其外5尺微光光照。
當你施展此法術時，以及後續回合中作為一個附贈動作，你可以自微塵釋放出一道閃耀能量束，以120尺內的一名生物為目標。你進行一次遠程法術攻擊，若命中，則目標受到4d10+你的施法屬性調整值點力場或光耀傷害（由你選擇）。
此外，微塵存在期間你還具有四分之三掩護；若你成功通過一道七環或更低環階、只以你作為目標、還並不製造效應區域的法術的豁免時，你可以執行反應來將這道法術反射回其施法者；此時該施法者必須對抗其自身的法術豁免DC進行豁免檢定。</t>
  </si>
  <si>
    <t>萊拉銀輝長槍</t>
  </si>
  <si>
    <t>Laeral's Silver Lance</t>
  </si>
  <si>
    <t>一枚價值250+GP的銀針</t>
  </si>
  <si>
    <t>銀色能量從你身上爆發，覆蓋一處120尺長、5尺寬的線狀區域。每名位於區域內的由你選擇的生物都進行一次力量豁免檢定。豁免失敗者受到3d10力場傷害且陷入倒地狀態。豁免成功僅受半傷。
升環施法。你使用的法術位每比三環高一環，法術的傷害就增加1d10。</t>
  </si>
  <si>
    <t>欣布癒合秘術</t>
  </si>
  <si>
    <t>Simbul's Synostodweomer</t>
  </si>
  <si>
    <t>你將魔法性的治愈能量注入你觸碰的一名生物，持續至法術結束。每當該生物使用法術位施展一道法術時，它都可以立即擲等於該法術位的環階枚生命骰，並恢復等於擲骰結果+你的施法屬性調整值點生命值；這些生命骰將因此消耗。</t>
  </si>
  <si>
    <t>桑縞元素附權</t>
  </si>
  <si>
    <t>Songal's Elemental Suffusion</t>
  </si>
  <si>
    <t>一枚價值100+GP的珍珠</t>
  </si>
  <si>
    <t>你將屬於巨靈的元素之力注入自身。你獲得以下增益，直至法術結束：
元素減免Elemental Immunity。當你施展該法術時，選擇下列一種傷害類型：強酸、寒冷、火焰、閃電或雷鳴。你獲得對所選傷害類型的抗性。
元素波動Elemental Pulse。在你施展該法術時，以及此後你的每個回合開始時，你都會釋放出元素能量的爆發，覆蓋源自自身的15尺光環區域。區域內每名由你選擇的生物都要進行一次敏捷豁免，豁免失敗者受到2d6點強酸、寒冷、火焰、閃電或雷鳴傷害（由你選擇）並陷入倒地狀態，豁免成功則僅受半傷。
翔天Flight。你獲得30尺飛行速度且可懸浮。
結陣施法。若該法術被作為結陣法術施展，則其施法時間變為1分鍾，且持續時間增加至專注，至多10分鐘。每有一名輔施法者參與，你就可以額外選擇一名生物（至多額外選擇九名生物）。受選擇的生物亦會在法術持續時間內獲得其增益。
施展該法術時，每一名輔施法者都必須消耗一枚2+環的法術位，否則法術失敗。</t>
  </si>
  <si>
    <t>咒火魔焰</t>
  </si>
  <si>
    <t>Spellfire Flare</t>
  </si>
  <si>
    <t>你釋放出一道耀眼的焰能爆。對施法距離內的一個目標發動一次遠程法術攻擊；結算該次攻擊檢定時目標無法從半身掩護和四分之三掩護中獲益。若命中，則目標受到2d10光耀傷害。
升環施法。你使用的法術位每比一環高一環，你便可額外發射一道焰能爆。你可以令這發新的焰能爆瞄準你原先的目標或是另一個目標。每道焰能爆都需要分別進行攻擊。</t>
  </si>
  <si>
    <t>咒火風暴</t>
  </si>
  <si>
    <t>Spellfire Storm</t>
  </si>
  <si>
    <t>你咒喚一道咒火光柱，覆蓋以施法範圍內一點為中心，半徑20尺、高20尺柱狀區域。該區域內視為明亮光照，且在該區域出現時位於其中的每名生物都進行一次體質豁免，豁免失敗則受到4d10光耀傷害，豁免成功則傷害減半。在生物進入法術區域或在其內結束回合時，目標生物也需要進行該體質豁免。一名生物每回合僅需進行一次該豁免檢定。
此外，當一名位於區域內的生物施展一道法術時，它必須進行一次體質豁免。豁免失敗則法術消散且毫無效果，並且用於施展法術的動作、附贈動作或反應隨之浪費。如果那道法術是使用法術位施展的，則法術位並不會被消耗。
你在施展該法術時可以指定哪些生物不受其影響。
結陣施法。除了通常的法術成分，你還需要提供一項特殊成分（一枚價值25,000+GP的星藍寶石），作為該法術的耗材。該法術的施法距離變為1英里，且無需專注。施展該法術時，每一名輔施法者都必須消耗一枚3+環的法術位，否則法術失敗。
升環施法。你使用的法術位每比四環高一環，法術的傷害就增加1d10。
輔施法者的數量還能影響此法術的效應區域及持續時間（如下表所示）。如果該法術的任意一名施法者參與施展了另一道作為結陣法術施展的咒火風暴Spellfire Storm，則該法術會提前結束。
輔施法者數量                效應區域                                  持續時間
      1-3              半徑40尺、高40尺柱狀區域                  1小時
      4-6              半徑60尺、高60尺柱狀區域                  8小時
      7+              半徑100尺、高100尺柱狀區域              24小時</t>
  </si>
  <si>
    <t>希倫劇毒靈蛇</t>
  </si>
  <si>
    <t>Sylune's Viper</t>
  </si>
  <si>
    <t>一枚蛇牙</t>
  </si>
  <si>
    <t>一條閃爍的靈體毒蛇將於法術的持續時間內環繞在你的身側。你獲得15點臨時生命值；此法術會在你不具有剩餘的臨時生命值時提前結束。
你在此法術生效期間獲得以下增益：
攀援Climbing。你獲得等於你速度的攀爬速度。
劇毒啃咬Venomous Bite。以一個魔法動作，你能用這條毒蛇對50尺內的一名生物發動一次遠程法術攻擊。若命中，則目標受到1d6力場傷害且陷入中毒狀態直至你的下一回合開始。目標還會在中毒期間陷入失能狀態。
升環施法。你使用的法術位每比三環高一環，你從法術獲得的臨時生命值就增加5，且劇毒啃咬的傷害也增加1d6。</t>
  </si>
  <si>
    <t>壓制術</t>
  </si>
  <si>
    <t>Wardaway</t>
  </si>
  <si>
    <t>你向施法距離內的一名生物擲出一片令其暈眩的魔法力場。目標進行一次體質豁免（構裝和亡靈自動豁免成功）。豁免失敗則目標受2d4力場傷害，其速度減半至你的下一回合開始，且目標在其下一回合中僅可以執行一個動作或一個附贈動作（但不能同時執行二者）。豁免成功則僅受半傷。
升環施法。你使用的法術位每比一環高一環，法術的傷害就增加2d4。</t>
  </si>
  <si>
    <t>人工生命僕從</t>
  </si>
  <si>
    <t>Homunculus Servant</t>
  </si>
  <si>
    <t>價值 100+GP 的寶石</t>
  </si>
  <si>
    <t>你在施法距離內一處未被占據的空間里召喚出一個特別的人工生命體。該生物使用人工生命僕從Homunculus Servant的數據。如果你已經從這個法術擁有了一個人工生命體，該人工生命體將會被新的取代。你決定人工生命體的外觀，比如一隻機械鳥；帶翅膀的小瓶子，或微型的活化坩堝。
      戰鬥Combat。人工生命體對你和你的盟友來說是一位盟友。在戰鬥中，它使用你的先攻值，在你的回合結後立即執行它的回合。它服從於你的命令（無需消耗你的動作）。如果你未發出命令，它會採取迴避動作，並使用移動速度遠離危險。
      升環施法效應。在其數據的法術環階中使用法術位的環階。</t>
  </si>
  <si>
    <t>星界之潮</t>
  </si>
  <si>
    <t>Astral Flood</t>
  </si>
  <si>
    <t>混合的水和銀粉</t>
  </si>
  <si>
    <t>你引導星界海中的能量，釋放出30尺錐形區域的魔法能量洪流。錐形區域內的每個生物都需要成功于一次敏捷豁免，否則承受4d10的寒冷或光耀傷害（在你施展法術時選擇）。根據你選擇的傷害類型，還會附加額外效果：
寒冷傷害。直到你的下一回合結束前，目標的下一次D20檢定具有劣勢。
光耀傷害。直到你的下一回合結束前，目標只能看見距他15尺以內的地方，且他對此距離外的所有東西都具有目盲狀態。
升環施法。你使用的法術位每比四環高一環，傷害就增加1d10。</t>
  </si>
  <si>
    <t>化杖為蛇</t>
  </si>
  <si>
    <t>Sticks to Snakes</t>
  </si>
  <si>
    <t>一小塊樹皮和幾片蛇鱗</t>
  </si>
  <si>
    <t>你可以選擇至多4根在施法距離內的長度不超過長棍Quarterstaff的可見非魔法枝條（或類似的非魔法木製品，例如火把Torch、矛Spear等）變形為蛇。握持着目標物件的生物可以進行一次魅力豁免，成功則目標不會變形。每個變形的目標都使用毒蛇Venomous Snake的數據。
所有的這些蛇都對你和你的盟友友善。它在戰斗中使用你的先攻，並在你回合結束後立即行動。
直到法術結束前，如果任何以此法術製造的生物在你的500尺內，你可以使用一個附贈動作並以精神命令操縱他們（如果你操縱多個生物，則你的命令可以同時傳達給它們全部或是其中的某幾個，不過每次只能為它們下達同一命令）。如果你沒有下達命令，該生物將執行迴避動作且只會為躲避危險而移動。當生物的生命值降至0時，它變回物件形態，所有的溢出傷害都需要該形態承受。
升環施法。你使用的法術位每比四環高一環，就可以選擇兩個額外的物件。</t>
  </si>
  <si>
    <t>蜂鳴術</t>
  </si>
  <si>
    <t>Buzzing Bee</t>
  </si>
  <si>
    <t>一點蜂蜜</t>
  </si>
  <si>
    <t>你召喚出一隻吵鬧的蜜蜂。以施法距離內一個你可以看見的生物為目標。蜜蜂會在目標周圍盤旋，用嗡嗡聲分散他的注意力。在持續時間內，目標在感知（察覺）、敏捷（隱匿）以及為維持專注而進行的體質豁免上具有劣勢。此外，目標無法從隱形狀態中受益。
只要目標距離你不超過120尺，蜜蜂就會在他的3尺範圍內盤旋。當法術結束或目標離開範圍時，蜜蜂消失。</t>
  </si>
  <si>
    <t>狡詐之音</t>
  </si>
  <si>
    <t>Insidious Rhythm</t>
  </si>
  <si>
    <t>你選擇法術距離內的一個你可見的生物，他會聽到一段難忘且朗朗上口的曲調，在他的腦海中不斷重復。目標必需成功于一次感知豁免，否則在智力檢定以及為維持專注而進行的體質豁免上具有劣勢。目標在其每回合結束時重新進行豁免，豁免成功則終止其身上該法術的效應。
升環施法。使用的法術位每比一環高一環，你就可以額外選擇一個生物作為目標。</t>
  </si>
  <si>
    <t>李歐蒙的無意義討論</t>
  </si>
  <si>
    <t>Leomund's Lamentable Belaborment</t>
  </si>
  <si>
    <t>30 呎（10 呎球狀）</t>
  </si>
  <si>
    <t>你發表一段深刻或煽動的演講，例如對周圍城鎮政治的評價。你選擇施法距離內一點為中心，半徑10尺球狀區域內的每名生物必須成功通過一次智力豁免，或直到法術結束前陷入魅惑狀態。與你沒有共通語言，或智力屬性值在3以下的生物豁免自動成功。
在受魅惑期間，每個目標都必須將他的回合用來討論或反駁你的演講。在持續時間內，目標的速度變為0，且對你和其他受此法術影響的目標外的所有生物都具有目盲和耳聾狀態。</t>
  </si>
  <si>
    <t>指槍</t>
  </si>
  <si>
    <t>Finger Guns</t>
  </si>
  <si>
    <t>你伸出你的大拇指與食指，擺出一個極具危險性的槍型手勢。法術持續時間內，你的手被視為一件簡易遠程武器，具有60/240的射程與精通詞條緩速*。你使用施法屬性（而非敏捷）進行這把武器的攻擊檢定，在命中時這把武器將造成2d6力場傷害（傷害中不加入你的屬性調整值）。
戲法升級。達到特定等級后，手指武器的常規射程將增加30尺、最大射程將增加120尺：5級 （90/360尺），11級（120/480尺），與17級（150/600尺）。</t>
  </si>
  <si>
    <t>隱蔽射擊</t>
  </si>
  <si>
    <t>Concealed Shot</t>
  </si>
  <si>
    <t>一把遠程武器</t>
  </si>
  <si>
    <t>你觸碰的遠程武器獲得超自然般的精妙結構。法術持續時間內，當你用這把武器發動遠程攻擊時，武器被效消音，你使用的彈葯（或武器本身）在飛出后將化為隱形。如果武器會產生煙霧（硝煙）或是光亮之類的特效，其也會被法術隱藏。在本次攻擊命中或失手后，你使用的飛彈（或武器本身）將重新顯形。
若你處于躲藏中，只要你的攻擊目標在80尺遠或更遠的位置，本次攻擊就不會揭露你所在的位置。</t>
  </si>
  <si>
    <t>衝擊彈</t>
  </si>
  <si>
    <t>Ballistic Smite</t>
  </si>
  <si>
    <t>選擇以下傷害類型之一：強酸、寒冷、火焰、閃電、毒素、雷鳴。此次攻擊命中的目標額外受到2d6所選類型的傷害。你可以選擇讓觸發攻擊造成的傷害也改為所選傷害類型，或者維持原先的傷害類型。
升環施法效應。使用的法術位每比一環高1環，額外傷害就增加1d6。</t>
  </si>
  <si>
    <t>召喚掩體</t>
  </si>
  <si>
    <t>Conjure Cover</t>
  </si>
  <si>
    <t>一個鴨鴨（蹲著）的模型</t>
  </si>
  <si>
    <t>你在地面上咒喚出一道低矮的圓石牆壁。矮牆厚18寸，由三個5尺長3尺高的牆段組成。每個牆段都必須與至少一個別的牆段有所連接。
躲在矮牆后的中型生物具有半身掩護；躲在矮牆后的小型生物具有四分之三掩護。這堵矮牆可以被翻越過去，且不需要額外消耗移動力。
每個牆段具有10的AC與30生命值，其會在生命值被降至0時坍塌，並被摧毀。當所有牆段都被摧毀時，或是法術結束時，這堵矮牆將消失。</t>
  </si>
  <si>
    <t>貫穿射擊</t>
  </si>
  <si>
    <t>Perforating Shot</t>
  </si>
  <si>
    <t>命中時或失手時，那枚彈藥（或武器本身）化為一束5尺寬的線狀魔法能量，自你延展至武器的常規範圍為止。此線狀區域需包括此次攻擊的原目標，線狀區域內的所有生物都需要通過一次敏捷豁免檢定，豁免失敗將受到武器的正常傷害，豁免成功將受到一半傷害。
升環施法效應。使用的法術位每比一環高1環，武器的傷害就增加1d8。</t>
  </si>
  <si>
    <t>卡膛術</t>
  </si>
  <si>
    <t>Jam Weapon</t>
  </si>
  <si>
    <t>反應，在60尺內你可見的生物使用遠程武器攻擊發動一次攻擊時</t>
  </si>
  <si>
    <t>一撮受潮的火藥</t>
  </si>
  <si>
    <t>目標的武器將發生故障，本次攻擊失手。武器故障后將無法被使用，直至有生物用利用動作將武器的故障修理完畢為止。</t>
  </si>
  <si>
    <t>葉忒羅自動換彈</t>
  </si>
  <si>
    <t>Jethro's Instant Reload</t>
  </si>
  <si>
    <t>一枚用過的蛋殼</t>
  </si>
  <si>
    <t>附魔你觸碰的那把遠程武器，令它能夠自動為自己換彈。如果武器具有裝填詞條或換彈詞條，法術持續時間內你將無視它們。當這把武器的彈葯被擊發/離弦后，新的彈藥會從你的攜帶物品中自動傳送到武器上/中。</t>
  </si>
  <si>
    <t>召喚加農砲彈</t>
  </si>
  <si>
    <t>Conjure Cannonball</t>
  </si>
  <si>
    <t>一枚小號的仿製加農砲</t>
  </si>
  <si>
    <t>你在空中召喚出一顆加農炮彈，以全速飛出，並在碰撞后爆炸。對法術施法距離內的一個你可見的目標發動一次遠程法術攻擊。命中時，目標受到5d10鈍擊傷害而，且炮彈將爆炸。爆炸將覆蓋以其為源頭的5尺光環區域，區域內除目標外的所有生物都需要進行一次敏捷豁免，豁免失敗者將受到上述傷害的一半。
升環施法。使用的法術位每比三環高1環，炮彈的傷害就增加1d10。</t>
  </si>
  <si>
    <t xml:space="preserve">VSS:PP	</t>
  </si>
  <si>
    <t>防彈結界</t>
  </si>
  <si>
    <t>Antiballistic Field</t>
  </si>
  <si>
    <t>40尺的光環以你為中心展開，干擾所有飛彈projectile並使所有遠程武器故障。處於光環內，任何遠程武器被用於攻擊时都會故障，該次攻擊被浪費。武器故障后將無法被使用，直至有生物用利用動作將武器的故障修理完畢為止。任何武器發動的攻擊中，若其飛彈會穿過光環區域，本次攻擊就將具有劣勢，命中后造成的傷害也將減半。</t>
  </si>
  <si>
    <t>增速術/減速術</t>
  </si>
  <si>
    <t>Accelerate/Decelerate</t>
  </si>
  <si>
    <t>反應，當你 60 尺內你能看見的某個生物被攻擊命中時</t>
  </si>
  <si>
    <t>一滴油或糖蜜</t>
  </si>
  <si>
    <t>這個法術能在一次攻擊即將命中前的瞬間，加速或減速該次攻擊（見下方選擇的效果），從而減輕或倍增其衝擊力道。
增速。目標受到來自該次攻擊的額外 2d6 點傷害。此額外傷害的類型與觸發該法術的攻擊所造成的傷害類型相同。
減速。將目標受到的傷害減少 2d6 點（傷害最低降至 0）。
升環施法。當你使用 2 環或更高環階的法術位施展此法術時，每比 1 環高一階，其造成的額外傷害或傷害減免數值便增加 1d6。</t>
  </si>
  <si>
    <t>顯露線索</t>
  </si>
  <si>
    <t>Clue</t>
  </si>
  <si>
    <t>一個放大鏡和一支煙斗</t>
  </si>
  <si>
    <t>當你施展此法術時，以你為源點向外延伸 30 尺範圍內，所有的腳印與指紋將被高亮顯示並發出微光，直到法術結束。施法時，你可以指定過去 10 天內的任意一個時間點，只有在該時間點之後至現在所留下的腳印與指紋會被高亮顯示。每個留下腳印或指紋的生物都會被分配到一種獨特的顏色，除此之外無法識別其具體身分。任何在此發散區域內移動或觸碰物體的生物，也會即時留下帶有顏色的腳印與指紋，這可能會揭露區域內的隱形生物。</t>
  </si>
  <si>
    <t>拋出窗外</t>
  </si>
  <si>
    <t>Defenestration</t>
  </si>
  <si>
    <t>一股力場波動從你張開的手掌中爆發，試圖將射程內你可見的一個生物猛擲出一扇窗戶。目標必須進行一次力量豁免。
豁免失敗的目標將被推離至多 20 尺，並被強行扔過一扇你選擇的窗戶。如果目標 20 尺內沒有實體窗戶，它將改為被向你選擇的方向推離至多 20 尺，並被扔過一扇瞬間具現化在該生物身後的「奧術力場窗戶」，該窗戶在破碎後隨即消失。目標在被扔過窗戶時受到 4d6 點揮砍傷害，並陷入伏地狀態。豁免成功則僅被推離 10 尺，且不受到傷害。
升環施法。當你使用 3 環或更高環階的法術位施展此法術時，每比 2 環高一階，傷害增加 1d6，且無論豁免成功或失敗，目標被推離的距離皆增加 5 尺。</t>
  </si>
  <si>
    <t>延後術</t>
  </si>
  <si>
    <t>Delay</t>
  </si>
  <si>
    <t>一個八角形的標誌</t>
  </si>
  <si>
    <t>你短暫地減緩了射程內一個你可見生物的時間流動。目標必須進行一次感知豁免，若豁免失敗，從下一輪開始，該生物在先攻順序中將被移至最後一位。</t>
  </si>
  <si>
    <t>嚴重警告</t>
  </si>
  <si>
    <t>Dire Warning</t>
  </si>
  <si>
    <t>你收到一條來自「未來的你自己」所發送的訊息，長度至多 6 個字（英文單字）。這條訊息會警告你一個致命的威脅，或是指引你一條富有成效的途徑。這條訊息的內容由 GM 決定。在未來的某個時間點，一旦你明白了當時為何會發送這條訊息，你必須花費 10 分鐘的時間進行一個儀式（可以在短休或長休期間進行），將這條訊息穿越時間傳送回給過去的自己。如果你施展此法術卻沒有收到任何訊息，這預示著你在未來永遠無法完成這個儀式，原因可能是你已經死亡，或是受到了其他阻礙。
一旦你施展了此法術，直到 7 天之後，或者直到你完成了上述的傳訊儀式之前，你都無法再次施展此法術。</t>
  </si>
  <si>
    <t>命運遊戲</t>
  </si>
  <si>
    <t>Game of Fate</t>
  </si>
  <si>
    <t>一個遊戲套組</t>
  </si>
  <si>
    <t>你運用魔法強迫射程內一個能聽見並理解你的生物，參與一場攸關性命且非魔法性質的遊戲。非自願的生物必須進行一次感知豁免，若失敗則會被迫加入這場遊戲。
遊戲的輸家將受到 6d6 點心靈傷害。如果在法術持續時間結束時仍未分出勝負，你與目標雙方都會受到此傷害。如果你或你的盟友傷害了目標，你將被判為棄權（輸掉遊戲）；反之，若目標或其盟友傷害了你，目標則被判為棄權。此外，你與目標可以協商提高賭注。你們可以賭上更高的心靈傷害（最高 12d6）、貨幣、財產，或是更特殊的獎勵（例如授予貴族頭銜）。如果有生物試圖下注自己無法兌現的籌碼，此法術會立刻揭露這一點。當你與目標達成協議，並透過握手或類似的手勢確認後，賭約即告成立。遊戲結束時，作為賭注的財產或貨幣會直接傳送給贏家。輸家也會受到魔法強迫，必須去執行作為賭注一部分的任何行動（例如授予貴族頭銜）。
最後，除了你與目標之外，沒有任何法術、魔法效應或其他生物可以影響這場遊戲的結果。</t>
  </si>
  <si>
    <t>宿醉術</t>
  </si>
  <si>
    <t>Hangover</t>
  </si>
  <si>
    <t>一小瓶烈酒</t>
  </si>
  <si>
    <t>你散發出一股醉人的靈光，隨即迅速消散，留下一股強烈的宿醉感。你選擇射程內的一個生物進行一次體質豁免。若豁免失敗，該生物受到 3d8 點心靈傷害，並陷入中毒狀態直到你的下一回合結束。若豁免成功，目標僅受到一半的傷害。目標因受到此傷害而進行維持專注的體質豁免時具有劣勢。
升環施法： 當你使用 2 環或更高環階的法術位施展此法術時，每比 2 環高一階，傷害增加 1d8。</t>
  </si>
  <si>
    <t>曼迪的野性隨從</t>
  </si>
  <si>
    <t>Mandy's Feral Follower</t>
  </si>
  <si>
    <t>一個小的僕人鈴鐺</t>
  </si>
  <si>
    <t>你觸碰一隻中型或更小的野獸，將其變形為外觀由你決定的類人生物。該野獸的數據被平民 Commoner 的數據卡取代，但保留其原本的生命值與生命骰。你選擇該平民的技能熟練項。該平民身穿華貴服裝 Fine Clothes，但沒有其他裝備，並且對所有非受訓工作有基本的了解。
目標獲得 10 點暫時生命值。如果目標失去了所有暫時生命值，此法術將提前結束。當法術結束時，華貴服裝會化為煙霧消散。
戰鬥。該平民是你與你盟友的伙伴。它擲骰決定自己的先攻，並在自己的回合行動。它的行為舉止如同受雇於你的盡責僕人。
持續時間。此法術的持續時間取決於施法時的時間與地點。若在時間流逝正常的地點施展，法術持續直到下一個午夜的第十二聲鐘響，無論那還有多久。在其他地方，法術持續 24 小時。
升環施法。當你使用 4 環或更高環階的法術位施展此法術時，每比 4 環高一階，你可以額外變形一隻野獸。</t>
  </si>
  <si>
    <t>記憶術</t>
  </si>
  <si>
    <t>Memorize</t>
  </si>
  <si>
    <t>一條價值至少 10 gp 的銀線，打成一個結，該材料會被法術消耗</t>
  </si>
  <si>
    <t>當你施展此法術時，你的視線掃過一頁書寫的文字，並將其銘記於心。在接下來的一年內，你能記住該頁面上所有資訊的確切細節。在那之後，當你進行為了回憶這些資訊的智力檢定時具有優勢。</t>
  </si>
  <si>
    <t>思考片刻</t>
  </si>
  <si>
    <t>Moment to Think</t>
  </si>
  <si>
    <t>當你施展此法術時，你短暫地停止了除你之外所有人的時間流動。在其他生物時間靜止的期間，你可以採取一個額外的動作，並在你所佔據的空間內活動。該動作僅能用於執行搜索 Search、研究 Study 或使用物件 Utilize 動作。此外，除了你正在穿戴或攜帶的物品外，你無法影響或傷害任何生物或物體。如果有物體離開了你的手，它也會凍結在時間之中。</t>
  </si>
  <si>
    <t>悖論術</t>
  </si>
  <si>
    <t>Paradox</t>
  </si>
  <si>
    <t>透過將時間之流扭曲打結，你使射程內在上一輪中所發生的、由你選擇的一個動作被撤銷。現實隨即自我修復，從時間事件被移除所造成的損害中反衝。該動作的直接效應（例如攻擊或法術造成的傷害）會被撤銷，但間接效應（例如生物選擇移動到不同位置）則不會。執行該動作的生物將受到 10d8 點心靈傷害，因為它必須承受自身歷史遭到修改的衝擊。</t>
  </si>
  <si>
    <t>多臂術</t>
  </si>
  <si>
    <t>Polybrachia</t>
  </si>
  <si>
    <t>一對臂環</t>
  </si>
  <si>
    <t>兩條由璀璨奧術能量構成的健壯手臂出現在你觸碰的一名自願生物身上。這些手臂功能完全，可用於揮舞武器與盾牌（允許目標同時持握 2 把雙手武器，或 4 把單手武器），執行法術的姿勢成分，以及執行其他動作。法術持續期間，目標進行力量（運動）檢定時具有優勢。目標可以採取一個附贈動作，使用被這些手臂持握的武器進行一次近戰攻擊。</t>
  </si>
  <si>
    <t>回溯術</t>
  </si>
  <si>
    <t>Recall</t>
  </si>
  <si>
    <t>施展此法術時，記錄你當前的位置。直到你的下一回合結束前，當發生以下情況時：一次攻擊檢定、一個生物施展法術，或是一個生物移動進入你 5 尺內，你可以採取一個反應傳送回到該記錄的位置（若該空間已被佔據，則傳送到最近的未佔據空間）。此傳送發生在觸發該反應的攻擊或法術生效之前。隨後法術結束。</t>
  </si>
  <si>
    <t>散播謠言</t>
  </si>
  <si>
    <t>Rumor</t>
  </si>
  <si>
    <t>你透過魔法在以你為源點向外延伸 100 尺的範圍內，散佈一段長度在 10 個字（英文單字）以內的謠言。
範圍內任何能聽見並理解謠言的三個或以上的生物都會相信他們聽見附近有人正在複述這段謠言。由於不同的生物會聽到這段謠言出自不同人之口，因此無法查明其確切來源。一般而言，即使聽到最惡毒的謠言，生物也不會因此變成敵對狀態，但聽到謠言可能會對他們的態度產生正面或負面的影響。</t>
  </si>
  <si>
    <t>行兇署名</t>
  </si>
  <si>
    <t>Calling Card</t>
  </si>
  <si>
    <t>一枚刻有你署名印記的印章</t>
  </si>
  <si>
    <t>你接觸一具屍體並留下一個魔法標記。你可以選擇讓它成為可見的標記，以符文或文字的形式顯現在血肉之上；或者你可以選擇讓標記隱形。任何採取研究Study動作特地檢查該屍體的生物，無論標記是否可見，都會自動發現它。</t>
  </si>
  <si>
    <t>駭人驚嚇</t>
  </si>
  <si>
    <t>Frightful Start</t>
  </si>
  <si>
    <t>一隻死蜘蛛</t>
  </si>
  <si>
    <t>你扭曲你的面容，用以嚇唬射程內你可見的一個生物。該生物必須成功通過一次感知豁免，否則將陷入恐懼狀態，直到你下個回合開始。</t>
  </si>
  <si>
    <t>聖言</t>
  </si>
  <si>
    <t>Holy Word</t>
  </si>
  <si>
    <t>你在氣息間低聲誦唸一個神聖字詞，小心翼翼地不提高音量，因為這等天界威能不容不配者聽聞。 對射程內的一個目標發動一次遠程法術攻擊。擊中時，目標受到 1d8 點光耀傷害。 如果目標是精類、邪魔或不死生物，其速度減少 10 呎，且直到其下個回合結束前無法採取反應。
戲法升級。 當你達到第 5 級 (2d8)、第 11 級 (3d8) 和第 17 級 (4d8) 時，傷害增加 1d8。</t>
  </si>
  <si>
    <t>狩獵感知</t>
  </si>
  <si>
    <t>Hunter Sense</t>
  </si>
  <si>
    <t>你接觸一個自願的生物。在持續時間內，目標的感官變得更加敏銳。 每當目標進行感知（察覺）檢定時，若其 d20 擲骰結果為 9 或更低，則可視為 10。</t>
  </si>
  <si>
    <t>幻象樂器</t>
  </si>
  <si>
    <t>Illusory Instrument</t>
  </si>
  <si>
    <t>你創造出一件普通樂器的幻影複製品。這件複製品會呈現出你記憶中最珍愛該樂器的模樣，例如你擁有的第一把長笛，或是摯愛之人贈送給你的半豎琴。這個幻影會如同實體樂器般運作，但它沒有重量，且只有你能觸摸到其實體。這件樂器可以作為施法法器使用。 如果你遠離它超過 10 呎，或者你選擇結束法術（不需耗費動作），這個幻影樂器就會消散。
作為一個附贈動作，你可以命令你的樂器產生下列其中一種效果：
。模仿日常聽到的基本聲響，例如鳥鳴、腳步聲或摔門聲。
。以你選擇的速度自動演奏基本的節拍。
。錄下任何在其上演奏的樂曲，並循環播放。
。錄製並播放它 15 呎範圍內能接收到的任何噪音，例如對話、皇室法令，或是一個發誓自己沒打呼的隊友的打呼聲。</t>
  </si>
  <si>
    <t>保鮮術</t>
  </si>
  <si>
    <t>Preserve</t>
  </si>
  <si>
    <t>一個裝有一撮鹽的袋子</t>
  </si>
  <si>
    <t>你將重量不超過 5 磅的食物或其他易腐物品放入袋子中，在持續時間內，這些物品不會老化或腐壞。</t>
  </si>
  <si>
    <t>奧法庇佑</t>
  </si>
  <si>
    <t>Arcane Aegis</t>
  </si>
  <si>
    <t>一個刺蝟小雕像</t>
  </si>
  <si>
    <t>當你施展此法術時，一道閃爍的光芒環繞著你，隨後迅速消散。你獲得 2d10 點臨時生命值。在法術結束前，若有生物以近戰攻擊命中你，該生物將受到力場傷害，數值等同於你在該次攻擊中損失的暫時生命值。 如果你不再擁有臨時生命值，此法術提前結束。
升環施法。你使用的法術位每比 1 環高一階，你獲得的暫時生命值就增加 2d10。</t>
  </si>
  <si>
    <t>輔助瞄準</t>
  </si>
  <si>
    <t>Assisted Aim</t>
  </si>
  <si>
    <t>你激勵射程內至多三個生物，使其精準度提升。每個目標在使用遠程武器進行攻擊檢定時獲得 +1 加值。此外，在法術持續時間內，目標所持之遠程武器的常規射程與長射程皆加倍。
升環施法效應： 你使用的法術位每比 1 環高一階，你就可以額外指定一個目標。</t>
  </si>
  <si>
    <t>束縛誓約</t>
  </si>
  <si>
    <t>Binding Pledge</t>
  </si>
  <si>
    <t>一本具有宗教或法律重要性的書籍</t>
  </si>
  <si>
    <t>當你施展此法術時，射程內一名自願的生物許下承諾、宣讀誓言，或簽訂契約。 在法術持續時間內，若該生物違背了該承諾、誓言或契約，你會立即知曉。 若違約情況發生，在法術剩餘的持續時間內，你會知曉該生物與你之間的距離與方向。 若此法術被解除，你會立即知曉此事，但無法獲知該生物的距離與方向。
升環施法效應：持續時間延長為 30 天（使用 3-4 環法術位）或 1 年（使用 5-6 環法術位）。 若你使用 7 環或更高階的法術位，法術將持續直到被解除魔法。</t>
  </si>
  <si>
    <t>湧血術</t>
  </si>
  <si>
    <t>Blood Rush</t>
  </si>
  <si>
    <t>變化(操血)</t>
  </si>
  <si>
    <t>作為施展此法術的一部分，你必須消耗一顆生命骰，否則法術將自動失敗。投擲該生命骰兩次，你恢復等同於「兩次擲骰數值總和 + 你的施法屬性調整值」的生命值。
升環施法效應：你使用的法術位每比 1 環高一階，你就可以額外消耗一顆生命骰。</t>
  </si>
  <si>
    <t>血禍符文</t>
  </si>
  <si>
    <t>Bloodbane Rune</t>
  </si>
  <si>
    <t>作為施展此法術的一部分，你必須消耗一顆生命骰，否則法術將自動失敗。你指定射程內一把你選擇的武器，並用鮮血在其上潦草地畫下一個符文。
在持續時間內，當你握持該武器時，若它處於不死生物 30 呎範圍內，武器會滲出如同幻影般的紅色汁液。 此外，每回合一次，當你使用該武器對不死生物造成傷害時，你造成額外的光耀傷害。此傷害的數值取決於你的擲骰結果：投擲你為施展此法術所消耗的生命骰數量。
升環施法效應： 你使用的法術位每比 1 環高一階，你就消耗一顆額外的生命骰。此外，若使用 2 環法術位，你的專注時間可延長至多 10 分鐘；若使用 3 環或更高階法術位，則可延長至多 1 小時。</t>
  </si>
  <si>
    <t>沸血術</t>
  </si>
  <si>
    <t>Boil Blood</t>
  </si>
  <si>
    <t>作為施展此法術的一部分，你必須消耗一顆生命骰，否則法術將自動失敗。 一名自願的目標受到火焰傷害，數值等同於該消耗生命骰的擲骰結果。 如果該目標處於中毒狀態，該狀態立即結束。</t>
  </si>
  <si>
    <t>虛耗術</t>
  </si>
  <si>
    <t>Consumption</t>
  </si>
  <si>
    <t>塑能(操血)</t>
  </si>
  <si>
    <t>一隻營養不良的水蛭</t>
  </si>
  <si>
    <t>作為施展此法術的一部分，你必須消耗一顆生命骰，否則法術將自動失敗。選擇射程內的一個生物，並投擲該消耗的生命骰。目標受到等同於擲骰結果的死靈傷害。 在法術持續期間，於該目標每回合結束時，它必須進行一次體質豁免。若豁免失敗，它將再次受到此數值的傷害。若豁免成功，則法術結束。
升環施法： 你使用的法術位每比 1 環高一階，你就可以額外指定一個目標。</t>
  </si>
  <si>
    <t>匍匐之觸</t>
  </si>
  <si>
    <t>Creeping Touch</t>
  </si>
  <si>
    <t>你將你的手從手腕處拆下，並將其變形為一隻蜘蛛 Spider。 當這隻蜘蛛位於你 100 呎範圍內時，你可以與其進行心靈感應交流。此外，作為一個魔法動作，你可以透過它的眼睛觀看並聆聽它所聽到的聲音，直到你下個回合開始。在此期間，你對自身周圍的環境沒有任何感知（視同目盲與耳聾）。
如果蜘蛛被殺，或者在法術結束前沒有回到你身邊，你的手會復原，但你會受到 1d6 點心靈傷害。 作為一個附贈動作，你可以命令蜘蛛回到你身邊。一旦它抵達，它會重新接回成為你的手，且法術結束。</t>
  </si>
  <si>
    <t>猩紅之鞭</t>
  </si>
  <si>
    <t>Crimson Lash</t>
  </si>
  <si>
    <t>咒法(操血)</t>
  </si>
  <si>
    <t>作為施展此法術的一部分，你必須消耗一顆生命骰，否則法術將自動失敗。 一條由凝固血液組成、不斷蠕動的長鞭從你手中湧出，並具有以下特性：
。它視為一把你具有熟練度的簡易武器。
。它具有輕型、靈巧和觸及特性。
。使用此武器進行攻擊和傷害擲骰時，你可以使用你的施法屬性調整值來取代力量或敏捷調整值。
。其傷害骰大小等同於你施展此法術所消耗的生命骰，且造成的傷害為死靈傷害。
。每當一個生物受到此武器的傷害時，其生命值上限將減少，數值等同於其受到的傷害量。
升環施法效應： 若你使用 3-4 環法術位施展此法術，當你採取攻擊動作時，你可以使用此武器進行兩次武器攻擊。 若你使用 5 環或更高階法術位施展此法術，當你採取攻擊動作時，你可以使用此武器進行三次武器攻擊。</t>
  </si>
  <si>
    <t>幽靈光</t>
  </si>
  <si>
    <t>Ghost Light</t>
  </si>
  <si>
    <t>一顆透明的彈珠</t>
  </si>
  <si>
    <t>你接觸一個長寬高任一維度皆不超過 10 呎的物體，並指定位於 10 呎內你可見的任意數量生物。直到法術結束前，該物體會散發出半徑 20 呎的銀色明亮光照，以及向外延伸額外 20 呎的微光光照。
這道光芒只有你在施法時所指定的生物可見，所有其他生物則會像平常一樣感知該區域的光照狀況（即對他們而言，該處並無此光源）。</t>
  </si>
  <si>
    <t>拓印術</t>
  </si>
  <si>
    <t>Intaglio</t>
  </si>
  <si>
    <t>一支羽毛筆或一瓶墨水</t>
  </si>
  <si>
    <t>你創造一份文字或圖像的複本。在法術持續期間，你可以採取一個魔法動作，將你的手劃過射程內物體表面上的任何非魔法文字或圖像。 你會將該文字或圖像複製到你提供的新載體上，例如另一本書或羊皮紙。每個魔法動作可以複製單頁內容。
當你用此法術複製法術書時，你可以使用與「替換法術書」相同的方式進行，但所需的時間與金幣花費皆減半。</t>
  </si>
  <si>
    <t>中和靈光</t>
  </si>
  <si>
    <t>Neutralize Aura</t>
  </si>
  <si>
    <t>你接觸一名自願的生物並中和其靈光。在法術結束前，該目標無法被精類、邪魔、天界生物以及不死生物所感知。
若該目標進行攻擊檢定、造成傷害、施展法術，或移動至上述其中一種生物類型的 5 呎範圍內，此法術將立即提前結束。
升環施法效應： 你使用的法術位每比 1 環高一階，你就可以額外指定一個目標。</t>
  </si>
  <si>
    <t>鮮血帳幕</t>
  </si>
  <si>
    <t>Shroud Blood</t>
  </si>
  <si>
    <t>幻術(操血)</t>
  </si>
  <si>
    <t>作為施展此法術的一部分，你必須消耗一顆生命骰，否則法術將自動失敗。你可以選擇你自己或距離你 30 呎內的一名自願生物，使其在進行敏捷（潛行）檢定時具有優勢。當該目標失去隱形狀態時，它可以採取一個反應以再次獲得隱形狀態，持續輪數等同於施展此法術所消耗的生命骰數量。若該目標進行攻擊檢定、造成傷害或施展法術，它將立即失去此隱形狀態。
升環施法效應： 你使用的法術位每比 1 環高一階，你就可以額外指定一個目標。</t>
  </si>
  <si>
    <t>沈眠術</t>
  </si>
  <si>
    <t>Somnolence</t>
  </si>
  <si>
    <t>惑控(操血)</t>
  </si>
  <si>
    <t>作為施展此法術的一部分，你必須消耗一顆生命骰，否則法術將自動失敗。投擲該消耗的生命骰加上 2d12，並選擇射程內的一個生物。如果擲骰總和等於或大於該生物的當前生命值，該生物將陷入魔法沉睡，持續 1 分鐘。如果擲骰總和等於或大於該生物的生命值上限，該魔法沉睡將改為持續 24 小時。若目標受到傷害，或者有人在它 5 呎內花費一個動作將其搖醒，法術對該目標的影響結束。從此法術中被提前喚醒的生物，將獲得 1 級力竭。不需要睡眠的生物（例如精靈），或者對力竭狀態具有免疫的生物，對此法術自動豁免成功。
升環施法效應：你使用的法術位每比 1 環高一階，你的擲骰就增加 1d12，並且可以額外消耗兩顆生命骰。</t>
  </si>
  <si>
    <t>荊棘護甲</t>
  </si>
  <si>
    <t>Thorn Armor</t>
  </si>
  <si>
    <t>一朵玫瑰</t>
  </si>
  <si>
    <t>當你施展此法術時，一副佈滿荊棘的柔韌外殼會包覆射程內一名自願的目標。該目標獲得 3d6 點臨時生命值。在法術結束前，若有生物以近戰攻擊檢定擊中目標，該生物將受到穿刺傷害，數值等同於目標因該次攻擊所損失的臨時生命值。 若目標不再擁有由此法術給予的臨時生命值，此法術提前結束。
升環施法：你使用的法術位每比 1 環高一階，目標獲得的臨時生命值就增加 2d6。</t>
  </si>
  <si>
    <t>震顫術</t>
  </si>
  <si>
    <t>Tremor</t>
  </si>
  <si>
    <t>一個小鈴鐺</t>
  </si>
  <si>
    <t>你周圍半徑 15 呎範圍內的地面開始劇烈震動。你本身不受此震動影響。該區域內的地面視為困難地形。 每當此範圍進入一個生物的空間、一個生物進入此範圍，或一個生物在其回合結束時位於該區域內，該生物必須進行一次敏捷豁免。豁免失敗時，該生物受到 1d6 點鈍擊傷害並陷入扶地狀態。一個生物每回合僅需進行此豁免一次。
升環施法效應：你使用的法術位每比 1 環高一階，傷害就增加 1d6。</t>
  </si>
  <si>
    <t>吸血鬼利爪</t>
  </si>
  <si>
    <t>Vampiric Claws</t>
  </si>
  <si>
    <t>你的雙手長出邪惡的利爪。當你使用這新長出的部位進行徒手打擊造成傷害時，其傷害變為 1d6 揮砍傷害，而非你一般的徒手打擊傷害；且你在進行攻擊與傷害擲骰時，使用你的施法屬性調整值而非力量。
在法術持續期間，每當你使用徒手打擊造成傷害時，你獲得數值等同於你施法屬性調整值的臨時生命值。 來自此法術的臨時生命值會在法術結束時消失。</t>
  </si>
  <si>
    <t>共振體液</t>
  </si>
  <si>
    <t>Vibrating Humors</t>
  </si>
  <si>
    <t>一把音叉</t>
  </si>
  <si>
    <t>作為施展此法術的一部分，你必須消耗一顆生命骰，否則法術將自動失敗。你指定 30 呎內一個你可見的生物，該生物必須進行一次體質豁免。若豁免失敗，目標受到雷鳴傷害，並且由於其血液發出巨大的震動聲響，它在進行敏捷（潛行）檢定時具有劣勢。傷害數值取決於你為施展此法術所消耗的生命骰的擲骰結果。
目標在其每個回合結束時重複此豁免，若成功則法術結束。
升環施法：你使用的法術位每比 1 環高一階，你就可以額外消耗一顆生命骰來增加傷害。</t>
  </si>
  <si>
    <t>腫脹術</t>
  </si>
  <si>
    <t>Bloat</t>
  </si>
  <si>
    <t>一顆豆子</t>
  </si>
  <si>
    <t>你使射程內一個你可見生物體內的氣體急速膨脹。 目標必須進行一次體質豁免，失敗則受到 3d10 點死靈傷害，成功則傷害減半。如果該生物受到的傷害等於或超過其體質屬性值，該生物將垂直飄浮 5 呎，並懸浮在空中直到你下個回合開始。 處於懸浮狀態時，該目標只能藉由推拉觸及範圍內的固定物體或表面（例如牆壁或天花板）來移動，這種移動方式視同攀爬。 當法術結束時，目標會緩緩飄降至地面（不會受到墜落傷害）。</t>
  </si>
  <si>
    <t>血鬼火</t>
  </si>
  <si>
    <t>Blood Wisp</t>
  </si>
  <si>
    <t>一顆價值 10 gp 的紅寶石</t>
  </si>
  <si>
    <t>作為施展此法術的一部分，你必須消耗兩顆生命骰，否則法術將自動失敗。投擲你為施展此法術所消耗的生命骰，並創造一個紅色的鬼火，其生命值等同於擲骰結果加上你的施法屬性調整值。鬼火會環繞著你的頭部盤旋。它的防禦等級（AC）等於 10 加上你的施法屬性調整值，並且使用你的豁免檢定數值。
當鬼火環繞著你時，每當你為法術進行傷害擲骰，你可以重擲其中一顆傷害骰。你必須使用新的擲骰結果，且血靈將受到等同於新擲骰結果數值的傷害。 如果血靈的生命值歸零，此法術結束。
升環施法： 你使用的法術位每比 2 環高一階，你就可以額外消耗一顆生命骰。</t>
  </si>
  <si>
    <t>放血術</t>
  </si>
  <si>
    <t>Bloodletter</t>
  </si>
  <si>
    <t>你接觸一把非魔法武器。直到法術結束前，首個被該武器擊中的生物必須成功通過一次體質豁免，否則將產生一道潰爛傷口。在法術持續期間，帶有潰爛傷口的生物在其每回合開始時，將受到 2d6 點死靈傷害。一個生物同時只能存在一道潰爛傷口。
如果該生物回復血量，則此法術與持續性傷害隨之結束。
升環施法： 你使用的法術位每比 2 環高一階，傷害就增加 1d6。</t>
  </si>
  <si>
    <t>震暈爆</t>
  </si>
  <si>
    <t>Dazing Blast</t>
  </si>
  <si>
    <t>一道力場波從你的雙掌射出，指向射程內的一個生物。目標必須進行一次體質豁免。 若豁免失敗，該生物受到 2d6 點力場傷害，並且陷入狀態，直到其下個回合結束。 若豁免成功，該生物僅受到傷害。
升環施法效應： 你使用的法術位每比 2 環高一階，就可以額外指定一個目標。</t>
  </si>
  <si>
    <t>注法武裝</t>
  </si>
  <si>
    <t>Enspelled Armament</t>
  </si>
  <si>
    <t>一瓶油與水</t>
  </si>
  <si>
    <t>當你施展此法術時，選擇一種簡易武器或軍用武器。一把由虹彩能量構成的該武器複製品會出現在你手中。 在持續時間內，你對該武器具有熟練度；且每當你使用該武器進行攻擊時，你可以使用你的施法屬性調整值來取代力量或敏捷，以進行攻擊與傷害擲骰。
使用此武器進行的攻擊不需要彈藥；且若你作為遠程攻擊的一部分將其投擲出去，它會在攻擊結算後立即回到你手中。 此武器造成的傷害為力場傷害，而非該武器原本的傷害類型。
升環施法效應：你使用的法術位每比 2 環高一階，該武器的傷害就增加 1d4。 若你使用 5 環或更高階的法術位施展此法術，持續時間變為 8 小時。</t>
  </si>
  <si>
    <t>邪魔血肉</t>
  </si>
  <si>
    <t>Fiend Flesh</t>
  </si>
  <si>
    <t>一把硫磺</t>
  </si>
  <si>
    <t>你接觸一名自願的生物，將其皮膚轉化為紅色的鱗片。 直到法術結束前，該目標具有寒冷、火焰以及閃電傷害的抗性，且該目標免疫毒素傷害。</t>
  </si>
  <si>
    <t>生命繫索</t>
  </si>
  <si>
    <t>Life Tether</t>
  </si>
  <si>
    <t>選擇射程內一個你可見的生物。該目標必須進行一次感知豁免。 若豁免失敗，一條慘綠色的能量索將在你與目標之間形成。 每當你受到傷害時，被連結的目標將受到相當於該傷害數值一半（無條件捨去）的死靈傷害。在此法術結束前，若目標的生命值降至 0，你可以採取一個附贈動作，將繫索移動到射程內另一個你可見的生物身上。新目標必須成功通過一次感知豁免，否則將被繫索連結。
升環施法效應： 你可以創造額外的繫索來連結更多目標：使用 4 環法術位（2 條繫索）、6 環法術位（3 條繫索），或 8 環法術位（4 條繫索）。</t>
  </si>
  <si>
    <t>蔓生術</t>
  </si>
  <si>
    <t>Overgrow</t>
  </si>
  <si>
    <t>一顆種子</t>
  </si>
  <si>
    <t>當你施展此法術時，選擇射程內一個巨型或更小體型，且未被穿戴或攜帶的生物或物體。茂盛的藤蔓會迅速在目標周圍生長，將其固定在原地，並使其更易於攀越。
若目標為生物：它必須成功通過一次力量豁免，否則陷入束縛狀態，直到法術結束。該生物可以在其每回合結束時重複此豁免，若成功則結束其身上的束縛狀態。
若目標為物體： 它無法從當前位置被移動。此外，生物在攀爬該物體時不需消耗額外移動力。 一個生物可以進行一次對抗你法術豁免 DC 的力量（運動）檢定，試圖將該物體從藤蔓中強行扯出以使其能夠移動。如果該物體對該生物而言太重而無法移動，則此動作自動失敗。
升環施法效應： 你使用的法術位每比 2 環高一階，就可以額外選擇一個目標。</t>
  </si>
  <si>
    <t>緋紅護盾</t>
  </si>
  <si>
    <t>Sanguine Shield</t>
  </si>
  <si>
    <t>防護(操血)</t>
  </si>
  <si>
    <t>作為施展此法術的一部分，你必須消耗兩顆生命骰，否則法術將自動失敗。 你從周圍受傷者身上汲取生命力，創造出一面旋轉的鮮血護盾。計算你 30 呎範圍內生命值低於其生命值上限的生物數量（包含你自己），每一個此類生物使你獲得 5 點臨時生命值，至多獲得 15 點臨時生命值。 當你擁有來自此法術的臨時生命值時，你獲得半掩護。當法術結束時，所有來自此法術的臨時生命值將會消失。
升環施法效應：你使用的法術位每比 2 環高兩階（例如使用 4 環、6 環），你所能獲得的臨時生命值上限就增加 5 點。</t>
  </si>
  <si>
    <t>封印施法</t>
  </si>
  <si>
    <t>Seal Spellcasting</t>
  </si>
  <si>
    <t>混合了鉛的蠟塊與一個印章</t>
  </si>
  <si>
    <t>施展此法術時，選擇射程內一個你可見的生物。 當該目標施展法術時，它必須進行一次魅力豁免。若豁免失敗，該生物如常消耗法術位施展該法術，但該法術無效（產生不了任何效果）。若豁免成功則該生物成功施展法術，但受到 3d8 點力場傷害。在該生物進行豁免檢定後，此法術立即結束。
升環施法效應： 你使用的法術位每比 2 環高一階，傷害就增加 1d8。</t>
  </si>
  <si>
    <t>血脈感知</t>
  </si>
  <si>
    <t>Sense Lifeblood</t>
  </si>
  <si>
    <t>預言(操血)</t>
  </si>
  <si>
    <t>作為施展此法術的一部分，你必須消耗兩顆生命骰，否則法術將自動失敗。生物體內流動的命脈向你揭示其秘密。對免疫力竭的生物（如構裝體或特定不死生物），對此法術免疫。直到法術結束前，你可以判定你所看見的生物之間是否具有血緣關係。此外，你能知曉一個生物當前的生命值狀態是處於：滿值、低於滿值、一半，還是低於一半。
在你的每回合一次，當你使用武器、徒手打擊或法術的攻擊檢定擊中一名處於浴血狀態的生物時，你可以使該目標受到額外的死靈傷害。 此傷害數值取決於你的擲骰結果：投擲你為施展此法術所消耗的生命骰。
升環施法效應： 若使用 3-4 環法術位，你的專注時間可延長至多 1 小時；若使用 5 環或更高階法術位，可延長至多 8 小時。</t>
  </si>
  <si>
    <t>植物召喚術</t>
  </si>
  <si>
    <t>Summon Plant</t>
  </si>
  <si>
    <t>一個裝滿藥草與肥料的陶罐，價值至少 200 gp</t>
  </si>
  <si>
    <t>你呼喚一個植物精魂。它顯現在射程內一個你可見的未佔據空間。這個實體型態使用植物精魂 Plant Spirit 的數據。 當你施展此法術時，選擇一種植物特徵：繁花、橡木或荊棘。該生物外觀類似一株帶有你所選特徵的活化植物，該選擇決定了其數據板中的一項特性。 當該生物生命值降至 0 或法術結束時，它會消失。
該生物是你與你盟友的夥伴。在戰鬥中，該生物與你共用先攻值，但在你回合結束後立即進行它的回合。它服從你的口頭指令（不需要你的動作）。若你未發出任何指令，它將採取迴避動作並移動以避開危險。
升環施法效應： 在數據卡中，使用施放此法術的法術位環階作為法術環階。</t>
  </si>
  <si>
    <t>竊取精血</t>
  </si>
  <si>
    <t>Theft of Vitae</t>
  </si>
  <si>
    <t>反應，當你 30 尺內你能看見的某個生物受到傷害時</t>
  </si>
  <si>
    <t>投擲你為施展此法術所消耗的生命骰。 觸發此反應的生物將受到等同於擲骰結果的死靈傷害。你獲得臨時生命值，其數值等同於「擲骰結果」加上「觸發此反應的傷害值」，但至多獲得 15 點臨時生命值。
升環施法效應：你使用的法術位每比 2 環高一階，你能透過施法獲得的臨時生命值上限就增加 10 點。</t>
  </si>
  <si>
    <t>凋零斬</t>
  </si>
  <si>
    <t>Wilting Smite</t>
  </si>
  <si>
    <t>作為施展此法術的一部分，你必須消耗兩顆生命骰，否則法術將自動失敗。 該生物失去所有傷害抗性直到你下個回合開始。被擊中的目標受到來自該次攻擊的額外死靈傷害。此傷害數值取決於你的擲骰結果：投擲你為施展此法術所消耗的生命骰。</t>
  </si>
  <si>
    <t>折磨術</t>
  </si>
  <si>
    <t>Wrack</t>
  </si>
  <si>
    <t>選擇射程內一個你可見的生物。該目標必須成功通過一次體質豁免，否則在持續時間內將遭受劇烈肌肉痙攣的折磨。 若豁免失敗，目標的速度減半，且其攻擊檢定具有劣勢。 目標在其每個回合結束時重複此豁免，若成功則法術結束。</t>
  </si>
  <si>
    <t>血連結</t>
  </si>
  <si>
    <t>Blood Bond</t>
  </si>
  <si>
    <t>一塊浸透你自己血液的布</t>
  </si>
  <si>
    <t>作為施展此法術的一部分，你必須消耗三顆生命骰，否則法術將自動失敗。投擲消耗的生命骰，目標獲得等同於擲骰總和的臨時生命值。
在持續時間內，你知曉目標相對於你的方向與距離，且你與目標可以進行心靈感應交談。此外，當你施展射程為自身或觸碰的法術時，你可以指定該生物為目標，無視你們之間的距離。若你與該生物不在同一個位面，上述這些益處將被抑制。
該目標生物可以隨時選擇提前結束此法術。若它這麼做，該生物將失去所有由此法術給予且剩餘的臨時生命值，並受到等同於所損失臨時生命值數值的死靈傷害。</t>
  </si>
  <si>
    <t>喚醒狂獸</t>
  </si>
  <si>
    <t>Call the Rabid Beast</t>
  </si>
  <si>
    <t>你接觸一名生物，使其充滿原始怒火，轉化為一隻瘋狂的怪物。 目標長出厚實的毛皮，嘴部拉長變成滿是獠牙的血盆大口。 該目標獲得 20 點臨時生命值。在轉化期間，該生物具有以下效果：
若其防禦等級（AC）低於 17，則變為 17。
其基於力量的攻擊在傷害擲骰上獲得 +5 加值。
它可以採取一個附贈動作進行一次啃咬攻擊。此啃咬造成 1d6 + 其力量調整值的揮砍傷害。
它免疫恐懼狀態。
它無法施展法術或維持專注。
在其每個回合開始時，它必須成功通過一次 DC 10 的感知豁免，否則將失去控制直到法術結束。失去控制的生物必須在其每個回合採取攻擊動作，對最近的生物進行近戰攻擊。若觸及範圍內沒有生物，該生物必須使用其移動力朝最近的生物移動，並在必要時會採取疾走。</t>
  </si>
  <si>
    <t>召喚植物之力</t>
  </si>
  <si>
    <t>Conjure Plants</t>
  </si>
  <si>
    <t>你召喚出活化的植物，在射程內你可見的一處未佔據空間顯現為一團由藤蔓、莖、芽、根與葉子組成的大型物體。該植被持續存在至法術結束。
當你位於該植物 5 呎內或與其共用空間時，你視為處於輕度遮蔽區域。其他生物無法進入該植物所在的空間。當你在你的回合移動時，你也可以將該植物移動至多 30 呎到一個你可見的未佔據空間。
每當該植物移動進入一個你可見生物的 5 呎範圍內，以及每當一個你可見生物進入該植物 5 呎範圍內或在該處結束其回合時，你可以強制該生物進行一次敏捷豁免。若豁免失敗，該生物受到 3d6 點揮砍傷害。一個生物每回合僅需進行此豁免一次。
升環施法：你使用的法術位每比 3 環高一階，傷害就增加 1d6。</t>
  </si>
  <si>
    <t>偏執傲慢詛咒</t>
  </si>
  <si>
    <t>Curse of Fastidious Pride</t>
  </si>
  <si>
    <t>惑控(影鋼詛咒)</t>
  </si>
  <si>
    <t>一片目標的衣物碎片、一隻未被壓碎的死蜘蛛，以及一根價值 600 gp 以上的縫衣針，施展法術會消耗上述所有材料</t>
  </si>
  <si>
    <t>直到詛咒移除</t>
  </si>
  <si>
    <t>此法術詛咒一名生物，使其產生自戀的狂妄心態。
目標必須進行一次智力豁免。豁免成功： 目標受到 2d10 點心靈傷害，並意識到自己曾被一道詛咒鎖定。
初始效果：豁免失敗的目標受到 4d10 點心靈傷害，陷入目盲狀態 1 分鐘，並受到詛咒。
觸發事件：下一次當目標聽到有人說出它的名字時，無論說話者的語氣如何，目標都會覺得對方的口氣充滿嘲諷。此時詛咒進階至階段 1。
階段 1：受詛咒的生物開始在各處聽到含沙射影的侮辱，並堅信所有人都在嫉妒它的才華與光芒。
階段 2 ：除非正在積極地工作以達成某個目標，否則受詛咒的生物會感到焦躁不安。受詛咒的生物無法從短休中獲得任何益處。
階段 3 ：受詛咒的生物相信所有人都在參與一場密謀，意圖使其身敗名裂。每當它在一次 d20 檢定中失敗時，它在下一次進行 d20 檢定時具有劣勢。
終局 ：受詛咒的生物扭曲變形，成為一隻靈吸怪（Mind Siphon）。</t>
  </si>
  <si>
    <t>貪婪飢餓詛咒</t>
  </si>
  <si>
    <t>Curse of Ravenous Hunger</t>
  </si>
  <si>
    <t>一口屬於目標的食物、一隻曬乾的蛞蝓，以及一個價值 400 gp 以上的餐盤，施展法術會消耗上述所有材料</t>
  </si>
  <si>
    <t>此法術詛咒一名生物，使其遭受痛苦且永無止盡的飢餓感折磨。
目標必須進行一次體質豁免。豁免成功： 目標受到 2d10 點毒素傷害，陷入中毒狀態直到其下個回合結束，並意識到自己曾被一道詛咒鎖定。
初始效果：豁免失敗的目標受到 4d10 點毒素傷害，陷入中毒狀態 1 分鐘，並受到詛咒。
觸發事件：下一次當該生物進食時，它會咬到自己的舌頭導致滿口鮮血，此時詛咒進階至階段 1。
階段 1 ：受詛咒的生物被一股不知饜足的食慾所攫取。
階段 2 ：受詛咒的生物會不由自主地被迫吞食不適當的物品，例如硬幣、花朵、玻璃與泥土。此外，受詛咒的生物在進行體質豁免時具有劣勢，且其生命值上限減少等同於其角色等級（若無角色等級則依其生命骰數計算）的數值。
階段 3 ：受詛咒的生物變得極度貪婪，並被迫開始吞食類人生物的血肉。其他食物皆無法使其滿足。 該生物在進行 d20 檢定時無法獲得優勢。
終局： 受詛咒的生物扭曲變形，成為一隻腫脹食物擬態怪（Bloated Gastromorph）。</t>
  </si>
  <si>
    <t>元素吐息</t>
  </si>
  <si>
    <t>Elemental Exhalation</t>
  </si>
  <si>
    <t>當你施展此法術時，選擇以下其中一種效果，這將決定法術的傷害類型：
氣：傷害類型為雷鳴。每個豁免失敗的生物會被推離你 10 呎。
寒焰：傷害類型為寒冷。每個豁免失敗的生物陷入恐懼狀態，直到你下個回合開始。
土：傷害類型為鈍擊。每個豁免失敗的生物其速度降為 0，直到其下個回合結束。
火：傷害類型為火焰。每個豁免失敗的生物被火焰吞沒，並在其下個回合結束時受到 2d6 點火焰傷害。該生物可以採取一個動作，讓自己倒地陷入狀態並在地上打滾以撲滅身上的火。若被淋濕、浸入水中或窒息，火焰也會熄滅。
水：傷害類型為酸蝕。每個豁免失敗的生物陷入倒地狀態。
毀滅性的元素能量覆蓋 30 呎錐狀範圍，範圍內的每個生物都必須進行一次敏捷豁免。 若豁免失敗，目標受到 5d6 點所選類型的傷害。若豁免成功，目標僅受到一半的傷害。
升環施法效應：你使用的法術位每比 3 環高一階，傷害就增加 1d6。</t>
  </si>
  <si>
    <t>艾默琳的精華灌注</t>
  </si>
  <si>
    <t>Emmeline's Essence Infusion</t>
  </si>
  <si>
    <t>一個裝有至少一盎司血液的鑽石小瓶，價值至少 100 gp，施法時會消耗此材料</t>
  </si>
  <si>
    <t>當你施展此法術時，指定射程內一把非魔法武器。該武器變為魔法武器，並獲得一項基於施法材料中所使用血液的生物類型而定的特殊增益。該物品需要同調，且只有與此武器同調的生物才能獲得這些增益。
異怪：你使用該武器攻擊命中時，造成額外 1d6 點心靈傷害。此外，只要你與目標處於同一個位面，你可以與任何在過去 24 小時內曾被此武器造成至少 1 點傷害的生物進行心靈感應交談。
天界生物：你使用該武器攻擊命中時，造成額外 1d6 點光耀傷害。此外，你可以使用一個附贈動作使該武器發出半徑 30 呎的明亮光照，以及向外延伸額外 30 呎的微光光照。你可以再次使用附贈動作來結束此效果。
龍類：你使用此武器進行的攻擊檢定，在 d20 擲出 19 或 20 時即視為重擊。此外，你在進行避免或結束恐懼狀態的豁免檢定時具有優勢。
精類：你使用該武器攻擊命中時，造成額外 1d4 點力場傷害。此外，每回合一次，當你使用此武器擊中 30 呎內的一個生物時，你可以傳送到該生物 5 呎內一個你可見的未佔據空間。
邪魔：你使用該武器攻擊命中時，造成額外 1d6 點死靈傷害。你可以使用一個附贈動作將此額外傷害類型變更為寒冷或火焰。
當你施展此法術時，你即與該魔法武器同調。法術持續時間與你對該武器維持同調的時間相同。在法術持續期間，該魔法物品可被解除魔法法術解除。 如果你對該魔法武器維持同調長達 1 年，該附魔將變為永久，且此法術隨之結束（不再需要維持法術效力，變為真正的魔法物品）。</t>
  </si>
  <si>
    <t>萃取鐵質</t>
  </si>
  <si>
    <t>Extract Iron</t>
  </si>
  <si>
    <t>一把生鏽的刀</t>
  </si>
  <si>
    <t>作為施展此法術的一部分，你必須消耗三顆生命骰+，否則法術將自動失敗。 投擲消耗的生命骰，並從你的血液中提取出磅數+等同於擲骰總和的鐵。
你可以將這些鐵塑造成非魔法的金屬物品。這些物品的總重量必須等於或小於你所擲出的生命骰數值。這些造物的品質粗糙但堪用。
升環施法效應： 你使用的法術位每比 3 環高一階，你就可以額外消耗一顆生命骰來產生更多的鐵。</t>
  </si>
  <si>
    <t>快閃高燒</t>
  </si>
  <si>
    <t>Flash Fever</t>
  </si>
  <si>
    <t>打火石</t>
  </si>
  <si>
    <t>選擇射程內一個你可見的生物。該生物突然冒出冷汗，並須進行一次體質豁免。若豁免失敗，冷汗瞬間轉變為熾熱的高燒，該生物受到 4d6 點火焰傷害。 若豁免成功，法術直接結束。
在法術持續期間，於目標每個回合開始時，它受到 2d6 點火焰傷害。 目標必須在其每個回合結束時重複此豁免，直到它累積三次成功或三次失敗為止。若目標累積三次豁免成功，法術結束。若目標累積三次豁免失敗，它將受到 8d6 點火焰傷害，隨後法術結束。
升環施法效應： 你使用的法術位每比 3 環高一階，初始傷害就增加 1d6。</t>
  </si>
  <si>
    <t>梅爾法速修課程</t>
  </si>
  <si>
    <t>Maelfa's Quickened Class</t>
  </si>
  <si>
    <t>當你施展此法術時，你對射程內 10 名你所選擇的自願生物，針對一個你選定的主題進行一場簡短的講座。 在進行講座時，選擇一個你已知或已準備的法術、一項你具熟練度的技能，或是一種你能讀寫說的語言。每一名被選定的生物都將暫時被灌輸一部分你的知識。
若你選擇法術：每個生物將準備該法術。該法術被視為在該生物的法術表上，且不計入該生物的可準備法術上限數量。若你選擇技能： 每個目標生物獲得該技能的熟練。若你選擇語言： 每個目標生物皆能聽、說、讀、寫該語言。
當此法術結束時，生物將失去該法術知識、熟練度或語言能力。如果一個生物在已處於此法術效果的情況下再次成為此法術的目標，前一次的法術效果立即結束。
升環施法效應： 若使用更高環階的法術位，法術的持續時間將會增加：3 或 4 環（1 天）、5 或 6 環（10 天）、7 或 8 環法術位（30 天）、9 環法術位（1 年）。</t>
  </si>
  <si>
    <t>鏡像法術</t>
  </si>
  <si>
    <t>Mirror Spell</t>
  </si>
  <si>
    <t>反應，當你 60 尺內你可以看見的生物施放法術</t>
  </si>
  <si>
    <t>你試圖複製並施展一個你所看見正在被施展、且環階為 3 環或更低的法術。你只能複製由生物施展的法術，且不能複製你自己的法術。
若觸發法術為 2 環或更低，你自動複製並施展該法術。若觸發法術為 3 環或更高，你必須進行一次施法屬性檢定（DC 為 10 + 觸發法術的環階），若成功才能複製並施展該法術。
當施展被複製的法術時，你不消耗法術位，也不需要任何構材。將該法術視同由你作為原始施法者，使用你自己的施法屬性調整值與法術豁免 DC，並以該法術最低可施展環階進行施展。
升環施法效應： 將你所使用的法術位環階，視為你能複製與施展的法術之最高環階。</t>
  </si>
  <si>
    <t>復甦術</t>
  </si>
  <si>
    <t>Reanimate</t>
  </si>
  <si>
    <t>枯萎的雛菊與其他藥草粉末的混合物，價值至少 300 gp，施法時會消耗此材料</t>
  </si>
  <si>
    <t>作為施展此法術的一部分，你必須消耗三顆生命骰，否則法術將自動失敗。你接觸一個在過去 10 分鐘內死亡的生物，使其以 1 點生命值復活。 此外，投擲你為施展此法術所消耗的生命骰，該生物獲得等同於擲骰總和的臨時生命值。
在目標每個回合開始時，它會失去 1 點來自此法術的臨時生命值。 只要該生物擁有來自此法術的臨時生命值，它的行動就會充滿超自然的活力，使其在 d20 檢定上獲得 +2 加值。 一旦它失去了由此法術給予的所有臨時生命值，該生物獲得 1 級力竭。
此法術無法復活因年老而死的生物，也無法恢復任何缺失的身體部位。</t>
  </si>
  <si>
    <t>緋紅傀儡</t>
  </si>
  <si>
    <t>Sanguine Poppet</t>
  </si>
  <si>
    <t>一個價值 1 cp 以上的生物形狀物體</t>
  </si>
  <si>
    <t>作為施展此法術的一部分，你必須消耗三顆生命骰，否則法術將自動失敗。 你用自己的血液塗抹法術材料。該物體顫抖並變成一具受你控制的人偶。
該人偶的 AC 等於 10 加上你的熟練加值與施法屬性調整值，且它擁有 30 點生命值。若你的人偶生命值降至 0，或它距離你超過 1 哩，法術立即結束。你可以採取一個附贈動作指揮你的人偶移動 30 呎，直到你下個回合開始前，你可以透過它進行看和聽。
引爆：你可以採取一個魔法動作，使人偶在一陣血爆中引爆，並結束此法術。投擲你為施展此法術所消耗的生命骰。以人偶為中心 30 呎半徑球體範圍內的每個生物須進行一次敏捷豁免，失敗者受到等同於擲骰結果的死靈傷害，成功者只受一半傷害。
升環施法效應： 你使用的法術位每比 3 環高一階，就可以額外消耗一顆生命骰。此外，每高一階，法術持續時間增加 1 小時。</t>
  </si>
  <si>
    <t>蛇舌術</t>
  </si>
  <si>
    <t>Serpent Tongue</t>
  </si>
  <si>
    <t>在持續時間內，你將你的舌頭變形為一條毒蛇。 你可以採取一個附贈動作，對你 10 呎內的一個生物進行一次近戰法術攻擊。若命中，目標受到 1d12 點穿刺傷害，並陷入中毒狀態直到法術結束。
升環施法效應：你使用的法術位每比 3 環高一階，傷害就增加 1d12。</t>
  </si>
  <si>
    <t>窒息術</t>
  </si>
  <si>
    <t>Suffocate</t>
  </si>
  <si>
    <t>一隻皮革手套</t>
  </si>
  <si>
    <t>你創造出一雙由隱形力場構成的攫抓大手。 對射程內一個你可見的生物進行一次遠程法術攻擊。 若命中，該生物陷入束縛狀態。當它處於此狀態時，它無法呼吸。
一個生物可以憋氣的輪數，等於 1 加上其體質調整值（最少 30 秒），隨後便開始窒息。 當一個生物耗盡氣息時，它在其每個回合結束時獲得 1 級力竭。當一個生物能夠再次呼吸時，它移除所有因窒息而獲得的力竭等級。
被大手束縛的生物可以採取一個動作進行一次力量（運動）檢定，對抗你的法術豁免 DC。若成功，它不再被束縛。</t>
  </si>
  <si>
    <t>深海精魂召喚術</t>
  </si>
  <si>
    <t>Summon Sea Spirit</t>
  </si>
  <si>
    <t>一個鑲有珠寶的海蛇小雕像，價值至少 300 gp</t>
  </si>
  <si>
    <t>你呼喚一個深海精魂。它顯現在射程內一個你可見的未佔據空間。這個實體型態使用海蛇精魂 Sea Serpent Spirit 的數據。 當你施展此法術時，選擇一種駭人特徵：巨口、發光燈籠或鱗翼。該生物外觀類似一隻帶有你所選駭人特徵的怪物般海中生物，該選擇決定了其數據板中的一項特性。 當該生物生命值降至 0 或法術結束時，它會消失。
該生物是你與你盟友的夥伴。在戰鬥中，該生物與你共用先攻值，但在你回合結束後立即進行它的回合。它服從你的口頭指令（不需要你的動作）。若你未發出任何指令，它將採取迴避動作並移動以避開危險。
升環施法效應： 在數據卡中，使用施放此法術的法術位環階作為法術環階。</t>
  </si>
  <si>
    <t>猩紅法陣</t>
  </si>
  <si>
    <t>Circle of Scarlet</t>
  </si>
  <si>
    <t>一張畫有圓圈的羊皮紙，該圓圈需用類人生物的血液繪製</t>
  </si>
  <si>
    <t>作為施展此法術的一部分，你必須消耗四顆生命骰，否則法術將自動失敗。一道深紅色的光柱從地面噴發，形成以射程內一點為中心，半徑 20 呎、高 100 呎的圓柱。圓柱範圍內的每個生物須進行一次體質豁免。
豁免失敗： 該生物受到死靈傷害，其數值等於「你為此法術消耗的生命骰擲骰結果」加上「你的施法屬性調整值」。豁免成功： 該生物僅受到一半的傷害。
對於每一個在此法術豁免檢定中失敗的生物，你獲得 10 點臨時生命值。</t>
  </si>
  <si>
    <t>噬腦術</t>
  </si>
  <si>
    <t>Consume Mind</t>
  </si>
  <si>
    <t>另一個生物大腦中一盎司新鮮或經魔法保存的部分</t>
  </si>
  <si>
    <t>你吞食一具已死生物的大腦，從而獲得存取其記憶的權限。該生物必須擁有大腦且不能是不死生物。若該生物死亡超過 3 天（且未經魔法保存），則法術失敗。
直到法術結束前，你可以試圖回想一段記憶，例如家族歷史、近期事件、建築佈局、密碼、該生物死亡的細節以及類似資訊。 要回想一段記憶，你必須採取一個魔法動作並進行一次使用你施法屬性調整值的屬性檢定。 DC 等於該屍體的智力屬性值。
一旦你採取魔法動作去回想某項特定資訊，你便無法再次試圖回想該項特定資訊。</t>
  </si>
  <si>
    <t>不復衰老詛咒</t>
  </si>
  <si>
    <t>Curse of Damned Aging</t>
  </si>
  <si>
    <t>死靈(影鋼詛咒)</t>
  </si>
  <si>
    <t>一件目標的兒時所有物、一品脫血液，以及一只價值 600 gp 以上的懷錶，施展法術會消耗上述所有材料</t>
  </si>
  <si>
    <t>此法術詛咒一名生物，使其經歷恐怖的老化過程。目標必須進行一次力量豁免。豁免成功：目標受到 2d10 點死靈傷害，並意識到自己曾被一道詛咒鎖定。在接下來的 1 分鐘內，目標對鈍擊、穿刺或揮砍傷害具有易傷（由你在施法時選擇）。
初始效果：豁免失敗的目標受到 6d10 點死靈傷害，並受到詛咒。
觸發事件：下一次當目標完成長休時，它會發現身上出現許多先前沒有的皺紋、白髮或斑點，此時詛咒進階至階段 1。
階段 1：受詛咒的生物只要情況允許就會被迫休息，變得倦怠且懶散。
階段 2 ：受詛咒的生物變得虛弱。在完成短休後，該生物只能使用其生命骰數量的 25%（無條件進位）來恢復生命值。
階段 3 ：受詛咒的生物開始急速老化，變得衰朽不堪。受詛咒的生物在進行力量、敏捷與體質豁免時具有劣勢。
終局：受詛咒的生物扭曲變形，成為一隻奪軀魔（Body Snatcher）。</t>
  </si>
  <si>
    <t>腐敗惡疫詛咒</t>
  </si>
  <si>
    <t>Curse of Foul Blight</t>
  </si>
  <si>
    <t>一片目標的頭髮或血肉、一塊腐肉，以及一個價值 600 gp 以上的珠寶盒，施展法術會消耗上述所有材料</t>
  </si>
  <si>
    <t>此法術詛咒一名生物，使其染上一種腐敗且發出惡臭的膿皰病。目標必須進行一次魅力豁免。豁免成功： 目標受到 3d10 點死靈傷害，並意識到自己曾被一道詛咒鎖定。此外，在接下來的 1 分鐘內，該生物無法獲得臨時生命值或恢復生命值。
初始效果：豁免失敗的目標受到 6d10 點死靈傷害，並受到詛咒。
觸發事件：下一次當目標翻找其衣物或裝備時，它會發現裡面滋生了大量昆蟲，此時詛咒進階至階段 1。
階段 1 ：受詛咒的生物患上輕微的咳嗽。每當它一次說超過幾個字時，就會引發一陣劇烈的咳嗽。這並不會影響施法。
階段 2 ：一股腐敗的惡臭縈繞在受詛咒生物的周圍。在受詛咒生物 10 呎範圍內，食物和飲料會迅速腐壞、珠寶會失去光澤、木材會腐爛。 此外，受詛咒的生物在魅力屬性檢定與魅力豁免上具有劣勢，且它無法維持專注。
階段 3 ：受詛咒的生物皮膚上布滿了痘痕、膿皰與病變。昆蟲聚集在受詛咒生物身上，寄生在其衣物中。受詛咒的生物無法恢復生命值，除非透過完成短休後花費生命骰來恢復。
終局：受詛咒的生物扭曲變形，成為一隻瘟疫屍殼（Plague Carrion）。</t>
  </si>
  <si>
    <t>失情絕憶詛咒</t>
  </si>
  <si>
    <t>Curse of Lost Sentiment</t>
  </si>
  <si>
    <t>一綹來自目標所愛之人的頭髮、一顆動物的心臟，以及一個價值 600 gp 以上的神像，施展法術會消耗上述所有材料</t>
  </si>
  <si>
    <t>此法術詛咒一名生物，使其喪失記憶並陷入駭人的瘋狂。目標必須進行一次智力豁免。豁免成功： 目標受到 3d10 點力場傷害，陷入失能狀態直到其下個回合結束，且未察覺自己曾被一道詛咒鎖定。
初始效果：豁免失敗的目標受到 6d10 點力場傷害，陷入震懾狀態直到其下個回合結束，並受到詛咒。
觸發事件：下一次當目標完成長休時，它會遭遇關於被拋棄或被遺留下來孤身一人的惡夢幻象，此時詛咒進階至階段 1。
階段 1：受詛咒的生物開始遺忘過去幾天內發生的事件，以及點頭之交的名字。
階段 2 ：受詛咒的生物遺忘除了最親密的夥伴以外的所有人，並且產生遭受潛藏威脅與競爭對手圖謀不軌的妄想。 此外，受詛咒的生物在智力屬性檢定與智力豁免上具有劣勢。
階段 3 ：受詛咒的生物遺忘其最親密的夥伴、自己的身分，以及自己的目標。詛咒會編造出一場巨大的陰謀，讓受害者相信只有自己能阻止這場陰謀。受詛咒的生物被迫採取任何它認為有必要行動來揭發此陰謀。 該生物無法採取附贈動作。
終局： 受詛咒的生物扭曲變形，成為一隻夢囈低語者（Dream Whisperer）。</t>
  </si>
  <si>
    <t>黑暗祭禮</t>
  </si>
  <si>
    <t>Dark Sacrament</t>
  </si>
  <si>
    <t>一把鑲有價值 100 gp 以上珠寶的匕首</t>
  </si>
  <si>
    <t>作為施展此法術的一部分，你必須消耗四顆生命骰，否則法術將自動失敗。 你使用此法術的材料構材（匕首），對 5 呎內的一個生物進行一次近戰法術攻擊。 若命中，投擲你為施展此法術所消耗的生命骰，再加上 4d8。你造成等同於擲骰總和的死靈傷害。
若此傷害使該生物降至 0 生命值，它立即死亡，且你獲得下列其中一項你所選擇的黑暗祝福。 當你擁有黑暗祝福時，若你受到光耀傷害，你會受到額外 1d4 點光耀傷害。
不可侵犯：你在所有豁免檢定上具有優勢。
不滅之軀： 你的體型增大一階（例如從中型變為大型），你在你的每個回合開始時獲得等同於你體質調整值（最少為 1）的臨時生命值，且你的武器攻擊造成額外 1d4 點傷害。
精確無誤： 你的熟練加值增加 2。
你的黑暗祝福持續 10 分鐘，或直到你降至 0 生命值，以先發生者為準。</t>
  </si>
  <si>
    <t>原初之力</t>
  </si>
  <si>
    <t>Primordial Power</t>
  </si>
  <si>
    <t>當你施展此法術時，你賦予射程內一個生物一部分的元素力量。 在持續時間內，該生物能說並理解原初語Primordial，並獲得基於你在施法時所選元素的額外益處：
氣：目標對閃電與雷鳴傷害具有抗性。此外，它獲得 30 呎的飛行速度。
寒焰：目標對寒冷傷害具有抗性。此外，它可以採取一個附贈動作消耗一顆生命骰，恢復等同於「擲骰數值 + 其體質調整值」的生命值。當目標受到火焰傷害時，它無法在其下個回合使用此附贈動作。
土：目標在對抗移動或擊倒伏地的豁免檢定上具有優勢。此外，它獲得 30 呎範圍的震顫感知。
火 ：目標對火焰傷害具有抗性。此外，當目標受到來自 5 呎內生物的傷害時，它可以採取一個反應對該生物進行一次近戰攻擊（使用武器或徒手打擊）。
水：目標對酸蝕傷害具有抗性。此外，它可以在水下呼吸，並獲得 60 呎的游泳速度。</t>
  </si>
  <si>
    <t>風馳電掣</t>
  </si>
  <si>
    <t>Ride the Lightning</t>
  </si>
  <si>
    <t>你將自己化身為一道閃電，在你當前所在的空間與 60 呎內一處你可見的未佔據空間之間，創造出一條 5 呎寬的線狀區域。 位於該線狀區域內的每個生物須進行一次敏捷豁免。若豁免失敗，受到 4d6 點閃電傷害；若豁免成功，則僅受到一半的傷害。 隨後，你在所選的空間重新出現。
升環施法效應： 你使用的法術位每比 4 環高一階，傷害就增加 1d6。此外，該線狀區域的最大長度也增加 10 呎。</t>
  </si>
  <si>
    <t>連鎖審判</t>
  </si>
  <si>
    <t>Shared Judgement</t>
  </si>
  <si>
    <t>在你每個回合一次，當你使一個不死生物的生命值降至 0 時，你可以對你 60 呎內一個你可見的生物造成 5d6 點光耀傷害，此傷害不需花費動作。
升環施法效應： 你使用的法術位每比 4 環高一階，傷害就增加 1d6。</t>
  </si>
  <si>
    <t>超凡斬</t>
  </si>
  <si>
    <t>Supernal Smite</t>
  </si>
  <si>
    <t>附贈動作，當你使用近戰武器或徒手打擊命中一個生物時</t>
  </si>
  <si>
    <t>你的打擊導致環繞在生物周圍的環境魔法崩塌並引爆。 被此打擊命中的目標受到額外 4d6 點力場傷害。若該生物正在對法術進行專注，該專注被破除。
此外，目標身上每個 3 環或更低的持續中法術結束。 對於目標身上每個 4 環或更高的持續中法術，進行一次使用你施法屬性的屬性檢定（DC 為 10 + 該法術的環階）。若檢定成功，該法術結束。</t>
  </si>
  <si>
    <t>凝血軀鞘</t>
  </si>
  <si>
    <t>Viscous Sheath</t>
  </si>
  <si>
    <t>死靈(操血)</t>
  </si>
  <si>
    <t>作為施展此法術的一部分，你必須消耗七顆生命骰，否則法術將自動失敗。你的身體被凝結的血液所包裹。每當一個位於你 5 呎內的生物以近戰攻擊檢定擊中你時，攻擊者將受到死靈傷害。 計算此傷害時，投擲你為施展此法術所消耗的生命骰，並加上你的施法屬性調整值。
若一個生物以近戰武器擊中你，你可以採取一個反應，讓血塊在該武器周圍凝結並將其困住。攻擊者必須成功通過一次力量豁免，否則該武器將黏附在你身上。若攻擊者不放開武器，該生物在武器被黏住期間陷入擒抱狀態。當武器被黏住時，其無法被使用。目標可以採取一個動作進行一次力量（運動）檢定對抗你的法術豁免 DC，若成功則釋放該武器。該生物也可以透過放開武器來結束擒抱狀態。
你可以困住的武器數量，上限等同於你為施展此法術所消耗的生命骰數量（即 7 把）。當法術結束時，所有被困住的武器將被釋放。
升環施法效應：你使用的法術位每比 4 環高一階，你就可以額外困住一把武器。</t>
  </si>
  <si>
    <t>命途多舛詛咒</t>
  </si>
  <si>
    <t>Curse of Ill-Fated Fortune</t>
  </si>
  <si>
    <t>預言(影鋼詛咒)</t>
  </si>
  <si>
    <t>一件目標廢棄的裝備、一塊碎骨，以及一套價值 800 gp 以上的骰子，施展法術會消耗上述所有材料</t>
  </si>
  <si>
    <t>此法術詛咒一名生物，使其染上致命的厄運。目標必須進行一次敏捷豁免。豁免成功：目標受到 3d10 點雷鳴傷害，並意識到自己曾被一道詛咒鎖定。此外，該生物在接下來的 1 分鐘內進行的第一次 d20 檢定具有劣勢。
初始效果：豁免失敗的目標受到 7d10 點雷鳴傷害，並受到詛咒。
觸發事件：下一次當目標穿過一道門口時，它會踢到腳趾或是頭撞到門框，此時詛咒進階至階段 1。
階段 1 ：受詛咒的生物開始遭逢各種輕微的不便與霉運。它想去的商店剛好在它抵達時打烊，且其裝備總在不方便的時刻損壞。
階段 2 ：受詛咒的生物成為厄運的信標，原本無害的挫折變得日益危險。物體似乎總是莫名其妙地擋在該生物的路上。 此外，受詛咒的生物在敏捷屬性檢定與敏捷豁免上具有劣勢。
階段 3：受詛咒的生物變得極易發生意外，即便是最簡單的任務也可能引發無法預料且危及生命的後果。 受詛咒的生物在先攻檢定上具有劣勢，其速度降至 10 呎，且若它在攻擊檢定中未命中，它將陷入倒地狀態。
終局：受詛咒的生物扭曲變形，成為一隻災厄先驅（Herald of Calamity）。</t>
  </si>
  <si>
    <t>貪得無厭詛咒</t>
  </si>
  <si>
    <t>Curse of Insatiable Greed</t>
  </si>
  <si>
    <t>一枚目標曾經擁有的硬幣、一條老鼠尾巴，以及一頂價值 800 gp 以上的黃金荊棘冠冕，施展法術會消耗上述所有材料</t>
  </si>
  <si>
    <t>此法術詛咒一名生物，使其染上一種苦澀且具自我毀滅性的貪婪。目標必須進行一次感知豁免。豁免成功：目標受到 4d10 點寒冷傷害，並意識到自己曾被一道詛咒鎖定。
初始效果：豁免失敗的目標受到 6d10 點寒冷傷害，且其速度降至 0，持續 1 分鐘。在目標每個回合結束時，其速度增加 5 呎，直到恢復至其最大速度為止。
觸發事件：下一次當目標完成短休或長休時，它會發現自己遺失了一件珍貴物品，此時詛咒進階至階段 1。
階段 1：受詛咒的生物被迫開始偷竊各種小飾品。
階段 2：受詛咒的生物會找一個秘密地點開始藏匿它偷來的飾品，且對於長時間離開該地點感到焦慮。 該生物在感知屬性檢定與感知豁免上具有劣勢。
階段 3：受詛咒的生物被迫將其囤積的飾品堆砌成一座由財物與寶藏構成的迷宮。受詛咒的生物渴望留在這個巢穴之中。 該生物無法採取反應。
終局：受詛咒的生物扭曲變形，成為一隻憎惡害蟲（Verminous Abomination）。</t>
  </si>
  <si>
    <t>高等活化死屍</t>
  </si>
  <si>
    <t>Greater Animate Dead</t>
  </si>
  <si>
    <t>一滴血、一塊肉、一搓骨粉，以及每活化 1 級挑戰等級便需一顆價值 75 gp 以上的黑瑪瑙</t>
  </si>
  <si>
    <t>選擇射程內數量的屍體。你可以從這些屍體中活化至多 5 隻挑戰等級 2 或更低的不死生物。
在你每個回合，你可以採取一個附贈動作來心靈指揮任何你用此法術創造且位於你 120 呎內的生物（如果你控制多個生物，你可以同時指揮任意數量或全部的生物，對每一隻下達相同的指令）。 你決定該生物在它的下個回合將採取什麼動作以及移動到哪裡，或者你也可以發布一個一般性的指令，例如守衛特定的房間或走廊。如果你沒有發布指令，該生物只會針對敵對生物進行自衛。一旦接收到命令，該生物會持續執行直到任務完成。 該生物受你控制 24 小時，時間過後它將停止服從你給出的任何指令。
維持控制： 為了將該生物的控制權再延長 24 小時，你必須在當前的 24 小時週期結束前再次對該生物施展此法術。 以此方式使用法術時，你重獲至多 4 隻你曾以此法術活化的生物之控制權，而非活化新的生物。此外，以此方式施展法術不需要消耗具有金幣價值的法術材料。
升環施法效應： 你使用的法術位每比 5 環高一階，你就可以額外活化一隻不死生物。</t>
  </si>
  <si>
    <t>煽動暴亂</t>
  </si>
  <si>
    <t>Incite Riot</t>
  </si>
  <si>
    <t>一條紅色手帕</t>
  </si>
  <si>
    <t>當你施展此法術時，你揮舞作為材料構材的紅色手帕，並選擇射程內任意數量可看見你的生物。 每個被選中的生物須進行一次睿智豁免。若你或你的盟友正在與其戰鬥，該生物在進行豁免時具有優勢。豁免失敗的目標陷入魅惑狀態，直到法術結束或你或你的盟友對其造成傷害為止。被魅惑生物對你與你的盟友視為友善。當處於魅惑狀態時，它必須使用其動作對最近的生物（除了你或你的盟友以外）進行近戰攻擊；若攻擊不到，則使用其回合移動向最近的目標。
在其每個回合結束時，目標重複該豁免，若成功則結束其身上的法術效果。</t>
  </si>
  <si>
    <t>猛毒賦權</t>
  </si>
  <si>
    <t>Investiture of Venom</t>
  </si>
  <si>
    <t>直到法術結束前，你的血管凸起並在皮膚下呈現明顯的綠色，你的雙眼不斷流淌出液態的毒素，且你獲得以下益處：
你對免疫毒素傷害與中毒狀態。
你可以判斷你 30 呎內可見的生物是否對毒素傷害具有抗性或免疫，或對中毒狀態具有免疫。
作為一個附贈動作，選擇你 30 呎內一個可見的生物。該生物須進行一次體質豁免對抗你的法術豁免 DC。若豁免失敗，該生物失去其毒素傷害抗性、毒素傷害免疫，或中毒狀態免疫，直到你下個回合結束。
作為一個魔法動作，一道 15 呎長、5 呎寬的毒液線狀區域從你身上向你選擇的方向噴出。線狀區域內的每個生物須進行一次體質豁免。若豁免失敗，該生物受到 4d6 點毒素傷害，並陷入中毒狀態直到你下個回合結束。若豁免成功，該生物僅受一半傷害。</t>
  </si>
  <si>
    <t>微死術</t>
  </si>
  <si>
    <t>Little Death</t>
  </si>
  <si>
    <t>一件具有個人情感價值的物品，價值 1 sp 以上</t>
  </si>
  <si>
    <t>當你施展此法術時，你的生命值降至 0 並死亡。在你下個回合開始時，你變成一隻佔據與你屍體相同空間的幽靈 Ghost。你的遊戲數據被幽靈的數據板取代，但你保留原本的生命值、生命骰、智力、感知與魅力屬性，以及語言。
當你處於幽靈型態時，你只能使用幽靈數據中詳述的能力。此外，將你的熟練加值加到你的攻擊檢定與幽靈能力的 DC 上。
當你施展此法術時，你的 GM 秘密投擲 1d8。經過等同於擲骰結果的小時數後，法術結束。 若你在幽魂型態下生命值降至 0，或你採取魔法動作來結束法術，法術亦會提前結束。若施法時使用的材料構材仍留在你的屍體上，你以最大生命值的一半復活。若施法時使用的材料構材已不在你的屍體上，你死亡（無法復活）。
若當你處於此法術效應期間，你的屍體被摧毀或受損至無法存活的程度，此法術的持續時間變為永久。你現在是一隻幽魂，直到你的身體成為能讓死者復生如喚醒死者或復活術的效應之目標為止。</t>
  </si>
  <si>
    <t>魔法鏡</t>
  </si>
  <si>
    <t>Magic Mirror</t>
  </si>
  <si>
    <t>反應，當你被指定為法術的目標時</t>
  </si>
  <si>
    <t>一顆拋光的銀彈珠</t>
  </si>
  <si>
    <t>一團色彩斑斕的能量泡沫在你與一名敵人之間的空氣中瞬間閃爍。 觸發此反應的法術將被轉向至你 60 呎內一個你可見的、由你選擇的生物。若該法術為 5 環或更低： 你不再是該法術的目標，取而代之的是該被選中的生物。若該法術為 6 環或更高： 進行一次使用你施法屬性的屬性檢定（DC 為 10 + 該法術的環階）。若檢定成功： 你不再是該法術的目標，取而代之的是該被選中的生物。若檢定失敗： 你依然是該觸發法術的目標。</t>
  </si>
  <si>
    <t>貶為凡胎</t>
  </si>
  <si>
    <t>Mortality</t>
  </si>
  <si>
    <t>一個鑲嵌著價值 200 gp 以上寶石的類人生物頭骨</t>
  </si>
  <si>
    <t>作為施展此法術的一部分，你必須消耗五顆生命骰，否則法術將自動失敗。 投擲所消耗的生命骰，接著選擇射程內的一個異怪、天界生物、元素生物、精類或邪魔，宣判它嚐嚐凡俗之軀的滋味。 該生物必須成功通過一次魅力豁免，否則其生命值上限與當前生命值將減少等同於「你為施展此法術所消耗生命骰之擲骰結果」的數值。
在法術持續期間，豁免失敗的生物將失去所有的傷害免疫與抗性，其生物類別變更為類人生物，且每次它受到傷害時，會受到額外 1d4 點死靈傷害。
若受此法術影響的生物生命值降至 0，上述改變將成為永久性，且該生物死亡。此法術的最終效果只能在該生物被復活並成為移除詛咒或類似魔法的目標後才能逆轉。</t>
  </si>
  <si>
    <t>怨靈群襲</t>
  </si>
  <si>
    <t>Spirit Swarm</t>
  </si>
  <si>
    <t>你邀請亡靈們對一個目標進行復仇。 射程內一個你可見的生物必須進行一次魅力豁免。目標的魅力屬性必須為 3 或更高（否則法術無效）。豁免失敗的目標受到 8d8 點心靈傷害，並陷入恐懼狀態直到法術結束。豁免成功則僅受到一半的傷害。</t>
  </si>
  <si>
    <t>濺血斬</t>
  </si>
  <si>
    <t>Splattering Smite</t>
  </si>
  <si>
    <t>附贈動作，當你使用近戰武器命中一個生物時</t>
  </si>
  <si>
    <t>你的打擊啜飲著敵人飛濺的鮮血。 作為施展此法術的一部分，你必須消耗五顆生命骰否則法術將自動失敗。
在你每個回合一次，當你使用近戰武器或徒手打擊的攻擊檢定擊中一個生物時，投擲你為施展此法術所消耗的生命骰，並恢復等同於擲骰數值的生命值。</t>
  </si>
  <si>
    <t>血潮</t>
  </si>
  <si>
    <t>Blood Tide</t>
  </si>
  <si>
    <t>一個貝殼</t>
  </si>
  <si>
    <t>作為施展此法術的一部分，你必須消耗六顆生命骰，否則法術將自動失敗。一股血流從你身上向你選擇的方向噴發，形成一條 100 呎長、10 呎寬的線狀區域。 線狀區域內的每個生物須進行一次敏捷豁免。豁免失敗的生物沿著線狀區域的方向被推離你 100 呎，陷入伏地狀態，並受到鈍擊傷害。傷害數值等於你為施展此法術所消耗生命骰的擲骰結果加上你的施法屬性調整值。豁免成功則僅受到一半的傷害。
升環施法效應： 你使用的法術位每比 6 環高一階，你可以額外消耗一顆生命骰。</t>
  </si>
  <si>
    <t>貝雷特之鎖</t>
  </si>
  <si>
    <t>Chains of Beleth</t>
  </si>
  <si>
    <t>一個鎖鏈環扣</t>
  </si>
  <si>
    <t>無數帶有倒刺與掛肉鉤的鎖鏈從射程內你可見的一點破土而出，在以該點為中心的20 呎半徑球型區域內瘋狂揮舞。
區域內的每個生物須進行一次敏捷豁免。豁免失敗的生物受到 8d6 點穿刺傷害，並陷入束縛狀態直到法術結束。
當一個生物在每回合第一次進入鎖鏈區域，或在區域內開始其回合時，它必須成功通過一次敏捷豁免，否則只要它身處區域內或直到它掙脫前，它將陷入束縛狀態。 被鎖鏈束縛的生物可以採取一個動作進行一次力量（運動）檢定對抗你的法術豁免 DC。若檢定成功，它不再被束縛。
當一個被此法術束縛的生物結束其回合時，該生物受到 3d6 點鈍擊傷害。
升環施法效應： 你使用的法術位每比 6 環高一階，初始傷害與後續傷害皆增加 1d6。</t>
  </si>
  <si>
    <t>光輝冠冕</t>
  </si>
  <si>
    <t>Crown of Radiance</t>
  </si>
  <si>
    <t>直到法術結束前，一頂由神聖光芒構成的燃燒冠冕戴在你的頭上。 當一個邪魔、精類或不死生物移動進入你 30 呎範圍內，或在距離你 30 呎範圍內開始其回合時，它受到 2d8 點光耀傷害。
這頂冠冕會發出 30 呎半徑的明亮光照，以及額外 30 呎的微光光照。</t>
  </si>
  <si>
    <t>虛榮執念詛咒</t>
  </si>
  <si>
    <t>Curse of Conceited Obsession</t>
  </si>
  <si>
    <t>一根來自目標床鋪或衣物的線、一把牙齒，以及一面價值 1,000 gp 以上的鍍金鏡子，施展法術會消耗上述所有材料</t>
  </si>
  <si>
    <t>此法術詛咒一名生物，使其染上強迫性的自我迷戀。目標必須進行一次魅力豁免。豁免成功：目標受到 4d6 點心靈傷害，並意識到自己曾被一道詛咒鎖定。此外，在接下來的 1 分鐘內，目標在其每個回合開始時受到 1d6 點心靈傷害。
初始效果：豁免失敗的目標受到 8d10 點心靈傷害，並受到詛咒。
觸發事件：下一次當受詛咒的生物注視鏡子或反光表面時，該表面會碎裂或以某種方式扭曲，此時詛咒進階至階段 1。
階段 1：受詛咒的生物被迫在每次看見自己的倒影時停下來自我欣賞。它會不斷地對自己的外表挑三揀四、過分講究。
階段 2 ：受詛咒的生物變得癡迷於在任何所到之處尋找自己的倒影，甚至包括在敵人的眼眸之中。 針對受詛咒生物的攻擊檢定具有優勢。
階段 3 ：受詛咒的生物被迫尋找或建造一個能從多種角度看見自己倒影的地點。受詛咒的生物被迫留在該地點並自我欣賞。此外，由於對自身外表的癡迷，受詛咒生物的攻擊檢定具有劣勢。
終局：受詛咒的生物扭曲變形，成為一隻哭泣垂柳（Weeping Willow）。</t>
  </si>
  <si>
    <t>知覺崩潰詛咒</t>
  </si>
  <si>
    <t>Curse of Crushing Sensation</t>
  </si>
  <si>
    <t>一滴目標的血液、一片絲綢布料，以及一個價值 1,000 gp 以上的號角，施展法術會消耗上述所有材料</t>
  </si>
  <si>
    <t>此法術詛咒一名生物，使其對物理知覺產生痛苦的過度敏感。目標必須進行一次體質豁免。豁免成功： 目標受到 4d6 點雷鳴傷害，並意識到自己曾被一道詛咒鎖定。在接下來的 1 分鐘內，目標在其每個回合開始時受到 1d6 點雷鳴傷害。
初始效果： 豁免失敗的目標受到 8d10 點雷鳴傷害，並受到詛咒。
觸發事件：下一次當目標聽見巨大的聲響時，它會感到一陣令人癱瘓的劇烈頭痛，此時詛咒進階至階段 1。
階段 1 ：受詛咒的生物會迴避明亮光照、巨大的聲響、極端的溫度，並且不喜歡被觸碰。
階段 2  受詛咒的生物無法忍受粗糙或沉重的衣物摩擦其皮膚的感覺。它無法穿著護甲。 由於其過度敏感，它對雷鳴傷害具有易傷。 此外，若它或其目標處於明亮光照區域內，其攻擊檢定具有劣勢。
階段 3 ：即便是輕微的感官刺激對受詛咒的生物來說也變得無法忍受。它被迫尋找一個黑暗且安靜的巢穴，例如深邃的洞穴或地城。 受詛咒的生物無法自願離開此巢穴，且當它處於巢穴之外時，它對除了心靈傷害以外的所有傷害具有易傷。
終局： 受詛咒的生物扭曲變形，成為一隻盲目苦痛者（Sightless Agony）。</t>
  </si>
  <si>
    <t>狂亂暴怒詛咒</t>
  </si>
  <si>
    <t>Curse of Uncontrollable Wrath</t>
  </si>
  <si>
    <t>目標的血液或其他體液、一隻斷手，以及一把價值 1,000 gp 以上的鋸齒匕首，施展法術會消耗上述所有材料</t>
  </si>
  <si>
    <t>此法術詛咒一名生物，使其染上無法控制的暴躁脾氣與對暴力的渴望。目標必須進行一次睿智豁免。豁免成功： 目標受到 4d10 點心靈傷害，並意識到自己曾被一道詛咒鎖定。此外，在接下來的 1 分鐘內，目標在使用反應進行的攻擊上具有劣勢。
初始效果：豁免失敗的目標受到 8d10 點心靈傷害，並受到詛咒。
觸發事件：下一次當受詛咒的生物使用武器進行攻擊，或使用施法法器施展法術時，一道舊傷口會重新裂開，此時詛咒進階至階段 1。
階段 1：受詛咒的生物變得容易激動且具攻擊性。
階段 2 ：受詛咒的生物變得沉迷於暴力。獨自戰鬥的快感使其陶醉，隨著詛咒加深，它對盟友的態度變得惡劣。 受詛咒的生物無法從短休中獲得任何益處。
階段 3：受詛咒的生物被驅策進入永不滿足的嗜血狀態，只要還有敵人可供屠殺，它就無法休息。 受詛咒的生物無法從長休中獲得任何益處。
終局：受詛咒的生物扭曲變形，成為一隻殺戮化身（Avatar of Slaughter）。</t>
  </si>
  <si>
    <t>大地蠕蟲</t>
  </si>
  <si>
    <t>Earth Worm</t>
  </si>
  <si>
    <t>你將射程內地面上一處未佔據的點，轉化為一張蠕蟲般的巨口。 作為一個附贈動作，你可以對巨蟲 5 呎內的一個生物進行一次近戰法術攻擊。命中時，目標受到等同於 3d8 + 你的施法屬性調整值的穿刺傷害。若目標為大型或更小的生物，它必須成功通過一次敏捷豁免，否則被巨蟲吞嚥。被吞嚥的生物陷入目盲與束縛狀態，它對來自巨蟲外部的攻擊與其他效應具有全掩蔽，且在你每個回合開始時受到 6d6 點鈍擊傷害。
被困在巨蟲內的生物可以採取一個動作進行一次力量（運動）檢定對抗你的法術豁免 DC。若成功，它將被吐出並陷入伏地，出現在距離巨蟲 10 呎內的未佔據空間。
作為一個附贈動作，你可以移動巨蟲至多 30 呎。</t>
  </si>
  <si>
    <t>穿心箭</t>
  </si>
  <si>
    <t>Heartseeker</t>
  </si>
  <si>
    <t>一顆價值 100 gp 以上的紅寶石</t>
  </si>
  <si>
    <t>作為施展此法術的一部分，你必須消耗六顆生命骰，否則法術將自動失敗。 血液從你的體內流出，隨後結晶化成一支帶有倒刺的箭矢，射向一名生物。 對射程內的一個目標進行一次遠程法術攻擊。若命中，投擲你為施展此法術所消耗的生命骰，該生物受到等同於擲骰數值的穿刺傷害。
一旦箭矢射入該生物體內，這支血箭便開始向其心臟鑽去，使其變得易受傷害。 直到法術結束前，在每一輪中，當該生物的回合結束後，針對該生物的第一次成功攻擊將自動成為暴擊。
目標在其每個回合結束時進行一次體質豁免。豁免失敗： 法術效應持續。豁免成功： 該生物受到 3d8 點死靈傷害，且法術結束。</t>
  </si>
  <si>
    <t>熔化詛咒</t>
  </si>
  <si>
    <t>Melting Curse</t>
  </si>
  <si>
    <t>你指定射程內一個你可見的生物，以及該生物所持有或穿戴的一件金屬物體。 該生物須進行一次敏捷豁免。豁免失敗：該生物受到 5d8 點火焰傷害，且被鎖定的物體會熔化並淌流到地上，隨即在地上恢復其原本的形狀與溫度。若該物體為魔法物品，該生物在進行此豁免時具有優勢。
若生物試圖在持續時間內撿回或以其他方式觸碰該物體，該物體會再次發熱並熔化，使該生物受到 5d8 點火焰傷害。 一旦該生物不再觸碰該物體或法術結束，該物體便恢復正常。
升環施法效應： 你使用的法術位每比 6 環高一階，傷害就增加 1d8。</t>
  </si>
  <si>
    <t>編織神粹</t>
  </si>
  <si>
    <t>Weave Numen</t>
  </si>
  <si>
    <t>一根價值 300 gp 以上的祕銀縫衣針，施展法術會消耗此材料</t>
  </si>
  <si>
    <t>你能感知到自身 120 呎範圍內的魔法存在。你能看見範圍內任何帶有魔法的物體或生物周圍散發著微弱靈光，並且得知其魔法學派（若有的話）。
此外，你獲得 13 條絲線。你可以消耗這些絲線來獲得下列益處（除非另有說明，否則不需耗費動作）：
當你施展一個法術時，你可以消耗 1 條絲線來強化該法術，使其視為使用比原本高一階的法術位施展。同時，你獲得等同於1 + 該法術環階的臨時生命值。
當你 120 呎內一個你可見的生物施展法術時，你可以採取一個反應並消耗 1 條絲線來中斷該法術。若該法術為 3 環或更低，該法術失敗且無效。若該法術為 4 環或更高，進行一次使用你施法屬性的屬性檢定（DC 為 10 + 該法術環階）。若檢定成功，該法術失敗且無效。
當你施展一個會造成治療或傷害的法術時，你可以消耗至多 6 條絲線。該法術對單一生物造成的傷害或治療量增加所消耗絲線數量乘以 4。
當此法術結束時，你失去所有剩餘的絲線。若你耗盡了此法術給予的所有絲線，法術立即結束。
升環施法效應：你使用的法術位每比 6 環高一階，你就額外獲得 2 條絲線。</t>
  </si>
  <si>
    <t>樹化詛咒</t>
  </si>
  <si>
    <t>Arboreal Curse</t>
  </si>
  <si>
    <t>一杯樹液</t>
  </si>
  <si>
    <t>你試圖將射程內一個你可見的生物變成木頭。該生物須進行一次體質豁免。豁免失敗：該生物陷入束縛狀態，因其血肉開始硬化為樹皮。豁免成功： 該生物的速度變為 0，直到你下個回合開始。
一個被此法術束縛的生物，在其每個回合結束時進行一次體質豁免。若它累積三次豁免成功，該狀態結束。若它累積三次豁免失敗，它將變為一棵樹並陷入石化狀態。 成功與失敗無須連續；分別記錄兩者，直到目標累積滿三項為止。
若該生物在石化期間被燒毀、砍倒或以其他方式摧毀，它將被殺死。
該生物將保持變形狀態，除非在 1 年內透過高等復原術、祈願術或類似魔法將此效應逆轉。若該生物作為一棵樹度過了 1 年又 1 天，此變形將成為永久性，且沒有任何事物能使該生物恢復原狀。</t>
  </si>
  <si>
    <t>破體而出</t>
  </si>
  <si>
    <t>Burst Forth</t>
  </si>
  <si>
    <t>200 呎</t>
  </si>
  <si>
    <t>作為施展此法術的一部分，你必須消耗七顆生命骰，否則法術將自動失敗。 你傳送進入射程內一個你可見的生物體內，隨後在一陣噴濺的血肉中從該生物體內爆發而出，出現在距離它最近的未佔據空間。 目標須進行一次體質豁免。豁免失敗受到數值等於你為施展此法術所消耗生命骰的擲骰結果加上你的施法屬性調整值的死靈傷害。豁免成功則僅受到一半的傷害。
升環施法效應：你使用的法術位每比 7 環高一階，你可以額外消耗一顆生命骰。</t>
  </si>
  <si>
    <t>血肉剝離</t>
  </si>
  <si>
    <t>Fleshcrawl</t>
  </si>
  <si>
    <t>你從一個生物身上撕扯下血肉，將其塑造成一個由鮮血與皮膚組成的扭曲怪物，並讓其起身攻擊該生物。
射程內一個你可見的生物須進行一次體質豁免。豁免失敗受到 8d10 點死靈傷害。該生物被剝下的皮膚被活化成一個怪誕的贗品。它使用血肉構裝體 Fleshling Construct 的數據卡。豁免成功僅受到一半的傷害。
該生物是你與你盟友的夥伴。在戰鬥中，該生物與你共用先攻值，但它會在你的回合結束後立即行動。 它服從你的口頭指令。若你未發出任何指令，它將採取閃避動作並使用其移動力來迴避危險。當血肉構裝體的生命值降至 0 或當法術結束時，它會消失。
升環施法效應： 在數據卡中，使用該法術位的環階作為法術等級。</t>
  </si>
  <si>
    <t>律令致殘</t>
  </si>
  <si>
    <t>Power Word Maim</t>
  </si>
  <si>
    <t>你發出真言命令一個生物的軀體進行扭曲與變形。若目標現有生命值為 125 點或更少，它受到 8d10 點死靈傷害，並陷入伏地狀態。若目標現有生命值高於 125 點，它的速度變為 0，直到你下個回合開始。目標在其每個回合結束時進行一次體質豁免，若成功則結束該狀態。</t>
  </si>
  <si>
    <t>緋紅彈幕</t>
  </si>
  <si>
    <t>Sanguine Fusillade</t>
  </si>
  <si>
    <t>一根沾有你血液的針</t>
  </si>
  <si>
    <t>你將敵人的血液結晶化成銳利的飛鏢，迸發出來打擊你的敵人。作為施展此法術的一部分，你必須消耗七顆生命骰，否則法術將自動失敗。投擲你為施展此法術所消耗的生命骰。選擇射程內一個你可見的生物，該目標受到等同於擲骰結果的穿刺傷害。 當一個生物受到此傷害時，七支猩紅飛鏢從它身上迸發而出。
你可以引導每一支飛鏢去攻擊距離原目標 60 呎內的生物。這些飛鏢同時打擊，你可以引導它們攻擊一個或多個生物，包含原目標在內。 對每一支飛鏢，針對選定的生物進行一次遠程法術攻擊。若命中，投擲一顆你為施展此法術所消耗類型的生命骰，該生物受到等同於擲骰結果的穿刺傷害。
升環施法效應： 你使用的法術位每比 7 環高一階，你可以額外消耗一顆生命骰並額外創造一支飛鏢。</t>
  </si>
  <si>
    <t>死亡蔓延</t>
  </si>
  <si>
    <t>Creeping Death</t>
  </si>
  <si>
    <t>作為施展此法術的一部分，你必須消耗八顆生命骰，否則法術將自動失敗。 投擲所消耗的生命骰。目標的死亡蔓延閾值等同於擲骰結果的總和。 在法術持續期間，若該生物的生命值降至其死亡蔓延閾值或更低，該生物立即死亡。
 作為一個附贈動作，你可以強迫目標進行一次體質豁免。豁免失敗： 投擲 2d6，並將結果加到該生物的死亡蔓延閾值上。豁免成功： 將結果的一半加到該生物的「死亡蔓延閾值」上。若該生物成功通過三次豁免檢定（無須連續），此法術提前結束。</t>
  </si>
  <si>
    <t>剝皮術</t>
  </si>
  <si>
    <t>Flense</t>
  </si>
  <si>
    <t>一把手術刀</t>
  </si>
  <si>
    <t>你鎖定射程內一個你可見的生物，利用死靈能量將其皮膚從肉體上剝離。 對該生物進行一次遠程法術攻擊。若命中，在法術結束前的你每個回合，你可以採取一個魔法動作來強迫同一目標進行一次體質豁免。豁免失敗： 目標受到 8d6 點死靈傷害。豁免成功： 目標僅受到一半的傷害。若目標處於法術射程之外、目標生命值降至 0，或你無法看見目標，法術即宣告結束。</t>
  </si>
  <si>
    <t>生命匯流</t>
  </si>
  <si>
    <t>Lifesink</t>
  </si>
  <si>
    <t>在法術持續期間，一道靈光從你身上向外延伸，形成半徑 15 呎的圓形區域。任何其他生物若進入該區域或在該區域內開始其回合，將受到 4d6 點死靈傷害。在你每個回合開始時，你恢復 4d6 點生命值，且區域內每有一個生物，恢復量再 +1。</t>
  </si>
  <si>
    <t>腥紅血雨</t>
  </si>
  <si>
    <t>Red Rain</t>
  </si>
  <si>
    <t>作為施展此法術的一部分，你必須消耗八顆生命骰，否則法術將自動失敗。 在 1d6 x 5 分鐘的時間過程中，天空轉為黑暗，厚重的血滴傾盆而下，覆蓋你方圓 5 哩內的每一處。
區域內的每隻野獸與植物必須成功通過一次感知豁免，否則陷入恐懼狀態，直到它離開該區域滿 1 分鐘為止。暴露於雨中的普通植物會在 10 分鐘後枯萎並死亡。
任何類型的生物若直接暴露於雨中，每經過 10 分鐘，該生物便獲得 1 級力竭，並受到 2d10 點死靈傷害。 該生物的生命值上限會減少等同於所受死靈傷害的數值。此上限減少效果持續直到該生物移除所有由此法術獲得的力竭等級為止。 當一個生物擁有任何源自此法術的力竭等級時，它在移除中毒狀態的豁免檢定中自動失敗。
當法術結束時，投擲你為施展此法術所消耗的生命骰。在等同於擲骰結果總和的天數內，野獸與植物生物不會返回該區域，且植物不會在該區域內重新生長。</t>
  </si>
  <si>
    <t>奴役亡靈</t>
  </si>
  <si>
    <t>Undead Enthrallment</t>
  </si>
  <si>
    <t>一個裝滿苦鹹水的陶罐、一個裝滿墳墓泥土的陶罐，以及每具屍體需一顆價值 500 gp 以上的黑瑪瑙</t>
  </si>
  <si>
    <t>選擇射程內一具或數具屍體，其總量須相當於你欲活化的生物體型（所需屍體數量由 GM 決定）。你的法術將生命的污穢仿製品灌注於目標之中，將其喚起為不死生物。你可以選擇讓目標成為一隻 CR 3 或更低的不死生物（該生物的遊戲數據由 GM 持有）。
在你每個回合，你可以使用一個附贈動作來心靈指揮任何你用此法術創造且位於你 60 呎內的生物（如果你控制多個生物，你可以同時指揮任意數量或全部的生物，對每一隻下達相同的指令）。 你決定該生物在它的下個回合將採取什麼動作以及移動到哪裡，或者你也可以發布一個一般性的指令，例如守衛特定的房間或走廊。如果你沒有發布指令，該生物將採取閃避動作。一旦接收到命令，該生物會持續執行直到任務完成。
該生物受你控制 24 小時，時間過後它將停止服從你給出的任何指令。 為了將該生物的控制權再延長 24 小時，你必須在當前的 24 小時週期結束前再次對該生物施展此法術。以此方式使用法術時，你重獲 1 隻你曾以此法術活化的生物之控制權，而非活化新的生物。 若你使用此法術維持對某一生物的控制長達 30 天，該生物將永久受你控制。你最多只能以此方式控制四個生物。</t>
  </si>
  <si>
    <t>陰鬱之牆</t>
  </si>
  <si>
    <t>Wall of Gloom</t>
  </si>
  <si>
    <t>一小瓶眼淚</t>
  </si>
  <si>
    <t>你創造出一道由旋轉的灰色能量構成的牆體，這道牆是由失去摯愛的精神痛苦所凝聚而成。這道牆出現在射程內的一個固體表面上並持續直到法術結束。你可以選擇將牆體塑造成至多 60 呎長、10 呎高、5 呎厚的一道直線牆；或者是直徑 20 呎、至多 20 呎高、5 呎厚的一個環狀牆。該牆體會阻擋視線。
該牆體會向外散發 100 呎範圍的微光光照。當你施展此法術時，你與你指定的生物可以安全地穿過或停留在牆體附近。 若一其他生物移動至距離牆體 20 呎內，或在該範圍內開始其回合，該生物必須成功通過一次魅力豁免，否則將陷入失能狀態，直到其下個回合開始。
生物可以穿過這道牆，但此舉會使其情感嚴重枯竭。當一個生物在每回合第一次進入牆體或在其中結束其回合時，它必須成功通過一次魅力豁免，否則獲得 1 級力竭。</t>
  </si>
  <si>
    <t>完美術</t>
  </si>
  <si>
    <t>Perfection</t>
  </si>
  <si>
    <t>你說出一句神聖真言，將射程內一個你可見的生物，依照「大熾天使」的形象重塑。目標身上的中毒狀態結束，目標身上的所有詛咒在法術持續期間被壓制，且目標恢復至其生命值上限。目標任何低於 18 的屬性值皆變為 18。根據你所使用的真言，你還會根據所呼喚的大熾天使賦予目標額外的祝福：
阿法隆 Aphaelon：目標免疫魅惑狀態。若目標豁免失敗，它可以採取一個反應來重投該豁免，且必須使用新的結果。
恩派瑞斯 Empyreus：目標免疫恐懼狀態，且在其每個回合第一次擊中目標時，造成額外 4d6 點力場傷害。
米克拉斯 Miklas：目標免疫毒素傷害與中毒狀態，且在每個其回合開始時恢復 4d6 點生命值。
摩拉爾 Morael：目標獲得 30 點臨時生命值。當目標 60 呎內的一名盟友受到傷害時，目標可以採取一個反應來代為承受該傷害。
索莉瑪 Solyma：目標免疫雷鳴傷害。當目標受到來自其可見生物的傷害時，它可以採取一個反應對該生物造成等同於該次觸發傷害的火焰傷害。
札布里爾 Zabriel：目標獲得範圍 60 呎的真實視覺。在目標的每個回合結束時，它可以給予一名尚未擁有英雄靈感的盟友該靈感。</t>
  </si>
  <si>
    <t>鳳凰涅槃</t>
  </si>
  <si>
    <t>Phoenix Flames</t>
  </si>
  <si>
    <t>你點燃自己的軀體，將自身獻祭於一片灼熱的神聖火雲之中。你立即降至 0 生命值並死亡，隨後熾熱的光耀能量從你身上噴發至半徑 30 呎的區域。區域內的每個生物須進行一次體質豁免。豁免失敗的生物受到 30d6 點光耀傷害，並獲得 1 級力竭。豁免成功則僅受到一半傷害。若此傷害將一個生物降至 0 生命值，該生物及其攜帶的所有非魔法物品皆被焚化。該目標僅能透過完全復活術或祈願術復活。
在 10 分鐘後，你於施展此法術的灰燼處重新升起。你回歸生命，其效果等同於你成為了完全復活術的目標。</t>
  </si>
  <si>
    <t>不朽篡奪</t>
  </si>
  <si>
    <t>Steal Immortality</t>
  </si>
  <si>
    <t>反應，當射程內一個你可見的天界生物、元素生物、精類、邪魔或不死生物降至 0 生命值時</t>
  </si>
  <si>
    <t>一個鑲嵌著價值 1,000 gp 以上寶石的人型生物頭骨，施法會消耗該材料</t>
  </si>
  <si>
    <t>作為施展此法術的一部分，你必須消耗九顆生命骰，否則法術將自動失敗。 投擲所消耗的生命骰，你獲得等同於擲骰總和兩倍的臨時生命值。此外，除了你原本的生物類型外，你同時獲得該目標生物的生物類型。
只要此法術效果持續，你擁有對中毒狀態的免疫；你不再需要進食、飲水或呼吸；你擁有對非魔法鈍擊、穿刺、揮砍傷害的抗性。 根據你獲得的新生物類型，你還獲得以下額外益處：
天界生物：你獲得對光耀與死靈傷害的抗性，並擁有 60 呎的飛行速度。
元素生物 ：你獲得對強酸、寒冷、火焰、閃電與雷鳴傷害的抗性。
精類：你可以使用一個附贈動作使自己陷入隱形狀態直到你下個回合開始，或傳送到至多 60 呎內一個你可見的未佔據空間。
邪魔：你獲得對寒冷與火焰傷害的抗性，並擁有 60 呎的飛行速度。
不死生物：你獲得對死靈傷害的免疫，並對魅惑與恐懼狀態具有免疫。
你保留該生物類型與相關益處，直到你再次施展此法術，或你的生命值降至 0 為止。</t>
  </si>
  <si>
    <t>抹去面容</t>
  </si>
  <si>
    <t>Wipe Face</t>
  </si>
  <si>
    <t>你詛咒射程內一個你可見的生物。目標的面部被完全平滑的皮膚所取代，封死了該生物的眼睛、鼻子與嘴巴。 該生物陷入目盲與失能狀態，並開始窒息。
在其每個回合結束時，目標可以進行一次體質豁免以終止此法術。對目標造成至少 15 點揮砍傷害可以切開一道呼吸道使其能夠呼吸；然而，這道詛咒會在你的下個回合開始時再次封死該開口。</t>
  </si>
  <si>
    <t>鮮血箭</t>
  </si>
  <si>
    <t>Blood Bolt</t>
  </si>
  <si>
    <t>你對施法距離內一個生物擲出一道扭曲的血矢。對目標進行一次遠程法術攻擊。命中時，目標受到1d6暗蝕傷害，並且你獲得等於你熟練加值的臨時生命值。
戲法升級。到達特定等級后，此戲法的傷害將增加1d6：5級（2d6）、11級（3d6）、17級（4d6）。</t>
  </si>
  <si>
    <t>瓦解術</t>
  </si>
  <si>
    <t>Dissolution</t>
  </si>
  <si>
    <t>你觸碰一個生物或非魔法物件，將目標的物質分解為最基本的組成部分。進行一次近戰法術攻擊。命中時，目標受到1d8力場傷害，並且直至你的下一回合結束前，目標對抗下一次攻擊檢定時的AC減少1。
戲法升級。到達特定等級后，此戲法的傷害將增加1d8：5級（2d8）、11級（3d8）、17級（4d8）。</t>
  </si>
  <si>
    <t>灼眼術</t>
  </si>
  <si>
    <t>Eye Burn</t>
  </si>
  <si>
    <t>反應，當施法距離內一個你能看見的生物對你發起攻擊時</t>
  </si>
  <si>
    <t>一抹樟腦</t>
  </si>
  <si>
    <t xml:space="preserve">你刺痛一個正在攻擊你的生物的眼睛。目標必須進行一次體質豁免（具有盲視或者免疫目盲狀態的生物自動成功）。若豁免失敗，則目標陷入目盲狀態，直至當前回合結束。若豁免成功，則目標在其觸發攻擊檢定中必須減去1d4。在隨后24小時內，目標為對抗你之後施展的該法術而進行的豁免會自動成功。
</t>
  </si>
  <si>
    <t>神秘面容</t>
  </si>
  <si>
    <t>Mysterious Presence</t>
  </si>
  <si>
    <t>你觸碰一個自願生物，掩蓋其存在。直至該法術終止，其他生物對該目標進行的任何感知（洞悉或察覺）檢定中必須減去1d4。</t>
  </si>
  <si>
    <t>先祖交流</t>
  </si>
  <si>
    <t>Ancestral Communion</t>
  </si>
  <si>
    <t>你祈求祖先的智慧，以獲得應對自身試煉的洞察力。當你施展該法術時，以及持續時間內每個你的回合開始時，你都會獲得英雄激勵（如果你尚未擁有）。</t>
  </si>
  <si>
    <t>迷惑亡靈</t>
  </si>
  <si>
    <t>Captivate Undead</t>
  </si>
  <si>
    <t>一撮骨灰</t>
  </si>
  <si>
    <t>你篡奪施法距離內一個你可見的不死生物的負能量，試圖控制它。目標必須進行一次魅力豁免。若豁免失敗，則目標在持續時間內陷入魅惑狀態（無視任何對該狀態的免疫），並對你友好。若豁免成功，則目標在你的下一回合開始前對你進行的下一次攻擊檢定具有劣勢。若你或你的任何盟友對目標造成傷害或迫使其進行豁免檢定，則法術終止。
升環施法。使用的法術位每比一環高一環，你就可以多選擇一個生物作為目標。</t>
  </si>
  <si>
    <t>魔鬼報償</t>
  </si>
  <si>
    <t>Devil's Due</t>
  </si>
  <si>
    <t>反應，施法距離內另一個生物受到傷害時</t>
  </si>
  <si>
    <t>一滴瀝青</t>
  </si>
  <si>
    <t>你吸取一定量的一個生物所遭受的痛苦和流失的生命精華。消耗並擲出1枚生命值骰。你恢復等於骰值+你施法屬性調整值的生命值。若該生物受到的傷害來自重擊，則你恢復的生命值翻倍。
升環施法。使用的法術位每比一環高一環，你就可以額外消耗1枚生命值骰。</t>
  </si>
  <si>
    <t>飢渴刃</t>
  </si>
  <si>
    <t>Hungering Blade</t>
  </si>
  <si>
    <t>你為一把你正在持握的武器或你的徒手打擊注入貪食的負能量。在持續時間內，當你在一個回合中第一次使用被強化的武器或徒手打擊命中一個生物時，目標會受到等於你施法屬性調整值的暗蝕傷害，並且你獲得等於所造成暗蝕傷害的臨時生命值。</t>
  </si>
  <si>
    <t>血祭</t>
  </si>
  <si>
    <t>Blood Sacrifice</t>
  </si>
  <si>
    <t>一滴你的血</t>
  </si>
  <si>
    <t>你犧牲一部分生命力以增強你的魔法力量。當你施展該法術時，你受到1d6暗蝕傷害，此傷害無法以任何方式減少或阻止。在持續時間內，當你施展一道造成傷害的法術時，該法術的一個目標（由你選擇）會額外受到1d6傷害，傷害類型與法術正常的傷害類型相同（如果有多種傷害類型，由你選擇）。
升環施法。使用的法術位每比二環高一環，你受到的傷害以及你法術造成的額外傷害均增加1d6。</t>
  </si>
  <si>
    <t>定罪鎖鏈</t>
  </si>
  <si>
    <t>Chain of Conviction</t>
  </si>
  <si>
    <t>你向施法距離內一個你可見的生物擲出一條帶有倒刺的虛幻鎖鏈。目標進行一次力量豁免。若豁免失敗，則目標受到2d6力場傷害，被拉向你至多30尺，並被鎖鏈捆縛。被鎖鏈捆縛期間，該生物被拴系於你，無法移動或傳送至距離你超過30尺的空間，並且你對該生物進行的攻擊檢定具有優勢。
若豁免成功，則目標僅受半傷。被捆縛的目標在其每個回合結束時重復該豁免，豁免成功則終止自身該法術。若你與目標之間的距離超過30尺，則該法術終止。
升環施法。使用的法術位每比二環高一環，傷害就增加1d6。</t>
  </si>
  <si>
    <t>迷失者合唱</t>
  </si>
  <si>
    <t>Chorus of the Lost</t>
  </si>
  <si>
    <t>一個價值10GP+的銀鈴鐺</t>
  </si>
  <si>
    <t>你在施法距離內一處你可見的點召喚出失落靈魂的詭異歌聲與悲號。以該點為源點的15尺球狀區域內的每個生物都必須進行一次感知豁免。若豁免失敗，則目標受到2d6心靈傷害，並在持續時間內陷入恐慌狀態。若豁免成功，則其受到半傷，並陷入恐慌狀態，直至其下一回合結束。被恐慌的目標在其每個回合結束時重複該豁免，豁免成功則終止自身該法術。
升環施法。使用的法術位每比二環高一環，傷害就增加1d6。</t>
  </si>
  <si>
    <t>黯然銷魂曲</t>
  </si>
  <si>
    <t>Harrowing Ballad</t>
  </si>
  <si>
    <t xml:space="preserve">你對施法距離內一個你可見的生物施加一首侵蝕心智的歌謠。如果該生物的智力為4或更高，則其必須進行一次智力豁免檢定，豁免失敗則其在持續時間內陷入魅惑狀態。
以這種方式被魅惑期間，目標會被一首只有它能聽見的、快速重復的民謠所折磨；它在其每個回合開始時受到1d6心靈傷害，並在感知（察覺）檢定以及用於維持專注的體質豁免中具有劣勢。目標在其每個回合結束時重複該豁免，豁免成功則終止自身該法術。
升環施法。使用的法術位每比二環高一環，傷害就增加1d6。
</t>
  </si>
  <si>
    <t>緋色秘密</t>
  </si>
  <si>
    <t>Sanguine Secrets</t>
  </si>
  <si>
    <t>一滴血，作為該法術的耗材</t>
  </si>
  <si>
    <t>你通過鮮血的力量獲知施法距離內一個你可見生物的信息。你得知目標的種族、生物類型、當前生命值以及所有正在影響它的狀態。你還會得知它是否具有以下任何內容，如果有，具體是什麼：抗性，易傷，或對傷害或狀態的免疫。
此外，你在你的下一回合結束前對目標進行的下一次屬性檢定或攻擊檢定具有優勢。</t>
  </si>
  <si>
    <t>夏日清風</t>
  </si>
  <si>
    <t>Summer Winds</t>
  </si>
  <si>
    <t>你在15尺錐狀區域內釋放出一道光與風的沖擊。錐狀區域內你的盟友會恢復2d6生命值。錐狀區域內對你敵對的不死生物必須進行一次體質豁免，豁免失敗則受到2d6光耀傷害，豁免成功則受到半傷。
升環施法。使用的法術位每比二環高一環，傷害與治療量就均增加1d6。</t>
  </si>
  <si>
    <t>潰心低語</t>
  </si>
  <si>
    <t>Unraveling Whisper</t>
  </si>
  <si>
    <t>選擇施法距離內一個你可見的生物，並向其低語一句只有它可聽見的駭人短語。目標必須進行一次感知豁免。若豁免失敗，則目標受到2d6心靈傷害，並陷入恐慌狀態，直至你的下一回合開始。若豁免成功，則目標僅受半傷。
以這種方式被恐慌期間，該生物對你選擇的鈍擊、穿刺或揮砍傷害具有易傷。
升環施法。使用的法術位每比二環高一環，你就可以多選擇一個生物作為目標。</t>
  </si>
  <si>
    <t>死神面紗</t>
  </si>
  <si>
    <t>Veil of the Reaper</t>
  </si>
  <si>
    <t>一顆乾燥的玉米殼或麥秸</t>
  </si>
  <si>
    <t>你將自身裹于陰影之中，在攻擊間隙為你提供遮掩。在你用一次攻擊檢定命中一個生物的任何回合結束時，你獲得隱形狀態，直至你的下一回合開始。</t>
  </si>
  <si>
    <t>爬行腐爛</t>
  </si>
  <si>
    <t>Creeping Rot</t>
  </si>
  <si>
    <t xml:space="preserve">你將黑灰色的腐爛觸須投向施法距離內一個你可見的生物。隨后，三條觸鬚從該目標躍向你選擇的至多三個其他目標，每個目標都必須在第一個目標的30尺范圍內。目標可以是生物或非魔法的非生物植物，例如樹木或灌木。無論哪種情況，每個目標只能被其中一條觸須選定為目標。
若目標為生物，則其必須進行一次體質豁免。若豁免失敗，則目標受到3d8暗蝕傷害，並在持續時間內陷入中毒狀態。若豁免成功，則目標僅受到一半傷害。以這種方式中毒的生物會在其每個回合開始時受到1d8暗蝕傷害。中毒的生物在其每個回合結束時重復該豁免，豁免成功則終止自身該法術。
植物生物自動失敗於初始豁免檢定，非魔法的非生物植物則直接枯萎死亡。
升環施法。使用的法術位每比三環高一環，就會有一根額外的觸鬚從第一個目標跳躍到另一個目標。
</t>
  </si>
  <si>
    <t>猩紅收穫</t>
  </si>
  <si>
    <t>Crimson Harvest</t>
  </si>
  <si>
    <t>一小瓶血液</t>
  </si>
  <si>
    <t xml:space="preserve">一道血浪從源自你的15尺光環區域內席捲而出。血浪中每個你選擇的生物都必須進行一次敏捷豁免，豁免失敗則受到3d10暗蝕傷害，豁免成功則受到一半傷害。
如果你至少傷害了一個小型或更大的生物，則該光環區域內一個你選擇的可見生物會恢復等於該傷害擲骰一半的生命值。
升環施法。使用的法術位每比三環高一環，傷害就增加1d10。
</t>
  </si>
  <si>
    <t>歪曲守禦</t>
  </si>
  <si>
    <t>Crooked Ward</t>
  </si>
  <si>
    <t>一枚柳條編的五角星</t>
  </si>
  <si>
    <t>你觸碰一處固定表面，並標示一個能令扭曲生物感到痛苦的符號。一個隱形的30尺球狀區域從你觸碰的點擴展而出。球狀區域內的每個異怪、妖精、邪魔、怪獸或不死生物會在屬性檢定和攻擊檢定中具有劣勢。當一個受影響的生物在一個回合內首次進入該區域或在該區域內開始其回合時，它必須進行一次感知豁免，豁免失敗則陷入恐慌狀態，直至其下一回合開始。
升環施法。如果你使用四環（至多1小時）或五環（至多8小時）法術位施展此法術，你可以維持更長時間的專註。使用六環及更高環階的法術位施展此法術時，此法術無需專注，並且持續時間變為24小時。</t>
  </si>
  <si>
    <t>剔除鐮刀</t>
  </si>
  <si>
    <t>Culling Sickle</t>
  </si>
  <si>
    <t>你創造出一把在持續時間內持續存在的幽靈鐮刀，並且可以攻擊你的敵人。鐮刀懸浮出現於你的空間內並跟隨你移動。當你施展此法術時，以及在你每個回合內作為附贈動作，你可以指示它飛向並打擊你周邊30尺範圍內的一個生物。進行一次遠程法術攻擊。命中時，目標受到2d8暗蝕傷害，並且你獲得等於所造成傷害一半的臨時生命值。鐮刀命中或失手后，會返回並懸浮在你的空間內。
升環施法。使用的法術位每比三環高一環，傷害就增加1d8。</t>
  </si>
  <si>
    <t>詛咒噪聲</t>
  </si>
  <si>
    <t>Cursed Cacophony</t>
  </si>
  <si>
    <t>一張樂譜</t>
  </si>
  <si>
    <t>你全神貫注於一個你熟悉且與你處於同一存在位面的生物。目標必須進行一次感知豁免，豁免失敗則在持續時間內被詛咒。一旦目標為對抗該法術而進行的豁免檢定失敗，則在接下來24小時內，你無法在儀式施展該法術時再次以其為目標。
被詛咒期間，目標會聽到縈繞心頭的不和諧音樂，並且在所有D20檢定中具有劣勢。目標在一個回合內首次失敗於一次D20檢定時，它會以既無優勢也無劣勢的方式重複對抗此法術的豁免檢定，豁免成功則提前終止該法術。</t>
  </si>
  <si>
    <t>豐收月輝</t>
  </si>
  <si>
    <t>Harvest Moonglow</t>
  </si>
  <si>
    <t>一塊月光石</t>
  </si>
  <si>
    <t>你呼喚豐收之月的光輝，照亮以施法距離內一點為源點的20尺球狀區域。該區域會沐浴在銀色的微光光照下。在該光照下具有隱形狀態的生物和物件會以半透明的閃爍影像形式變得可見。當你的一位盟友位於該光照下時，它可以使用附贈動作吸收部分光輝，獲得2d6臨時生命值。
升環施法。使用的法術位每比三環高一環，臨時生命值就增加1d6。</t>
  </si>
  <si>
    <t>孤立術</t>
  </si>
  <si>
    <t>Isolation</t>
  </si>
  <si>
    <t>一小塊金屬方塊</t>
  </si>
  <si>
    <t>施法距離內一個你可見的生物必須進行一次感知豁免，豁免失敗則其心智將被完全孤立的恐懼所籠罩。在持續時間內，其他所有生物都對目標具有隱形狀態，目標無法看穿此狀態——即便使用盲視、真實視覺或如同法術識破隱形See Invisibility之類的魔法——並且目標無法通過任何其他感官感知其他生物。目標會在移動時繞開其他生物，或以其他方式合理化地不穿過其他生物所占據的空間（例如，如果另一個生物擋在路上，目標會認為那是一扇關着的門或是一堵牆）。目標仍然能感受到疼痛，但無法確定任何由其他生物所造成的傷害的來源。目標在其每個回合結束時重複該豁免，豁免成功則終止自身該法術。</t>
  </si>
  <si>
    <t>殉道術</t>
  </si>
  <si>
    <t>Martyr</t>
  </si>
  <si>
    <t>一把價值1+CP的匕首</t>
  </si>
  <si>
    <t>你觸碰一個在過去1分鐘內死亡的生物，並將你的生命精粹轉移到它體內。目標以等於你當前生命值總值的生命值復活。你立即降至0生命值（無法以任何方式阻止），並獲得兩次失敗的死亡豁免檢定，且你必須立即進行一次死亡豁免。直至你進行這次死亡豁免之前，你無法恢復生命值或變得傷勢穩定。</t>
  </si>
  <si>
    <t>悼亡迷霧</t>
  </si>
  <si>
    <t>Mist of Mourning</t>
  </si>
  <si>
    <t>你召喚出一片稀薄迷霧，汲取以施法距離內一點為中心的20尺球狀區域內的歡樂與活力。在迷霧出現時位於其中，或在一個回合內首次進入迷霧或在迷霧內結束自己回合的每個生物，都必須進行一次魅力豁免，豁免失敗則會充滿深深的憂郁，直至其下一回合結束。受影響生物的速度減半，其攻擊檢定具有劣勢，並且其所有傷害擲骰都會減去1d8。</t>
  </si>
  <si>
    <t>牧群聖所</t>
  </si>
  <si>
    <t>Sanctum of the Flock</t>
  </si>
  <si>
    <t>價值25+GP的銀粉，作為該法術的耗材</t>
  </si>
  <si>
    <t>你以施法距離內一點為中心，創造出一個閃爍微弱光芒的20尺球狀區域。你和你選擇的至多等於你施法屬性調整值的生物（至少1個其他生物）可以從該球狀區域吸收賦權魔法。當任何被選中的生物在該區域內完成一次長休時，球狀區域消失，這些生物獲得2d10臨時生命值，並且在剩餘持續時間內，他們在使用其擁有技能熟練的魅力檢定中具有優勢。未在球狀區域內完成一次長休的被選中生物不會獲得任何增益。</t>
  </si>
  <si>
    <t>朱紅黎明</t>
  </si>
  <si>
    <t>Scarlet Dawn</t>
  </si>
  <si>
    <t>朱紅色光芒在以施法距離內一點為中心的20尺半徑，60尺高的柱狀區域內傾瀉而下。該區域內每個非構裝非亡靈生物都必須進行一次體質豁免，豁免失敗則受到4d10暗蝕傷害，豁免成功則受到一半傷害。該區域內的構裝與亡靈會恢復4d10生命值。
如果該法術的任何區域與任何三環或更低環階法術創造的黑暗區域重疊，則這些造暗的法術將被解除。
升環施法。使用的法術位每比三環高一環，傷害就增加1d10，可被解除的法術的環階就增加1。</t>
  </si>
  <si>
    <t>汲影術</t>
  </si>
  <si>
    <t>Shadow Drain</t>
  </si>
  <si>
    <t>你通過陰影汲取源自你的15尺光環區域內生物的活力與自我意識。當你施展該法術時，你可以指定某些生物不受其影響。每當其他生物進入該光環或在其中開始其回合，或當該光環進入生物的佔據空間時，該生物必須進行一次魅力豁免。若豁免失敗，則該生物受到2d6暗蝕傷害，並且其攻擊檢定和屬性檢定會具有劣勢，直至其下一回合結束。若豁免成功，則該生物僅受到一半傷害。一名生物一個回合內只進行一次該豁免。
升環施法。使用的法術位每比三環高一環，傷害就增加1d6。</t>
  </si>
  <si>
    <t>活埋術</t>
  </si>
  <si>
    <t>Buried Alive</t>
  </si>
  <si>
    <t>一撮墳土</t>
  </si>
  <si>
    <t>即使敵人尚未死亡，你也能將它們送入墳墓。施法距離內一個站在地面上的你可見生物必須進行一次力量豁免。若豁免失敗，則地面開裂並吞沒目標，將其埋葬入至多10尺深的地下。在被埋葬期間，目標具有全身掩護，陷入束縛和目盲狀態，並且無法呼吸。若豁免成功，則目標陷入倒地狀態，並且其速度為0，直至其下一回合結束。被埋葬的生物可以通過使用其動作進行一次DC15的力量（運動）檢定來嘗試從墳墓中掘出。檢定成功時，它向地表掘進5尺。檢定成功且差值為5或更高時，則其到達地表。當該生物到達地表時，它會以倒地狀態從地面出來。
如果目標站在任意厚度的石頭或金屬上，或者至少2寸厚的木頭上，則其在該豁免檢定中自動成功。</t>
  </si>
  <si>
    <t>野性呼喚</t>
  </si>
  <si>
    <t>Call of the Wild</t>
  </si>
  <si>
    <t>少許獸毛或獸皮</t>
  </si>
  <si>
    <t>你發出一聲原始的嚎叫，召喚低等生物聽從你的命令。當你施展此法術時，源自你的100尺光環區域內的每個野獸都必須進行一次感知豁免。若豁免失敗，則目標陷入魅惑狀態，能夠理解你的命令，並且在其下一回合內盡可能地遵循這些命令。在你的隨后回合內，你可以使用魔法動作下達新的命令。若豁免成功，則目標陷入魅惑狀態，直至你的下一回合開始，但是你無法進一步命令它。該嚎叫最遠300尺內都能聽見。</t>
  </si>
  <si>
    <t>薪火焚身</t>
  </si>
  <si>
    <t>Consuming Pyre</t>
  </si>
  <si>
    <t xml:space="preserve">你使施法距離內一個你可見的生物爆燃起貪饕的無情烈焰。目標必須進行一次敏捷豁免。若豁免失敗，則目標受到2d8火焰傷害和2d8暗蝕或光耀傷害（施法時選擇），並且灼灼烈焰會持續燃燒。若豁免成功，則目標僅受到一半傷害。
在烈焰持續燃燒期間，目標會在自己每個回合開始時再次受到該傷害。目標或目標觸及距離內的其他生物可以使用動作讓目標重復該豁免，豁免成功則終止該法術。
被此法術的傷害殺死的生物會連同其穿戴或攜帶的任何非魔法裝備一起化為灰燼。
</t>
  </si>
  <si>
    <t>絕望侵襲</t>
  </si>
  <si>
    <t>Intrusive Despair</t>
  </si>
  <si>
    <t>一朵曼陀羅花</t>
  </si>
  <si>
    <t>你詛咒施法距離內的一個生物，使其內心充滿逐漸蔓延的偏執與絕望。當目標執行攻擊或魔法動作時，其必須進行一次感知豁免，豁免失敗則浪費其動作。一旦目標在對抗該法術的豁免檢定中累計成功三次，則該法術終止。</t>
  </si>
  <si>
    <t>兇殺鴉群</t>
  </si>
  <si>
    <t>Murder of Crows</t>
  </si>
  <si>
    <t>一根烏鴉羽毛</t>
  </si>
  <si>
    <t>你召喚並釋放出一群致命的烏鴉。以你為源點的30尺錐狀區域內的每個你選擇的生物都必須進行一次敏捷豁免。若豁免失敗，則目標受到5d6力場傷害，並陷入目盲狀態。若豁免成功，則目標僅受到一半傷害。目盲的生物在其每個回合結束時重複該豁免，豁免成功則終止自身該效應。如果該生物恢復任何生命值，效應也會終止。鴉群會在發動襲擊後分散並消失。
升環施法。使用的法術位每比四環高一環，傷害就增加1d6。</t>
  </si>
  <si>
    <t>傀儡掌控</t>
  </si>
  <si>
    <t>Puppet Master</t>
  </si>
  <si>
    <t>一根提線木偶的絲線</t>
  </si>
  <si>
    <t>施法距離內一個你可見的生物必須進行一次感知豁免，豁免失敗則在持續時間內陷入魅惑狀態。
魔法性的提線木偶的絲線附着在被魅惑生物的肢體或軀幹上。它必須在自己回合內使用動作，對你以精神選擇的除自身以外的一個其他生物進行一次近戰攻擊，如有必要會移動以觸及目標。若你未選擇其他生物，或目標移動後仍然無法觸及所選生物，則目標可在自己回合內正常行動。目標在其每個回合結束時重複該豁免，豁免成功則終止自身該法術。
在你的後續回合中，你必須使用附贈動作來維持對目標的控制，否則該法術終止。</t>
  </si>
  <si>
    <t>祭獻虹吸</t>
  </si>
  <si>
    <t>Sacrificial Siphon</t>
  </si>
  <si>
    <t>你觸碰另一個生物，並對其施加一道詛咒，汲取其活力轉移給自己。目標必須進行一次魅力豁免。若豁免失敗，則目標在持續時間內被詛咒。被詛咒期間，目標的攻擊檢定和屬性檢定必須減去1d4，並且當目標受到傷害時，你可以使用反應獲得10臨時生命值。若豁免成功，則你獲得5臨時生命值，並且目標的屬性檢定必須減去1d4，直至你的下一回合開始。</t>
  </si>
  <si>
    <t>牧人聖所</t>
  </si>
  <si>
    <t>Sanctum of the Shepherd</t>
  </si>
  <si>
    <t>價值200+GP的精金粉或鑽石粉，作為該法術的耗材</t>
  </si>
  <si>
    <t>你以施法距離內一點為中心，創造出一個閃爍微弱光芒的20尺球狀區域。你和你選擇的至多等於你施法屬性調整值的生物（至少1個其他生物）可以從該球狀區域吸收護佑魔法。當任何被選中的生物在該區域內完成一次長休時，球狀區域消失，在剩餘持續時間內，這些生物的AC會獲得+1加值。未在球狀區域內完成一次長休的被選中生物不會獲得增益。</t>
  </si>
  <si>
    <t>收割場</t>
  </si>
  <si>
    <t>Field of Reaping</t>
  </si>
  <si>
    <t>一粒乾燥的玉米殼或小麥殼</t>
  </si>
  <si>
    <t>你以施法距離內一點為源點，創造出一個30尺立方的陰影區域，收割流失的生命力。當區域出現時位於其中的與你敵對的生物，或在一個回合內首次進入該區域或在該區域內結束自己回合的生物，都會被詛咒，直至其下一回合結束。在被詛咒期間，當該生物在一個回合內首次受到傷害時，其會額外受到1d6暗蝕傷害，並且區域內一個你選擇的未被此詛咒影響的生物，恢復等於所造成暗蝕傷害的生命值。
升環施法。使用的法術位每比五環高一環，傷害就增加1d6。</t>
  </si>
  <si>
    <t>幸運護符</t>
  </si>
  <si>
    <t>Lucky Charm</t>
  </si>
  <si>
    <t>一片四葉草和一塊鏡子碎片</t>
  </si>
  <si>
    <t>你觸碰一個非魔法的微型物件，在持續時間內將你的一部分運氣注入其中。當另一個生物攜帶該物件期間，該生物在D20檢定中具有優勢，而你在D20檢定中具有劣勢。</t>
  </si>
  <si>
    <t>鏡像痛苦</t>
  </si>
  <si>
    <t>Mirrored Agony</t>
  </si>
  <si>
    <t>反應，60尺內一個你可見的生物對你的盟友造成傷害時可用</t>
  </si>
  <si>
    <t>一根別針或針</t>
  </si>
  <si>
    <t>觸發生物必須進行一次感知豁免。若豁免失敗，則其受到等於對你盟友所造成傷害的心靈傷害。若豁免成功，則其受到一半傷害。</t>
  </si>
  <si>
    <t>鬼怖沖鋒</t>
  </si>
  <si>
    <t>Ghastly Charge</t>
  </si>
  <si>
    <t>一塊旗幟碎片</t>
  </si>
  <si>
    <t>你喚起眾多已逝騎士之精魂，從你所在之處向前衝鋒，形成一條90尺長、20尺寬的線狀區域，隨後消失。該線狀區域內每個你選擇的生物都必須進行一次感知豁免。若豁免失敗，則目標受到5d12暗蝕傷害，陷入恐慌狀態，直至你的下一回合開始，並且其必須立即使用反應（若可用），以最安全的路線盡可能遠離你。若豁免成功，則該生物僅受到一半傷害。
升環施法。使用的法術位每比六環高一環，傷害就增加1d12。</t>
  </si>
  <si>
    <t>貓之躍動</t>
  </si>
  <si>
    <t>Cat's Spring</t>
  </si>
  <si>
    <t>你跳躍至多10尺至一處你可見的未佔據空間，並以幽靈爪發動攻擊，造成揮砍或力場傷害（由你選擇）。你對目標發動一次近戰法術攻擊。命中則目標受到1d8你選擇類型的傷害，且你在你的下個回合開始前對其發動的下一次攻擊具有優勢。
升環施法。本法術的傷害會在你達到下列等級時提升1d8：5級（2d8）、11級（3d8）以及17級（4d8）。</t>
  </si>
  <si>
    <t>透特之頌</t>
  </si>
  <si>
    <t>Chant of Thoth</t>
  </si>
  <si>
    <t>在法術持續期間，當你首次進行智力檢定失敗時，若該檢定的DC低於你的法術豁免DC，則自動視為成功；否則你獲得+2加值。使用此效應後，需完成一次短休方可再次觸發。</t>
  </si>
  <si>
    <t>惑影術</t>
  </si>
  <si>
    <t>Confounding Shadows</t>
  </si>
  <si>
    <t>你召喚一團扭動的暗影法球，並將其擲向施法距離內的一個生物。目標必須進行一次感知豁免，豁免失敗則受到1d6心靈傷害，並且直至你的下一回合結束前都無法看見你。
戲法強化。到達特定等級后，此戲法的傷害將增加1d6：5級（2d6）、11級（3d6）、17級（4d6）。</t>
  </si>
  <si>
    <t>邪眼術</t>
  </si>
  <si>
    <t>Evil Eye</t>
  </si>
  <si>
    <t>你凝視范圍內一隻可見的生物，並對其施加惡意詛咒。目標受到1d4+2心靈傷害，且對其發動的攻擊檢定與徒手打擊在d20擲出19或20時即可觸發重擊。
戲法強化。到達特定等級后，此戲法的傷害將增加1d4+2：5級（2d4+4）、11級（3d4+6）、17級（4d4+8）。</t>
  </si>
  <si>
    <t>戈爾戈羅斯形體扭曲術</t>
  </si>
  <si>
    <t>Body Warping of Gorgoroth</t>
  </si>
  <si>
    <t>選擇一個視野內你可見且與你同等體型的類人生物。你的外形在法術持續時間內變化為該生物的完美復制。即便通過徹底的物理檢查也無法分辨你與目標間的區別。
你的聲音和裝備不會變化。</t>
  </si>
  <si>
    <t>拉萊耶造霧術</t>
  </si>
  <si>
    <t>Create Mist of R'lyeh</t>
  </si>
  <si>
    <t>拉萊耶是一座籠罩于恐懼之迷霧中的古老城市。你利用那恐懼迷霧，以施法距離內一點為中心創造一片半徑20尺的球狀迷霧。該球狀區域內處於輕度遮蔽。在其中可以看見一些詭異而轉瞬即逝的模糊影像。在該球狀區域內結束其回合的生物受到1d4心靈傷害。智力為3或更低的野獸會主動拒絕進入這片球狀區域。</t>
  </si>
  <si>
    <t>黑潮</t>
  </si>
  <si>
    <t>Tide of Darkness</t>
  </si>
  <si>
    <t xml:space="preserve">你釋放出一股旋轉的暗影浪潮，籠罩你身周的區域。你施展該法術時，位於源自你的10尺立方區域的黑暗內的每名生物進行一次感知豁免。豁免失敗則受到2d8心靈傷害，並陷入目盲直至其不在位於該黑暗區域。豁免成功則其僅受半傷且不會陷入目盲。黑暗持續至你的下個回合結束。
升環施法。使用的法術位每比五環高一環，立方區域的邊長就增加5尺。
</t>
  </si>
  <si>
    <t>暗影觸須</t>
  </si>
  <si>
    <t>Umbral Tendril</t>
  </si>
  <si>
    <t xml:space="preserve">你創造出一條竊取生命的幽影長須，猛然抽向施法距離內一個你可見的生物。對目標進行一次遠程法術攻擊。若命中，目標將受到2d8暗蝕傷害，而你則獲得等同於所造成傷害的臨時生命值。
升環施法。使用的法術位每比一環高一環，傷害便增加1d8。
</t>
  </si>
  <si>
    <t>深淵之息</t>
  </si>
  <si>
    <t>Breath of the Deep</t>
  </si>
  <si>
    <t>你從至深的海溝下咒喚海水包圍一個施法距離內你可見的生物。海水將滲入目標的嘴中並環繞其身體，緩慢地以大海深不可測的重壓碾碎目標。目標承受3d6鈍擊傷害，且在持續時間內無法說話或使用含有言語成分的法術。</t>
  </si>
  <si>
    <t>黑暗攫握</t>
  </si>
  <si>
    <t>Clutch of Darkness</t>
  </si>
  <si>
    <t>你創造出一股恐怖的力量，緩慢地從內部擠壓目標。選擇施法距離內一可見生物，擲2d6並記錄擲出的總值。在你之後的每個回合開始時，再擲一次2d6並將擲出的數值加到總值上。
●若總值大於目標的力量，則其基於力量的攻擊檢定具有劣勢。
●若總值大於目標的敏捷，則其速度減半，且針對它的攻擊檢定具有優勢。
●若總值大於目標的當前生命值，則目標會立即向內坍縮並死亡。</t>
  </si>
  <si>
    <t>貓之優雅</t>
  </si>
  <si>
    <t>Feline Grace</t>
  </si>
  <si>
    <t>你獲得貓一樣的靈巧反應力和平衡力。你獲得以下增益直至法術結束：
只要你未陷入失能，你免疫倒地
當你墜落時，你能夠以反應減少一定墜落傷害，數值等於你等級的五倍
你的敏捷檢定和敏捷豁免獲得優勢
你的跳躍距離翻倍</t>
  </si>
  <si>
    <t>腐爛外皮之詛咒</t>
  </si>
  <si>
    <t>Curse of the Putrid Husk</t>
  </si>
  <si>
    <t>你在目標的腦海中製造駭人幻象，使其堅信自身肉體正緩慢腐爛。范圍內一位你能看見的生物將目睹自己腐朽潰爛，並陷入末日將至的恐懼。選擇以下一種效果生效：
被詛咒的生物會無私地阻止疾病蔓延至同伴。每當其在任意同伴30尺範圍內開啟回合時，若存在可移動的空間，其必須以最安全的路徑使用疾走以遠離距離最近的同伴。
被詛咒的生物會滿懷怨毒地將疾病傳染給敵人。每回合若存在可移動的空間，其必須以最安全的路徑使用疾走沖向距離最近的敵人。當其進入任意敵人5尺范圍內時，其會對該敵人發動一次徒手打擊。</t>
  </si>
  <si>
    <t>末日</t>
  </si>
  <si>
    <t>Doom</t>
  </si>
  <si>
    <t>你低語着迫近死亡的預言，這些話語滲入某個生物的命運絲線，將其引向死亡的時刻。一個在你施法距離內你可見的生物必須進行一次魅力豁免。豁免失敗，則當該生物受到來自一次攻擊的傷害時，你可以執行反應動作發動效果：無需擲傷害骰，而是直接使用每個傷害骰所能擲出的最大值。目標在每個其回合結束時重復豁免，豁免成功則法術終止。</t>
  </si>
  <si>
    <t>幻影豹</t>
  </si>
  <si>
    <t>Phantom Panther</t>
  </si>
  <si>
    <t>你咒喚一隻幽靈黑豹，令其撲殺施法距離內你可見的生物，撕咬並壓制其以便你近處的盟友將其擊殺。
目標進行一次力量豁免。豁免失敗則受到8d6力場傷害並陷入束縛狀態直至法術結束。豁免成功則僅受半傷然後法術結束。束縛期間，目標的回合開始時，其受到2d6力場傷害。目標或其觸及范圍內的生物能夠以動作進行力量（運動）檢定對抗你的法術豁免DC，成功則法術結束。
升環施法。使用四環或更高法術位施展該法術時，你使用的法術位每比三環高一環，傷害就增加1d6。</t>
  </si>
  <si>
    <t>幽影噴發</t>
  </si>
  <si>
    <t>Shadowy Eruption</t>
  </si>
  <si>
    <t>一個半徑20尺的陰郁球狀區域從施法距離內你所選的一點迸發，來自陰影維度的邪惡能量席捲整片區域。你選擇一個實體，將其短暫推入現實，帶來驚駭一瞬。當你施展此法術時，選擇下列選項之一：
恐懼匿於黑暗 The Darkness Hides Terrors。區域內所有你選擇的生物都必須進行一次敏捷豁免。豁免失敗則受到4d8心靈傷害，並且必須使用其反應沿最安全的路線，盡可能遠離你所選的那個點。豁免成功則僅受一半傷害。
暗影之墓 Tomb of Shadows。區域內所有你選擇的生物都必須進行一次體質豁免。豁免失敗則受到4d8暗蝕傷害，並且其速度減少20尺。豁免成功則僅受一半傷害。
升環施法。使用的法術位每比三環高一環，傷害便增加1d8。</t>
  </si>
  <si>
    <t>維瑞之印</t>
  </si>
  <si>
    <t>Voorish Sign</t>
  </si>
  <si>
    <t>你已掌握維瑞之印，這是一個據說在創世前就已存在的古代符文。選擇施法距離內你可見的一個生物。當你使用法術正常對該生物造成傷害並投擲一枚或多枚骰子時，不對此次傷害進行擲骰，取而代之，你直接取每個骰子的最大面值。此外，你可以選擇一個你能施放的5環或更低環階且施法時間為動作的法術。你可以將其作為施放維瑞之印的一部分進行施放，並同時消耗兩個法術的法術位。</t>
  </si>
  <si>
    <t>蘇萊曼之塵</t>
  </si>
  <si>
    <t>Dust of Suleiman</t>
  </si>
  <si>
    <t>你咒喚一團能夠傷害超自然生物的細密塵雲。以施法距離內一點為中心，你創造一片半徑30尺的球狀塵靄。選擇一種除野獸或類人外的生物類型。區域內所有屬于所選類型的生物受到20力場傷害。當塵靄移動到某個生物所在的空間時，或當生物進入該球狀區域、或是在該區域內結束其回合時，該生物同樣受到此傷害。一個生物每回合僅會受到一次此傷害。</t>
  </si>
  <si>
    <t>猶格·索托斯之拳</t>
  </si>
  <si>
    <t>Fist of Yog-Sothoth</t>
  </si>
  <si>
    <t>你咒喚出猶格·索托斯的恐怖卷鬚重擊你的敵人。你選擇施法距離內一個生物，迫使其進行一次力量豁免。豁免失敗者受到8d6暗蝕傷害，陷入倒地狀態，且你可以在施法範圍內將其往任意方向移動至多40尺。豁免成功則僅受8d6暗蝕傷害。</t>
  </si>
  <si>
    <t>舊日通神術</t>
  </si>
  <si>
    <t>Contact Deity</t>
  </si>
  <si>
    <t>你聯絡一位克蘇魯神話的神祇。你可以向該實體詢問1d6個能以"是"或"否"回答的問題。你必須在法術結束前問完所有問題。你的每個問題都會得到一個正確的答案。舊日支配者並非全知全能，因此，如果一個問題涉及其知識範圍之外的信息，你可能會得到"不清楚unclear"的回答。若單字回答可能造成誤導或違背其利益，DM可能會用一個短語來代替回答。
當你施展此法術時，擲一枚d20。如果擲骰結果為1，該神祇會出現在最近的未占據空間，並在法術持續時間內攻擊區域內的生物（包括你），之後才會返回其領域。</t>
  </si>
  <si>
    <t>送神術</t>
  </si>
  <si>
    <t>Dismiss Deity</t>
  </si>
  <si>
    <t>你行使宇宙的自然秩序，將一個神話實體強行遣返其來處。選擇施法距離內一位你可見的處於浴血的神話生物或神話神祇。目標會被傳送至一個與其生物類型相關的位面（由DM選擇）中的一個隨機位置。</t>
  </si>
  <si>
    <t>貓貓大混亂</t>
  </si>
  <si>
    <t>Feline Chaos</t>
  </si>
  <si>
    <t>自你所選定一點的20尺球型範圍內的每名目標必須成功通過一次敏捷豁免，否則將在持續時間內受到此法術影響。受影響的目標在其每個回合開始時受到4d6揮砍傷害，且其攻擊和屬性檢定具有劣勢。若目標試圖移動，其必須進行一次體質豁免，失敗則陷入倒地並再受到受驚貓咪的2d6揮砍傷害。受影響生物回合結束時，進行另一次敏捷豁免，成功則結束其身上的此法術效應。
升環施法。使用六環或更高法術位施展該法術時，你使用的法術位每比五環高一環，受影響目標回合開始時受到的傷害就增加2d6。
(勘誤內容來自：https://www.dndbeyond.com/forums/d-d-beyond-general/general-discussion/227090-cthulhu-by-torchlight)</t>
  </si>
  <si>
    <t>暗影召喚術</t>
  </si>
  <si>
    <t>Summon Shadow</t>
  </si>
  <si>
    <t>你喚來一個暗影精魂。其使用暗影精魂的數據卡，並會在施法距離內一處你可見的未佔據空間中顯現為一個純黑色輪廓。當你施展法術時，從滲透者或暗殺者選擇一個，其數據卡中的部分特性也受此影響。該生物會在生命值降為0或是法術結束時消失。
該生物是你和你同伴的盟友。它在戰斗中使用你的先攻，並在你回合結束后立即行動。它遵從於你的口頭指令（無需任何動作）。如果你未發出任何命令，它將執行迴避動作並用移動力遠離危險。
升環施法。該生物的數據使用新的法術環階。</t>
  </si>
  <si>
    <t>赤印術</t>
  </si>
  <si>
    <t>Red Sign</t>
  </si>
  <si>
    <t>你將手舉過頭頂，咒喚蘊含着龐大力量，對周圍一切充滿敵意的可怖赤印。持續時間內，在你每個回合結束時，位於你30尺內的每個生物（包括你自己）都會受到5d8的暗蝕傷害，此傷害不會終止你的專注。若一個生物的生命值因此降至0，則他連同其穿着和攜帶的非魔法物品一起化為一灘粘液和內臟。因此而死的生物只能通過完全復生術True Resurrection或祈願術Wish復活。</t>
  </si>
  <si>
    <t>阿撒托斯的恐怖詛咒</t>
  </si>
  <si>
    <t>Dread Curse of Azathoth</t>
  </si>
  <si>
    <t>你念誦阿撒托斯的隱秘名諱，將一個生物引向註定的死亡。該生物在其每個回合結束時獲得1詛咒點，當該生物獲得3詛咒點時，它立即死亡。這個法術所產生的所有詛咒點將在法術結束時消失。</t>
  </si>
  <si>
    <t>請神術</t>
  </si>
  <si>
    <t>Call Deity</t>
  </si>
  <si>
    <t>你只能在你所施展的法術通神術Contact Deity的持續時間內施展此法術。你使你所聯絡的神祇顯現在最近的未占據空間。在1小時內，祂會按照自己的意願行事，但只要你不對祂採取敵對行動，祂便會將你視為盟友。祂不會將此等禮遇延伸至你的盟友，且會將你為保護他人而進行的任何嘗試都視為對祂的敵對行動。</t>
  </si>
  <si>
    <t>忘卻波</t>
  </si>
  <si>
    <t>Wave of Oblivion</t>
  </si>
  <si>
    <t>你創造出覆蓋30尺錐狀區域的湮滅能量，區域內每個浴血生物必須進行一次體質豁免。豁免失敗者立即死亡，且連同其穿着和攜帶的非魔法物品一起化為灰塵。因此而死的生物只能通過完全復生術True Resurrection或祈願術Wish復活。</t>
  </si>
  <si>
    <t>安黛爾靜默聖所</t>
  </si>
  <si>
    <t>Aundair's Silent Sanctum</t>
  </si>
  <si>
    <t>你在自身周圍產生一個半徑 5 呎範圍的隱形能量氣泡。這個球體會減弱雙向的聲音傳遞。位於球體範圍外的生物，在進行聆聽範圍內聲音的感知（察覺）檢定時具有劣勢，位於發散範圍內的生物在進行聆聽範圍外聲音的感知（察覺）檢定時也具有劣勢。
此外，若有任何效應要求生物必須聽見來自發散範圍另一側的聲音（例如命令術），該生物在對抗此類效應的豁免檢定上具有優勢。</t>
  </si>
  <si>
    <t>震盪爆發</t>
  </si>
  <si>
    <t>Concussive Burst</t>
  </si>
  <si>
    <t>一道能量脈衝在你射程內選擇的一點空氣中激盪，造成大範圍的輕微傷害。以該點為中心，半徑 20 呎球體範圍內的每個生物都必須進行一次體質豁免。豁免失敗者將受到 2d4 點力場傷害，並陷入耳聾狀態，直到你的下一個回合結束。豁免成功僅受到一半傷害。
升環施法：當你使用 2 環或更高環階的法術位施展此法術時，每比 1 環高一環，傷害便增加 2d4。</t>
  </si>
  <si>
    <t>力場爆</t>
  </si>
  <si>
    <t>Force Blast</t>
  </si>
  <si>
    <t>180 呎</t>
  </si>
  <si>
    <t>你向施法距離內的一個生物或物件釋放出一束神秘的能量。對目標進行一次遠程法術攻擊。擊中時，目標受到 1d8 點力場傷害。
戲法升級：當你達到 5 級（2d8）、11 級（3d8）和 17 級（4d8）時，此傷害增加 1d8。</t>
  </si>
  <si>
    <t>魔法工藝</t>
  </si>
  <si>
    <t>Magecraft</t>
  </si>
  <si>
    <t>一套工匠工具或草藥工具</t>
  </si>
  <si>
    <t>你將你的奧術天賦引導至一套工具之中。選擇一套工匠工具或草藥工具。直到法術結束前，當你對該選定的工具採取使用物件動作並進行屬性檢定時，該次檢定獲得 1d6 加值。</t>
  </si>
  <si>
    <t xml:space="preserve">      一環列表</t>
  </si>
  <si>
    <t xml:space="preserve">     二環列表</t>
  </si>
  <si>
    <t xml:space="preserve">      三環列表</t>
  </si>
  <si>
    <t xml:space="preserve">      四環列表</t>
  </si>
  <si>
    <t xml:space="preserve">      五環列表</t>
  </si>
  <si>
    <t xml:space="preserve">      六環列表</t>
  </si>
  <si>
    <t xml:space="preserve">      七環列表</t>
  </si>
  <si>
    <t xml:space="preserve">      八環列表</t>
  </si>
  <si>
    <t xml:space="preserve">      九環列表</t>
  </si>
  <si>
    <t>生物數據</t>
  </si>
  <si>
    <t>坐騎相關</t>
  </si>
  <si>
    <t>通用語,</t>
  </si>
  <si>
    <t>矮人語,</t>
  </si>
  <si>
    <t>感官能力</t>
  </si>
  <si>
    <t>抗性＆免疫</t>
  </si>
  <si>
    <t>護甲與配件</t>
  </si>
  <si>
    <t>精靈語,</t>
  </si>
  <si>
    <t>生物名稱</t>
  </si>
  <si>
    <t>生物來源</t>
  </si>
  <si>
    <t>生物陣營</t>
  </si>
  <si>
    <t>被動觀察</t>
  </si>
  <si>
    <t>傷害易傷</t>
  </si>
  <si>
    <t>玩家是否騎乘</t>
  </si>
  <si>
    <t>巨人語,</t>
  </si>
  <si>
    <t>護馬鎧甲</t>
  </si>
  <si>
    <t>地侏語,</t>
  </si>
  <si>
    <t>法術環階</t>
  </si>
  <si>
    <t>盲視</t>
  </si>
  <si>
    <t>無鞍座</t>
  </si>
  <si>
    <t>選擇順序：來源&gt;名稱&gt;類型&gt;環階</t>
  </si>
  <si>
    <t>震顫感知</t>
  </si>
  <si>
    <t>傷害抗性</t>
  </si>
  <si>
    <t>馬嚼和繮繩</t>
  </si>
  <si>
    <t>1</t>
  </si>
  <si>
    <t>半身人語,</t>
  </si>
  <si>
    <t>真實視覺</t>
  </si>
  <si>
    <t>獸人語,</t>
  </si>
  <si>
    <t>臨時</t>
  </si>
  <si>
    <t>TOKEN</t>
  </si>
  <si>
    <t>防禦</t>
  </si>
  <si>
    <t>吉斯語,</t>
  </si>
  <si>
    <t>移動速度</t>
  </si>
  <si>
    <t>傷害免疫</t>
  </si>
  <si>
    <t>龍語,</t>
  </si>
  <si>
    <t>天界語,</t>
  </si>
  <si>
    <t>浮空</t>
  </si>
  <si>
    <t>掘地</t>
  </si>
  <si>
    <t>狀態免疫</t>
  </si>
  <si>
    <t>鞍囊</t>
  </si>
  <si>
    <t>煉獄語,</t>
  </si>
  <si>
    <t>德魯伊語,</t>
  </si>
  <si>
    <t>原初語,</t>
  </si>
  <si>
    <t>魔寵筆記</t>
  </si>
  <si>
    <t>氣族語,</t>
  </si>
  <si>
    <t>木族語,</t>
  </si>
  <si>
    <t>動作選項</t>
  </si>
  <si>
    <t>特性</t>
  </si>
  <si>
    <t>反應</t>
  </si>
  <si>
    <t>坐騎總重量</t>
  </si>
  <si>
    <t>陣營</t>
  </si>
  <si>
    <t>特性A</t>
  </si>
  <si>
    <t>特性B</t>
  </si>
  <si>
    <t>特性C</t>
  </si>
  <si>
    <t>特性D</t>
  </si>
  <si>
    <t>動作A</t>
  </si>
  <si>
    <t>動作B</t>
  </si>
  <si>
    <t>動作C</t>
  </si>
  <si>
    <t>動作D</t>
  </si>
  <si>
    <t>動作E</t>
  </si>
  <si>
    <t>附贈動作A</t>
  </si>
  <si>
    <t>附贈動作B</t>
  </si>
  <si>
    <t>附贈動作C</t>
  </si>
  <si>
    <t>附贈動作D</t>
  </si>
  <si>
    <t>反應A</t>
  </si>
  <si>
    <t>反應B</t>
  </si>
  <si>
    <t>反應C</t>
  </si>
  <si>
    <t>反應D</t>
  </si>
  <si>
    <t>異怪精魂</t>
  </si>
  <si>
    <t>Aberrant Spirit</t>
  </si>
  <si>
    <t>異怪 Aberration</t>
  </si>
  <si>
    <t>中立</t>
  </si>
  <si>
    <t>野獸精魂</t>
  </si>
  <si>
    <t>Bestial Spirit</t>
  </si>
  <si>
    <t>野獸 Beast</t>
  </si>
  <si>
    <t>天界精魂</t>
  </si>
  <si>
    <t>Celestial Spirit</t>
  </si>
  <si>
    <t>天界生物 Celestial</t>
  </si>
  <si>
    <t>大型</t>
  </si>
  <si>
    <t>魅惑、恐懼</t>
  </si>
  <si>
    <t>構裝精魂</t>
  </si>
  <si>
    <t>Construct Spirit</t>
  </si>
  <si>
    <t>構裝體 Construct</t>
  </si>
  <si>
    <t>毒素</t>
  </si>
  <si>
    <t>魅惑、力竭、恐懼、麻痺、中毒</t>
  </si>
  <si>
    <t>龍族精魂</t>
  </si>
  <si>
    <t>Draconic Spirit</t>
  </si>
  <si>
    <t>龍 Dragon</t>
  </si>
  <si>
    <t>強酸、冰凍、火焰、閃電、毒素</t>
  </si>
  <si>
    <t>魅惑、恐懼、中毒</t>
  </si>
  <si>
    <t>分享抗性Shared Resistances。
當你召喚此精魄時，選擇一項它具有的傷害抗性。直到法術結束前，你也會獲得所選傷害的抗性。</t>
  </si>
  <si>
    <t>吐息武器Breath Weapon。
敏捷豁免：DC等於你的法術豁免DC，30呎錐狀內的每個生物。
失敗：2d6點傷害（傷害類型由你在施法時從靈魄的傷害抗性中選擇）。
成功：半傷。</t>
  </si>
  <si>
    <t>元素精魂</t>
  </si>
  <si>
    <t>Elemental Spirit</t>
  </si>
  <si>
    <t>元素 Elemental</t>
  </si>
  <si>
    <t>力竭、麻痺、石化、中毒</t>
  </si>
  <si>
    <t>妖精精魂</t>
  </si>
  <si>
    <t>Fey Spirit</t>
  </si>
  <si>
    <t>精類 Fey</t>
  </si>
  <si>
    <t>魅惑</t>
  </si>
  <si>
    <t>邪魔精魂</t>
  </si>
  <si>
    <t>Fiendish Spirit</t>
  </si>
  <si>
    <t>邪魔 Fiend</t>
  </si>
  <si>
    <t>中毒</t>
  </si>
  <si>
    <t>魔法抗性Magical Resistance。
精魄為抵抗法術和其他魔法效應而作的豁免檢定具有優勢。</t>
  </si>
  <si>
    <t>亡靈精魂</t>
  </si>
  <si>
    <t>Undead Spirit</t>
  </si>
  <si>
    <t>不死生物 Undead</t>
  </si>
  <si>
    <t>暗蝕、毒素</t>
  </si>
  <si>
    <t>力竭、恐懼、麻痺、中毒</t>
  </si>
  <si>
    <t>巨蟲</t>
  </si>
  <si>
    <t>蛛行Spider Climb。
巨蟲能夠在困難表面上攀爬，包括倒吊在天花板上，而不需要進行屬性檢定。</t>
  </si>
  <si>
    <t>Animated Object</t>
  </si>
  <si>
    <t>無陣營</t>
  </si>
  <si>
    <t>毒素、心靈</t>
  </si>
  <si>
    <t>異界坐騎</t>
  </si>
  <si>
    <t>Otherworldly Steed</t>
  </si>
  <si>
    <t>生命連結Life Bond。
當你從一道一環或以上的法術中恢復生命值時，若你位於坐騎5呎內，則坐騎也會恢復等量的生命值。</t>
  </si>
  <si>
    <t>殭屍</t>
  </si>
  <si>
    <t>Zombie</t>
  </si>
  <si>
    <t>中立邪惡</t>
  </si>
  <si>
    <t>中毒、力竭</t>
  </si>
  <si>
    <t>不死堅韌Undead Fortitude。
當殭屍被非光耀且非重擊的傷害降至0生命值時，它必須進行一次DC為5＋所受傷害值的體魄豁免，豁免成功則生命值改為降至1。</t>
  </si>
  <si>
    <t>猛擊Slam。
近戰攻擊：命中+3，觸及5呎。
命中：1d6+1 鈍擊傷害。</t>
  </si>
  <si>
    <t>骷髏</t>
  </si>
  <si>
    <t>Skeleton</t>
  </si>
  <si>
    <t>守序邪惡</t>
  </si>
  <si>
    <t>短劍Shortsword。
近戰攻擊：命中+5，觸及5呎。
命中：1d6+3 穿刺傷害。</t>
  </si>
  <si>
    <t>短弓Shortbow。
遠程攻擊：命中+5，射程80/320呎。
命中：1d6+3 穿刺傷害。</t>
  </si>
  <si>
    <t>Primal Companion</t>
  </si>
  <si>
    <t>遊俠獸王</t>
  </si>
  <si>
    <t>原初聯結Primal Bond。
將你的熟練加值加到野獸所進行的一切屬性檢定和豁免檢定上。</t>
  </si>
  <si>
    <t>Eldritch Cannon</t>
  </si>
  <si>
    <t>物件</t>
  </si>
  <si>
    <t>小型或微型</t>
  </si>
  <si>
    <t>火炮發射 Activate Cannon（需要你在魔能火炮60尺內）。
以一個附贈動作，你命令你的魔能火炮使用如下的火焰發射器、力場弩炮、或防禦者能力；你可以在該使用能力之前或之後指揮火炮移動至多15尺。</t>
  </si>
  <si>
    <t>火焰發射器 Flamethrower。
火炮噴出15尺錐狀火焰。區域內的每個生物進行一次對抗你法術豁免 DC 的敏捷豁免，失敗時受到 2d8 火焰傷害，成功傷害減半。錐狀內未被着裝或攜帶的易燃物品將會開始燃燒。</t>
  </si>
  <si>
    <t>力場弩炮 Force Ballista。
以火炮為源點對 120 尺內的一個生物或物品進行一次遠程法術攻擊。
命中時，目標受到 2d8 點力場傷害，且如果目標是一個生物，它會被向著遠離炮台的方向推開 5 尺。</t>
  </si>
  <si>
    <t>守護者 Protector。
火炮釋放出一股守護能量，賦予它自己和其 10 尺內的每個你選擇的生物等同於 1d8 加上你的智力調整值（最少為1點）的臨時生命值。</t>
  </si>
  <si>
    <t>Steel Defender</t>
  </si>
  <si>
    <t>魅惑、力竭、中毒</t>
  </si>
  <si>
    <t>鋼鐵連結 Steel Bond。
將你的熟練加值加入鋼鐵衛士進行的任何屬性檢定與豁免檢定。</t>
  </si>
  <si>
    <t>力場充能撕裂 Force-Empowered Rend。
近戰攻擊：加值等同於你的法術攻擊加值，觸及5尺。
命中：1d8+2加上你的智力調整值的力場傷害。</t>
  </si>
  <si>
    <t>修復 Repair（3次/天）。
鋼鐵衛士或它能看見的5尺範圍內的一個構裝或一個物件恢復等同於2d8加上你智力調整值的生命值。</t>
  </si>
  <si>
    <t>微型</t>
  </si>
  <si>
    <t>反射閃避 Evasion。
當人工生命僕從受到需要通過敏捷豁免來使傷害減半的效應時，作為代替，其在豁免成功時不受傷害，豁免失敗時只受一半傷害。人工生命無法在失能 狀態下使用這個特性。</t>
  </si>
  <si>
    <t>魔法連結 Magic Bond。
將你的熟練加值加入人工生命僕從進行的任何屬性檢定與豁免檢定。</t>
  </si>
  <si>
    <t>傳遞法術Channel Magic。
觸發：人工生命僕從在你120尺期間你施展了一個施法距離為觸及的法術時。
回應：人工生命體通過它的觸及傳遞法術。</t>
  </si>
  <si>
    <t>植物精魂</t>
  </si>
  <si>
    <t>Plant Spirit</t>
  </si>
  <si>
    <t>植物 Plant</t>
  </si>
  <si>
    <t>中型或大型</t>
  </si>
  <si>
    <t>目盲、耳聾、力竭、震懾</t>
  </si>
  <si>
    <t>森林再生 Sylvan Regeneration。
若精魂擁有至少 1 點生命值且處於直射陽光下，它在自己的回合開始時恢復 1 點生命值。</t>
  </si>
  <si>
    <t>海蛇精魂</t>
  </si>
  <si>
    <t>Sea Serpent Spirit</t>
  </si>
  <si>
    <t>怪獸 Monstrosity</t>
  </si>
  <si>
    <t>寒冷</t>
  </si>
  <si>
    <t>伏地</t>
  </si>
  <si>
    <t>血肉構裝體</t>
  </si>
  <si>
    <t>Fleshling Construct</t>
  </si>
  <si>
    <t>心靈</t>
  </si>
  <si>
    <t>害獸群</t>
  </si>
  <si>
    <t>Swarm of Vermin</t>
  </si>
  <si>
    <t>鼠群之王遊俠</t>
  </si>
  <si>
    <t>鈍擊、穿刺、劈砍</t>
  </si>
  <si>
    <t>魅惑、恐懼、擒抱、麻痺、石化、倒地、束縛、震懾</t>
  </si>
  <si>
    <t>群集戰術 Pack Tactics。
若目標 5 呎內至少有一個該群體的盟友且該盟友未處於失能狀態，則該群體對目標進行的攻擊檢定具有優勢。</t>
  </si>
  <si>
    <t>群體 Swarm。
害獸群可以進入並佔據另一個生物的空間，反之亦然。該群體可以穿過任何足以讓微型野獸通過的孔隙。</t>
  </si>
  <si>
    <t>原初守護者</t>
  </si>
  <si>
    <t>Primal Guardian</t>
  </si>
  <si>
    <t>野蠻人原初精魂</t>
  </si>
  <si>
    <t>保護本能 Protective Instinct。
當原初守護者進入浴血狀態時，會獲得相當於最大生命值一半的臨時生命值 ，並持續狂暴 10 分鐘。在狂暴狀態下，5 尺範圍內的敵對生物對原初守護者以外的生物攻擊檢定將具有劣勢 。</t>
  </si>
  <si>
    <t>警惕 Vigilant。
原初守護者無法被突襲。</t>
  </si>
  <si>
    <t>荒野連結 Wild Bond。
 將你的熟練加值加到野獸進行的任何能力檢定、攻擊擲骰或豁免擲骰上。</t>
  </si>
  <si>
    <t>天生武器 Natural Weapon。
近戰攻擊：加值等於你使用力量攻擊的調整值，觸及5尺。
命中：1d4+2 加上狂暴傷害加值的穿刺、鈍擊或劈砍傷害(召喚野獸時選擇)。</t>
  </si>
  <si>
    <t>身體阻礙 Body Block。
觸發：當野獸能看到的生物攻擊距離它 5 尺內的目標時。 
回應：守護者承受傷害，而非目標。</t>
  </si>
  <si>
    <t>原初打擊者</t>
  </si>
  <si>
    <t>Primal Striker</t>
  </si>
  <si>
    <t>狂怒打擊 Enraged Strikes。
 當你狂暴時，野獸的攻擊擲骰具有優勢 。</t>
  </si>
  <si>
    <t>天生武器 Natural Weapon。
近戰攻擊：加值等於你使用力量攻擊的調整值，觸及5尺。
命中：1d8+2 加上狂暴傷害加值的穿刺、鈍擊或劈砍傷害(召喚野獸時選擇)。</t>
  </si>
  <si>
    <t>暗影精魂</t>
  </si>
  <si>
    <t>Shadow Spirit</t>
  </si>
  <si>
    <t>虛體通道 Incorporeal Passage。
精魂可以移動穿過其他生物或物件，如同穿過困難地形一般。如果精魄結束其回合時還處於有生物或物件的空間內，其將被移入最近的未佔據空間中並且每被移5尺受到1d10力場傷害。</t>
  </si>
  <si>
    <t>幽影隱匿 Shadow Stealth。
若靈魄身處微光光照或黑暗中，其可以使用附贈動作執行躲藏動作。</t>
  </si>
  <si>
    <t>Hound</t>
  </si>
  <si>
    <t>夥伴連結 Pack Bond。
將你的熟練加值加入獵犬進行的任何屬性檢定與豁免檢定。</t>
  </si>
  <si>
    <t>啃咬 Bite。
近戰攻擊：加值等於你體質調整值加上你的熟練加值，觸及5尺。
命中：2d4+2+你體質調整值的穿刺傷害。若目標的體型為大型或更小，該生物必須通過一次力量豁免 (DC 為 8+你體質調整值加上你的熟練加值)，否則會發生你所選擇的其中一個效果：目標陷入被擒、目標陷入伏地、或他被獵犬推離 5 尺。</t>
  </si>
  <si>
    <t>小魔鬼</t>
  </si>
  <si>
    <t>Imp</t>
  </si>
  <si>
    <t>邪魔(魔鬼) Fiend (Devil)</t>
  </si>
  <si>
    <t>隱匿、欺瞞、察言觀色</t>
  </si>
  <si>
    <t>冷凍</t>
  </si>
  <si>
    <t>火焰、毒素</t>
  </si>
  <si>
    <t>魔法抗性Magic Resistance。
小魔鬼在對抗法術和其他魔法效果的豁免檢定中具有優勢。</t>
  </si>
  <si>
    <t>釘刺Sting。
近戰攻擊：命中+5，觸及5呎。
命中：1d6+3 穿刺傷害加上 2d6 毒素傷害。</t>
  </si>
  <si>
    <t>變形Shape-Shift。
小魔鬼可以變形成類似於一隻老鼠（速度20呎）、一隻渡鴉（20呎, 飛行60呎）、或一隻蜘蛛（20呎, 攀爬20呎），或者變回它的真實型態。除了註記的速度之外，它在各個型態的數據保持不變。任何它所穿戴或攜帶的裝備不會隨着變形發生轉變。</t>
  </si>
  <si>
    <t>隱形Invisibility。
小魔鬼對自己施放隱形術而不需要任何構材，使用魅力作為它的施法屬性。</t>
  </si>
  <si>
    <t>偽龍</t>
  </si>
  <si>
    <t>Pseudodragon</t>
  </si>
  <si>
    <t>中立善良</t>
  </si>
  <si>
    <t>隱匿、察覺</t>
  </si>
  <si>
    <t>魔法抗性Magic Resistance。
僞龍在對抗法術和其他魔法效果的豁免檢定中具有優勢。</t>
  </si>
  <si>
    <t>多重攻擊Multiattack。
偽龍發動 2 次啃咬攻擊。</t>
  </si>
  <si>
    <t>啃咬Bite。
近戰攻擊，命中+4，觸及5呎。
命中：1d4+2 穿刺傷害。</t>
  </si>
  <si>
    <t>釘刺Sting。
體質豁免：DC 12，目標為距離偽龍 5 呎內的一個生物。
失敗：2d4 毒素傷害，且目標陷入中毒狀態長達一小時。若豁免檢定的結果爲5點或更低，則陷入中毒狀態的目標將陷入昏迷狀態長達相同的持續時間，或直到它受到傷害或另一個生物使用一個動作將它搖醒。</t>
  </si>
  <si>
    <t>誇塞魔</t>
  </si>
  <si>
    <t xml:space="preserve">Quasit </t>
  </si>
  <si>
    <t>邪魔 (惡魔) Fiend (Demon)</t>
  </si>
  <si>
    <t>混亂邪惡</t>
  </si>
  <si>
    <t>冷凍、火焰、光耀</t>
  </si>
  <si>
    <t>魔法抗性Magic Resistance。
誇塞魔在對抗法術和其他魔法效果的豁免檢定中具有優勢。</t>
  </si>
  <si>
    <t>撕裂Rend。
近戰攻擊：命中+5，觸及5呎。
命中：1d4+3 劈砍傷害，目標陷入中毒狀態直到誇塞魔的下一個回合開始。</t>
  </si>
  <si>
    <t>驚嚇Scare (1/日)。
感知豁免：DC10，目標為距離誇塞魔 20 呎內的一個生物
失敗：目標陷入恐懼狀態長達1分鐘。目標可以在每次它的回合結束時重複這個豁免檢定，若檢定成功則結束這個效果。</t>
  </si>
  <si>
    <t>變形Shape-Shift。
誇塞魔可以變形成類似於一隻老鼠（速度20呎）、一隻渡鴉（20呎, 飛行60呎）、或一隻蜘蛛（20呎, 攀爬20呎），或者變回它的真實型態。除了註記的速度之外，它在各個型態的數據保持不變。任何它所穿戴或攜帶的裝備不會隨着變形發生轉變。</t>
  </si>
  <si>
    <t>隱形Invisibility。
誇塞魔對自己施放隱形術而不需要任何構材，使用魅力作為它的施法屬性。</t>
  </si>
  <si>
    <t>史拉蟾蝌蚪</t>
  </si>
  <si>
    <t>Slaad Tadpole</t>
  </si>
  <si>
    <t>混亂中立</t>
  </si>
  <si>
    <t>強酸、冷凍、火焰、閃電、雷鳴</t>
  </si>
  <si>
    <t>魔法抗性Magic Resistance。
史拉蟾蝌蚪在對抗法術和其他魔法效果的豁免檢定中具有優勢。</t>
  </si>
  <si>
    <t>啃咬Bite。
近戰攻擊，命中+4，觸及5呎。
命中：1d6+2 穿刺傷害。</t>
  </si>
  <si>
    <t>奇蹟斯芬克斯</t>
  </si>
  <si>
    <t>Sphinx of Wonder</t>
  </si>
  <si>
    <t>守序善良</t>
  </si>
  <si>
    <t>奧秘、宗教、隱匿</t>
  </si>
  <si>
    <t>死靈、心靈、光耀</t>
  </si>
  <si>
    <t>魔法抗性Magic Resistance。
奇蹟斯芬克斯在對抗法術和其他魔法效果的豁免檢定中具有優勢。</t>
  </si>
  <si>
    <t>撕裂Rend。
近戰攻擊：命中+5，觸及5呎。
命中：1d4+3 劈砍傷害加上 2d6 光耀傷害。</t>
  </si>
  <si>
    <t>靈光乍現Burst of Ingenuity (2/天)。
觸發條件：斯芬克斯或是距離其30呎內的另一個生物進行一次屬性檢定或豁免檢定時。
反應：斯芬克斯為檢定增加2的加值。</t>
  </si>
  <si>
    <t>小妖精</t>
  </si>
  <si>
    <t>Sprite</t>
  </si>
  <si>
    <t>察覺、隱匿</t>
  </si>
  <si>
    <t>針劍Needle Sword。
近戰攻擊：命中+6，觸及5呎。
命中：1d6+4 穿刺傷害。</t>
  </si>
  <si>
    <t>魅惑弓Enchanting Bow。
遠程攻擊：命中+6，射程40/1600呎。
命中：1 穿刺傷害，目標直到小妖精下回合開始前陷入魅惑狀態。</t>
  </si>
  <si>
    <t>真心視界Heart Sight。  
魅力豁免：DC10，5呎內一個它可見的生物（天界生物、邪魔和不死生物將自動失敗）。
  失敗：小妖精可以知道目標的情緒及陣營。</t>
  </si>
  <si>
    <t>隱形Invisibility。
小妖精對自己施放隱形術而不需要任何構材，使用魅力作為它的施法屬性。</t>
  </si>
  <si>
    <t>毒蛇</t>
  </si>
  <si>
    <t>Venomous Snake</t>
  </si>
  <si>
    <t>啃咬Bite。
近戰攻擊，命中+4，觸及5呎。
命中：1d4+2 穿刺傷害加上 1d6 毒素傷害。</t>
  </si>
  <si>
    <t>蝙蝠</t>
  </si>
  <si>
    <t>Bat</t>
  </si>
  <si>
    <t>啃咬Bite。
近戰攻擊，命中+4，觸及5呎。
命中：1 穿刺傷害。</t>
  </si>
  <si>
    <t>貓</t>
  </si>
  <si>
    <t>Cat</t>
  </si>
  <si>
    <t>跳躍者Jumper。
貓的跳躍距離取決於牠的敏捷而非力量。</t>
  </si>
  <si>
    <t>爪抓Scratch。
近戰攻擊，命中+4，觸及5呎。
命中：1 劈砍傷害。</t>
  </si>
  <si>
    <t>青蛙</t>
  </si>
  <si>
    <t>Frog</t>
  </si>
  <si>
    <t>兩棲Amphibious。
青蛙可以在空氣和水中呼吸。</t>
  </si>
  <si>
    <t>立定跳遠Standing Leap。
青蛙的跳遠距離最多10呎、且跳高距離最多5呎，無論有沒有助跑都一樣。</t>
  </si>
  <si>
    <t>啃咬Bite。
近戰攻擊，命中+3，觸及5呎。
命中：1 穿刺傷害。</t>
  </si>
  <si>
    <t>獵鷹</t>
  </si>
  <si>
    <t>Hawk</t>
  </si>
  <si>
    <t>禽爪Talons。
近戰攻擊， 命中+5，觸及5呎。
命中：1 劈砍傷害。</t>
  </si>
  <si>
    <t>蜥蜴</t>
  </si>
  <si>
    <t>Lizard</t>
  </si>
  <si>
    <t>蛛行Spider Climb。
蜥蜴可以爬越困難表面，包括倒吊在天花板上，而無須進行屬性檢定。</t>
  </si>
  <si>
    <t>啃咬Bite。
近戰攻擊，命中+2，觸及5呎。
命中：1 穿刺傷害。</t>
  </si>
  <si>
    <t>章魚</t>
  </si>
  <si>
    <t>Octapus</t>
  </si>
  <si>
    <t>壓縮Compression。
章魚可以穿過窄至 1 呎的空間而不需額外消耗移動速度。</t>
  </si>
  <si>
    <t>水下呼吸Water Breathing。
章魚只能在水下呼吸。</t>
  </si>
  <si>
    <t>觸手Tentacles。
近戰攻擊，命中+4，觸及5呎。
命中：1 鈍擊傷害。</t>
  </si>
  <si>
    <t>墨雲Ink Cloud （1 次/天）。
 觸發條件：若章魚在水中，且一個生物在章魚 5 呎內結束回合。
反應動作：章魚釋放出一團5呎邊長方塊的墨汁雲環繞在章魚周遭，緊接著章魚移動最多等同於其游泳速度的距離。這片區域變爲重度遮蔽持續1分鐘或直到一道強勁的水流與其他類似效果將墨汁沖散。</t>
  </si>
  <si>
    <t>貓頭鷹</t>
  </si>
  <si>
    <t>Owl</t>
  </si>
  <si>
    <t>飛掠Flyby。
貓頭鷹在飛出敵人的觸及範圍時不會觸發藉機攻擊。</t>
  </si>
  <si>
    <t>禽爪Talons。
近戰攻擊， 命中+3，觸及5呎。
命中：1 劈砍傷害。</t>
  </si>
  <si>
    <t>老鼠</t>
  </si>
  <si>
    <t>Rat</t>
  </si>
  <si>
    <t>脫逃Agile。
老鼠在離開敵人的觸及範圍時不會觸發藉機攻擊。</t>
  </si>
  <si>
    <t>渡鴉</t>
  </si>
  <si>
    <t>Raven</t>
  </si>
  <si>
    <t>擬聲Mimicry。
渡鴉可以模仿牠曾聽過的簡單聲音，像是人的低語聲或動物的窸窣聲等。一個聽到該聲音的生物可以進行一次DC 10的感知（洞悉）檢定以辨識出它是被模仿出來的聲音。</t>
  </si>
  <si>
    <t>喙啄Beak。
近戰攻擊，命中+4，觸及5呎。
命中：1 穿刺傷害。</t>
  </si>
  <si>
    <t>蜘蛛</t>
  </si>
  <si>
    <t>Spider</t>
  </si>
  <si>
    <t>蛛行Spider Climb。
蜘蛛可以爬越困難表面，包括倒吊在天花板上，而無須進行屬性檢定。</t>
  </si>
  <si>
    <t>蛛網行者Web Walker。
蜘蛛無視蛛網所造成的移動限制，且能夠知道任何其他與同一張蛛網接觸生物的確切位置。</t>
  </si>
  <si>
    <t>啃咬Bite。
近戰攻擊，命中+2，觸及5呎。
命中：1 穿刺傷害加上 1d4 毒素傷害。</t>
  </si>
  <si>
    <t>鼬鼠</t>
  </si>
  <si>
    <t>Weasel</t>
  </si>
  <si>
    <t>啃咬Bite。
近戰攻擊，命中+5，觸及5呎。
命中：1點穿刺傷害。</t>
  </si>
  <si>
    <t>駱駝</t>
  </si>
  <si>
    <t>Camel</t>
  </si>
  <si>
    <t>啃咬Bite。
近戰攻擊：命中+4，觸及5呎。
命中：1d4+2 鈍擊傷害。</t>
  </si>
  <si>
    <t>挽馬</t>
  </si>
  <si>
    <t xml:space="preserve">Draft Horse </t>
  </si>
  <si>
    <t>蹄擊Hooves。
近戰攻擊：命中+6，觸及5呎。
命中：1d4+4 鈍擊傷害。</t>
  </si>
  <si>
    <t>象</t>
  </si>
  <si>
    <t>Elephant</t>
  </si>
  <si>
    <t>多重攻擊Multiattack。
象發動 2 次角撞攻擊。</t>
  </si>
  <si>
    <t>角撞Gore。
  近戰攻擊：命中+8，觸及5尺。
命中：2d8+6 穿刺傷害，若象在命中前一刻向目標直線移動了至少20尺，則其還會陷入倒地狀態。</t>
  </si>
  <si>
    <t>踐踏 Trample。
敏捷豁免：DC16，一個距離5呎內且陷入倒地狀態生物。
  失敗：2d10+6鈍擊傷害。
  成功：傷害減半。</t>
  </si>
  <si>
    <t>獒犬</t>
  </si>
  <si>
    <t>Mastiff</t>
  </si>
  <si>
    <t xml:space="preserve">  啃咬Bite。
  近戰攻擊：命中+3，觸及5尺。
命中：1d6+1 穿刺傷害，且若目標為大型或更小則其陷入倒地狀態。</t>
  </si>
  <si>
    <t>騾</t>
  </si>
  <si>
    <t>Mule</t>
  </si>
  <si>
    <t>駝獸Beast of Burden。
在決定騾的載重能力時，其被視為更大一級的體型。</t>
  </si>
  <si>
    <t>蹄擊Hooves。
  近戰攻擊：命中+4，觸及5尺。
  命中：1d4+2 鈍擊傷害。</t>
  </si>
  <si>
    <t>小馬</t>
  </si>
  <si>
    <t>Pony</t>
  </si>
  <si>
    <t xml:space="preserve"> 蹄擊Hooves。
  近戰攻擊：命中+4，觸及5尺。
  命中：1d4+2 鈍擊傷害。</t>
  </si>
  <si>
    <t>騎用馬</t>
  </si>
  <si>
    <t>Riding Horse</t>
  </si>
  <si>
    <t>蹄擊Hooves。
  近戰攻擊：命中+5，觸及5尺。
  命中：1d8+3 鈍擊傷害。</t>
  </si>
  <si>
    <t>戰馬</t>
  </si>
  <si>
    <t>Warhorse</t>
  </si>
  <si>
    <t>蹄擊Hooves。
  近戰攻擊：命中+6，觸及5尺。
命中：2d4+4 鈍擊傷害。若戰馬在命中前一刻向目標直線移動了至少20呎，則其額外受到 2d4 鈍擊傷害，若目標為巨型或更小，則其陷入倒地狀態。</t>
  </si>
  <si>
    <t>金錢紀錄</t>
  </si>
  <si>
    <t>貨幣轉換</t>
  </si>
  <si>
    <t>總GP</t>
  </si>
  <si>
    <t>總SP</t>
  </si>
  <si>
    <t>總CP</t>
  </si>
  <si>
    <t>總PP</t>
  </si>
  <si>
    <t>總EP</t>
  </si>
  <si>
    <t>交易種類</t>
  </si>
  <si>
    <t>交易物品(若有)</t>
  </si>
  <si>
    <t>單價/貨幣數量</t>
  </si>
  <si>
    <t>使用貨幣</t>
  </si>
  <si>
    <t>交易次數</t>
  </si>
  <si>
    <t>總金額</t>
  </si>
  <si>
    <t>備註</t>
  </si>
  <si>
    <t>轉換數量</t>
  </si>
  <si>
    <t>使用種類</t>
  </si>
  <si>
    <t>轉換種類</t>
  </si>
  <si>
    <t>轉換結果</t>
  </si>
  <si>
    <t>鉑金幣(PP)</t>
  </si>
  <si>
    <t>珀金幣(EP)</t>
  </si>
  <si>
    <t>總額(GP)</t>
  </si>
  <si>
    <t>職業金錢</t>
  </si>
  <si>
    <t>GP</t>
  </si>
  <si>
    <t>背景金錢</t>
  </si>
  <si>
    <t>團務所得</t>
  </si>
  <si>
    <t>請不要動我</t>
  </si>
  <si>
    <t>PP</t>
  </si>
  <si>
    <t>EP</t>
  </si>
  <si>
    <t>SP</t>
  </si>
  <si>
    <t>CP</t>
  </si>
  <si>
    <t>團務紀錄卡</t>
  </si>
  <si>
    <t xml:space="preserve"> 角色名稱</t>
  </si>
  <si>
    <t>物種/職業/背景</t>
  </si>
  <si>
    <t>貨幣(金)</t>
  </si>
  <si>
    <t>╲</t>
  </si>
  <si>
    <t>戰役名稱</t>
  </si>
  <si>
    <t>跑團日期</t>
  </si>
  <si>
    <t>DM</t>
  </si>
  <si>
    <t>升級</t>
  </si>
  <si>
    <t>金錢收支</t>
  </si>
  <si>
    <t>獲得魔法物品</t>
  </si>
  <si>
    <t>備註欄與特殊事件</t>
  </si>
  <si>
    <t>同場隊友</t>
  </si>
  <si>
    <t>據點資訊</t>
  </si>
  <si>
    <t>特殊設施列表</t>
  </si>
  <si>
    <t>特殊設施：</t>
  </si>
  <si>
    <t>據點名稱</t>
  </si>
  <si>
    <t>設施大小:</t>
  </si>
  <si>
    <t>基礎設施</t>
  </si>
  <si>
    <t>設施命令:</t>
  </si>
  <si>
    <t>雇傭人員:</t>
  </si>
  <si>
    <t>筆記:</t>
  </si>
  <si>
    <t>據點衛兵</t>
  </si>
  <si>
    <t>據點地圖</t>
  </si>
  <si>
    <t>設施名稱</t>
  </si>
  <si>
    <t>先決條件</t>
  </si>
  <si>
    <t>設施大小</t>
  </si>
  <si>
    <t>雇員</t>
  </si>
  <si>
    <t>指令</t>
  </si>
  <si>
    <t>指令內容</t>
  </si>
  <si>
    <t>奧術研究室</t>
  </si>
  <si>
    <t>Arcane Study</t>
  </si>
  <si>
    <t>奧術施法者</t>
  </si>
  <si>
    <t>寬敞 Roomy</t>
  </si>
  <si>
    <t>製造 Craft</t>
  </si>
  <si>
    <t>奧術研究室是一個安靜的實驗場所，包含一台或更多的書桌與書架。
奧學護咒。
當你在據點內進行一次長休後，你獲得一個魔法護咒（見第三章“超自然恩惠”一節），此護咒持續7天或持續至你將其使用為止。 此護咒允許你施展一次鑒定術，無需消耗法術位也無需準備施法材料。 你無法在已擁有該護咒時再次獲得它。
製造選項。當你對此設施下達製造指令時，從以下選項中選擇一項：
製造：奧術法器。
你委託該設施的雇員製造一個奧術法器，這項工作需要7天且無需花費金錢。在你將其領取前，製造完成的法器會留在你的據點內。
製造：書卷。
你委託該設施的雇員製造一本空白的書，這項工作需要7天並且需要花費 10 GP。在你將其領取前，製造完成的書會留在你的據點內。
製造：魔法物品（奧秘）。
如果你的等級達到或高於 9 級，你可以委託此設施的雇員製造一件由你選擇的普通或非常見魔法物品，該物品必須來自第 7 章的奧秘 Arcana 表格。 此設施擁有製造該物品所需的工具，而其雇員擁有該工具的熟練以及奧秘技能的熟練。參考第 7 章「製造魔法物品」一節來決定製造該物品所需的時間與金錢花費。如果該物品允許消費者用它施展任何法術，你必須親自製造它（設施雇員可以協助你），並且在製造該物品期間，你每天都必須準備所有該物品可以施展的法術。</t>
  </si>
  <si>
    <t>軍械庫</t>
  </si>
  <si>
    <t>Armory</t>
  </si>
  <si>
    <t>貿易 Trade</t>
  </si>
  <si>
    <t>軍械庫包含展示盔甲的假人、懸掛盾牌的挂鉤、存放武器的架子以及儲存彈藥的箱子。
貿易：補充軍械庫。
當你對此設施下達貿易指令時，你委託設施雇員為軍械庫補充護甲、盾牌、武器和彈藥。 這些裝備會花費你 100 GP，據點內每有一個據點衛兵就需要額外花費 100 GP。 如果你的據點擁有鐵匠鋪，總價格將減半。
當你的軍械庫補充完畢後，你的據點衛兵會更難被殺死。 當一個事件迫使你擲骰以決定自己是否失去了一個或更多的據點衛兵時，你投擲 d8，而非 d6。 在該事件結束後，無論是否有據點衛兵損失，你儲存的裝備都會被消耗。 這會導致你的軍械庫失去作用，直至你再次對其下達貿易指令來重新補貨。</t>
  </si>
  <si>
    <t>兵營</t>
  </si>
  <si>
    <t>Barrack</t>
  </si>
  <si>
    <t>寬敞 Roomy~龐大 Vast</t>
  </si>
  <si>
    <t>招募 Recruit</t>
  </si>
  <si>
    <t>每個據點可以擁有多個兵營。 每個兵營都安置了傢俱，可以作為至多十二名據點衛兵的宿舍。
招募：據點衛兵。
每當你對此設施下達招募指令，至多四位據點衛兵會被招募到你的據點，並被分配到這個兵營中。招募不會花費任何金錢。 你不能在這個兵營已經滿員的情況下對此設施下達招募指令。
記錄下每個兵營中的據點衛兵。 如果你損失了據點衛兵，從你的據點衛兵名單中劃掉他們。你可以按自己的喜好為每個據點衛兵分配姓名和個性。
擴大設施。
你可以花費 2000 GP，將兵營擴大為龐大設施。 一個龐大的兵營可以容納最多二十五名據點衛兵。</t>
  </si>
  <si>
    <t>種植園</t>
  </si>
  <si>
    <t>Garden</t>
  </si>
  <si>
    <t>1~2</t>
  </si>
  <si>
    <t>收穫 Harvest</t>
  </si>
  <si>
    <t>每個據點可以擁有多個種植園。 當一座種植園被加入你的據點時，你從種植園類型表格中選擇該種植園的類型。
當你位於據點內時，你可以指示此設施的雇員將種植園從當前類型改為另一種類型。 這項工作需要花費21天，在這段時間內，此設施無法進行其他活動。
收穫：種植園產物。
當你對此設施下達收穫指令時，你委託設施雇員採收種植園的作物，如種植園類型表格中所示。 這項工作需要7天時間且無需花費任何金錢。
擴大設施。
你可以花費 2000 GP，將種植園擴大為龐大設施。一個龐大的種植園其功能等同於兩個寬敞的種植園，這兩個種植園類型可以相同也可以不同。 每當你對一個龐大的種植園下達收穫指令，其包含的兩個種植園都將產出各自的收穫。 龐大的種植園獲得一個額外雇員。
種植園類型
種植園類型   描述                                                                                                  收穫
花園              經過精心打理的花園，長滿了花叢和灌木。                                    10 株美麗的花束（每株價值 5 GP）、或 10 瓶香水、或 10 支蠟燭。
菜園              菜園種植著美味的蔬菜和菌類。                                                      100 天的口糧。
草藥園          種植著實用草本植物的種植園，其中一部分植物具有藥用價值。    足以製造 10 個急救包或 1 瓶治療藥水 Potion of Healing 的草藥。
毒藥園          種著可以用於提取毒素和抗毒素的植物和真菌的種植園。               足以製造 2 瓶抗毒劑或 1 瓶基礎毒藥的植物。</t>
  </si>
  <si>
    <t>圖書館</t>
  </si>
  <si>
    <t>Library</t>
  </si>
  <si>
    <t>研究 Research</t>
  </si>
  <si>
    <t xml:space="preserve"> 圖書館包含了一系列書籍收藏以及若干舒適桌椅。
研究：專題報告。
當你對此設施下達調查指令時，你委託設施雇員針對某個主題進行研究。該主題可以是某個傳說、某位重要的人、某種生物或某個知名的物件。這項工作需要 7 天時間。當研究完成後，雇員將獲取三條你之前不知道的有關該主題的信息，這些資訊是準確無誤的。在你下次與該雇員交談時，雇員將這些資訊傳達給你。由 DM 決定你具體獲得了怎樣的資訊。</t>
  </si>
  <si>
    <t>聖壇</t>
  </si>
  <si>
    <t>神術/自然施法者</t>
  </si>
  <si>
    <t>聖壇提供了一個安靜的敬拜場所，你宗教的標誌掛在聖壇的牆壁上。
聖壇護咒。
當你在據點內完成一次長休後，你獲得一個魔法護咒（見第三章“超自然恩惠”一節），該護咒持續7天或持續至你將其使用為止。 該護咒允許你施展一次治癒真言，無需消耗法術位。 你無法在已擁有該護咒時再次獲得它。
製造：神聖法器。
你委託該設施的雇員製造一個德魯伊法器（木杖）或者一個聖徽，這項工作需要 7 天且無需花費金錢。 在你領取它之前，造好的法器會留在你的據點內。</t>
  </si>
  <si>
    <t>鐵匠鋪</t>
  </si>
  <si>
    <t>Smithy</t>
  </si>
  <si>
    <t>鐵匠鋪包含一座熔爐、一個鐵砧、以及其他用於製造武器、盔甲等裝備的工具。
製造選項。當你對此設施下達製造指令時，從以下選項中選擇一項：
製造：鐵匠工具。
設施雇員製造任意能用鐵匠工具製造的物品，使用玩家手冊的相關規則。
製造：魔法物品（武具）。
如果你的等級達到或高於 9 級，你可以委託此設施的雇員製造一件由你選擇的普通或非常見魔法物品，該物品必須來自第 7 章的武具 Armament 表格。 此設施擁有製造該物品所需的工具，而其雇員擁有該工具的熟練以及奧秘技能的熟練。 參考第 7 章「製造魔法物品 」一節來決定製造該物品所需的時間與金錢。 如果該物品允許消費者用它施展任何法術，你必須親自製造它（設施雇員可以協助你），並且在製造該物品期間，你每天都必須準備所有該物品可以施展的法術。</t>
  </si>
  <si>
    <t>倉庫</t>
  </si>
  <si>
    <t>Storehouse</t>
  </si>
  <si>
    <t>倉庫是一個涼爽而陰暗的空間，用於存放貿易物品，這些物品來自本書第 7 章和玩家手冊第 6 章的貿易商品表格。
貿易：貿易品。
當你對此設施下達貿易指令時，你委託設施雇員在之後 7 天裡購買總價不超過 500 GP 的非魔法物品，並將其儲存在倉庫中；或者，你委託設施雇員花費 7 天時間將之前儲存在倉庫內的商品賣出。你承擔購買商品所需的金錢成本，並且能購買的商品總價在你達到 9 級時提升至 2000 GP，13 級時提升至 5000 GP。
當你從倉庫中出售商品時，買家會額外支付你 10% 於標準價格的酬金; 額外酬金將在你達到 9 級後提升至 20%、13 級後提升至 50%、17 級後提升至 100%。</t>
  </si>
  <si>
    <t>工坊</t>
  </si>
  <si>
    <t>Workshop</t>
  </si>
  <si>
    <t>3~5</t>
  </si>
  <si>
    <t>工坊是充滿創意的地方，許多有用的東西都能在這裡製造。
工匠工具。
工坊被加入據點時，其內有六種工匠工具可以投入使用。 從下述清單中進行選擇：
木工工具  鞋匠工具  玻璃匠工具  珠寶匠工具  皮革匠工具
畫家工具  陶藝工具  石匠工具   修補工具  織布工具  木雕工具 
靈感之源。
當你在工坊內完成一次完整的短休後，你獲得英雄激勵。你在完成一次長休前不能再次獲得此增益。
製造選項。當你對此設施下達製造指令時，從以下選項中選擇一項：
製造：冒險裝備。
設施雇員製造任意能用工坊內已有的工匠工具（見上文）製造的物品，使用玩家手冊中的相關規則。
製造：魔法物品（器具）。
如果你的等級達到或高於 9 級，你可以委託此設施的雇員製造一件由你選擇的普通或非常見魔法物品，該物品必須來自第 7 章的器具表格。此設施擁有製造該物品所需的工具，而其雇員擁有該工具的熟練以及奧秘技能的熟練。參考第 7 章「製造魔法物品」一節來決定製造該物品所需的時間與金錢。 如果該物品允許消費者用它施展任何法術，你必須親自製造它（設施雇員可以協助你），並且在製造該物品期間，你每天都必須準備所有該物品可以施展的法術。
擴大設施。你可以花費 2000 GP，將工坊擴大為龐大設施。 這樣做之後，工坊獲得額外兩位雇員以及額外三種工匠工具（從上述清單中選擇）。</t>
  </si>
  <si>
    <t>Amethyst Dragon Den</t>
  </si>
  <si>
    <t>紫龍騎士團成員</t>
  </si>
  <si>
    <t>龐大 Vast</t>
  </si>
  <si>
    <t>賦能 Empower</t>
  </si>
  <si>
    <t>這間紫水晶龍的巢穴是一個封閉的開放式房間，裡面有一個水池，其中一個入口位於水下。這裡的僱用人員負責維護巢穴，並讓所有來訪的紫水晶龍感到舒適。
賦能：靈能防禦。
當你向該設施發出賦能指令時，潛藏的龍族力量將充滿整個設施，使你能夠進行靈能戰鬥的特殊訓練。此訓練每天耗時 8 小時，持續 7 天，接下來你將獲得心靈傷害抗性。此效果持續 7 天。</t>
  </si>
  <si>
    <t>Harper Hideout </t>
  </si>
  <si>
    <t>豎琴手聯盟成員</t>
  </si>
  <si>
    <t>你的據點附近隱藏著一處安全屋，並透過一條不超過四分之一英里長的隧道與據點相連。你的傭兵負責維護這處藏身處，並使用一個與你的據點無關的偽裝身分。每次升級時，你都可以更改豎琴手藏身處的位置。
藏身處保安。
你的豎琴手藏身處始終受到警報術的保護。9 級時，你的豎琴手藏身處可以透過魔法門而非隧道與你的據點相連；任何從豎琴手藏身處穿過這扇門的人都會從你據點中的特定門出現，反之亦然。你的豎琴手藏身處可以位於據點方圓 100 英里內的任何位置。13 級時，該設施可以位於費倫大陸的任何位置。17 級時，魔法門可以跨越位面，該設施可以位於多元宇宙的任何位置。
賦能：豎琴手訓練。
當你向該設施發出賦能指令時，該設施的傭兵會邀請附近的另一位豎琴手特工。擲任意骰子。如果點數為奇數，則沒有豎琴手需要你的設施，你也不會從發出指令中獲得任何好處。如果點數為偶數，則友善的豎琴手會暫時入住你的藏身處。
豎琴手會停留 7 天。在你的據點回合期間，豎琴手可以分享他們的知識。任何角色在這 7 天裡每天至少與豎琴手訓練 8 小時，即可獲得以下技能之一的熟練：欺騙、調查或表演 。此效果持續 7 天。</t>
  </si>
  <si>
    <t>Red Wizard Necropolis</t>
  </si>
  <si>
    <t>紅袍法師成員，且能夠施法</t>
  </si>
  <si>
    <t>紅袍法師利用亡靈僕從守護他們的要塞。一座紅袍法師墓園最多可容納八名據點衛兵。
招募：亡靈守衛。
每次你對該設施發出「招募」指令時，最多會生成四名亡靈據點守衛，他們會在你的紅袍巫師墓園的地穴和墓室中徘徊。如果該設施已滿員，則無法發出「招募」指令。
你會需要持續追蹤你損失的亡靈據點衛兵數量，亡靈據點守衛在被摧毀14天後會返回你的紅袍法師墓園。但如果設施關閉或被完全佔領、毀損，亡靈據點守衛將無法從死亡中返回。</t>
  </si>
  <si>
    <t>Zhentarim Travel Station</t>
  </si>
  <si>
    <t>散塔琳成員</t>
  </si>
  <si>
    <t>為了方便長途旅行，散塔林設立了多個驛站（請參閱《 地下城主指南》 第二章 ）。你的驛站設有可容納四隻大型生物的臨時馬厩；兩隻中型生物與一隻大型生物共用同一空間。驛站的傭兵負責照顧這些生物。
長途旅行速度。
在你的據點中完成一次長休可以更好地為旅行做好準備；你的隊伍的最大旅行速度會提高一級（從慢速提高到正常，或從正常提高到快速）。
研究：偵察。
當你向該設施下達研究指令時，你便委託散塔林驛站的傭兵收集情報，以協助即將到來的旅程。這項工作需要 7 天。在旅程期間，你在進行覓食或導航的感知（ 生存 ）檢定時具有優勢。</t>
  </si>
  <si>
    <t>Dragonmark Outpost</t>
  </si>
  <si>
    <t>在任何龍紋家族中聲望達到 10 級以上</t>
  </si>
  <si>
    <t>龍紋哨站是專門為你的龍紋家族預留的區域。僱傭兵是家族的代理人，負責在你和家族上級之間進行聯絡。
當你在堡壘中添加此設施時，你與家族的聲望值將增加 1 點。
龍紋強化（需任意龍紋專長）。
當你在堡壘中完成一次長休後 ，你獲得一個額外的 2 環法術位。你只能使用此法術位施放因龍紋專長而準備的法術。
賦能：家族恩惠。
當你向該設施發出賦能指令時，你會指示你的傭兵從你的龍紋家族中召喚一項恩惠。你可以使用任何你聲望值所對應的家族恩惠（詳見第五章 ），且此項恩惠不計入你可用的恩惠總數。一旦使用此功能，你必須提升家族聲望值才能再次使用。</t>
  </si>
  <si>
    <t>遊戲廳</t>
  </si>
  <si>
    <t>Gaming Hall</t>
  </si>
  <si>
    <t>遊戲廳提供娛樂活動，例如象棋、飛鏢、卡牌或骰子。
貿易：賭場。
當你對此設施下達貿易指令時，設施雇員將遊戲廳變為一個賭場，持續 7 天時間。 在第七天結束時，擲 d100 並根據下清單格來決定你作為莊家賺了多少錢。
1d100       贏得的錢
01-50        1d6*10GP
50-85        2d6×10GP
86-95        4d6*10GP
96-100      10d6*10GP</t>
  </si>
  <si>
    <t>溫室</t>
  </si>
  <si>
    <t>Greenhouse</t>
  </si>
  <si>
    <t>溫室是在受控氣候下培育稀有真菌和植物的場所。
復原之果。
你溫室裡的一株植物上長有三顆魔法果實。吃下這三顆果實之一的生物將獲得次級復原術的增益。 如果魔法果實在被摘下後 24 小時內沒有被吃掉，它們將失去魔力。這株植物在每天黎明重新長出被摘走的果實。 這株植物無法被移植到其他地方，因為這會殺死該植物。
收穫選項。當你對此設施下達收穫指令時，從以下選項中選擇一項：
收穫：治療草藥。
你委託設施雇員用溫室內種植的治療草藥製作一瓶治療藥水（良效）。這項工作需要7天時間並且不花費任何金錢。
收穫：毒藥。
你委託該設施的雇員從稀有植物和真菌中提取一劑毒藥。 從以下選項中選擇一項：刺客之血、怨恨、蒼白酊劑、吐真劑。它們的具體功效見第3章「毒藥 」一節。收穫完成後，毒藥將被保存在一個小瓶中。這項工作需要7天時間並且不花費任何金錢。</t>
  </si>
  <si>
    <t>實驗室</t>
  </si>
  <si>
    <t>Laboratory</t>
  </si>
  <si>
    <t>實驗室包含了存放煉金材料的儲藏間以及製造各類調和物的工作間。
製造選項。當你對此設施下達製造指令時，從下列選項中選擇一項：
製造：煉金工具。
設施雇員製造任意能用煉金工具製造的物品，使用玩家手冊和本書第7章的相關規則。
製造：毒藥。
你委託設施雇員製造一小瓶毒藥。 該毒藥可以是下列任意一種：焦引熏煙、乙醚精、蒙汗藥。 這項工作需要7天，你必須支付毒藥價格一半的成本費用。 該毒藥的具體功效和價格見第3章「毒藥」一節。</t>
  </si>
  <si>
    <t>聖器室</t>
  </si>
  <si>
    <t>Sacristy</t>
  </si>
  <si>
    <t>聖器室是聖物和宗教長袍的存放室和準備室。
法術換新。建造聖器室後，如果你在整個短休期間都待在自己的據點內，你可以恢復一個5環或更低的法術位。 你在完成一次長休前不能再次獲得此增益。
製造選項。當你對此設施下達製造命令時，從下列選項中選擇一項：
製造：聖水。
你委託設施雇員製造一瓶聖水。 這項工作需要7天時間並且無需花費金錢。你可以在製造過程中花費額外的金錢來增強聖水的效用，每花費 100 GP，聖水的傷害便增加 1d8。 以此法最多額外花費 500 GP。
製造：魔法物品（聖物）。
如果你的等級達到或高於9級，你可以委託此設施的雇員製造一件由你選擇的普通或非常見魔法物品，該物品必須來自第7章的聖物 Relic 表格。 此設施擁有製造該物品所需的工具，而其雇員擁有該工具的熟練以及奧秘技能的熟練。 參考第7章「製造魔法物品」一節來決定製造該物品所需的時間與金錢。如果該物品允許消費者用它施展任何法術，你必須親自製造它（設施雇員可以協助你），並且在製造該物品期間，你每天都必須準備所有該物品可以施展的法術。</t>
  </si>
  <si>
    <t>抄寫室</t>
  </si>
  <si>
    <t>Scriptorium</t>
  </si>
  <si>
    <t>抄寫室包含桌子和書寫工具。
製造選項。當你對此設施下達製造指令時，從以下選項中選擇一項：
製造：書卷抄本。
你委託設施雇員製造某本非魔法書籍的手抄本。這項工作需要一本空白的書，並且要花費7天時間。
製造：法術卷軸。
你委託設施雇員製造一張法術卷軸，該卷軸包含一道牧師法術或法師法術，其環位不得超過3環。 此設施擁有製造卷軸所需的書法工具，並且其員工能滿足製造卷軸所需的條件。 製造該卷軸所需的時間和金錢如玩家手冊中的“製作裝備”一節所示，你必須支付相應的金錢。
製造：文書工作。
你委託設施雇員製造最多 50 份單幅大報紙、紙質摺頁冊或者其他活頁紙質產品。 這項工作需要7天時間，每一份產品都需要花費 1 GP。 此外，設施雇員可以將這些產品分發到你據點 50 里以內的一個或多個地點，無需花費額外的時間和金錢。</t>
  </si>
  <si>
    <t>馬廄</t>
  </si>
  <si>
    <t>Stable</t>
  </si>
  <si>
    <t>每個據點可以擁有多個馬廄，馬廄在加入據點時默認帶有一匹騎用馬或駱駝，外加兩匹矮種馬或騾子；這些生物的數據詳見玩家手冊或怪物圖鑒。馬廄可以容納三隻大型生物，每兩隻中型生物在這裡佔據的空間等同於一隻大型生物。設施雇員會照料這些生物。
當一隻可以作為坐騎的野獸Beast在這裡待了超過14天後，任何在尊重它的前提下對它所做的感知（馴獸）檢定具有優勢。
貿易：動物。
當你對此設施下達貿易指令時，你委託設施雇員以常規價格購買或販賣一隻或更多坐騎，購買來的坐騎會安置於馬廄。 這項工作需要 7 天時間，DM 決定可以購買到的坐騎種類——馬，矮種馬和騾子是最常見的。玩家手冊中的坐騎和其他動物表格給出了不同坐騎的標準價格。你需要支付購買這些坐騎的總花費。
當你從馬廄裡出售坐騎時，買家會額外支付你 20% 於標準價格的酬金; 額外酬金將在你達到 13 級後提升至 50%、17 級後提升至 100%。
擴大設施。
你可以花費2000GP，將馬廄擴大為龐大設施。這樣做之後，馬廄將能夠容納六隻大型動物。</t>
  </si>
  <si>
    <t>Teleportation
Circle</t>
  </si>
  <si>
    <t>一個由法術傳送法陣製造的永久法陣銘刻在這個房間的地板上。
招募：施法者。
當你對此設施下達招募指令時，設施雇員會向一個友善的非玩家角色 NPC 發出邀請。 擲一次骰，如果結果為偶數，則該角色拒絕了邀請，你不會從這個指令中獲得任何好處; 如果結果為奇數，則該角色接受了邀請，並使用傳送法陣來到你的據點內。
在你位於據點內時，你可以請求這位施法者為你施展一個不超過 4 環的法師法術；在你達到 17 級後，能施展的法術環位限制提高到 8 環。施法者被視為準備該法術，如果該法術需要任何標有價格的材料，你必須在法術施展前準備好這些材料。
這位施法者會在 14 天後或他為你施展一個法術後離開。他不會幫忙防禦你的據點，並且在據點遭受攻擊（見“據點事件”）時立刻離開。</t>
  </si>
  <si>
    <t>劇場</t>
  </si>
  <si>
    <t>Theater</t>
  </si>
  <si>
    <t>劇院包含一座舞臺、一個用於存放道具和佈景的後台區域、以及為一小群觀眾準備的觀眾席。
賦能：劇場演出。
當你對此設施下達賦能指令時，設施雇員將開始編排一場戲劇或音樂會。 排練和其他準備工作需要 14 天，而之後的演出會持續至少 7 天。 演出可以無限期地進行下去，直至新的節目上演。
你或其他角色可以選擇用下列方式參與節目：
作曲家/作家。角色可以給音樂會創作曲目或者給戲劇編寫劇本，這項工作需要14天，並且必須在節目開始排練前完成。
指揮家/導演。在整個節目編排期間一直待在此據點內的角色可以擔任音樂會的指揮家或戲劇的導演。
表演者。在整個節目排練期間一直待在此據點內的角色在一次或更多次演出中擔任領銜主演。設施的某位雇員將作為替補，在其他場次中代替該角色出演。
在排練結束時，每個參與了節目編排的角色都可以進行一次 DC 15 的魅力（表演）檢定。 如果檢定成功的人數多於失敗的人數，那麼所有進行了檢定的角色都將獲得一枚 d6 的劇院骰。劇院骰在你達到 13 級時提升為 d8，17 級時提升為 d10。 此後，擁有劇院骰的角色可以在進行一次 D20 檢定後立刻投擲自己的劇院骰，將其結果加到檢定結果上。如果一個角色在已有一枚劇院骰時再次獲得劇院骰，他將失去先前的劇院骰。</t>
  </si>
  <si>
    <t>訓練場</t>
  </si>
  <si>
    <t>Training Area</t>
  </si>
  <si>
    <t>每個據點可以擁有多個訓練場。 訓練場可以是開放式庭院、體育場、歌舞廳、亦或是精心打造的充滿陷阱和危險的試煉場。 它還可能包含固定靶（供武器訓練）、軟墊以及其他設備。 此設施的其中一位雇員是專業教練，其他雇員則是陪練人員。
當訓練場被加入到你的據點時，從專業教練表格中選擇一位教練。 你可以在每個據點回合內更改一次專業教練的類型。
專業教練          賦能效應
戰鬥專家          當你受到來自武器或徒手打擊的傷害時，你可以用反應將傷害減少 1d4 點。
技能專家          你選擇下列技能之一併獲得它的熟練：特技、運動、表演、巧手或隱匿。
工具專家          你選擇一項工具並獲得它的熟練。
徒手戰鬥專家   當你以徒手打擊命中並造成傷害時，該次攻擊造成額外 1d4 點傷害。
武器專家          選擇一種簡易或軍用武器，例如矛或長弓。 如果你尚未熟練於該武器，你獲得其熟練；如果你已經熟練於該武器，你可以使用其精通屬性。
賦能：訓練。
當你對此設施下達賦能指令時，設施雇員將在之後 7 天裡開展訓練課程。 任何角色只要在這 7 天內每天花費至少 8 小時在這裏訓練，即可在課程結束時獲得增益。增益的具體效果由訓練場的專業教練類型決定，參考上述表格。訓練獲得的增益將持續 7 天時間。</t>
  </si>
  <si>
    <t>陳列室</t>
  </si>
  <si>
    <t>Trophy Room</t>
  </si>
  <si>
    <t>這個房間存放著一系列紀念品，譬如來自舊日戰爭的武器、獵物裝裱好的頭顱、在地城裡撿到的小飾品、以及先祖流傳下來的戰利品。
調查選項。當你對此設施下達調查指令時，從以下選項中選擇一項：
調查：學識。
你委託設施雇員針對某個主題進行研究。 該主題可以是某個傳說、某位重要的人、某種生物或某個知名的物件。陳列室內的收藏可以為相當廣泛的研究課題提供線索，因此要研究的主題並不需要與這些收藏直接相關。 研究工作需要 7 天時間。 當研究完成後，雇員將獲取三條你之前不知道的有關該主題的信息，這些資訊是準確無誤的。在你下次與該雇員交談時，雇員將這些資訊傳達給你。 由 DM 決定你具體獲得了怎樣的資訊。
調查：飾品收藏。
你委託設施雇員尋找一件可能對你有用的飾品。 這項工作需要 7 天時間，在這段時間結束時，擲一次骰。 若結果為偶數，則雇員沒有找到任何有用的物品; 若結果為奇數，則雇員找到了一件魔法物品。在第七章的器具—普通 Implement—Common 表格中擲骰以決定你獲得了哪件物品。</t>
  </si>
  <si>
    <t>Emerald Enclave Grove</t>
  </si>
  <si>
    <t>翠綠閑庭成員</t>
  </si>
  <si>
    <t>翠綠閑庭的資深特工用樹木、草地和潺潺流水打造出安全的庇護所，讓那些蘊含自然之力的魔法生物在此安居樂業。翡翠聖地林地可容納一隻巨型生物或兩隻大型生物；四隻小型或中型生物，或八隻微型生物，可佔據與一隻大型生物相同的空間。
招募：自然生物。
當你向該設施發出招募指令時，你可以邀請翠綠閑庭林地生物表中的一種生物來到你的翠綠閑庭林地。擲任意骰子。如果擲出的點數為奇數，則該生物不接受你的邀請，你也不會從發出該指令中獲得任何收益。如果擲出的點數為偶數，則該生物接受你的邀請，並在 7 天後遷入你的翠綠閑庭林地。你的僱員負責照顧該生物並維護設施。
翡翠聖地林地中的生物視為據點衛兵。若失去衛兵，則從據點衛兵名單中扣除。你可以選擇不將其中一個或多個生物計入據點衛兵，在這種情況下，它們將無法被召喚參與據點的防禦。取而代之的是，它們將按照自身的特性行事，並使用《怪物圖鑑》中的屬性資料。
翠綠閑庭林地生物
生物  原文名稱                               尺寸
皮克精  Pixie                                 微型
小妖精  Sprite                                微型
啟蒙灌木  Awakened Shrub         小型
蕈人幼體  Myconid Sprout           小型
蕈人成體  Myconid Adult             中型
閃現犬  Blink Dog                         中型
樹精  Dryad                                   中型
薩特羊人  Satyr                             中型
半人馬騎兵  Centaur Trooper      大型
樹人  Treant                                   大型
獨角獸  Unicorn                             大型
啟蒙樹木  Awakened Tree            巨型</t>
  </si>
  <si>
    <t>Lords' Alliance Noble Residence</t>
  </si>
  <si>
    <t>領主聯盟成員</t>
  </si>
  <si>
    <t>你擁有一間豪宅，足以媲美像無冬城、深水城或博德之門這樣的城市統治者。你僱用的管家負責照顧住戶的各種需求。
休息獎勵：在你的豪宅進行一次長休後，你將獲得英雄激勵。
招募：來訪貴族。
當你向領主聯盟豪宅發出招募指令時，你將放棄在該宅邸居住 14 天，並將該府邸提供給一位來自領主聯盟成員定居點的貴族。擲任意骰子。如果擲出的點數為奇數，則無人接受你的邀請，你也不會從發出招募指令中獲得任何好處。如果擲出的點數為偶數，則你選擇的定居點中的一位貴族將接受你的邀請，並在 7 天內抵達並停留 7 天。
來訪的貴族會閒聊他們家鄉聚落的種種事件和居民，並向你透露任何你熟悉的生物的位置——前提是該生物位於貴族出發地方圓五十英里之內，且未被魔法隱藏，並且未被限制在 DM 認為貴族無法知曉的地點。如果貴族知道某個生物的位置，他們也會告訴你該生物在貴族前往你的據點之前七天內的行蹤。
來訪的貴族不會保衛你的據點，如果據點遭到攻擊，他會立刻離開。</t>
  </si>
  <si>
    <t>Order of the Gauntlet Tournament Field</t>
  </si>
  <si>
    <t>鐵手套教團成員</t>
  </si>
  <si>
    <t>鐵手套競技場是劃定的供兩名武裝人員進行戰鬥的區域，並設有觀眾席。
你的僱員騎士陣營與你一致。如果你的據點沒有足夠的設施容納這位騎士，他會在距離據點最近的旅館或定居點找到住處。這位騎士並非據點衛兵，但如果你的據點遭到攻擊，他會使你擲骰決定據點衛兵傷亡人數時，骰子數量減少 1。
賦能：舉辦錦標賽。
當你向該設施下達賦能指令時，你將在你的據點舉辦一場錦標賽。錦標賽的消息需要 7 天才能傳到附近的定居點，參賽者也需要 7 天才能抵達你的據點並參加比賽。你必須花費 2000 金幣購買獎品。錦標賽結束後，你在鐵手套教團的聲望值將會提升 1 點。</t>
  </si>
  <si>
    <t>Kundarak Vault  </t>
  </si>
  <si>
    <t>在昆達拉克家族的聲望達到 15 以上</t>
  </si>
  <si>
    <t>狹窄 Cramped</t>
  </si>
  <si>
    <t>昆達拉克金庫像其他特殊設施一樣佔據堡壘內的空間，但它是一個可以從其他地方進入的異次元空間。作為昆達拉克設施，它能為您的貿易貨物和其他珍寶提供極為安全的儲存環境。只有您和您堡壘的傭兵才能打開金庫大門。
昆達拉克權限。
由於金庫位於異次元空間，只有您（且僅您）才能透過世界上的任何一家昆達拉克銀行存取其內容。這些銀行遍布科瓦雷大陸的各個城市（以及澤恩德里克的風暴之巔 ）。
貿易：貨物。 
你向該設施發出交易指令時，其僱傭兵會在接下來的 7 天內採購總價值不超過 2000 金幣的非魔法物品，並將其存放於昆達拉克金庫；或者，該僱傭兵也可以利用這 7 天時間在昆達拉克金庫中出售貨物。所有採購費用由你承擔，且當你達到 13 級時，採購物品的最高價值將提升至 5000 金幣。
當你出售昆達拉克寶庫中的商品時，買家會支付比標準價格高出 20% 的價格；當你達到 13 級時，利潤會增加到 50%，當你達到 17 級時，利潤會增加到 100%。</t>
  </si>
  <si>
    <t>Navigator's Helm</t>
  </si>
  <si>
    <t>領航員舵輪允許一個建在水上交通工具內的移動堡壘進行旅行。
賦能：旅行。
當你向該設施發出賦能指令時，你會指示其僱傭兵駕駛堡壘前往你指定的目的地。堡壘會以載具的速度航行，每天航行 8 小時，並持續一整個堡壘回合。堡壘會在到達指定目的地或發生任何導致旅行中斷的情況時提前停止。
當你向該設施發出「賦能」命令時，DM 會在堡壘事件表上擲骰，就像你向你的堡壘發出「維護」命令一樣。</t>
  </si>
  <si>
    <t>Orien Helm</t>
  </si>
  <si>
    <t>在歐瑞恩家族的聲望達到 15 以上</t>
  </si>
  <si>
    <t>奧瑞恩頭盔使建於閃電軌道車廂內的移動堡壘得以移動。該設施的傭兵是奧瑞恩家族的龍紋繼承人 。
賦能：旅行。
當你向該設施發出賦能指令時，你會指示其僱傭兵駕駛堡壘前往你指定的目的地。堡壘會沿著現有的導引石路線，以每小時 30 英里的速度，每天行進 8 小時，並持續一整個堡壘回合。堡壘會在到達指定目的地或發生任何阻礙旅行的情況時提前停止。
當你向該設施發出「賦能」命令時，DM 會在堡壘事件表上擲骰，就像你向你的堡壘發出「維護」命令一樣。</t>
  </si>
  <si>
    <t>檔案館</t>
  </si>
  <si>
    <t>Archive</t>
  </si>
  <si>
    <t>檔案室是儲存書籍，地圖和卷軸的地方。 它通常連接著一座圖書館，隔著一扇上鎖的門或密門。
調查：有益學識。
當你對此設施下達調查指令時，你委託設施的雇員搜索檔案室，尋找需要的知識。 這項工作需要7天時間。 雇員將如同施展了通曉傳奇法術那樣獲得相關的知識。 在你下次和他對話時，雇員將這些知識傳達給你。
工具書。
你的檔案室中存放了某本工具書的抄本，當你和這本書都位於據點內時，它會賦予你相應的好處。 你可以從下列選項中選擇一項（ DM 可能會創作額外的選項）：
畢格比之手邊奧術寶典 Bigdy's Handy Arcana Codex。 當你執行研究動作以回想有關法術、魔法物品、秘術符號、魔法傳統以及存在位面的知識時，你所做的所有智力（奧秘）檢定具有優勢。
庫若尼普斯紀傳史 The Chronepsis Chronicles。 當你執行研究動作以回想有關歷史事件、傳奇人物、古代帝國、過去的衝突與戰爭以及失落的文明的知識時，你所做的所有智力（歷史）檢定具有優勢。
調查員的調查報告 Investigations of the Inquisitive。 當你執行研究動作以根據線索和證據進行推理，或者回想有關陷阱、密碼、謎題以及小裝置的知識時，你所做的所有智力（調查）檢定具有優勢。
對於世界本質的物質性思考 Material Musing of the Nature of the World。 當你執行研究動作以回想有關地形、植物、動物和天氣的知識時，你所做的所有智力（自然）檢定具有優勢。
古信仰與其他宗教 The Old Faith and Other Religion。 當你執行研究動作以回想有關神祗、儀式、祈禱、宗教制度、聖徽以及秘密邪教的行為的知識時，你所做的所有智力（宗教）檢定具有優勢。
擴大設施。
你可以花費 2000GP，將檔案室擴大為龐大設施。 這樣做之後，你從上述清單中獲得額外兩本工具書。</t>
  </si>
  <si>
    <t>冥想間</t>
  </si>
  <si>
    <t>Meditation
Chamber</t>
  </si>
  <si>
    <t>冥想間是一個讓人放空心靈的地方，能説明你心身合一，鍛神定靈。
賦能：內心寧靜。
當你對此設施下達賦能指令時，你據點的雇員可以使用冥想間以獲取內心的寧靜。 當你下次擲骰決定據點事件時，你可以擲兩次並選擇其中一個結果。
自我強化。
你可以在連續7天時間裡，在此設施內進行冥想。 如果你在此期間離開了據點，你不會獲得任何增益。 反之，在第七天結束時，你於之後7天內在兩種屬性豁免上獲得優勢。 從下清單格中擲骰兩次以隨機決定你獲得了哪兩種屬性豁免的優勢，出現重複結果則重投。
1d6    豁免
1        力量
2        敏捷
3        體質
4        智力
5        感知
6        魅力</t>
  </si>
  <si>
    <t>獸欄</t>
  </si>
  <si>
    <t>Menagerie</t>
  </si>
  <si>
    <t>獸欄有著足以容納四隻大型生物的圍牆。 每四隻中型或小型l生物在這裡佔據的空間等同於一隻大型生物。
招募：生物。
當你對此設施下達招募指令時，你委託設施雇員向獸欄內加入一隻生物，從獸欄生物表格中選擇。 這項工作需要 7 天時間，所需的金錢如表格所示。 設施雇員會照顧這些生物。
你獸欄內的生物算作據點衛兵。如果它們遭受任何損失，便將損失的生物從你的據點衛兵名單中劃去。 你可以選擇不將一隻或更多生物視為據點衛兵，此時這些生物不會參與據點的防禦，而是按照自己的天性活動，使用怪物圖鑒中的數據。
獸欄生物 原文名稱            體型       花費
豺狼 Jackal                      小型        50GP
鬣狗 Hyena                      中型        50GP
蟒蛇 Constrictor Snake  大型        250GP
黑豹 Panther                    中型        250GP
猿 Ape                              中型        500GP
黑熊 Black Bear               中型        500GP
鱷魚 Crocodile                 大型        500GP
棕熊 Brown Bear             大型        1000GP
恐狼 Dire Wolf                 大型        1000GP
巨禿鷲 Gaint Vulture       大型        1000GP
獅子 Lion                          大型        1000GP
老虎 Tiger                        大型        1000GP
梟熊 Owlbear                   大型        3500GP
在 DM 的允許下，你也可以向獸欄內加入上述表格之外的生物。 生物的價格取決於它們的挑戰等級，如下清單格所示。一般而言，只有野獸和某些怪獸能被安置在獸欄內，不過其他生物也有可能得到 DM 的許可。
按照挑戰等級的生物價格
挑戰等級     價格
0或1/8        50GP
1/4              250GP
1/2             500GP
1                1000GP
2                2000GP
3                3500GP</t>
  </si>
  <si>
    <t>天文臺</t>
  </si>
  <si>
    <t>Observatory</t>
  </si>
  <si>
    <t>施法者</t>
  </si>
  <si>
    <t>天文臺坐落在你據點的最高處，其中包含一座直指夜空的望遠鏡。
天文護咒。
你可以用天文臺觀察到荒宇和星光位面的遙遠角落。 當你在天文臺內完成一次長休後，你獲得一個魔法護咒（見第三章“超自然恩惠”一節），此護咒持續7天或持續至你將其使用為止。此護咒允許你施展一次異界探知，無需消耗法術位。你無法在已擁有該護咒時再次獲得它。
賦能：奇異發現。
當你對此設施下達賦能指令時，你讓自己或設施雇員在連續7天夜裡探索奇異詭譎的星空之秘。 在這段時間結束後，丟一個骰子。如果結果為偶數，那麼一無所獲; 如果結果為奇數，那麼某種未知的偉力向你或者你所選的一個與你同一位面的生物贈予了一個護咒。該護咒為下列護咒之一：黑暗視覺護咒 、英雄氣概護咒、活力護咒（詳細描述均見第3章）。</t>
  </si>
  <si>
    <t>酒館</t>
  </si>
  <si>
    <t>Pub</t>
  </si>
  <si>
    <t>人們來到酒館，飲用美酒，參與社交。 你的酒館可以是一個小酒吧、咖啡廳、或茶室; 它也可能有著一個有趣的名字，比如鏽酒壺或者巨龍閣。 此設施的雇員在這裡擔任酒保，並運營著一個地下情報網路，其間諜分佈在附近的社群中。 這些間諜是有用的情報來源，同時也是酒館的常客，常常隱姓埋名出入酒館。
研究：情報收集。
當你對此設施下達調查指令時，你委託酒館的酒保從情報網的間諜處收集情報。 這些間諜對未來7天中將在你據點周圍 10 里內發生的重大事件瞭若指掌；他們也將在未來 7 天內向你暴露任何你熟知的生物的具體位置，只要該生物位於你據點 50 里以內，並且沒有被魔法隱藏起來或身處 DM 認為間諜無法追蹤到的地點。 如果一個生物的位置被間諜掌握到了，那麼間諜同時也會得知該生物在之前的 7 天時間裡到達過的位置。
酒館特飲。酒館可以隨時供應一種魔法飲料，從下列選項中選擇一項：
畢格比之大任 Bigby's Burden。 喝下一品脫這種飲料，你將獲得法術變巨/縮小術中“變巨”的效應，該效應持續 24 小時（無法進行豁免）。
蛛後之吻 Kiss of the Spider Queen。 喝下一品脫這種飲料，你將獲得法術蛛行術的效應，該效應持續 24 小時。
月光小夜曲 Moonlight Serenade。 喝下一品脫這種飲料，你將獲得60尺黑暗視覺，持續24小時。 如果你已經擁有黑暗視覺，則其範圍擴大 60 尺，持續24小時。
正能量支援 Positive Reinforcement。 喝下一品脫這種飲料，你將獲得對暗蝕傷害的抗性，持續24小時。
堅強特飲 Sterner Stuff。 喝下一品脫這種飲料，你將在所有為避免或結束恐慌狀態所做的豁免中自動成功，此效應持續 24 小時。
在每個據點回合開始時，你可以改變魔法飲料的種類。DM 可以創作更多可選的魔法飲料。 魔法飲料如果在被倒出後的 24 小時內沒有被喝下，就會失去魔力。
擴大設施。
你可以花費 2000 GP，將酒館擴大為龐大設施。 這樣做之後，酒館將同時供應兩種酒館特飲。 龐大的酒館獲得額外三名雇員，共計四名雇員。 新招募的雇員將擔任酒館的服務生，你可以按自己的喜好為他們分配姓名和個性。</t>
  </si>
  <si>
    <t>聖物庫</t>
  </si>
  <si>
    <t>Reliquary</t>
  </si>
  <si>
    <t>這個寶庫存放著神聖物件。
聖物護咒。
當你在據點內完成一次長休後，你獲得一個魔法護咒（見第三章“超自然恩惠”一節），該護咒持續7天或持續至你將其使用為止。該護咒允許你施展一次高等復原術，無需消耗法術位也無需材料成分。 你無法在已擁有該護咒時再次獲得它。
收穫：護符。
當你對此設施下達收穫指令時，你委託設施雇員對一枚護符進行祝聖，然後將其交付給你。 護符的形式通常為一支吊墜、一個刻滿符文的小箱子、或一尊小雕像，但它也可以是任何具有宗教意義的微型非魔法物件。 這項工作需要7天時間並且不花費任何金錢。 你可以用該護符替代任何一個法術的材料成分，只要該法術的材料成分價格不超過 1000 GP。 在護符以這種方式被使用一次之後，它便不能再次被使用，直至你將其送回聖物庫並重新下達一次收穫指令將其祝聖。</t>
  </si>
  <si>
    <t>Cult of the Dragon Archive</t>
  </si>
  <si>
    <t>拜龍教成員</t>
  </si>
  <si>
    <t>拜龍教檔案館藏有大量關於特定主題的記錄，其中包括龍。
參考書籍。
你的龍教檔案館收藏了一系列關於龍的知識。當你使用研究行動回憶關於龍、提亞馬特或龍教的知識時，你在據點中進行智力（ 自然或宗教 ）檢定時具有優勢。
研究：有用的知識。
當你向該設施下達研究指令時，你會委託該設施的傭兵在檔案館中搜尋知識。這項工作需要 7 天。僱員會獲得如同施放了通曉傳奇法術般的知識，並在下次與你交談時與你分享這些知識。
擴建設施。
你可以花費 2000 金幣將你的龍教檔案館擴建為大型設施。如果你這樣做，你將獲得兩本參考書，這兩本書選自《 地下城主指南》 第八章檔案館據點設施中列出的書籍。</t>
  </si>
  <si>
    <t>Artificer's Forge</t>
  </si>
  <si>
    <t>能夠使用工匠工具作為施法構材</t>
  </si>
  <si>
    <t>工匠熔爐裡有兩名擅長製作魔法物品的魔法工匠傭兵。
製作助手。
如果您按照《 地下城主指南》中的規則在您的堡壘中製作魔法物品 ，該設施的一名或兩名僱傭兵可以協助您，從而減少製作所需的時間。
充能恢復。
每當你的堡壘中的魔法物品恢復充能時，它額外恢復 1 點已消耗的充能。
製造：魔法物品。
當你向該設施發出製造指令時，你便委託該設施的僱傭兵製作一件由你從《 地下城主指南》中選擇的普通或罕見魔法物品 。該設施擁有製作該物品所需的工具，而僱傭兵則精通該工具以及奧秘技能。兩名傭兵會互相協助，進而縮短製作物品所需的時間。如果該物品允許使用者施放任何法術，則僱傭兵會預先準備好這些法術。</t>
  </si>
  <si>
    <t>Inquisitive Agency</t>
  </si>
  <si>
    <t>這個設施是某個調查機構的辦公地點——可能是你所控制的機構的總部，也可能是某個大型機構（例如第四章中提到的中杜拉或卡爾·阿什塔調查局 ）的分支機構。它唯一的僱員是一位秘書，負責維護一份詳盡的聯絡人和特工名錄。
研究：資訊收集。
當你向該設施下達研究指令時，你委託該機構的秘書從聯繫人和特工處收集關於你指定的特定人員的信息，從而全面了解該人員在你堡壘方圓 10 英里範圍內過去 7 天和未來 7 天的活動。除非地下城主認為某些資訊超出了這些特工的獲取能力，否則你將獲得以下資訊：
。此人目前及一直以來居住的地方。
。他們把錢花在哪裡。
。他們見過的人。
。他們向何種機構出示了身份證明文件。
如果您的堡壘處於移動狀態，則需要時間在新地點建立代理網路。堡壘移動期間，您無法向其下達研究指令。堡壘抵達目的地後，首次下達研究指令時，該設施的傭兵需要 7 天時間建立新的代理網絡，之後您即可正常使用研究指令。</t>
  </si>
  <si>
    <t>Lyrandar Helm</t>
  </si>
  <si>
    <t>在萊蘭德家族的聲望達到 25 以上</t>
  </si>
  <si>
    <t>萊蘭德舵輪允許建造在元素飛艇或元素戰艦內的移動堡壘進行航行。該設施的傭兵是萊蘭德家族的龍紋繼承人。在元素飛艇上，飛艇的駕駛艙是該設施的一部分（參見第七章 ）。
賦能：旅行。
當你向該設施發出賦能指令時，你會指示其僱傭兵駕駛堡壘前往你指定的目的地。堡壘會以載具的速度行進，每天行進 8 小時，並持續一整個堡壘回合。堡壘會在到達指定目的地或發生任何導致行進中斷的情況時提前停止。
當你向該設施發出「賦能」命令時，DM 會在堡壘事件表上擲骰，就像你向你的堡壘發出「維護」命令一樣。</t>
  </si>
  <si>
    <t>Manifest Zone</t>
  </si>
  <si>
    <t>擁有顯化區域的堡壘會注入艾伯倫某個位面的位面能量。建造此設施時，請選擇該位面。
賦能：顯化護咒。
當你向該設施發出賦能指令時，該設施的僱傭兵將在接下來的 7 天內進行魔法儀式。7 天結束後，你將獲得一個特殊的護咒，稱為顯化咒語，該咒語持續生效直至你使用它。儀式進行期間，你無需身處堡壘即可獲得其效果。護咒的效果取決於該設施所連接的位面：
完美秩序丹維的顯化護咒（ 完美秩序丹維 ）Manifest Charm of Daanvi, the Perfect Order (Daanvi, the Perfect Order)
亡靈之境多魯爾的顯化護咒（ 亡靈之境多魯爾 ）Manifest Charm of Dolurrh, the Realm of the Dead (Dolurrh, the Realm of the Dead)
火焰之海費尼亞的顯化護咒（ 火焰之海費尼亞 ）Manifest Charm of Fernia, the Sea of Fire (Fernia, the Sea of Fire)
永恆黎明伊里安的顯化護咒 （永恆黎明伊里安）Manifest Charm of Irian, the Eternal Dawn (Irian, the Eternal Dawn)
暮光森林拉曼尼亞的顯化護咒 （ 暮光森林拉曼尼亞 ）Manifest Charm of Lamannia, the Twilight Forest (Lamannia, the Twilight Forest)
無盡黑夜瑪巴爾的顯化護咒 （ 無盡黑夜瑪巴爾 ）Manifest Charm of Mabar, the Endless Night (Mabar, the Endless Night)
寒冰之原里西亞的顯化護咒（ 寒冰之原里西亞 ）Manifest Charm of Risia, the Plain of Ice (Risia, the Plain of Ice)
天魔戰場沙瓦拉斯的顯化護咒（ 天魔戰場沙瓦拉斯 ）Manifest Charm of Shavarath, the Battleground (Shavarath, the Battleground)
蔚藍天庭塞拉尼亞的顯化護咒 （ 蔚藍天庭塞拉尼亞 ）Manifest Charm of Syrania, the Azure Sky (Syrania, the Azure Sky)
仙女宮廷瑟拉尼斯的顯化護咒（ 仙女宮廷瑟拉尼斯 ）Manifest Charm of Thelanis, the Faerie Court (Thelanis, the Faerie Court)
譫妄之境瑟瑞奥特的顯化護咒（譫妄之境瑟瑞奥特 ）Manifest Charm of Xoriat, the Realm of Delirium (Xoriat, the Realm of Delirium)
如果你的堡壘處於移動狀態，它與已連接位面的連接會在堡壘移動期間暫停，你無法在堡壘移動過程中對其發出賦能指令。當堡壘到達目的地後，你可以發出賦能指令來建立新的位面連接，將堡壘連接到同一位面或你選擇的其他位面。建立新的連線需要7天時間，之後你就可以正常發出賦能指令了。</t>
  </si>
  <si>
    <t>Museum</t>
  </si>
  <si>
    <t>博物館收藏了您參與或贊助的探險活動中帶回的文物和珍寶，這些文物和珍寶都經過精心編目和展示。
研究：專業知識。
當你向該機構下達研究指令時，你會委託傭兵研究博物館中的特定寶藏。這項工作需要 7 天。僱傭兵會獲得與古代歷史相關的知識，如同施放了通曉傳奇法術一般，並在下次與你交談時與你分享這些知識。
過往的秘密。
你的博物館藏有一件寶物，當你花費 7 天時間研究它，並在你的堡壘中完成一次長休後，即可獲得一個魔法護符。該護符持續 7 天或直到你使用它為止。在你擁有該護符期間，你無法從該設施獲得其他護符。護符的效果取決於你博物館中寶物的來源。你可以選擇以下選項之一（你的地下城主可能會根據你過去的探險經歷提供更多選項或限制現有選項）：
阿貢內森的護符 Charm of Argonnessen
阿什塔卡拉的護符 Charm of Ashtakala
達卡安的護符 Charm of Dhakaan
開伯爾的護符 Charm of Khyber
澤恩德里克的護符 Charm of Xen'drik
擴建博物館。
您可以花費 2,000 金幣將博物館擴建為大型博物館。擴建後，博物館可以收藏兩件不同來源的珍寶。大型博物館還會額外獲得兩名傭兵，總共三名。您可以根據自己的喜好為他們命名並設定個性。</t>
  </si>
  <si>
    <t>半位面</t>
  </si>
  <si>
    <t>一個至多5尺寬，10尺高的門出現在你據點里某個設施內的一個平坦，堅硬的表面。 其位置由你選擇。 如果你位於你的據點內，你可以將這道門移動到另一個設施裡。
只有你和你據點的雇員可以打開這扇門，它通往一個半位面，其形式類似於一個石質房間。 半位面位於超維空間中，因此不在物理上與據點的其他部分相連。 半位面本身和通往它的門都不能被解消。
造物。
位於半位面內時，你可以用一個魔法動作，憑空創造一個你所選擇的非魔法物件。 該物件會出現在半位面內的一個未被佔據的空間。 該物件不能在任何方向上超過5尺長，其價值不能超過5GP，並且必須由木頭、石頭、黏土、陶瓷、紙張、無價值的水晶或者非貴重金屬構成。 你不能再次使用該魔法動作，直至你完成一次長休。
賦能：奧術活力。
當你對此設施下達賦能指令時，魔法符文將在半位面的牆壁上浮現，持續7天時間。 在符文消失前，如果你在半位面內進行了一整個長休，你將獲得等同於你等級5倍的臨時生命值。</t>
  </si>
  <si>
    <t>公會大廳</t>
  </si>
  <si>
    <t>Guildhall</t>
  </si>
  <si>
    <t>專精技能</t>
  </si>
  <si>
    <t>建立公會大廳意味著一個公會的成立，而你就是公會的會長。 從範例公會表格中選擇一項，或者和 DM 協商來創造一種新的公會。 此設施是你公會的會議室，在這裡，你公會的成員們可以在你面前討論各種重要事項。
你的公會由大約五十名技藝精湛的成員組成，他們在居住和工作在你據點之外的地方，通常是靠近這裡的聚落。
招募：公會任務。
每當你對此設施下達招募指令時，你委託設施雇員招募公會成員來執行一項特別任務。範例公會表格中給出了每個公會的任務形式。 在 DM 的協助下，你可以創作新的任務交給公會成員執行。
範例公會
公會                標誌                  任務
冒險者公會     點燃的火炬       你委託冒險者去追捕一隻挑戰等級不高於2的野獸，該野獸被認為棲息在你據點周圍 50 里內。 冒險者們在 1d6+1 天內殺死或捕獲該生物（由你選擇）。 如果該生物被殺死而你的據點內有一個陳列室，你可以將一份從該生物身上獲取的獵獲添加到陳列室內。 如果該生物被捕獲而你的據點內有一個獸欄，你可以將該生物添加到獸欄內，前提是該設施有空間容納它。
烘培師公會      甜點                 你委託烘培師為即將在 7 天內舉行的一場重要活動烘培食品。 你可以選擇以金錢形式獲得報酬（500GP），或者活動舉辦者會欠你一個人情，具體情況由你和 DM 決定。
釀酒師公會      冒泡的酒杯      你委託釀酒師在 7 天內將 50 桶麥酒送到你的據點內，每桶麥酒重 40 加侖，並且能以 10 GP 的價格賣出。
石匠公會          石製面具         你委託石匠免費為你的據點建造防禦圍牆。或者，你可以派他們去給另一位玩家的據點建造防禦牆，只要該據點位於你的據點 1 里之內。以此法建造每 5 尺方格的防禦牆需要 1 天而非 10 天（見“據點地圖”一節）。
造船師公會       交叉的船槳     你委託造船師建造一艘載具，該載具必須來自玩家手冊中的空運和水運載具表格。你需要支付該載具的全價，該載具每有 1000 GP 成本便需要 1 天時間進行建造（划艇可以在1天內建造完成）。
盜賊公會          白色的鑰匙       你委託盜賊滲透到你據點50里內的一個地點，並從那裡偷竊一件非魔法物件。 該物件不能在任何方向上超過 5 尺。 該物件會在 1d6+1 天之內被送到你的據點。DM 可能會認為這項行為有使你面臨法律制裁或受害者報復的風險。</t>
  </si>
  <si>
    <t>聖所</t>
  </si>
  <si>
    <t>Sanctum</t>
  </si>
  <si>
    <t>聖所是提供撫慰和治癒的地方。
聖所護咒。
當你在據點內完成一次長休後，你獲得一個魔法護咒（見第三章“超自然恩惠”一節），該護咒持續7天或持續至你將其使用為止。 該護咒允許你施展一次治癒術，無需消耗法術位。你無法在已擁有該護咒時再次獲得它。
聖所回返。
只要聖所仍然屹立，你便總是準備了法術回返真言。 在你施展該法術時，你可以將聖所作為目的地，取代你先前設定的目的地；並且，你可以選擇由該法術傳送到聖所的生物之一，該生物獲得治癒術的增益。
賦能：韌性儀式。
當你對此設施下達賦能指令時，你讓設施雇員每日進行祈禱儀式，儀式將增幅你或者另一個生物的體魄。在儀式持續進行時，即使受益者不在你的據點內也能獲得增益。在之後 7 天內，每當受益者完成一次長休，他都會獲得等同於你等級的臨時生命值。</t>
  </si>
  <si>
    <t>作戰指揮室</t>
  </si>
  <si>
    <t>War Room</t>
  </si>
  <si>
    <t>戰鬥風格/無甲防禦</t>
  </si>
  <si>
    <t>2+</t>
  </si>
  <si>
    <t>作戰指揮室是你和你忠誠的副官們一起商討作戰計劃的地方。 每位副官都是身經百戰的老兵（見怪物圖鑒），他們的陣營與你一致。你初始擁有兩名副官，但可以招募更多副官，如下文所述。 如果你的據點沒有安置這些副官的設施，他們會在距離據點最近的旅館或聚落找到住所。副官是雇員而非據點衛兵，但如果你的據點遭受攻擊（見“據點事件”一節），那麼在為決定據點衛兵損失數量所作的擲骰中，每位副官將使需要投擲的骰子數量減少 1。
作戰指揮室里擺放著戰爭紀念品，以及一張大桌子，桌子周圍擺放著足夠你和副官一一就座的椅子。
招募選項。當你對此設施下達招募指令時，從下列選項中選擇一項：
招募：副官。
你獲得一位新副官。 你最多同時擁有十名副官。 你可以按自己的喜好為他們分配姓名和個性。
招募：士兵。
你委託一位或更多副官集結一支小型軍隊。 每位副官可以在 7 天時間裡召集最多 100 名守衛（見怪物圖鑒），為你的事業而戰。 如果你希望為這些士兵配備騎用馬（見怪物圖鑒），那麼每位副官只能召集 20 名這樣的騎兵。 你每天需要為軍隊內的每位士兵與每隻馬匹花費 1 GP 以滿足他們的糧草供應。 軍隊在任何時候都必須由你本人或至少一位你的副官領導著，沒有領導者的軍隊會立即解散。 在 1 天時間裡沒有獲得糧草供應的軍隊也會立即解散。 如果上述情況沒有發生，軍隊將維持至他們被擊潰，或者維持至你命令他們解散。 在你當前擁有的軍隊被擊潰或解散之前，你不能招募新的軍隊。</t>
  </si>
  <si>
    <t>Construct Forge</t>
  </si>
  <si>
    <t>構裝鍛爐用於製造構裝體。
招募：構裝體。
當你向該設施下達招募指令時，你將委託該設施的僱傭兵根據「鍛造構裝體」表格製作一個構裝體。建造需要表格中列出的時間和費用。
在此設施中製造的構裝體均視為堡壘守衛者。若有構裝體被摧毀，則需從你的堡壘守護者名單中扣除。你可以選擇不將其中一個或多個構裝體計入堡壘守衛者，在這種情況下，它們將無法被召喚參與堡壘的防禦。取而代之的是，它們將按照自身的特性行事，並使用《 怪物圖鑑》 中的屬性資料。
生物類型    時間    成本
活化盔甲 Animated Armor    14 天    1,000 GP
活化掃帚 Animated Broom    7 天    250 GP
活化飛行劍 Animated Flying Sword    7 天    250 GP
活化窒息魔毯 Animated Rug of Smothering    21 天    2,000 GP
恐怖鎧甲 Helmed Horror    42 天    5,000 GP
稻草人 Scarecrow    14 天    1,000 GP
構裝盾衛 Shield Guardian    63 天    25,000 GP
戰鑄泰坦* Warforged Titan*    250 天    200,000 GP
*戰鑄泰坦的屬性資料出現在《艾伯倫：末日之戰的崛起》。根據結束末日之戰的《科斯條約》的條款，製造新的戰鑄泰坦是非法的。違反該條約將導致科瓦雷大陸再次爆發全面戰爭。</t>
  </si>
  <si>
    <t>1d100</t>
  </si>
  <si>
    <t>據點事件</t>
  </si>
  <si>
    <t>01-50</t>
  </si>
  <si>
    <t>一切順利 All Is Well</t>
  </si>
  <si>
    <t>沒什麼大事發生。</t>
  </si>
  <si>
    <t>51-55</t>
  </si>
  <si>
    <t>攻擊 Attack</t>
  </si>
  <si>
    <t xml:space="preserve">  一股敵對勢力襲擊了據點，但是被打敗了。
投擲6d6; 每有一個骰子丟出1，便有一位據點衛兵Bastion Defender死亡。 從你的據點衛兵名單中移除死亡的衛兵。 如果據點內沒有據點衛兵，那麼據點的一個特色設施（隨機決定）將遭受損害並被迫關閉。
被關閉的特色設施在你的下個據點回合中無法使用，之後它會被修復並重新開始運作，這不會花費你任何金錢。</t>
  </si>
  <si>
    <t>56-58</t>
  </si>
  <si>
    <t>罪犯雇員 Criminal Hireling</t>
  </si>
  <si>
    <t>你據點的一位雇員以前犯下過罪行，但直到執法人員或者賞金獵人帶著他的通緝令出現在據點門口時，大家才知道這件事。 你可以賄賂他們1d6*100GP來保下這位雇員，否則這位雇員會被逮捕。 如果這導致你的某個特色設施完全沒有雇員在工作，那麼該特色設施在你的下個據點回合中無法使用。 之後，新的雇員會來接手工作，這不會花費你任何金錢。</t>
  </si>
  <si>
    <t>59-63</t>
  </si>
  <si>
    <t>機不可失
Extraordinary Opportunity</t>
  </si>
  <si>
    <t>你的據點有機會承辦一個重要的節目或慶典、資助一位強大施法者的研究、或者安撫一位蠻橫的貴族。 和DM一起決定事件的具體細節。
如果你抓住這次機會，你必須花費500GP作為成本。 作為回報，你的據點獲得了廣大的認可或注意，這使得DM重新為你投擲一次據點事件Bastion Event（再次出現此結果則重投）。
  如果你拒絕這次機會，你無需花費金錢，無事發生。</t>
  </si>
  <si>
    <t>64-72</t>
  </si>
  <si>
    <t>友好的來訪者 Friendly Visitors</t>
  </si>
  <si>
    <t xml:space="preserve"> 友好的來訪者造訪了你的據點，他們希望借用你據點的一個特色設施。 他們願意為此支付1d6*100GP。 例如，有一位騎士希望你的鐵匠鋪為他替換一個馬蹄鐵或維修損壞的武器與盔甲; 或者有一群智者希望用你的奧術研究室幫助他們解決一個爭論。 他們對特色設施的借用不會影響這些設施執行你下達的指令。</t>
  </si>
  <si>
    <t>73-76</t>
  </si>
  <si>
    <t>客人 Guest</t>
  </si>
  <si>
    <t>一位友好的客人來暫住在你的據點。 從下清單格中擲骰決定來的是怎樣的客人，和DM一起為這位客人補充細節。
1d4        客人
1        這位客人是一位非常有名的人，他將在這裡暫住7天。 暫住結束后，這位客人給予你一封推薦信（見第3章“名望的標誌”一節）。
2        客人尋求你的庇護，讓他不會因信仰或犯罪而遭受迫害。 他在7天后離開，離開前贈予你1d6*100GP作為禮物。
3        客人是一位雇傭兵，這給予你一位額外的據點衛兵。 這位客人不會佔用設施空間，並且會一直待在這裡，直至被殺或直至你主動送他離開。
4        客人是一個友善Friendly的怪物，例如一條黃銅龍或一位樹人。 如果這個怪物在這裡做客時你的據點遭受攻擊，怪物會保護你的據點，而你不會損失任何據點衛兵。 怪物會一直呆在這裡，直至他保護一次你的據點或直至你主動送他離開。</t>
  </si>
  <si>
    <t>77-79</t>
  </si>
  <si>
    <t>失去雇員 Lost Hirelings</t>
  </si>
  <si>
    <t>你據點的其中一個特色設施（隨機決定）失去了它的所有雇員。 雇員離開的原因由你決定。 該特色設施在你的下個據點回合中無法使用。 之後，新的雇員會來接手工作，這不會花費你任何金錢。</t>
  </si>
  <si>
    <t>80-83</t>
  </si>
  <si>
    <t>魔法發現 Magical Discovery</t>
  </si>
  <si>
    <t>你的雇員找到或意外創造了一件非普通Uncommon魔法物品。 這不會花費你任何金錢。 該魔法物品由你選擇，但必須是某種藥劑Potion或捲軸Scroll。</t>
  </si>
  <si>
    <t>84-91</t>
  </si>
  <si>
    <t>難民 Refugees</t>
  </si>
  <si>
    <t>2d4名難民正在逃離怪物攻擊、自然災害、或是其他災難。 他們希望在你的據點避難。 如果你的據點沒有足以容納他們的基礎設施，他們會在據點外紮營。 難民們向你支付1d6*100GP作為你接納並保護他們的報酬。 他們會一直待在這裡，直至你為他們找到新家，或直至敵對勢力襲擊你的據點。</t>
  </si>
  <si>
    <t>92-98</t>
  </si>
  <si>
    <t>請求援助Request for Aid</t>
  </si>
  <si>
    <t>一位當地領導者號召你的據點為他提供助力。 這道請求也許是為了找到某個失蹤的人，或者是因為附近有土匪肆虐。 如果你選擇説明他，你必須派出一位或更多據點衛兵。 你每派出一名據點衛兵便投擲1d6。 如果擲骰總和大於等於10，則問題被解決了，你獲得1d6*100GP作為報酬。 如果擲骰總和小於10，那麼雖然問題仍然被解決了，但是你獲得的報酬減半，並且其中一位被派出的據點衛兵被殺死了。 將該衛兵從你的據點衛兵名單中移除。</t>
  </si>
  <si>
    <t>99-00</t>
  </si>
  <si>
    <t>寶藏 Treasure</t>
  </si>
  <si>
    <t>你的據點獲得了一件藝術品或一件魔法物品。 從下清單格中擲骰決定類別，然後在第7章的相應表格中擲骰決定具體物品。 據點獲得這件物品的方式由你決定。 它可能是從他人那裡繼承而來、來自一位客人或崇拜者的禮物、從別人那裡偷來的、或者撞了大運意外找到的。 如果你在據點里，你立刻獲得該物品。 反之，該物品會被存放在儲藏室，直至你前來獲取它。
  1天100          寶藏
01-40          在25GP藝術品表格中擲骰。
41-63          在250GP藝術品表格中擲骰。
64-73          在750GP藝術品表格中擲骰。
74-75        在2500GP藝術品表格中擲骰。
76-90        在你選擇的普通魔法物品表格（奧秘，武具，器具或遺物）中擲骰。
91-98        在你選擇的非普通魔法物品表格（奧秘，武具，器具或聖物）中擲骰。
99-00        在你選擇的珍稀魔法物品表格（奧術，武具，器具或聖物）中擲骰。</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</si>
</sst>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yyyy/m/d"/>
    <numFmt numFmtId="165" formatCode="yy-m-d"/>
    <numFmt numFmtId="166" formatCode="+#0_);-[Red]#0"/>
    <numFmt numFmtId="167" formatCode="#0/ +#0_);#0/ -#0"/>
    <numFmt numFmtId="168" formatCode="#lb"/>
    <numFmt numFmtId="169" formatCode="+#0_);-#0"/>
    <numFmt numFmtId="170" formatCode="+#0_);-[red]#0"/>
    <numFmt numFmtId="171" formatCode="0 lb"/>
    <numFmt numFmtId="172" formatCode="m/d"/>
    <numFmt numFmtId="173" formatCode="+0"/>
    <numFmt numFmtId="174" formatCode="0 ft"/>
    <numFmt numFmtId="175" formatCode="#,##0.0"/>
    <numFmt numFmtId="176" formatCode="m-d"/>
  </numFmts>
  <fonts count="248">
    <font>
      <sz val="10.0"/>
      <color rgb="FF000000"/>
      <name val="Calibri"/>
      <scheme val="minor"/>
    </font>
    <font>
      <color theme="1"/>
      <name val="Calibri"/>
      <scheme val="minor"/>
    </font>
    <font>
      <b/>
      <color theme="1"/>
      <name val="Calibri"/>
      <scheme val="minor"/>
    </font>
    <font>
      <color rgb="FFDDD9C4"/>
      <name val="Calibri"/>
      <scheme val="minor"/>
    </font>
    <font>
      <b/>
      <color rgb="FFFFFFFF"/>
      <name val="Calibri"/>
      <scheme val="minor"/>
    </font>
    <font>
      <b/>
      <sz val="23.0"/>
      <color theme="1"/>
      <name val="Calibri"/>
      <scheme val="minor"/>
    </font>
    <font/>
    <font>
      <b/>
      <sz val="12.0"/>
      <color rgb="FFFFFFFF"/>
      <name val="&quot;Trebuchet MS&quot;"/>
    </font>
    <font>
      <b/>
      <sz val="12.0"/>
      <color theme="1"/>
      <name val="Calibri"/>
      <scheme val="minor"/>
    </font>
    <font>
      <b/>
      <sz val="13.0"/>
      <color rgb="FFFFFFFF"/>
      <name val="Calibri"/>
      <scheme val="minor"/>
    </font>
    <font>
      <b/>
      <sz val="12.0"/>
      <color rgb="FFFFFFFF"/>
      <name val="Calibri"/>
      <scheme val="minor"/>
    </font>
    <font>
      <b/>
      <sz val="15.0"/>
      <color rgb="FFFF0000"/>
      <name val="Calibri"/>
      <scheme val="minor"/>
    </font>
    <font>
      <b/>
      <sz val="14.0"/>
      <color rgb="FFFFFFFF"/>
      <name val="Trebuchet MS"/>
    </font>
    <font>
      <b/>
      <sz val="14.0"/>
      <color rgb="FFFFFFFF"/>
      <name val="&quot;Trebuchet MS&quot;"/>
    </font>
    <font>
      <color rgb="FFDDD9C4"/>
      <name val="Iansui"/>
    </font>
    <font>
      <b/>
      <sz val="12.0"/>
      <color rgb="FFFFFFFF"/>
      <name val="Calibri"/>
    </font>
    <font>
      <b/>
      <color theme="1"/>
      <name val="Calibri"/>
    </font>
    <font>
      <b/>
      <color theme="1"/>
      <name val="Kelly Slab"/>
    </font>
    <font>
      <b/>
      <sz val="12.0"/>
      <color theme="1"/>
      <name val="Kelly Slab"/>
    </font>
    <font>
      <u/>
      <color rgb="FF0000FF"/>
    </font>
    <font>
      <color theme="1"/>
      <name val="Calibri"/>
    </font>
    <font>
      <b/>
      <i/>
      <color theme="1"/>
      <name val="Calibri"/>
    </font>
    <font>
      <b/>
      <sz val="10.0"/>
      <color theme="1"/>
      <name val="Calibri"/>
      <scheme val="minor"/>
    </font>
    <font>
      <b/>
      <i/>
      <u/>
      <color rgb="FF0000FF"/>
      <name val="Calibri"/>
    </font>
    <font>
      <b/>
      <color rgb="FF000000"/>
      <name val="Kelly Slab"/>
    </font>
    <font>
      <b/>
      <sz val="13.0"/>
      <color rgb="FFFFFFFF"/>
      <name val="Trebuchet MS"/>
    </font>
    <font>
      <b/>
      <sz val="16.0"/>
      <color rgb="FF1F497D"/>
      <name val="Microsoft JhengHei"/>
    </font>
    <font>
      <b/>
      <sz val="12.0"/>
      <color rgb="FF1F497D"/>
      <name val="Microsoft JhengHei"/>
    </font>
    <font>
      <b/>
      <sz val="12.0"/>
      <color theme="1"/>
      <name val="Calibri"/>
    </font>
    <font>
      <b/>
      <sz val="12.0"/>
      <color rgb="FF990000"/>
      <name val="Microsoft JhengHei"/>
    </font>
    <font>
      <sz val="12.0"/>
      <color rgb="FF000000"/>
      <name val="Calibri"/>
    </font>
    <font>
      <b/>
      <sz val="12.0"/>
      <color rgb="FFFFFFFF"/>
      <name val="Trebuchet MS"/>
    </font>
    <font>
      <b/>
      <sz val="11.0"/>
      <color rgb="FFFFFFFF"/>
      <name val="Trebuchet MS"/>
    </font>
    <font>
      <b/>
      <sz val="14.0"/>
      <color theme="1"/>
      <name val="Fredericka the Great"/>
    </font>
    <font>
      <sz val="14.0"/>
      <color rgb="FF990000"/>
      <name val="Righteous"/>
    </font>
    <font>
      <sz val="14.0"/>
      <color rgb="FF38761D"/>
      <name val="Righteous"/>
    </font>
    <font>
      <sz val="14.0"/>
      <color rgb="FF1F497D"/>
      <name val="Righteous"/>
    </font>
    <font>
      <sz val="13.0"/>
      <color theme="1"/>
      <name val="Righteous"/>
    </font>
    <font>
      <sz val="20.0"/>
      <color rgb="FF351C75"/>
      <name val="Rye"/>
    </font>
    <font>
      <b/>
      <sz val="11.0"/>
      <color theme="1"/>
      <name val="&quot;Microsoft JhengHei&quot;"/>
    </font>
    <font>
      <sz val="24.0"/>
      <color rgb="FFD9D9D9"/>
      <name val="Trebuchet MS"/>
    </font>
    <font>
      <b/>
      <sz val="13.0"/>
      <color theme="1"/>
      <name val="Fredericka the Great"/>
    </font>
    <font>
      <b/>
      <color rgb="FFCC0000"/>
      <name val="UnifrakturMaguntia"/>
    </font>
    <font>
      <sz val="11.0"/>
      <color rgb="FFBBBBBB"/>
      <name val="Luckiest Guy"/>
    </font>
    <font>
      <b/>
      <color theme="1"/>
      <name val="UnifrakturMaguntia"/>
    </font>
    <font>
      <sz val="14.0"/>
      <color theme="1"/>
      <name val="Secular One"/>
    </font>
    <font>
      <sz val="14.0"/>
      <color rgb="FF434343"/>
      <name val="Secular One"/>
    </font>
    <font>
      <sz val="10.0"/>
      <color rgb="FF434343"/>
      <name val="Secular One"/>
    </font>
    <font>
      <color theme="1"/>
      <name val="Aclonica"/>
    </font>
    <font>
      <b/>
      <sz val="10.0"/>
      <color theme="1"/>
      <name val="Fredericka the Great"/>
    </font>
    <font>
      <sz val="12.0"/>
      <color rgb="FFDDD9C4"/>
      <name val="Calibri"/>
    </font>
    <font>
      <b/>
      <sz val="12.0"/>
      <color rgb="FFFFFFFF"/>
      <name val="&quot;Microsoft JhengHei&quot;"/>
    </font>
    <font>
      <sz val="11.0"/>
      <color theme="1"/>
      <name val="Russo One"/>
    </font>
    <font>
      <sz val="11.0"/>
      <color theme="1"/>
      <name val="&quot;Russo One&quot;"/>
    </font>
    <font>
      <color rgb="FF07152B"/>
      <name val="Calibri"/>
      <scheme val="minor"/>
    </font>
    <font>
      <sz val="10.0"/>
      <color theme="1"/>
      <name val="Trebuchet MS"/>
    </font>
    <font>
      <sz val="22.0"/>
      <color rgb="FF351C75"/>
      <name val="Rye"/>
    </font>
    <font>
      <b/>
      <sz val="18.0"/>
      <color rgb="FF0B5394"/>
      <name val="Orbitron"/>
    </font>
    <font>
      <b/>
      <sz val="18.0"/>
      <color rgb="FF1F497D"/>
      <name val="Orbitron"/>
    </font>
    <font>
      <b/>
      <sz val="14.0"/>
      <color rgb="FF07152B"/>
      <name val="Trebuchet MS"/>
    </font>
    <font>
      <b/>
      <sz val="13.0"/>
      <color rgb="FF1F497D"/>
      <name val="Algerian"/>
    </font>
    <font>
      <b/>
      <sz val="12.0"/>
      <color theme="1"/>
      <name val="Microsoft JhengHei"/>
    </font>
    <font>
      <b/>
      <sz val="13.0"/>
      <color theme="1"/>
      <name val="MedievalSharp"/>
    </font>
    <font>
      <b/>
      <sz val="12.0"/>
      <color rgb="FF272727"/>
      <name val="Algerian"/>
    </font>
    <font>
      <b/>
      <sz val="6.0"/>
      <color theme="1"/>
      <name val="Microsoft JhengHei"/>
    </font>
    <font>
      <b/>
      <sz val="12.0"/>
      <color theme="1"/>
      <name val="Algerian"/>
    </font>
    <font>
      <b/>
      <sz val="12.0"/>
      <color theme="1"/>
      <name val="New Rocker"/>
    </font>
    <font>
      <sz val="36.0"/>
      <color rgb="FFD9D9D9"/>
      <name val="Calibri"/>
      <scheme val="minor"/>
    </font>
    <font>
      <sz val="12.0"/>
      <color rgb="FF073763"/>
      <name val="Fredericka the Great"/>
    </font>
    <font>
      <b/>
      <sz val="12.0"/>
      <color rgb="FFA61C00"/>
      <name val="Microsoft JhengHei"/>
    </font>
    <font>
      <b/>
      <sz val="12.0"/>
      <color rgb="FF000000"/>
      <name val="Algerian"/>
    </font>
    <font>
      <color theme="1"/>
      <name val="Algerian"/>
    </font>
    <font>
      <sz val="26.0"/>
      <color theme="1"/>
      <name val="Orbitron"/>
    </font>
    <font>
      <sz val="8.0"/>
      <color theme="1"/>
      <name val="Skranji"/>
    </font>
    <font>
      <sz val="10.0"/>
      <color rgb="FF07152B"/>
      <name val="Trebuchet MS"/>
    </font>
    <font>
      <sz val="8.0"/>
      <color theme="1"/>
      <name val="Trebuchet MS"/>
    </font>
    <font>
      <sz val="10.0"/>
      <color rgb="FFFFFFFF"/>
      <name val="Trebuchet MS"/>
    </font>
    <font>
      <sz val="14.0"/>
      <color theme="1"/>
      <name val="Pacifico"/>
    </font>
    <font>
      <b/>
      <sz val="12.0"/>
      <color rgb="FF000000"/>
      <name val="Trebuchet MS"/>
    </font>
    <font>
      <sz val="14.0"/>
      <color rgb="FF000000"/>
      <name val="Pacifico"/>
    </font>
    <font>
      <sz val="11.0"/>
      <color rgb="FFFFFFFF"/>
      <name val="Russo One"/>
    </font>
    <font>
      <sz val="12.0"/>
      <color theme="1"/>
      <name val="Russo One"/>
    </font>
    <font>
      <b/>
      <sz val="11.0"/>
      <color rgb="FFBBBBBB"/>
      <name val="Walter Turncoat"/>
    </font>
    <font>
      <b/>
      <sz val="10.0"/>
      <color theme="1"/>
      <name val="UnifrakturMaguntia"/>
    </font>
    <font>
      <b/>
      <sz val="10.0"/>
      <color rgb="FFFFFFFF"/>
      <name val="Trebuchet MS"/>
    </font>
    <font>
      <b/>
      <sz val="12.0"/>
      <color theme="1"/>
      <name val="Trebuchet MS"/>
    </font>
    <font>
      <b/>
      <sz val="12.0"/>
      <color rgb="FF434343"/>
      <name val="Russo One"/>
    </font>
    <font>
      <b/>
      <sz val="9.0"/>
      <color theme="1"/>
      <name val="Trebuchet MS"/>
    </font>
    <font>
      <b/>
      <sz val="10.0"/>
      <color theme="1"/>
      <name val="Skranji"/>
    </font>
    <font>
      <sz val="9.0"/>
      <color theme="1"/>
      <name val="Trebuchet MS"/>
    </font>
    <font>
      <b/>
      <sz val="9.0"/>
      <color rgb="FF1F497D"/>
      <name val="Trebuchet MS"/>
    </font>
    <font>
      <b/>
      <sz val="9.0"/>
      <color rgb="FFFF0000"/>
      <name val="Trebuchet MS"/>
    </font>
    <font>
      <b/>
      <sz val="9.0"/>
      <color theme="1"/>
      <name val="Calibri"/>
    </font>
    <font>
      <b/>
      <sz val="9.0"/>
      <color theme="1"/>
      <name val="Calibri"/>
      <scheme val="minor"/>
    </font>
    <font>
      <b/>
      <sz val="11.0"/>
      <color rgb="FFFFFFFF"/>
      <name val="&quot;Microsoft JhengHei&quot;"/>
    </font>
    <font>
      <sz val="12.0"/>
      <color rgb="FFA61C00"/>
      <name val="Righteous"/>
    </font>
    <font>
      <b/>
      <sz val="24.0"/>
      <color theme="1"/>
      <name val="Trebuchet MS"/>
    </font>
    <font>
      <b/>
      <sz val="11.0"/>
      <color rgb="FF000000"/>
      <name val="Russo One"/>
    </font>
    <font>
      <b/>
      <color theme="1"/>
      <name val="&quot;Microsoft JhengHei&quot;"/>
    </font>
    <font>
      <b/>
      <sz val="10.0"/>
      <color rgb="FF000000"/>
      <name val="Trebuchet MS"/>
    </font>
    <font>
      <sz val="14.0"/>
      <color rgb="FF000000"/>
      <name val="Trebuchet MS"/>
    </font>
    <font>
      <b/>
      <sz val="10.0"/>
      <color theme="1"/>
      <name val="Comfortaa"/>
    </font>
    <font>
      <sz val="20.0"/>
      <color rgb="FF07152B"/>
      <name val="Righteous"/>
    </font>
    <font>
      <b/>
      <sz val="20.0"/>
      <color rgb="FF800000"/>
      <name val="Algerian"/>
    </font>
    <font>
      <b/>
      <sz val="20.0"/>
      <color rgb="FF000000"/>
      <name val="Acme"/>
    </font>
    <font>
      <b/>
      <sz val="20.0"/>
      <color rgb="FF073763"/>
      <name val="Algerian"/>
    </font>
    <font>
      <sz val="12.0"/>
      <color theme="1"/>
      <name val="Trebuchet MS"/>
    </font>
    <font>
      <sz val="14.0"/>
      <color theme="1"/>
      <name val="Trebuchet MS"/>
    </font>
    <font>
      <b/>
      <sz val="14.0"/>
      <color theme="1"/>
      <name val="Trebuchet MS"/>
    </font>
    <font>
      <sz val="12.0"/>
      <color theme="1"/>
      <name val="Pacifico"/>
    </font>
    <font>
      <b/>
      <color theme="1"/>
      <name val="Microsoft JhengHei"/>
    </font>
    <font>
      <b/>
      <sz val="12.0"/>
      <color theme="1"/>
      <name val="Acme"/>
    </font>
    <font>
      <b/>
      <sz val="14.0"/>
      <color rgb="FF000000"/>
      <name val="Trebuchet MS"/>
    </font>
    <font>
      <b/>
      <sz val="11.0"/>
      <color theme="1"/>
      <name val="Trebuchet MS"/>
    </font>
    <font>
      <b/>
      <sz val="12.0"/>
      <color theme="1"/>
      <name val="Orbitron"/>
    </font>
    <font>
      <sz val="10.0"/>
      <color rgb="FF434343"/>
      <name val="Trebuchet MS"/>
    </font>
    <font>
      <b/>
      <sz val="9.0"/>
      <color rgb="FF07152B"/>
      <name val="&quot;Trebuchet MS&quot;"/>
    </font>
    <font>
      <b/>
      <sz val="9.0"/>
      <color rgb="FF800000"/>
      <name val="&quot;Trebuchet MS&quot;"/>
    </font>
    <font>
      <b/>
      <sz val="9.0"/>
      <color rgb="FF666F30"/>
      <name val="&quot;Trebuchet MS&quot;"/>
    </font>
    <font>
      <b/>
      <sz val="10.0"/>
      <color theme="1"/>
      <name val="Trebuchet MS"/>
    </font>
    <font>
      <b/>
      <sz val="8.0"/>
      <color rgb="FF07152B"/>
      <name val="Kelly Slab"/>
    </font>
    <font>
      <sz val="12.0"/>
      <color rgb="FF000000"/>
      <name val="Righteous"/>
    </font>
    <font>
      <sz val="12.0"/>
      <color theme="1"/>
      <name val="Righteous"/>
    </font>
    <font>
      <b/>
      <sz val="18.0"/>
      <color theme="1"/>
      <name val="Walter Turncoat"/>
    </font>
    <font>
      <b/>
      <sz val="12.0"/>
      <color rgb="FFFFFFFF"/>
      <name val="Walter Turncoat"/>
    </font>
    <font>
      <b/>
      <sz val="12.0"/>
      <color rgb="FFFFFFFF"/>
      <name val="Acme"/>
    </font>
    <font>
      <b/>
      <sz val="11.0"/>
      <color rgb="FFFFFFFF"/>
      <name val="Acme"/>
    </font>
    <font>
      <sz val="9.0"/>
      <color rgb="FF000000"/>
      <name val="Calibri"/>
    </font>
    <font>
      <b/>
      <sz val="11.0"/>
      <color theme="1"/>
      <name val="Acme"/>
    </font>
    <font>
      <b/>
      <sz val="11.0"/>
      <color theme="0"/>
      <name val="Calibri"/>
    </font>
    <font>
      <b/>
      <sz val="12.0"/>
      <color rgb="FFFFFFFF"/>
      <name val="Fredericka the Great"/>
    </font>
    <font>
      <sz val="8.0"/>
      <color theme="1"/>
      <name val="New Rocker"/>
    </font>
    <font>
      <sz val="12.0"/>
      <color rgb="FFFFFFFF"/>
      <name val="Russo One"/>
    </font>
    <font>
      <b/>
      <sz val="12.0"/>
      <color rgb="FFFFFFFF"/>
      <name val="Russo One"/>
    </font>
    <font>
      <sz val="13.0"/>
      <color theme="1"/>
      <name val="Acme"/>
    </font>
    <font>
      <b/>
      <sz val="11.0"/>
      <color rgb="FF000000"/>
      <name val="Acme"/>
    </font>
    <font>
      <b/>
      <sz val="9.0"/>
      <color theme="1"/>
      <name val="Microsoft JhengHei"/>
    </font>
    <font>
      <sz val="13.0"/>
      <color theme="1"/>
      <name val="Pacifico"/>
    </font>
    <font>
      <b/>
      <sz val="10.0"/>
      <color theme="1"/>
      <name val="Microsoft JhengHei"/>
    </font>
    <font>
      <b/>
      <sz val="10.0"/>
      <color rgb="FF000000"/>
      <name val="Microsoft JhengHei"/>
    </font>
    <font>
      <b/>
      <sz val="10.0"/>
      <color rgb="FF274E13"/>
      <name val="Microsoft JhengHei"/>
    </font>
    <font>
      <sz val="14.0"/>
      <color theme="1"/>
      <name val="Acme"/>
    </font>
    <font>
      <b/>
      <sz val="11.0"/>
      <color rgb="FF000000"/>
      <name val="Trebuchet MS"/>
    </font>
    <font>
      <sz val="9.0"/>
      <color theme="1"/>
      <name val="Walter Turncoat"/>
    </font>
    <font>
      <b/>
      <sz val="10.0"/>
      <color theme="1"/>
      <name val="Calibri"/>
    </font>
    <font>
      <b/>
      <sz val="10.0"/>
      <color rgb="FF274E13"/>
      <name val="Trebuchet MS"/>
    </font>
    <font>
      <b/>
      <sz val="8.0"/>
      <color theme="1"/>
      <name val="Trebuchet MS"/>
    </font>
    <font>
      <b/>
      <sz val="12.0"/>
      <color rgb="FF07152B"/>
      <name val="Trebuchet MS"/>
    </font>
    <font>
      <b/>
      <color rgb="FFFFFFFF"/>
      <name val="Calibri"/>
    </font>
    <font>
      <b/>
      <sz val="10.0"/>
      <color rgb="FF1F1F1F"/>
      <name val="Arial"/>
    </font>
    <font>
      <b/>
      <sz val="10.0"/>
      <color rgb="FF1F1F1F"/>
      <name val="Calibri"/>
      <scheme val="minor"/>
    </font>
    <font>
      <b/>
      <color theme="1"/>
      <name val="Arial"/>
    </font>
    <font>
      <b/>
      <color rgb="FFFFFFFF"/>
      <name val="Arial"/>
    </font>
    <font>
      <b/>
      <sz val="11.0"/>
      <color rgb="FFFFFFFF"/>
      <name val="Arial"/>
    </font>
    <font>
      <b/>
      <sz val="11.0"/>
      <color rgb="FFFFFFFF"/>
      <name val="Microsoft JhengHei"/>
    </font>
    <font>
      <color rgb="FF000000"/>
      <name val="Calibri"/>
      <scheme val="minor"/>
    </font>
    <font>
      <b/>
      <color rgb="FF000000"/>
      <name val="Calibri"/>
      <scheme val="minor"/>
    </font>
    <font>
      <b/>
      <sz val="24.0"/>
      <color theme="1"/>
      <name val="Calibri"/>
      <scheme val="minor"/>
    </font>
    <font>
      <b/>
      <sz val="14.0"/>
      <color rgb="FF073763"/>
      <name val="Calibri"/>
      <scheme val="minor"/>
    </font>
    <font>
      <b/>
      <sz val="14.0"/>
      <color rgb="FFFFFFFF"/>
      <name val="Calibri"/>
      <scheme val="minor"/>
    </font>
    <font>
      <b/>
      <sz val="10.0"/>
      <color rgb="FFFFFFFF"/>
      <name val="Calibri"/>
    </font>
    <font>
      <b/>
      <sz val="10.0"/>
      <color rgb="FFFFFFFF"/>
      <name val="Arial"/>
    </font>
    <font>
      <sz val="15.0"/>
      <color rgb="FFDDD9C4"/>
      <name val="Trebuchet MS"/>
    </font>
    <font>
      <b/>
      <sz val="12.0"/>
      <color rgb="FFFFFFFF"/>
      <name val="Microsoft JhengHei"/>
    </font>
    <font>
      <b/>
      <sz val="12.0"/>
      <color rgb="FFFFFFFF"/>
      <name val="Federant"/>
    </font>
    <font>
      <b/>
      <sz val="12.0"/>
      <color theme="1"/>
      <name val="Federant"/>
    </font>
    <font>
      <b/>
      <sz val="12.0"/>
      <color rgb="FFEFEFEF"/>
      <name val="Federant"/>
    </font>
    <font>
      <b/>
      <i/>
      <sz val="10.0"/>
      <color theme="1"/>
      <name val="Microsoft JhengHei"/>
    </font>
    <font>
      <b/>
      <sz val="11.0"/>
      <color rgb="FF000000"/>
      <name val="Verdana"/>
    </font>
    <font>
      <b/>
      <sz val="11.0"/>
      <color theme="1"/>
      <name val="Microsoft JhengHei"/>
    </font>
    <font>
      <b/>
      <sz val="11.0"/>
      <color theme="1"/>
      <name val="Algerian"/>
    </font>
    <font>
      <sz val="10.0"/>
      <color rgb="FFDDD9C4"/>
      <name val="Trebuchet MS"/>
    </font>
    <font>
      <b/>
      <sz val="12.0"/>
      <color rgb="FFFFFFFF"/>
      <name val="Kelly Slab"/>
    </font>
    <font>
      <sz val="20.0"/>
      <color rgb="FFDDD9C4"/>
      <name val="Trebuchet MS"/>
    </font>
    <font>
      <b/>
      <i/>
      <sz val="10.0"/>
      <color theme="1"/>
      <name val="Comfortaa"/>
    </font>
    <font>
      <b/>
      <sz val="12.0"/>
      <color rgb="FF07152B"/>
      <name val="Calibri"/>
      <scheme val="minor"/>
    </font>
    <font>
      <b/>
      <sz val="12.0"/>
      <color rgb="FFD9D9D9"/>
      <name val="Microsoft JhengHei"/>
    </font>
    <font>
      <sz val="9.0"/>
      <color rgb="FFF3F3F3"/>
      <name val="Microsoft JhengHei"/>
    </font>
    <font>
      <sz val="12.0"/>
      <color rgb="FFF3F3F3"/>
      <name val="Microsoft JhengHei"/>
    </font>
    <font>
      <b/>
      <sz val="18.0"/>
      <color rgb="FFCCCCCC"/>
      <name val="Microsoft JhengHei"/>
    </font>
    <font>
      <b/>
      <i/>
      <sz val="18.0"/>
      <color rgb="FFF3F3F3"/>
      <name val="Microsoft JhengHei"/>
    </font>
    <font>
      <b/>
      <sz val="12.0"/>
      <color rgb="FF000000"/>
      <name val="Microsoft JhengHei"/>
    </font>
    <font>
      <b/>
      <sz val="12.0"/>
      <color rgb="FF000000"/>
      <name val="Walter Turncoat"/>
    </font>
    <font>
      <b/>
      <i/>
      <sz val="18.0"/>
      <color rgb="FFCCCCCC"/>
      <name val="Microsoft JhengHei"/>
    </font>
    <font>
      <color rgb="FFFFFFFF"/>
      <name val="Calibri"/>
    </font>
    <font>
      <b/>
      <sz val="11.0"/>
      <color rgb="FFFFFFFF"/>
      <name val="Calibri"/>
    </font>
    <font>
      <b/>
      <sz val="11.0"/>
      <color theme="1"/>
      <name val="Calibri"/>
    </font>
    <font>
      <b/>
      <sz val="11.0"/>
      <color theme="1"/>
      <name val="Arial"/>
    </font>
    <font>
      <b/>
      <color rgb="FFFFFFFF"/>
      <name val="Microsoft JhengHei"/>
    </font>
    <font>
      <color theme="1"/>
      <name val="Trebuchet MS"/>
    </font>
    <font>
      <b/>
      <color rgb="FFFFFFFF"/>
      <name val="Trebuchet MS"/>
    </font>
    <font>
      <b/>
      <sz val="12.0"/>
      <color rgb="FF000000"/>
      <name val="Acme"/>
    </font>
    <font>
      <b/>
      <sz val="12.0"/>
      <color rgb="FF000000"/>
      <name val="Federant"/>
    </font>
    <font>
      <b/>
      <sz val="9.0"/>
      <color rgb="FF000000"/>
      <name val="Trebuchet MS"/>
    </font>
    <font>
      <b/>
      <sz val="10.0"/>
      <color rgb="FF000000"/>
      <name val="Walter Turncoat"/>
    </font>
    <font>
      <b/>
      <color theme="1"/>
      <name val="Trebuchet MS"/>
    </font>
    <font>
      <sz val="11.0"/>
      <color rgb="FF000000"/>
      <name val="Trebuchet MS"/>
    </font>
    <font>
      <b/>
      <sz val="8.0"/>
      <color theme="1"/>
      <name val="&quot;Microsoft JhengHei&quot;"/>
    </font>
    <font>
      <b/>
      <sz val="11.0"/>
      <color rgb="FF000000"/>
      <name val="&quot;Microsoft JhengHei&quot;"/>
    </font>
    <font>
      <b/>
      <color rgb="FF000000"/>
      <name val="&quot;Microsoft JhengHei&quot;"/>
    </font>
    <font>
      <b/>
      <sz val="10.0"/>
      <color theme="1"/>
      <name val="Arial"/>
    </font>
    <font>
      <b/>
      <u/>
      <color rgb="FF1155CC"/>
      <name val="&quot;Microsoft JhengHei&quot;"/>
    </font>
    <font>
      <b/>
      <u/>
      <color rgb="FF0000FF"/>
      <name val="Microsoft JhengHei"/>
    </font>
    <font>
      <b/>
      <sz val="8.0"/>
      <color theme="1"/>
      <name val="Microsoft JhengHei"/>
    </font>
    <font>
      <b/>
      <color rgb="FF000000"/>
      <name val="Microsoft JhengHei"/>
    </font>
    <font>
      <b/>
      <u/>
      <color rgb="FF0000FF"/>
      <name val="Microsoft JhengHei"/>
    </font>
    <font>
      <b/>
      <sz val="60.0"/>
      <color rgb="FF800000"/>
      <name val="DFKai-SB"/>
    </font>
    <font>
      <color theme="1"/>
      <name val="Arial"/>
    </font>
    <font>
      <b/>
      <sz val="16.0"/>
      <color rgb="FF1F497D"/>
      <name val="Algerian"/>
    </font>
    <font>
      <b/>
      <sz val="12.0"/>
      <color rgb="FF1F497D"/>
      <name val="Algerian"/>
    </font>
    <font>
      <b/>
      <sz val="11.0"/>
      <color rgb="FFFFFFFF"/>
      <name val="Calibri"/>
      <scheme val="minor"/>
    </font>
    <font>
      <b/>
      <color rgb="FF274E13"/>
      <name val="Microsoft JhengHei"/>
    </font>
    <font>
      <b/>
      <sz val="12.0"/>
      <color rgb="FF990000"/>
      <name val="&quot;Microsoft JhengHei&quot;"/>
    </font>
    <font>
      <color theme="1"/>
      <name val="Pacifico"/>
    </font>
    <font>
      <b/>
      <sz val="9.0"/>
      <color rgb="FF990000"/>
      <name val="&quot;Microsoft JhengHei&quot;"/>
    </font>
    <font>
      <b/>
      <sz val="12.0"/>
      <color rgb="FF000000"/>
      <name val="New Rocker"/>
    </font>
    <font>
      <sz val="11.0"/>
      <color rgb="FFFFFFFF"/>
      <name val="Calibri"/>
      <scheme val="minor"/>
    </font>
    <font>
      <sz val="24.0"/>
      <color theme="1"/>
      <name val="Rye"/>
    </font>
    <font>
      <b/>
      <sz val="20.0"/>
      <color rgb="FF000000"/>
      <name val="Algerian"/>
    </font>
    <font>
      <b/>
      <sz val="20.0"/>
      <color rgb="FF9D3A1C"/>
      <name val="Fredericka the Great"/>
    </font>
    <font>
      <b/>
      <sz val="20.0"/>
      <color rgb="FFCC0000"/>
      <name val="Algerian"/>
    </font>
    <font>
      <b/>
      <sz val="11.0"/>
      <color theme="1"/>
      <name val="Orbitron"/>
    </font>
    <font>
      <sz val="11.0"/>
      <color theme="1"/>
      <name val="Pacifico"/>
    </font>
    <font>
      <b/>
      <sz val="20.0"/>
      <color rgb="FF38761D"/>
      <name val="Fredericka the Great"/>
    </font>
    <font>
      <b/>
      <sz val="20.0"/>
      <color rgb="FF1F497D"/>
      <name val="Fredericka the Great"/>
    </font>
    <font>
      <b/>
      <sz val="18.0"/>
      <color rgb="FF990000"/>
      <name val="Microsoft JhengHei"/>
    </font>
    <font>
      <b/>
      <sz val="11.0"/>
      <color rgb="FF000000"/>
      <name val="Microsoft JhengHei"/>
    </font>
    <font>
      <sz val="10.0"/>
      <color theme="1"/>
      <name val="Calibri"/>
      <scheme val="minor"/>
    </font>
    <font>
      <b/>
      <sz val="11.0"/>
      <color rgb="FFCC0000"/>
      <name val="Calibri"/>
      <scheme val="minor"/>
    </font>
    <font>
      <b/>
      <sz val="10.0"/>
      <color rgb="FF000000"/>
      <name val="&quot;Microsoft JhengHei&quot;"/>
    </font>
    <font>
      <b/>
      <sz val="10.0"/>
      <color theme="1"/>
      <name val="&quot;Microsoft JhengHei&quot;"/>
    </font>
    <font>
      <b/>
      <color rgb="FF000000"/>
      <name val="Trebuchet MS"/>
    </font>
    <font>
      <color rgb="FFFFFFFF"/>
      <name val="Calibri"/>
      <scheme val="minor"/>
    </font>
    <font>
      <b/>
      <sz val="14.0"/>
      <color rgb="FFFFFFFF"/>
      <name val="Microsoft JhengHei"/>
    </font>
    <font>
      <b/>
      <sz val="12.0"/>
      <color rgb="FFDDD9C4"/>
      <name val="Microsoft JhengHei"/>
    </font>
    <font>
      <b/>
      <sz val="12.0"/>
      <color rgb="FF1F497D"/>
      <name val="Fredericka the Great"/>
    </font>
    <font>
      <b/>
      <sz val="12.0"/>
      <color rgb="FF07152B"/>
      <name val="Fredericka the Great"/>
    </font>
    <font>
      <b/>
      <sz val="14.0"/>
      <color rgb="FF07152B"/>
      <name val="Fredericka the Great"/>
    </font>
    <font>
      <sz val="12.0"/>
      <color theme="1"/>
      <name val="Microsoft JhengHei"/>
    </font>
    <font>
      <sz val="12.0"/>
      <color rgb="FFFFFFFF"/>
      <name val="New Rocker"/>
    </font>
    <font>
      <b/>
      <sz val="10.0"/>
      <color theme="1"/>
      <name val="Walter Turncoat"/>
    </font>
    <font>
      <b/>
      <color rgb="FFEDB54D"/>
      <name val="Walter Turncoat"/>
    </font>
    <font>
      <b/>
      <color rgb="FFBBBBBB"/>
      <name val="Walter Turncoat"/>
    </font>
    <font>
      <b/>
      <color rgb="FFC53929"/>
      <name val="Walter Turncoat"/>
    </font>
    <font>
      <b/>
      <sz val="18.0"/>
      <color rgb="FF1F497D"/>
      <name val="Algerian"/>
    </font>
    <font>
      <b/>
      <sz val="15.0"/>
      <color rgb="FF990000"/>
      <name val="Microsoft JhengHei"/>
    </font>
    <font>
      <b/>
      <sz val="18.0"/>
      <color rgb="FF000000"/>
      <name val="Microsoft JhengHei"/>
    </font>
    <font>
      <b/>
      <sz val="18.0"/>
      <color rgb="FF07152B"/>
      <name val="&quot;Fredericka the Great&quot;"/>
    </font>
  </fonts>
  <fills count="73">
    <fill>
      <patternFill patternType="none"/>
    </fill>
    <fill>
      <patternFill patternType="lightGray"/>
    </fill>
    <fill>
      <patternFill patternType="solid">
        <fgColor rgb="FFDDD9C4"/>
        <bgColor rgb="FFDDD9C4"/>
      </patternFill>
    </fill>
    <fill>
      <patternFill patternType="solid">
        <fgColor rgb="FF000000"/>
        <bgColor rgb="FF000000"/>
      </patternFill>
    </fill>
    <fill>
      <patternFill patternType="solid">
        <fgColor rgb="FFFFFFFF"/>
        <bgColor rgb="FFFFFFFF"/>
      </patternFill>
    </fill>
    <fill>
      <patternFill patternType="solid">
        <fgColor rgb="FF800000"/>
        <bgColor rgb="FF800000"/>
      </patternFill>
    </fill>
    <fill>
      <patternFill patternType="solid">
        <fgColor rgb="FFC4D79B"/>
        <bgColor rgb="FFC4D79B"/>
      </patternFill>
    </fill>
    <fill>
      <patternFill patternType="solid">
        <fgColor rgb="FF1F497D"/>
        <bgColor rgb="FF1F497D"/>
      </patternFill>
    </fill>
    <fill>
      <patternFill patternType="solid">
        <fgColor rgb="FFD8D8D8"/>
        <bgColor rgb="FFD8D8D8"/>
      </patternFill>
    </fill>
    <fill>
      <patternFill patternType="solid">
        <fgColor rgb="FF980000"/>
        <bgColor rgb="FF980000"/>
      </patternFill>
    </fill>
    <fill>
      <patternFill patternType="solid">
        <fgColor rgb="FF38761D"/>
        <bgColor rgb="FF38761D"/>
      </patternFill>
    </fill>
    <fill>
      <patternFill patternType="solid">
        <fgColor rgb="FFBF9000"/>
        <bgColor rgb="FFBF9000"/>
      </patternFill>
    </fill>
    <fill>
      <patternFill patternType="solid">
        <fgColor rgb="FFF3F3F3"/>
        <bgColor rgb="FFF3F3F3"/>
      </patternFill>
    </fill>
    <fill>
      <patternFill patternType="solid">
        <fgColor rgb="FF990000"/>
        <bgColor rgb="FF990000"/>
      </patternFill>
    </fill>
    <fill>
      <patternFill patternType="solid">
        <fgColor rgb="FFD9EAD3"/>
        <bgColor rgb="FFD9EAD3"/>
      </patternFill>
    </fill>
    <fill>
      <patternFill patternType="solid">
        <fgColor rgb="FFE06666"/>
        <bgColor rgb="FFE06666"/>
      </patternFill>
    </fill>
    <fill>
      <patternFill patternType="solid">
        <fgColor rgb="FFF6B26B"/>
        <bgColor rgb="FFF6B26B"/>
      </patternFill>
    </fill>
    <fill>
      <patternFill patternType="solid">
        <fgColor rgb="FF9FC5E8"/>
        <bgColor rgb="FF9FC5E8"/>
      </patternFill>
    </fill>
    <fill>
      <patternFill patternType="solid">
        <fgColor rgb="FF93C47D"/>
        <bgColor rgb="FF93C47D"/>
      </patternFill>
    </fill>
    <fill>
      <patternFill patternType="solid">
        <fgColor rgb="FFC27BA0"/>
        <bgColor rgb="FFC27BA0"/>
      </patternFill>
    </fill>
    <fill>
      <patternFill patternType="solid">
        <fgColor rgb="FF272727"/>
        <bgColor rgb="FF272727"/>
      </patternFill>
    </fill>
    <fill>
      <patternFill patternType="solid">
        <fgColor rgb="FFFFD700"/>
        <bgColor rgb="FFFFD700"/>
      </patternFill>
    </fill>
    <fill>
      <patternFill patternType="solid">
        <fgColor rgb="FFB7B7B7"/>
        <bgColor rgb="FFB7B7B7"/>
      </patternFill>
    </fill>
    <fill>
      <patternFill patternType="solid">
        <fgColor rgb="FF9D3A1C"/>
        <bgColor rgb="FF9D3A1C"/>
      </patternFill>
    </fill>
    <fill>
      <patternFill patternType="solid">
        <fgColor rgb="FF07152B"/>
        <bgColor rgb="FF07152B"/>
      </patternFill>
    </fill>
    <fill>
      <patternFill patternType="solid">
        <fgColor rgb="FFC2D69B"/>
        <bgColor rgb="FFC2D69B"/>
      </patternFill>
    </fill>
    <fill>
      <patternFill patternType="solid">
        <fgColor rgb="FF434343"/>
        <bgColor rgb="FF434343"/>
      </patternFill>
    </fill>
    <fill>
      <patternFill patternType="solid">
        <fgColor rgb="FFB7E1CD"/>
        <bgColor rgb="FFB7E1CD"/>
      </patternFill>
    </fill>
    <fill>
      <patternFill patternType="solid">
        <fgColor rgb="FFEA9999"/>
        <bgColor rgb="FFEA9999"/>
      </patternFill>
    </fill>
    <fill>
      <patternFill patternType="solid">
        <fgColor theme="1"/>
        <bgColor theme="1"/>
      </patternFill>
    </fill>
    <fill>
      <patternFill patternType="solid">
        <fgColor theme="0"/>
        <bgColor theme="0"/>
      </patternFill>
    </fill>
    <fill>
      <patternFill patternType="solid">
        <fgColor rgb="FFD9D9D9"/>
        <bgColor rgb="FFD9D9D9"/>
      </patternFill>
    </fill>
    <fill>
      <patternFill patternType="solid">
        <fgColor rgb="FFEFEFEF"/>
        <bgColor rgb="FFEFEFEF"/>
      </patternFill>
    </fill>
    <fill>
      <patternFill patternType="solid">
        <fgColor rgb="FFBBBBBB"/>
        <bgColor rgb="FFBBBBBB"/>
      </patternFill>
    </fill>
    <fill>
      <patternFill patternType="solid">
        <fgColor rgb="FFFCE5CD"/>
        <bgColor rgb="FFFCE5CD"/>
      </patternFill>
    </fill>
    <fill>
      <patternFill patternType="solid">
        <fgColor rgb="FFFFE599"/>
        <bgColor rgb="FFFFE599"/>
      </patternFill>
    </fill>
    <fill>
      <patternFill patternType="solid">
        <fgColor rgb="FFFFF2CC"/>
        <bgColor rgb="FFFFF2CC"/>
      </patternFill>
    </fill>
    <fill>
      <patternFill patternType="solid">
        <fgColor rgb="FFF4CCCC"/>
        <bgColor rgb="FFF4CCCC"/>
      </patternFill>
    </fill>
    <fill>
      <patternFill patternType="solid">
        <fgColor rgb="FFF9CB9C"/>
        <bgColor rgb="FFF9CB9C"/>
      </patternFill>
    </fill>
    <fill>
      <patternFill patternType="solid">
        <fgColor rgb="FFF79646"/>
        <bgColor rgb="FFF79646"/>
      </patternFill>
    </fill>
    <fill>
      <patternFill patternType="solid">
        <fgColor rgb="FFBC00BC"/>
        <bgColor rgb="FFBC00BC"/>
      </patternFill>
    </fill>
    <fill>
      <patternFill patternType="solid">
        <fgColor rgb="FFFF00FF"/>
        <bgColor rgb="FFFF00FF"/>
      </patternFill>
    </fill>
    <fill>
      <patternFill patternType="solid">
        <fgColor theme="4"/>
        <bgColor theme="4"/>
      </patternFill>
    </fill>
    <fill>
      <patternFill patternType="solid">
        <fgColor rgb="FFD1EAF7"/>
        <bgColor rgb="FFD1EAF7"/>
      </patternFill>
    </fill>
    <fill>
      <patternFill patternType="solid">
        <fgColor rgb="FFB3D8D6"/>
        <bgColor rgb="FFB3D8D6"/>
      </patternFill>
    </fill>
    <fill>
      <patternFill patternType="solid">
        <fgColor rgb="FF9BBB59"/>
        <bgColor rgb="FF9BBB59"/>
      </patternFill>
    </fill>
    <fill>
      <patternFill patternType="solid">
        <fgColor rgb="FFCFE2F3"/>
        <bgColor rgb="FFCFE2F3"/>
      </patternFill>
    </fill>
    <fill>
      <patternFill patternType="solid">
        <fgColor rgb="FFDD7E6B"/>
        <bgColor rgb="FFDD7E6B"/>
      </patternFill>
    </fill>
    <fill>
      <patternFill patternType="solid">
        <fgColor rgb="FF6FA8DC"/>
        <bgColor rgb="FF6FA8DC"/>
      </patternFill>
    </fill>
    <fill>
      <patternFill patternType="solid">
        <fgColor rgb="FFB6D7A8"/>
        <bgColor rgb="FFB6D7A8"/>
      </patternFill>
    </fill>
    <fill>
      <patternFill patternType="solid">
        <fgColor rgb="FFA2C4C9"/>
        <bgColor rgb="FFA2C4C9"/>
      </patternFill>
    </fill>
    <fill>
      <patternFill patternType="solid">
        <fgColor rgb="FFA4C2F4"/>
        <bgColor rgb="FFA4C2F4"/>
      </patternFill>
    </fill>
    <fill>
      <patternFill patternType="solid">
        <fgColor rgb="FFB4A7D6"/>
        <bgColor rgb="FFB4A7D6"/>
      </patternFill>
    </fill>
    <fill>
      <patternFill patternType="solid">
        <fgColor rgb="FF36A481"/>
        <bgColor rgb="FF36A481"/>
      </patternFill>
    </fill>
    <fill>
      <patternFill patternType="solid">
        <fgColor rgb="FF61FEE4"/>
        <bgColor rgb="FF61FEE4"/>
      </patternFill>
    </fill>
    <fill>
      <patternFill patternType="solid">
        <fgColor rgb="FF6D301D"/>
        <bgColor rgb="FF6D301D"/>
      </patternFill>
    </fill>
    <fill>
      <patternFill patternType="solid">
        <fgColor rgb="FF8C4C38"/>
        <bgColor rgb="FF8C4C38"/>
      </patternFill>
    </fill>
    <fill>
      <patternFill patternType="solid">
        <fgColor rgb="FF0B5394"/>
        <bgColor rgb="FF0B5394"/>
      </patternFill>
    </fill>
    <fill>
      <patternFill patternType="solid">
        <fgColor rgb="FF3D85C6"/>
        <bgColor rgb="FF3D85C6"/>
      </patternFill>
    </fill>
    <fill>
      <patternFill patternType="solid">
        <fgColor rgb="FF8F2E0D"/>
        <bgColor rgb="FF8F2E0D"/>
      </patternFill>
    </fill>
    <fill>
      <patternFill patternType="solid">
        <fgColor rgb="FFE55318"/>
        <bgColor rgb="FFE55318"/>
      </patternFill>
    </fill>
    <fill>
      <patternFill patternType="solid">
        <fgColor rgb="FF6AA84F"/>
        <bgColor rgb="FF6AA84F"/>
      </patternFill>
    </fill>
    <fill>
      <patternFill patternType="solid">
        <fgColor rgb="FFE6B8AF"/>
        <bgColor rgb="FFE6B8AF"/>
      </patternFill>
    </fill>
    <fill>
      <patternFill patternType="solid">
        <fgColor rgb="FF85200C"/>
        <bgColor rgb="FF85200C"/>
      </patternFill>
    </fill>
    <fill>
      <patternFill patternType="solid">
        <fgColor rgb="FFFF99E6"/>
        <bgColor rgb="FFFF99E6"/>
      </patternFill>
    </fill>
    <fill>
      <patternFill patternType="solid">
        <fgColor rgb="FF073763"/>
        <bgColor rgb="FF073763"/>
      </patternFill>
    </fill>
    <fill>
      <patternFill patternType="solid">
        <fgColor rgb="FF20124D"/>
        <bgColor rgb="FF20124D"/>
      </patternFill>
    </fill>
    <fill>
      <patternFill patternType="solid">
        <fgColor theme="9"/>
        <bgColor theme="9"/>
      </patternFill>
    </fill>
    <fill>
      <patternFill patternType="solid">
        <fgColor rgb="FF91A1B2"/>
        <bgColor rgb="FF91A1B2"/>
      </patternFill>
    </fill>
    <fill>
      <patternFill patternType="solid">
        <fgColor rgb="FFEDB54D"/>
        <bgColor rgb="FFEDB54D"/>
      </patternFill>
    </fill>
    <fill>
      <patternFill patternType="solid">
        <fgColor rgb="FF666666"/>
        <bgColor rgb="FF666666"/>
      </patternFill>
    </fill>
    <fill>
      <patternFill patternType="solid">
        <fgColor rgb="FFC53929"/>
        <bgColor rgb="FFC53929"/>
      </patternFill>
    </fill>
    <fill>
      <patternFill patternType="solid">
        <fgColor rgb="FF999999"/>
        <bgColor rgb="FF999999"/>
      </patternFill>
    </fill>
  </fills>
  <borders count="461">
    <border/>
    <border>
      <left style="thin">
        <color rgb="FFDDD9C4"/>
      </left>
      <top style="thin">
        <color rgb="FFDDD9C4"/>
      </top>
      <bottom style="thin">
        <color rgb="FFDDD9C4"/>
      </bottom>
    </border>
    <border>
      <left style="thin">
        <color rgb="FFDDD9C4"/>
      </left>
      <right style="thin">
        <color rgb="FFDDD9C4"/>
      </right>
      <top style="thin">
        <color rgb="FFDDD9C4"/>
      </top>
      <bottom style="thin">
        <color rgb="FFDDD9C4"/>
      </bottom>
    </border>
    <border>
      <right style="thin">
        <color rgb="FFDDD9C4"/>
      </right>
      <top style="thin">
        <color rgb="FFDDD9C4"/>
      </top>
      <bottom style="thin">
        <color rgb="FFDDD9C4"/>
      </bottom>
    </border>
    <border>
      <left style="thin">
        <color rgb="FFDDD9C4"/>
      </left>
      <right style="thin">
        <color rgb="FFDDD9C4"/>
      </right>
      <top style="thin">
        <color rgb="FFDDD9C4"/>
      </top>
    </border>
    <border>
      <bottom style="thin">
        <color rgb="FFDDD9C4"/>
      </bottom>
    </border>
    <border>
      <left style="thin">
        <color rgb="FF000000"/>
      </left>
      <right style="thin">
        <color rgb="FF000000"/>
      </right>
      <top style="thin">
        <color rgb="FF000000"/>
      </top>
    </border>
    <border>
      <left style="thin">
        <color rgb="FFDDD9C4"/>
      </left>
      <top style="thin">
        <color rgb="FFDDD9C4"/>
      </top>
    </border>
    <border>
      <top style="thin">
        <color rgb="FFDDD9C4"/>
      </top>
    </border>
    <border>
      <right style="thin">
        <color rgb="FFDDD9C4"/>
      </right>
      <top style="thin">
        <color rgb="FFDDD9C4"/>
      </top>
    </border>
    <border>
      <top style="thin">
        <color rgb="FFDDD9C4"/>
      </top>
      <bottom style="thin">
        <color rgb="FFDDD9C4"/>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DDD9C4"/>
      </left>
      <bottom style="thin">
        <color rgb="FFDDD9C4"/>
      </bottom>
    </border>
    <border>
      <right style="thin">
        <color rgb="FFDDD9C4"/>
      </right>
      <bottom style="thin">
        <color rgb="FFDDD9C4"/>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DDD9C4"/>
      </left>
    </border>
    <border>
      <right style="thin">
        <color rgb="FFDDD9C4"/>
      </right>
    </border>
    <border>
      <left style="thin">
        <color rgb="FF666666"/>
      </left>
      <right style="thin">
        <color rgb="FF666666"/>
      </right>
      <bottom style="thin">
        <color rgb="FF666666"/>
      </bottom>
    </border>
    <border>
      <left style="thin">
        <color rgb="FF666666"/>
      </left>
      <right style="thin">
        <color rgb="FF666666"/>
      </right>
    </border>
    <border>
      <left style="thin">
        <color rgb="FF000000"/>
      </left>
      <right style="thin">
        <color rgb="FF000000"/>
      </right>
      <bottom style="thin">
        <color rgb="FF999999"/>
      </bottom>
    </border>
    <border>
      <left style="thin">
        <color rgb="FFB7B7B7"/>
      </left>
      <right style="thin">
        <color rgb="FFB7B7B7"/>
      </right>
      <bottom style="thin">
        <color rgb="FF999999"/>
      </bottom>
    </border>
    <border>
      <left style="thin">
        <color rgb="FF000000"/>
      </left>
      <right style="thin">
        <color rgb="FF000000"/>
      </right>
      <top style="thin">
        <color rgb="FF000000"/>
      </top>
      <bottom style="thin">
        <color rgb="FF999999"/>
      </bottom>
    </border>
    <border>
      <right style="thin">
        <color rgb="FF666666"/>
      </right>
      <bottom style="thin">
        <color rgb="FF999999"/>
      </bottom>
    </border>
    <border>
      <left style="thin">
        <color rgb="FFB7B7B7"/>
      </left>
      <right style="thin">
        <color rgb="FF000000"/>
      </right>
      <bottom style="thin">
        <color rgb="FF999999"/>
      </bottom>
    </border>
    <border>
      <left style="thin">
        <color rgb="FF000000"/>
      </left>
      <top style="thin">
        <color rgb="FF434343"/>
      </top>
      <bottom style="thin">
        <color rgb="FF434343"/>
      </bottom>
    </border>
    <border>
      <right style="thin">
        <color rgb="FF666666"/>
      </right>
      <top style="thin">
        <color rgb="FF434343"/>
      </top>
      <bottom style="thin">
        <color rgb="FF434343"/>
      </bottom>
    </border>
    <border>
      <left style="thin">
        <color rgb="FF666666"/>
      </left>
      <top style="thin">
        <color rgb="FF434343"/>
      </top>
      <bottom style="thin">
        <color rgb="FF434343"/>
      </bottom>
    </border>
    <border>
      <right style="thin">
        <color rgb="FF000000"/>
      </right>
      <top style="thin">
        <color rgb="FF434343"/>
      </top>
      <bottom style="thin">
        <color rgb="FF434343"/>
      </bottom>
    </border>
    <border>
      <left style="thin">
        <color rgb="FF000000"/>
      </left>
      <right style="thin">
        <color rgb="FF000000"/>
      </right>
      <top style="thin">
        <color rgb="FF999999"/>
      </top>
      <bottom style="thin">
        <color rgb="FF999999"/>
      </bottom>
    </border>
    <border>
      <left style="thin">
        <color rgb="FFB7B7B7"/>
      </left>
      <right style="thin">
        <color rgb="FFB7B7B7"/>
      </right>
      <top style="thin">
        <color rgb="FF999999"/>
      </top>
      <bottom style="thin">
        <color rgb="FF999999"/>
      </bottom>
    </border>
    <border>
      <right style="thin">
        <color rgb="FF666666"/>
      </right>
      <top style="thin">
        <color rgb="FF999999"/>
      </top>
      <bottom style="thin">
        <color rgb="FF999999"/>
      </bottom>
    </border>
    <border>
      <left style="thin">
        <color rgb="FFB7B7B7"/>
      </left>
      <right style="thin">
        <color rgb="FF000000"/>
      </right>
      <top style="thin">
        <color rgb="FF999999"/>
      </top>
      <bottom style="thin">
        <color rgb="FF999999"/>
      </bottom>
    </border>
    <border>
      <left style="thin">
        <color rgb="FF000000"/>
      </left>
      <right style="thin">
        <color rgb="FF000000"/>
      </right>
      <top style="thin">
        <color rgb="FF999999"/>
      </top>
      <bottom style="thin">
        <color rgb="FF000000"/>
      </bottom>
    </border>
    <border>
      <left style="thin">
        <color rgb="FFB7B7B7"/>
      </left>
      <right style="thin">
        <color rgb="FFB7B7B7"/>
      </right>
      <top style="thin">
        <color rgb="FF999999"/>
      </top>
      <bottom style="thin">
        <color rgb="FF000000"/>
      </bottom>
    </border>
    <border>
      <right style="thin">
        <color rgb="FF666666"/>
      </right>
      <top style="thin">
        <color rgb="FF999999"/>
      </top>
      <bottom style="thin">
        <color rgb="FF000000"/>
      </bottom>
    </border>
    <border>
      <left style="thin">
        <color rgb="FFB7B7B7"/>
      </left>
      <right style="thin">
        <color rgb="FF000000"/>
      </right>
      <top style="thin">
        <color rgb="FF999999"/>
      </top>
      <bottom style="thin">
        <color rgb="FF000000"/>
      </bottom>
    </border>
    <border>
      <left style="thin">
        <color rgb="FFDDD9C4"/>
      </left>
      <right style="thin">
        <color rgb="FFDDD9C4"/>
      </right>
      <bottom style="thin">
        <color rgb="FFDDD9C4"/>
      </bottom>
    </border>
    <border>
      <left style="thin">
        <color rgb="FF000000"/>
      </left>
      <top style="thin">
        <color rgb="FF000000"/>
      </top>
      <bottom style="thin">
        <color rgb="FFBBBBBB"/>
      </bottom>
    </border>
    <border>
      <right style="thin">
        <color rgb="FFBBBBBB"/>
      </right>
      <top style="thin">
        <color rgb="FF000000"/>
      </top>
      <bottom style="thin">
        <color rgb="FFBBBBBB"/>
      </bottom>
    </border>
    <border>
      <left style="thin">
        <color rgb="FFBBBBBB"/>
      </left>
      <top style="thin">
        <color rgb="FF000000"/>
      </top>
      <bottom style="thin">
        <color rgb="FFBBBBBB"/>
      </bottom>
    </border>
    <border>
      <right style="thin">
        <color rgb="FF000000"/>
      </right>
      <top style="thin">
        <color rgb="FF000000"/>
      </top>
      <bottom style="thin">
        <color rgb="FFBBBBBB"/>
      </bottom>
    </border>
    <border>
      <left style="thin">
        <color rgb="FF000000"/>
      </left>
      <top style="thin">
        <color rgb="FF000000"/>
      </top>
    </border>
    <border>
      <top style="thin">
        <color rgb="FF000000"/>
      </top>
      <bottom style="thin">
        <color rgb="FFBBBBBB"/>
      </bottom>
    </border>
    <border>
      <left style="thin">
        <color rgb="FFBBBBBB"/>
      </left>
      <right style="thin">
        <color rgb="FF000000"/>
      </right>
      <top style="thin">
        <color rgb="FF000000"/>
      </top>
      <bottom style="thin">
        <color rgb="FFBBBBBB"/>
      </bottom>
    </border>
    <border>
      <left style="thin">
        <color rgb="FF000000"/>
      </left>
      <top style="thin">
        <color rgb="FFBBBBBB"/>
      </top>
      <bottom style="thin">
        <color rgb="FFBBBBBB"/>
      </bottom>
    </border>
    <border>
      <right style="thin">
        <color rgb="FFBBBBBB"/>
      </right>
      <top style="thin">
        <color rgb="FFBBBBBB"/>
      </top>
      <bottom style="thin">
        <color rgb="FFBBBBBB"/>
      </bottom>
    </border>
    <border>
      <left style="thin">
        <color rgb="FFBBBBBB"/>
      </left>
      <top style="thin">
        <color rgb="FFBBBBBB"/>
      </top>
      <bottom style="thin">
        <color rgb="FFBBBBBB"/>
      </bottom>
    </border>
    <border>
      <right style="thin">
        <color rgb="FF000000"/>
      </right>
      <top style="thin">
        <color rgb="FFBBBBBB"/>
      </top>
      <bottom style="thin">
        <color rgb="FFBBBBBB"/>
      </bottom>
    </border>
    <border>
      <left style="thin">
        <color rgb="FF000000"/>
      </left>
    </border>
    <border>
      <top style="thin">
        <color rgb="FFBBBBBB"/>
      </top>
      <bottom style="thin">
        <color rgb="FFBBBBBB"/>
      </bottom>
    </border>
    <border>
      <left style="thin">
        <color rgb="FFBBBBBB"/>
      </left>
      <right style="thin">
        <color rgb="FF000000"/>
      </right>
      <top style="thin">
        <color rgb="FFBBBBBB"/>
      </top>
      <bottom style="thin">
        <color rgb="FFBBBBBB"/>
      </bottom>
    </border>
    <border>
      <left style="thin">
        <color rgb="FF000000"/>
      </left>
      <top style="thin">
        <color rgb="FFBBBBBB"/>
      </top>
      <bottom style="thin">
        <color rgb="FF000000"/>
      </bottom>
    </border>
    <border>
      <right style="thin">
        <color rgb="FFBBBBBB"/>
      </right>
      <top style="thin">
        <color rgb="FFBBBBBB"/>
      </top>
      <bottom style="thin">
        <color rgb="FF000000"/>
      </bottom>
    </border>
    <border>
      <left style="thin">
        <color rgb="FFBBBBBB"/>
      </left>
      <top style="thin">
        <color rgb="FFBBBBBB"/>
      </top>
      <bottom style="thin">
        <color rgb="FF000000"/>
      </bottom>
    </border>
    <border>
      <right style="thin">
        <color rgb="FF000000"/>
      </right>
      <top style="thin">
        <color rgb="FFBBBBBB"/>
      </top>
      <bottom style="thin">
        <color rgb="FF000000"/>
      </bottom>
    </border>
    <border>
      <left style="thin">
        <color rgb="FFBBBBBB"/>
      </left>
      <right style="thin">
        <color rgb="FFBBBBBB"/>
      </right>
      <top style="thin">
        <color rgb="FF000000"/>
      </top>
      <bottom style="thin">
        <color rgb="FFBBBBBB"/>
      </bottom>
    </border>
    <border>
      <left style="thin">
        <color rgb="FFBBBBBB"/>
      </left>
      <right style="thin">
        <color rgb="FFBBBBBB"/>
      </right>
      <top style="thin">
        <color rgb="FFBBBBBB"/>
      </top>
      <bottom style="thin">
        <color rgb="FFBBBBBB"/>
      </bottom>
    </border>
    <border>
      <left style="thin">
        <color rgb="FFBBBBBB"/>
      </left>
      <right style="thin">
        <color rgb="FFBBBBBB"/>
      </right>
      <top style="thin">
        <color rgb="FFBBBBBB"/>
      </top>
      <bottom style="thin">
        <color rgb="FF000000"/>
      </bottom>
    </border>
    <border>
      <left style="thin">
        <color rgb="FFBBBBBB"/>
      </left>
      <right style="thin">
        <color rgb="FF000000"/>
      </right>
      <top style="thin">
        <color rgb="FFBBBBBB"/>
      </top>
      <bottom style="thin">
        <color rgb="FF000000"/>
      </bottom>
    </border>
    <border>
      <left style="thin">
        <color rgb="FFBBBBBB"/>
      </left>
      <right style="thin">
        <color rgb="FFBBBBBB"/>
      </right>
      <top style="thin">
        <color rgb="FF000000"/>
      </top>
      <bottom style="thin">
        <color rgb="FF000000"/>
      </bottom>
    </border>
    <border>
      <left style="thin">
        <color rgb="FFBBBBBB"/>
      </left>
      <right style="thin">
        <color rgb="FF000000"/>
      </right>
      <top style="thin">
        <color rgb="FF000000"/>
      </top>
      <bottom style="thin">
        <color rgb="FF000000"/>
      </bottom>
    </border>
    <border>
      <left style="thin">
        <color rgb="FF000000"/>
      </left>
      <bottom style="thin">
        <color rgb="FF000000"/>
      </bottom>
    </border>
    <border>
      <top style="thin">
        <color rgb="FFBBBBBB"/>
      </top>
      <bottom style="thin">
        <color rgb="FF000000"/>
      </bottom>
    </border>
    <border>
      <top style="thin">
        <color rgb="FF000000"/>
      </top>
    </border>
    <border>
      <bottom style="medium">
        <color rgb="FF000000"/>
      </bottom>
    </border>
    <border>
      <right style="thin">
        <color rgb="FF9D988D"/>
      </right>
      <top style="thin">
        <color rgb="FF000000"/>
      </top>
    </border>
    <border>
      <left style="thin">
        <color rgb="FF9D988D"/>
      </left>
      <right style="thin">
        <color rgb="FF9D988D"/>
      </right>
      <top style="thin">
        <color rgb="FF000000"/>
      </top>
    </border>
    <border>
      <left style="thin">
        <color rgb="FF9D988D"/>
      </left>
      <top style="thin">
        <color rgb="FF000000"/>
      </top>
    </border>
    <border>
      <left style="thin">
        <color rgb="FF9D988D"/>
      </left>
      <right style="thin">
        <color rgb="FF000000"/>
      </right>
      <top style="thin">
        <color rgb="FF000000"/>
      </top>
    </border>
    <border>
      <left style="thin">
        <color rgb="FF000000"/>
      </left>
      <bottom style="thin">
        <color rgb="FF9D988D"/>
      </bottom>
    </border>
    <border>
      <right style="thin">
        <color rgb="FF9D988D"/>
      </right>
      <bottom style="thin">
        <color rgb="FF9D988D"/>
      </bottom>
    </border>
    <border>
      <left style="thin">
        <color rgb="FF9D988D"/>
      </left>
      <right style="thin">
        <color rgb="FF9D988D"/>
      </right>
      <bottom style="thin">
        <color rgb="FF9D988D"/>
      </bottom>
    </border>
    <border>
      <left style="thin">
        <color rgb="FF9D988D"/>
      </left>
      <bottom style="thin">
        <color rgb="FF9D988D"/>
      </bottom>
    </border>
    <border>
      <left style="thin">
        <color rgb="FF9D988D"/>
      </left>
      <right style="thin">
        <color rgb="FF000000"/>
      </right>
      <bottom style="thin">
        <color rgb="FF000000"/>
      </bottom>
    </border>
    <border>
      <right style="thin">
        <color rgb="FF000000"/>
      </right>
      <top style="thin">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medium">
        <color rgb="FF000000"/>
      </top>
    </border>
    <border>
      <top style="medium">
        <color rgb="FF000000"/>
      </top>
    </border>
    <border>
      <right style="thick">
        <color rgb="FF000000"/>
      </right>
      <top style="medium">
        <color rgb="FF000000"/>
      </top>
    </border>
    <border>
      <left style="thin">
        <color rgb="FF000000"/>
      </left>
      <top style="thin">
        <color rgb="FF9D988D"/>
      </top>
    </border>
    <border>
      <right style="thin">
        <color rgb="FF9D988D"/>
      </right>
      <top style="thin">
        <color rgb="FF9D988D"/>
      </top>
    </border>
    <border>
      <left style="thin">
        <color rgb="FF9D988D"/>
      </left>
      <right style="thin">
        <color rgb="FF9D988D"/>
      </right>
      <top style="thin">
        <color rgb="FF9D988D"/>
      </top>
    </border>
    <border>
      <left style="thin">
        <color rgb="FF9D988D"/>
      </left>
      <right style="thin">
        <color rgb="FF000000"/>
      </right>
      <top style="thin">
        <color rgb="FF9D988D"/>
      </top>
    </border>
    <border>
      <right style="thin">
        <color rgb="FF000000"/>
      </right>
      <top style="medium">
        <color rgb="FF000000"/>
      </top>
      <bottom style="thin">
        <color rgb="FF000000"/>
      </bottom>
    </border>
    <border>
      <left style="thin">
        <color rgb="FF000000"/>
      </left>
      <top style="medium">
        <color rgb="FF000000"/>
      </top>
    </border>
    <border>
      <right style="thin">
        <color rgb="FF000000"/>
      </right>
      <top style="medium">
        <color rgb="FF000000"/>
      </top>
    </border>
    <border>
      <right style="medium">
        <color rgb="FF000000"/>
      </right>
      <top style="medium">
        <color rgb="FF000000"/>
      </top>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right style="thick">
        <color rgb="FF000000"/>
      </right>
      <top style="thin">
        <color rgb="FF000000"/>
      </top>
      <bottom style="medium">
        <color rgb="FF000000"/>
      </bottom>
    </border>
    <border>
      <left style="medium">
        <color rgb="FF000000"/>
      </left>
    </border>
    <border>
      <right style="medium">
        <color rgb="FF000000"/>
      </right>
    </border>
    <border>
      <left style="thin">
        <color rgb="FF9D988D"/>
      </left>
      <right style="thin">
        <color rgb="FF000000"/>
      </right>
      <bottom style="thin">
        <color rgb="FF9D988D"/>
      </bottom>
    </border>
    <border>
      <left style="medium">
        <color rgb="FF000000"/>
      </left>
      <bottom style="thin">
        <color rgb="FF666666"/>
      </bottom>
    </border>
    <border>
      <bottom style="thin">
        <color rgb="FF666666"/>
      </bottom>
    </border>
    <border>
      <right style="medium">
        <color rgb="FF000000"/>
      </right>
      <top style="thin">
        <color rgb="FF000000"/>
      </top>
    </border>
    <border>
      <left style="medium">
        <color rgb="FF000000"/>
      </left>
      <bottom style="medium">
        <color rgb="FF000000"/>
      </bottom>
    </border>
    <border>
      <right style="medium">
        <color rgb="FF000000"/>
      </right>
      <bottom style="medium">
        <color rgb="FF000000"/>
      </bottom>
    </border>
    <border>
      <top style="medium">
        <color rgb="FF000000"/>
      </top>
      <bottom style="thin">
        <color rgb="FF666666"/>
      </bottom>
    </border>
    <border>
      <right style="thin">
        <color rgb="FF000000"/>
      </right>
      <top style="medium">
        <color rgb="FF000000"/>
      </top>
      <bottom style="thin">
        <color rgb="FF666666"/>
      </bottom>
    </border>
    <border>
      <right style="thin">
        <color rgb="FF000000"/>
      </right>
      <bottom style="thin">
        <color rgb="FF666666"/>
      </bottom>
    </border>
    <border>
      <left style="medium">
        <color rgb="FF000000"/>
      </left>
      <top style="thin">
        <color rgb="FF000000"/>
      </top>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999999"/>
      </top>
      <bottom style="thin">
        <color rgb="FF000000"/>
      </bottom>
    </border>
    <border>
      <top style="thin">
        <color rgb="FF999999"/>
      </top>
      <bottom style="thin">
        <color rgb="FF000000"/>
      </bottom>
    </border>
    <border>
      <right style="thin">
        <color rgb="FF000000"/>
      </right>
      <top style="thin">
        <color rgb="FF999999"/>
      </top>
      <bottom style="thin">
        <color rgb="FF000000"/>
      </bottom>
    </border>
    <border>
      <right style="thin">
        <color rgb="FF000000"/>
      </right>
      <bottom style="medium">
        <color rgb="FF000000"/>
      </bottom>
    </border>
    <border>
      <left style="medium">
        <color rgb="FF000000"/>
      </left>
      <top style="thin">
        <color rgb="FFF3F3F3"/>
      </top>
    </border>
    <border>
      <top style="thin">
        <color rgb="FFF3F3F3"/>
      </top>
    </border>
    <border>
      <right style="medium">
        <color rgb="FF000000"/>
      </right>
      <top style="thin">
        <color rgb="FFF3F3F3"/>
      </top>
    </border>
    <border>
      <right style="thin">
        <color rgb="FF000000"/>
      </right>
      <top style="thin">
        <color rgb="FF9D988D"/>
      </top>
    </border>
    <border>
      <right style="thin">
        <color rgb="FF000000"/>
      </right>
      <bottom style="thin">
        <color rgb="FF9D988D"/>
      </bottom>
    </border>
    <border>
      <left style="medium">
        <color rgb="FF000000"/>
      </left>
      <top style="thin">
        <color rgb="FFF3F3F3"/>
      </top>
      <bottom style="thick">
        <color rgb="FF000000"/>
      </bottom>
    </border>
    <border>
      <top style="thin">
        <color rgb="FFF3F3F3"/>
      </top>
      <bottom style="thick">
        <color rgb="FF000000"/>
      </bottom>
    </border>
    <border>
      <right style="medium">
        <color rgb="FF000000"/>
      </right>
      <top style="thin">
        <color rgb="FFF3F3F3"/>
      </top>
      <bottom style="thick">
        <color rgb="FF000000"/>
      </bottom>
    </border>
    <border>
      <left style="thin">
        <color rgb="FF000000"/>
      </left>
      <bottom style="medium">
        <color rgb="FF000000"/>
      </bottom>
    </border>
    <border>
      <right style="thin">
        <color rgb="FF9D988D"/>
      </right>
      <bottom style="thin">
        <color rgb="FF000000"/>
      </bottom>
    </border>
    <border>
      <right style="thin">
        <color rgb="FF999999"/>
      </right>
      <top style="medium">
        <color rgb="FF000000"/>
      </top>
    </border>
    <border>
      <left style="thin">
        <color rgb="FF999999"/>
      </left>
      <top style="medium">
        <color rgb="FF000000"/>
      </top>
    </border>
    <border>
      <right style="thin">
        <color rgb="FF999999"/>
      </right>
      <top style="thin">
        <color rgb="FF000000"/>
      </top>
      <bottom style="medium">
        <color rgb="FF000000"/>
      </bottom>
    </border>
    <border>
      <left style="thin">
        <color rgb="FF999999"/>
      </left>
      <top style="thin">
        <color rgb="FF000000"/>
      </top>
      <bottom style="medium">
        <color rgb="FF000000"/>
      </bottom>
    </border>
    <border>
      <left style="thin">
        <color rgb="FF9D988D"/>
      </left>
      <right style="thin">
        <color rgb="FF9D988D"/>
      </right>
      <bottom style="thin">
        <color rgb="FF000000"/>
      </bottom>
    </border>
    <border>
      <right style="thin">
        <color rgb="FF000000"/>
      </right>
    </border>
    <border>
      <left style="thin">
        <color rgb="FF000000"/>
      </left>
      <top style="thin">
        <color rgb="FF000000"/>
      </top>
      <bottom style="thin">
        <color rgb="FF666666"/>
      </bottom>
    </border>
    <border>
      <top style="thin">
        <color rgb="FF000000"/>
      </top>
      <bottom style="thin">
        <color rgb="FF666666"/>
      </bottom>
    </border>
    <border>
      <left style="thin">
        <color rgb="FF000000"/>
      </left>
      <top style="thin">
        <color rgb="FF000000"/>
      </top>
      <bottom style="thin">
        <color rgb="FFB7B7B7"/>
      </bottom>
    </border>
    <border>
      <top style="thin">
        <color rgb="FF000000"/>
      </top>
      <bottom style="thin">
        <color rgb="FFB7B7B7"/>
      </bottom>
    </border>
    <border>
      <right style="thin">
        <color rgb="FF000000"/>
      </right>
      <top style="thin">
        <color rgb="FF000000"/>
      </top>
      <bottom style="thin">
        <color rgb="FFB7B7B7"/>
      </bottom>
    </border>
    <border>
      <left style="thin">
        <color rgb="FF000000"/>
      </left>
      <top style="thin">
        <color rgb="FF000000"/>
      </top>
      <bottom style="thin">
        <color rgb="FF999999"/>
      </bottom>
    </border>
    <border>
      <right style="thin">
        <color rgb="FFBBBBBB"/>
      </right>
      <top style="thin">
        <color rgb="FF000000"/>
      </top>
      <bottom style="thin">
        <color rgb="FF999999"/>
      </bottom>
    </border>
    <border>
      <left style="thin">
        <color rgb="FFBBBBBB"/>
      </left>
      <top style="thin">
        <color rgb="FF000000"/>
      </top>
      <bottom style="thin">
        <color rgb="FF999999"/>
      </bottom>
    </border>
    <border>
      <right style="thin">
        <color rgb="FF999999"/>
      </right>
      <top style="thin">
        <color rgb="FF000000"/>
      </top>
      <bottom style="thin">
        <color rgb="FF999999"/>
      </bottom>
    </border>
    <border>
      <top style="thin">
        <color rgb="FF000000"/>
      </top>
      <bottom style="thin">
        <color rgb="FF999999"/>
      </bottom>
    </border>
    <border>
      <left style="thin">
        <color rgb="FF000000"/>
      </left>
      <bottom style="thin">
        <color rgb="FF666666"/>
      </bottom>
    </border>
    <border>
      <left style="thin">
        <color rgb="FF000000"/>
      </left>
      <top style="thin">
        <color rgb="FFB7B7B7"/>
      </top>
      <bottom style="thin">
        <color rgb="FFB7B7B7"/>
      </bottom>
    </border>
    <border>
      <top style="thin">
        <color rgb="FFB7B7B7"/>
      </top>
      <bottom style="thin">
        <color rgb="FFB7B7B7"/>
      </bottom>
    </border>
    <border>
      <right style="thin">
        <color rgb="FF000000"/>
      </right>
      <top style="thin">
        <color rgb="FFB7B7B7"/>
      </top>
      <bottom style="thin">
        <color rgb="FFB7B7B7"/>
      </bottom>
    </border>
    <border>
      <left style="thin">
        <color rgb="FF000000"/>
      </left>
      <top style="thin">
        <color rgb="FF999999"/>
      </top>
      <bottom style="thin">
        <color rgb="FF999999"/>
      </bottom>
    </border>
    <border>
      <right style="thin">
        <color rgb="FFBBBBBB"/>
      </right>
      <top style="thin">
        <color rgb="FF999999"/>
      </top>
      <bottom style="thin">
        <color rgb="FF999999"/>
      </bottom>
    </border>
    <border>
      <left style="thin">
        <color rgb="FFBBBBBB"/>
      </left>
      <top style="thin">
        <color rgb="FF999999"/>
      </top>
      <bottom style="thin">
        <color rgb="FF999999"/>
      </bottom>
    </border>
    <border>
      <right style="thin">
        <color rgb="FF999999"/>
      </right>
      <top style="thin">
        <color rgb="FF999999"/>
      </top>
      <bottom style="thin">
        <color rgb="FF999999"/>
      </bottom>
    </border>
    <border>
      <bottom style="thin">
        <color rgb="FF999999"/>
      </bottom>
    </border>
    <border>
      <left style="thin">
        <color rgb="FF000000"/>
      </left>
      <top style="thin">
        <color rgb="FFF3F3F3"/>
      </top>
    </border>
    <border>
      <right style="thin">
        <color rgb="FF000000"/>
      </right>
      <top style="thin">
        <color rgb="FFF3F3F3"/>
      </top>
    </border>
    <border>
      <right style="thin">
        <color rgb="FF666666"/>
      </right>
      <top style="thin">
        <color rgb="FF000000"/>
      </top>
      <bottom style="thin">
        <color rgb="FF000000"/>
      </bottom>
    </border>
    <border>
      <left style="thin">
        <color rgb="FF000000"/>
      </left>
      <top style="thin">
        <color rgb="FFB7B7B7"/>
      </top>
    </border>
    <border>
      <right style="thin">
        <color rgb="FF000000"/>
      </right>
      <top style="thin">
        <color rgb="FFB7B7B7"/>
      </top>
    </border>
    <border>
      <top style="thin">
        <color rgb="FFB7B7B7"/>
      </top>
      <bottom style="thin">
        <color rgb="FF000000"/>
      </bottom>
    </border>
    <border>
      <right style="thin">
        <color rgb="FFBBBBBB"/>
      </right>
      <top style="thin">
        <color rgb="FF999999"/>
      </top>
      <bottom style="thin">
        <color rgb="FF000000"/>
      </bottom>
    </border>
    <border>
      <left style="thin">
        <color rgb="FFBBBBBB"/>
      </left>
      <top style="thin">
        <color rgb="FF999999"/>
      </top>
    </border>
    <border>
      <right style="thin">
        <color rgb="FF999999"/>
      </right>
      <top style="thin">
        <color rgb="FF999999"/>
      </top>
    </border>
    <border>
      <left style="thin">
        <color rgb="FF666666"/>
      </left>
      <top style="thin">
        <color rgb="FF000000"/>
      </top>
      <bottom style="thin">
        <color rgb="FF000000"/>
      </bottom>
    </border>
    <border>
      <left style="thin">
        <color rgb="FF000000"/>
      </left>
      <bottom style="thin">
        <color rgb="FFCCCCCC"/>
      </bottom>
    </border>
    <border>
      <bottom style="thin">
        <color rgb="FFCCCCCC"/>
      </bottom>
    </border>
    <border>
      <right style="thin">
        <color rgb="FF666666"/>
      </right>
      <bottom style="thin">
        <color rgb="FFCCCCCC"/>
      </bottom>
    </border>
    <border>
      <right style="thin">
        <color rgb="FF000000"/>
      </right>
      <bottom style="thin">
        <color rgb="FFCCCCCC"/>
      </bottom>
    </border>
    <border>
      <right style="hair">
        <color rgb="FF000000"/>
      </right>
      <top style="thin">
        <color rgb="FF000000"/>
      </top>
    </border>
    <border>
      <left style="thin">
        <color rgb="FF000000"/>
      </left>
      <bottom style="thin">
        <color rgb="FFB7B7B7"/>
      </bottom>
    </border>
    <border>
      <right style="hair">
        <color rgb="FF000000"/>
      </right>
      <bottom style="thin">
        <color rgb="FFB7B7B7"/>
      </bottom>
    </border>
    <border>
      <bottom style="thin">
        <color rgb="FFB7B7B7"/>
      </bottom>
    </border>
    <border>
      <right style="thin">
        <color rgb="FF000000"/>
      </right>
      <bottom style="thin">
        <color rgb="FFB7B7B7"/>
      </bottom>
    </border>
    <border>
      <left style="thin">
        <color rgb="FF000000"/>
      </left>
      <top style="thin">
        <color rgb="FFCCCCCC"/>
      </top>
      <bottom style="thin">
        <color rgb="FFCCCCCC"/>
      </bottom>
    </border>
    <border>
      <top style="thin">
        <color rgb="FFCCCCCC"/>
      </top>
      <bottom style="thin">
        <color rgb="FFCCCCCC"/>
      </bottom>
    </border>
    <border>
      <right style="thin">
        <color rgb="FF666666"/>
      </right>
      <top style="thin">
        <color rgb="FFCCCCCC"/>
      </top>
      <bottom style="thin">
        <color rgb="FFCCCCCC"/>
      </bottom>
    </border>
    <border>
      <right style="thin">
        <color rgb="FF000000"/>
      </right>
      <top style="thin">
        <color rgb="FFCCCCCC"/>
      </top>
      <bottom style="thin">
        <color rgb="FFCCCCCC"/>
      </bottom>
    </border>
    <border>
      <right style="hair">
        <color rgb="FF000000"/>
      </right>
      <bottom style="thin">
        <color rgb="FF000000"/>
      </bottom>
    </border>
    <border>
      <left style="thin">
        <color rgb="FF000000"/>
      </left>
      <top style="thin">
        <color rgb="FFB7B7B7"/>
      </top>
      <bottom style="thin">
        <color rgb="FF000000"/>
      </bottom>
    </border>
    <border>
      <right style="thin">
        <color rgb="FF000000"/>
      </right>
      <top style="thin">
        <color rgb="FFB7B7B7"/>
      </top>
      <bottom style="thin">
        <color rgb="FF000000"/>
      </bottom>
    </border>
    <border>
      <right style="hair">
        <color rgb="FF7C8380"/>
      </right>
      <bottom style="thin">
        <color rgb="FF9D988D"/>
      </bottom>
    </border>
    <border>
      <top style="thin">
        <color rgb="FF000000"/>
      </top>
      <bottom style="thin">
        <color rgb="FF9D988D"/>
      </bottom>
    </border>
    <border>
      <right style="hair">
        <color rgb="FF7C8380"/>
      </right>
      <top style="thin">
        <color rgb="FF000000"/>
      </top>
      <bottom style="thin">
        <color rgb="FF9D988D"/>
      </bottom>
    </border>
    <border>
      <right style="thin">
        <color rgb="FF000000"/>
      </right>
      <top style="thin">
        <color rgb="FF000000"/>
      </top>
      <bottom style="thin">
        <color rgb="FF9D988D"/>
      </bottom>
    </border>
    <border>
      <left style="thin">
        <color rgb="FF000000"/>
      </left>
      <top style="thin">
        <color rgb="FF9D988D"/>
      </top>
      <bottom style="thin">
        <color rgb="FF9D988D"/>
      </bottom>
    </border>
    <border>
      <right style="hair">
        <color rgb="FF7C8380"/>
      </right>
      <top style="thin">
        <color rgb="FF9D988D"/>
      </top>
      <bottom style="thin">
        <color rgb="FF9D988D"/>
      </bottom>
    </border>
    <border>
      <top style="thin">
        <color rgb="FF9D988D"/>
      </top>
      <bottom style="thin">
        <color rgb="FF9D988D"/>
      </bottom>
    </border>
    <border>
      <right style="thin">
        <color rgb="FF000000"/>
      </right>
      <top style="thin">
        <color rgb="FF9D988D"/>
      </top>
      <bottom style="thin">
        <color rgb="FF9D988D"/>
      </bottom>
    </border>
    <border>
      <right style="thin">
        <color rgb="FFFFFFFF"/>
      </right>
      <top style="thin">
        <color rgb="FF000000"/>
      </top>
      <bottom style="thin">
        <color rgb="FFB7B7B7"/>
      </bottom>
    </border>
    <border>
      <left style="thin">
        <color rgb="FFFFFFFF"/>
      </left>
      <top style="thin">
        <color rgb="FF000000"/>
      </top>
      <bottom style="thin">
        <color rgb="FFB7B7B7"/>
      </bottom>
    </border>
    <border>
      <right style="hair">
        <color rgb="FF000000"/>
      </right>
      <top style="thin">
        <color rgb="FFB7B7B7"/>
      </top>
      <bottom style="thin">
        <color rgb="FFB7B7B7"/>
      </bottom>
    </border>
    <border>
      <left style="thin">
        <color rgb="FF000000"/>
      </left>
      <top style="thin">
        <color rgb="FF9D988D"/>
      </top>
      <bottom style="thin">
        <color rgb="FF000000"/>
      </bottom>
    </border>
    <border>
      <right style="hair">
        <color rgb="FF7C8380"/>
      </right>
      <top style="thin">
        <color rgb="FF9D988D"/>
      </top>
      <bottom style="thin">
        <color rgb="FF000000"/>
      </bottom>
    </border>
    <border>
      <top style="thin">
        <color rgb="FF9D988D"/>
      </top>
      <bottom style="thin">
        <color rgb="FF000000"/>
      </bottom>
    </border>
    <border>
      <right style="thin">
        <color rgb="FF000000"/>
      </right>
      <top style="thin">
        <color rgb="FF9D988D"/>
      </top>
      <bottom style="thin">
        <color rgb="FF000000"/>
      </bottom>
    </border>
    <border>
      <right style="hair">
        <color rgb="FF000000"/>
      </right>
      <top style="thin">
        <color rgb="FFB7B7B7"/>
      </top>
      <bottom style="thin">
        <color rgb="FF000000"/>
      </bottom>
    </border>
    <border>
      <right style="thin">
        <color rgb="FF000000"/>
      </right>
      <top style="thin">
        <color rgb="FF000000"/>
      </top>
      <bottom style="thin">
        <color rgb="FF999999"/>
      </bottom>
    </border>
    <border>
      <right style="hair">
        <color rgb="FF434343"/>
      </right>
      <top style="thin">
        <color rgb="FFB7B7B7"/>
      </top>
      <bottom style="thin">
        <color rgb="FFB7B7B7"/>
      </bottom>
    </border>
    <border>
      <left style="thin">
        <color rgb="FF000000"/>
      </left>
      <top style="dotted">
        <color rgb="FF000000"/>
      </top>
      <bottom style="hair">
        <color rgb="FFB45F06"/>
      </bottom>
    </border>
    <border>
      <top style="dotted">
        <color rgb="FF000000"/>
      </top>
      <bottom style="hair">
        <color rgb="FFB45F06"/>
      </bottom>
    </border>
    <border>
      <right style="thin">
        <color rgb="FF000000"/>
      </right>
      <top style="dotted">
        <color rgb="FF000000"/>
      </top>
      <bottom style="hair">
        <color rgb="FFB45F06"/>
      </bottom>
    </border>
    <border>
      <left style="thin">
        <color rgb="FF000000"/>
      </left>
      <top style="hair">
        <color rgb="FFB45F06"/>
      </top>
      <bottom style="hair">
        <color rgb="FFB45F06"/>
      </bottom>
    </border>
    <border>
      <top style="hair">
        <color rgb="FFB45F06"/>
      </top>
      <bottom style="hair">
        <color rgb="FFB45F06"/>
      </bottom>
    </border>
    <border>
      <right style="thin">
        <color rgb="FF000000"/>
      </right>
      <top style="hair">
        <color rgb="FFB45F06"/>
      </top>
      <bottom style="hair">
        <color rgb="FFB45F06"/>
      </bottom>
    </border>
    <border>
      <right style="hair">
        <color rgb="FF434343"/>
      </right>
      <top style="thin">
        <color rgb="FFB7B7B7"/>
      </top>
      <bottom style="thin">
        <color rgb="FF000000"/>
      </bottom>
    </border>
    <border>
      <left style="thin">
        <color rgb="FF000000"/>
      </left>
      <top style="thin">
        <color rgb="FFCCCCCC"/>
      </top>
    </border>
    <border>
      <top style="thin">
        <color rgb="FFCCCCCC"/>
      </top>
    </border>
    <border>
      <right style="thin">
        <color rgb="FF666666"/>
      </right>
      <top style="thin">
        <color rgb="FFCCCCCC"/>
      </top>
    </border>
    <border>
      <top style="thin">
        <color rgb="FFCCCCCC"/>
      </top>
      <bottom style="thin">
        <color rgb="FF000000"/>
      </bottom>
    </border>
    <border>
      <right style="thin">
        <color rgb="FF000000"/>
      </right>
      <top style="thin">
        <color rgb="FFCCCCCC"/>
      </top>
      <bottom style="thin">
        <color rgb="FF000000"/>
      </bottom>
    </border>
    <border>
      <left style="thin">
        <color rgb="FF000000"/>
      </left>
      <top style="hair">
        <color rgb="FFB45F06"/>
      </top>
    </border>
    <border>
      <top style="hair">
        <color rgb="FFB45F06"/>
      </top>
    </border>
    <border>
      <right style="thin">
        <color rgb="FF000000"/>
      </right>
      <top style="hair">
        <color rgb="FFB45F06"/>
      </top>
    </border>
    <border>
      <left style="thin">
        <color rgb="FF000000"/>
      </left>
      <bottom style="thin">
        <color rgb="FF7C8380"/>
      </bottom>
    </border>
    <border>
      <bottom style="thin">
        <color rgb="FF7C8380"/>
      </bottom>
    </border>
    <border>
      <right style="thin">
        <color rgb="FF000000"/>
      </right>
      <bottom style="thin">
        <color rgb="FF7C8380"/>
      </bottom>
    </border>
    <border>
      <left style="thin">
        <color rgb="FF000000"/>
      </left>
      <bottom style="thin">
        <color rgb="FF999999"/>
      </bottom>
    </border>
    <border>
      <right style="thin">
        <color rgb="FF000000"/>
      </right>
      <bottom style="thin">
        <color rgb="FF999999"/>
      </bottom>
    </border>
    <border>
      <top style="thin">
        <color rgb="FF7C8380"/>
      </top>
      <bottom style="thin">
        <color rgb="FF000000"/>
      </bottom>
    </border>
    <border>
      <left style="thin">
        <color rgb="FF000000"/>
      </left>
      <top style="thin">
        <color rgb="FF000000"/>
      </top>
      <bottom style="thin">
        <color rgb="FFD8D8D8"/>
      </bottom>
    </border>
    <border>
      <top style="thin">
        <color rgb="FF000000"/>
      </top>
      <bottom style="thin">
        <color rgb="FFD8D8D8"/>
      </bottom>
    </border>
    <border>
      <right style="thin">
        <color rgb="FF000000"/>
      </right>
      <top style="thin">
        <color rgb="FF000000"/>
      </top>
      <bottom style="thin">
        <color rgb="FFD8D8D8"/>
      </bottom>
    </border>
    <border>
      <left style="thin">
        <color rgb="FF000000"/>
      </left>
      <top style="thin">
        <color rgb="FFD8D8D8"/>
      </top>
      <bottom style="thin">
        <color rgb="FFD8D8D8"/>
      </bottom>
    </border>
    <border>
      <top style="thin">
        <color rgb="FFD8D8D8"/>
      </top>
      <bottom style="thin">
        <color rgb="FFD8D8D8"/>
      </bottom>
    </border>
    <border>
      <right style="thin">
        <color rgb="FF000000"/>
      </right>
      <top style="thin">
        <color rgb="FFD8D8D8"/>
      </top>
      <bottom style="thin">
        <color rgb="FFD8D8D8"/>
      </bottom>
    </border>
    <border>
      <left style="thin">
        <color rgb="FF000000"/>
      </left>
      <top style="thin">
        <color rgb="FFB7B7B7"/>
      </top>
      <bottom style="thin">
        <color rgb="FFBBBBBB"/>
      </bottom>
    </border>
    <border>
      <top style="thin">
        <color rgb="FFB7B7B7"/>
      </top>
      <bottom style="thin">
        <color rgb="FFBBBBBB"/>
      </bottom>
    </border>
    <border>
      <right style="thin">
        <color rgb="FF000000"/>
      </right>
      <top style="thin">
        <color rgb="FFB7B7B7"/>
      </top>
      <bottom style="thin">
        <color rgb="FFBBBBBB"/>
      </bottom>
    </border>
    <border>
      <left style="thin">
        <color rgb="FF000000"/>
      </left>
      <top style="thin">
        <color rgb="FFD8D8D8"/>
      </top>
      <bottom style="thin">
        <color rgb="FF000000"/>
      </bottom>
    </border>
    <border>
      <top style="thin">
        <color rgb="FFD8D8D8"/>
      </top>
      <bottom style="thin">
        <color rgb="FF000000"/>
      </bottom>
    </border>
    <border>
      <right style="thin">
        <color rgb="FF000000"/>
      </right>
      <top style="thin">
        <color rgb="FFD8D8D8"/>
      </top>
      <bottom style="thin">
        <color rgb="FF000000"/>
      </bottom>
    </border>
    <border>
      <left style="thin">
        <color rgb="FF000000"/>
      </left>
      <bottom style="thin">
        <color rgb="FFD8D8D8"/>
      </bottom>
    </border>
    <border>
      <bottom style="thin">
        <color rgb="FFD8D8D8"/>
      </bottom>
    </border>
    <border>
      <right style="thin">
        <color rgb="FF000000"/>
      </right>
      <bottom style="thin">
        <color rgb="FFD8D8D8"/>
      </bottom>
    </border>
    <border>
      <left style="medium">
        <color rgb="FF000000"/>
      </left>
      <top style="thin">
        <color rgb="FF000000"/>
      </top>
      <bottom style="thin">
        <color rgb="FF000000"/>
      </bottom>
    </border>
    <border>
      <top style="thin">
        <color rgb="FFB7B7B7"/>
      </top>
    </border>
    <border>
      <left style="medium">
        <color rgb="FF000000"/>
      </left>
      <bottom style="thin">
        <color rgb="FFB7B7B7"/>
      </bottom>
    </border>
    <border>
      <left style="medium">
        <color rgb="FF000000"/>
      </left>
      <top style="thin">
        <color rgb="FFB7B7B7"/>
      </top>
      <bottom style="thin">
        <color rgb="FFB7B7B7"/>
      </bottom>
    </border>
    <border>
      <left style="medium">
        <color rgb="FF000000"/>
      </left>
      <top style="thin">
        <color rgb="FFB7B7B7"/>
      </top>
      <bottom style="medium">
        <color rgb="FF000000"/>
      </bottom>
    </border>
    <border>
      <top style="thin">
        <color rgb="FFB7B7B7"/>
      </top>
      <bottom style="medium">
        <color rgb="FF000000"/>
      </bottom>
    </border>
    <border>
      <right style="thin">
        <color rgb="FF000000"/>
      </right>
      <top style="thin">
        <color rgb="FFB7B7B7"/>
      </top>
      <bottom style="medium">
        <color rgb="FF000000"/>
      </bottom>
    </border>
    <border>
      <left style="thin">
        <color rgb="FF000000"/>
      </left>
      <bottom style="thin">
        <color rgb="FFBBBBBB"/>
      </bottom>
    </border>
    <border>
      <bottom style="thin">
        <color rgb="FFBBBBBB"/>
      </bottom>
    </border>
    <border>
      <right style="thin">
        <color rgb="FF000000"/>
      </right>
      <bottom style="thin">
        <color rgb="FFBBBBBB"/>
      </bottom>
    </border>
    <border>
      <left style="thin">
        <color rgb="FF000000"/>
      </left>
      <right style="thin">
        <color rgb="FF999999"/>
      </right>
    </border>
    <border>
      <left style="thin">
        <color rgb="FF000000"/>
      </left>
      <right style="thin">
        <color rgb="FF999999"/>
      </right>
      <bottom style="thin">
        <color rgb="FF000000"/>
      </bottom>
    </border>
    <border>
      <left style="thin">
        <color rgb="FF000000"/>
      </left>
      <right style="thin">
        <color rgb="FF000000"/>
      </right>
      <top style="thin">
        <color rgb="FFBBBBBB"/>
      </top>
      <bottom style="thin">
        <color rgb="FFBBBBBB"/>
      </bottom>
    </border>
    <border>
      <left style="thin">
        <color rgb="FF000000"/>
      </left>
      <right style="thin">
        <color rgb="FF000000"/>
      </right>
      <top style="thin">
        <color rgb="FFBBBBBB"/>
      </top>
      <bottom style="thin">
        <color rgb="FF000000"/>
      </bottom>
    </border>
    <border>
      <left style="thin">
        <color rgb="FF999999"/>
      </left>
      <right style="thin">
        <color rgb="FF000000"/>
      </right>
    </border>
    <border>
      <left style="thin">
        <color rgb="FF999999"/>
      </left>
    </border>
    <border>
      <left style="thin">
        <color rgb="FF000000"/>
      </left>
      <right style="thin">
        <color rgb="FFBBBBBB"/>
      </right>
    </border>
    <border>
      <left style="thin">
        <color rgb="FFBBBBBB"/>
      </left>
      <right style="thin">
        <color rgb="FFBBBBBB"/>
      </right>
    </border>
    <border>
      <left style="thin">
        <color rgb="FFBBBBBB"/>
      </left>
      <right style="thin">
        <color rgb="FF000000"/>
      </right>
    </border>
    <border>
      <left style="thin">
        <color rgb="FF999999"/>
      </left>
      <right style="thin">
        <color rgb="FF000000"/>
      </right>
      <bottom style="thin">
        <color rgb="FF000000"/>
      </bottom>
    </border>
    <border>
      <left style="thin">
        <color rgb="FF999999"/>
      </left>
      <bottom style="thin">
        <color rgb="FF000000"/>
      </bottom>
    </border>
    <border>
      <left style="thin">
        <color rgb="FF000000"/>
      </left>
      <right style="thin">
        <color rgb="FFBBBBBB"/>
      </right>
      <bottom style="thin">
        <color rgb="FF000000"/>
      </bottom>
    </border>
    <border>
      <left style="thin">
        <color rgb="FFBBBBBB"/>
      </left>
      <right style="thin">
        <color rgb="FFBBBBBB"/>
      </right>
      <bottom style="thin">
        <color rgb="FF000000"/>
      </bottom>
    </border>
    <border>
      <left style="thin">
        <color rgb="FFBBBBBB"/>
      </left>
      <right style="thin">
        <color rgb="FF000000"/>
      </right>
      <bottom style="thin">
        <color rgb="FF000000"/>
      </bottom>
    </border>
    <border>
      <left style="thin">
        <color rgb="FF000000"/>
      </left>
      <right style="thin">
        <color rgb="FF999999"/>
      </right>
      <bottom style="thin">
        <color rgb="FFBBBBBB"/>
      </bottom>
    </border>
    <border>
      <left style="thin">
        <color rgb="FF999999"/>
      </left>
      <right style="thin">
        <color rgb="FF000000"/>
      </right>
      <bottom style="thin">
        <color rgb="FFBBBBBB"/>
      </bottom>
    </border>
    <border>
      <left style="thin">
        <color rgb="FF000000"/>
      </left>
      <right style="thin">
        <color rgb="FF000000"/>
      </right>
      <top style="thin">
        <color rgb="FF000000"/>
      </top>
      <bottom style="thin">
        <color rgb="FF9D988D"/>
      </bottom>
    </border>
    <border>
      <right style="thin">
        <color rgb="FF9D988D"/>
      </right>
      <top style="thin">
        <color rgb="FF000000"/>
      </top>
      <bottom style="thin">
        <color rgb="FF9D988D"/>
      </bottom>
    </border>
    <border>
      <left style="thin">
        <color rgb="FF9D988D"/>
      </left>
      <right style="thin">
        <color rgb="FF9D988D"/>
      </right>
      <top style="thin">
        <color rgb="FF000000"/>
      </top>
      <bottom style="thin">
        <color rgb="FF9D988D"/>
      </bottom>
    </border>
    <border>
      <left style="thin">
        <color rgb="FF9D988D"/>
      </left>
      <right style="thin">
        <color rgb="FF000000"/>
      </right>
      <top style="thin">
        <color rgb="FF000000"/>
      </top>
      <bottom style="thin">
        <color rgb="FF9D988D"/>
      </bottom>
    </border>
    <border>
      <left style="thin">
        <color rgb="FF000000"/>
      </left>
      <right style="thin">
        <color rgb="FF000000"/>
      </right>
      <top style="thin">
        <color rgb="FF9D988D"/>
      </top>
      <bottom style="thin">
        <color rgb="FF9D988D"/>
      </bottom>
    </border>
    <border>
      <right style="thin">
        <color rgb="FF9D988D"/>
      </right>
      <top style="thin">
        <color rgb="FF9D988D"/>
      </top>
      <bottom style="thin">
        <color rgb="FF9D988D"/>
      </bottom>
    </border>
    <border>
      <left style="thin">
        <color rgb="FF9D988D"/>
      </left>
      <right style="thin">
        <color rgb="FF9D988D"/>
      </right>
      <top style="thin">
        <color rgb="FF9D988D"/>
      </top>
      <bottom style="thin">
        <color rgb="FF9D988D"/>
      </bottom>
    </border>
    <border>
      <left style="thin">
        <color rgb="FF9D988D"/>
      </left>
      <right style="thin">
        <color rgb="FF000000"/>
      </right>
      <top style="thin">
        <color rgb="FF9D988D"/>
      </top>
      <bottom style="thin">
        <color rgb="FF9D988D"/>
      </bottom>
    </border>
    <border>
      <left style="thin">
        <color rgb="FF000000"/>
      </left>
      <right style="thin">
        <color rgb="FF000000"/>
      </right>
      <top style="thin">
        <color rgb="FF9D988D"/>
      </top>
      <bottom style="thin">
        <color rgb="FF000000"/>
      </bottom>
    </border>
    <border>
      <right style="thin">
        <color rgb="FF9D988D"/>
      </right>
      <top style="thin">
        <color rgb="FF9D988D"/>
      </top>
      <bottom style="thin">
        <color rgb="FF000000"/>
      </bottom>
    </border>
    <border>
      <left style="thin">
        <color rgb="FF9D988D"/>
      </left>
      <right style="thin">
        <color rgb="FF9D988D"/>
      </right>
      <top style="thin">
        <color rgb="FF9D988D"/>
      </top>
      <bottom style="thin">
        <color rgb="FF000000"/>
      </bottom>
    </border>
    <border>
      <left style="thin">
        <color rgb="FF9D988D"/>
      </left>
      <right style="thin">
        <color rgb="FF000000"/>
      </right>
      <top style="thin">
        <color rgb="FF9D988D"/>
      </top>
      <bottom style="thin">
        <color rgb="FF000000"/>
      </bottom>
    </border>
    <border>
      <left style="thin">
        <color rgb="FF999999"/>
      </left>
      <right style="thin">
        <color rgb="FF000000"/>
      </right>
      <top style="thin">
        <color rgb="FFBBBBBB"/>
      </top>
      <bottom style="thin">
        <color rgb="FF000000"/>
      </bottom>
    </border>
    <border>
      <left style="thin">
        <color rgb="FF7C8380"/>
      </left>
      <right style="thin">
        <color rgb="FF000000"/>
      </right>
      <bottom style="thin">
        <color rgb="FF000000"/>
      </bottom>
    </border>
    <border>
      <left style="thin">
        <color rgb="FF000000"/>
      </left>
      <right style="thin">
        <color rgb="FF7C8380"/>
      </right>
    </border>
    <border>
      <left style="thin">
        <color rgb="FF7C8380"/>
      </left>
      <right style="thin">
        <color rgb="FF7C8380"/>
      </right>
    </border>
    <border>
      <left style="thin">
        <color rgb="FF7C8380"/>
      </left>
      <right style="thin">
        <color rgb="FF000000"/>
      </right>
    </border>
    <border>
      <left style="thin">
        <color rgb="FF000000"/>
      </left>
      <right style="thin">
        <color rgb="FF7C8380"/>
      </right>
      <bottom style="thin">
        <color rgb="FF000000"/>
      </bottom>
    </border>
    <border>
      <left style="thin">
        <color rgb="FF7C8380"/>
      </left>
      <right style="thin">
        <color rgb="FF7C8380"/>
      </right>
      <bottom style="thin">
        <color rgb="FF000000"/>
      </bottom>
    </border>
    <border>
      <right style="thin">
        <color rgb="FFB7B7B7"/>
      </right>
      <top style="medium">
        <color rgb="FF000000"/>
      </top>
    </border>
    <border>
      <left style="thin">
        <color rgb="FFFFFFFF"/>
      </left>
      <right style="thin">
        <color rgb="FFFFFFFF"/>
      </right>
    </border>
    <border>
      <left style="thin">
        <color rgb="FFFFFFFF"/>
      </left>
    </border>
    <border>
      <right style="thin">
        <color rgb="FFFFFFFF"/>
      </right>
    </border>
    <border>
      <left style="thin">
        <color rgb="FF07152B"/>
      </left>
      <right style="thin">
        <color rgb="FFCFE2F3"/>
      </right>
      <top style="thin">
        <color rgb="FF07152B"/>
      </top>
      <bottom style="thin">
        <color rgb="FFCFE2F3"/>
      </bottom>
    </border>
    <border>
      <left style="thin">
        <color rgb="FFCFE2F3"/>
      </left>
      <right style="thin">
        <color rgb="FFCFE2F3"/>
      </right>
      <top style="thin">
        <color rgb="FF07152B"/>
      </top>
      <bottom style="thin">
        <color rgb="FFCFE2F3"/>
      </bottom>
    </border>
    <border>
      <left style="thin">
        <color rgb="FFCFE2F3"/>
      </left>
      <right style="thin">
        <color rgb="FF07152B"/>
      </right>
      <top style="thin">
        <color rgb="FF07152B"/>
      </top>
      <bottom style="thin">
        <color rgb="FFCFE2F3"/>
      </bottom>
    </border>
    <border>
      <left style="thin">
        <color rgb="FF000000"/>
      </left>
      <right style="thin">
        <color rgb="FF07152B"/>
      </right>
      <top style="thin">
        <color rgb="FF000000"/>
      </top>
      <bottom style="thin">
        <color rgb="FF000000"/>
      </bottom>
    </border>
    <border>
      <left style="thin">
        <color rgb="FF07152B"/>
      </left>
      <right style="thin">
        <color rgb="FFCFE2F3"/>
      </right>
      <top style="thin">
        <color rgb="FFCFE2F3"/>
      </top>
      <bottom style="thin">
        <color rgb="FFCFE2F3"/>
      </bottom>
    </border>
    <border>
      <left style="thin">
        <color rgb="FFCFE2F3"/>
      </left>
      <right style="thin">
        <color rgb="FFCFE2F3"/>
      </right>
      <top style="thin">
        <color rgb="FFCFE2F3"/>
      </top>
      <bottom style="thin">
        <color rgb="FFCFE2F3"/>
      </bottom>
    </border>
    <border>
      <left style="thin">
        <color rgb="FFCFE2F3"/>
      </left>
      <top style="thin">
        <color rgb="FFCFE2F3"/>
      </top>
    </border>
    <border>
      <right style="thin">
        <color rgb="FFCFE2F3"/>
      </right>
      <top style="thin">
        <color rgb="FFCFE2F3"/>
      </top>
    </border>
    <border>
      <left style="thin">
        <color rgb="FFCFE2F3"/>
      </left>
      <right style="thin">
        <color rgb="FFCFE2F3"/>
      </right>
      <top style="thin">
        <color rgb="FFCFE2F3"/>
      </top>
    </border>
    <border>
      <left style="thin">
        <color rgb="FFCFE2F3"/>
      </left>
      <right style="thin">
        <color rgb="FF07152B"/>
      </right>
      <top style="thin">
        <color rgb="FFCFE2F3"/>
      </top>
      <bottom style="thin">
        <color rgb="FFCFE2F3"/>
      </bottom>
    </border>
    <border>
      <left style="thin">
        <color rgb="FFCFE2F3"/>
      </left>
      <bottom style="thick">
        <color rgb="FF073763"/>
      </bottom>
    </border>
    <border>
      <right style="thin">
        <color rgb="FFCFE2F3"/>
      </right>
      <bottom style="thick">
        <color rgb="FF073763"/>
      </bottom>
    </border>
    <border>
      <left style="thin">
        <color rgb="FFCFE2F3"/>
      </left>
      <right style="thin">
        <color rgb="FFCFE2F3"/>
      </right>
      <bottom style="thick">
        <color rgb="FF073763"/>
      </bottom>
    </border>
    <border>
      <left style="thin">
        <color rgb="FFCFE2F3"/>
      </left>
      <right style="thin">
        <color rgb="FFCFE2F3"/>
      </right>
    </border>
    <border>
      <left style="thin">
        <color rgb="FFCFE2F3"/>
      </left>
      <right style="thin">
        <color rgb="FFCFE2F3"/>
      </right>
      <bottom style="thin">
        <color rgb="FFCFE2F3"/>
      </bottom>
    </border>
    <border>
      <left style="thin">
        <color rgb="FF07152B"/>
      </left>
      <top style="thin">
        <color rgb="FFCFE2F3"/>
      </top>
      <bottom style="thin">
        <color rgb="FFCFE2F3"/>
      </bottom>
    </border>
    <border>
      <left style="thin">
        <color rgb="FF07152B"/>
      </left>
      <top style="thin">
        <color rgb="FF07152B"/>
      </top>
      <bottom style="thin">
        <color rgb="FF07152B"/>
      </bottom>
    </border>
    <border>
      <right style="thin">
        <color rgb="FF07152B"/>
      </right>
      <top style="thin">
        <color rgb="FF07152B"/>
      </top>
      <bottom style="thin">
        <color rgb="FF07152B"/>
      </bottom>
    </border>
    <border>
      <top style="thin">
        <color rgb="FFCFE2F3"/>
      </top>
    </border>
    <border>
      <left style="thin">
        <color rgb="FF073763"/>
      </left>
      <right style="thin">
        <color rgb="FFCFE2F3"/>
      </right>
      <bottom style="thin">
        <color rgb="FFCFE2F3"/>
      </bottom>
    </border>
    <border>
      <left style="thin">
        <color rgb="FFCFE2F3"/>
      </left>
      <top style="thin">
        <color rgb="FF073763"/>
      </top>
      <bottom style="thin">
        <color rgb="FFCFE2F3"/>
      </bottom>
    </border>
    <border>
      <top style="thin">
        <color rgb="FF073763"/>
      </top>
      <bottom style="thin">
        <color rgb="FFCFE2F3"/>
      </bottom>
    </border>
    <border>
      <right style="thin">
        <color rgb="FF073763"/>
      </right>
      <top style="thin">
        <color rgb="FF073763"/>
      </top>
      <bottom style="thin">
        <color rgb="FFCFE2F3"/>
      </bottom>
    </border>
    <border>
      <right style="thin">
        <color rgb="FF07152B"/>
      </right>
      <top style="thin">
        <color rgb="FFCFE2F3"/>
      </top>
      <bottom style="thin">
        <color rgb="FFCFE2F3"/>
      </bottom>
    </border>
    <border>
      <left style="thin">
        <color rgb="FF000000"/>
      </left>
      <right style="thin">
        <color rgb="FF000000"/>
      </right>
      <bottom style="thin">
        <color rgb="FF07152B"/>
      </bottom>
    </border>
    <border>
      <left style="thin">
        <color rgb="FF073763"/>
      </left>
      <right style="thin">
        <color rgb="FFCFE2F3"/>
      </right>
      <top style="thin">
        <color rgb="FFCFE2F3"/>
      </top>
      <bottom style="thin">
        <color rgb="FFCFE2F3"/>
      </bottom>
    </border>
    <border>
      <left style="thin">
        <color rgb="FFCFE2F3"/>
      </left>
      <right style="thin">
        <color rgb="FF91A1B2"/>
      </right>
      <top style="thin">
        <color rgb="FFCFE2F3"/>
      </top>
      <bottom style="thin">
        <color rgb="FF91A1B2"/>
      </bottom>
    </border>
    <border>
      <left style="thin">
        <color rgb="FF91A1B2"/>
      </left>
      <top style="thin">
        <color rgb="FFCFE2F3"/>
      </top>
      <bottom style="thin">
        <color rgb="FF91A1B2"/>
      </bottom>
    </border>
    <border>
      <top style="thin">
        <color rgb="FFCFE2F3"/>
      </top>
      <bottom style="thin">
        <color rgb="FF91A1B2"/>
      </bottom>
    </border>
    <border>
      <right style="thin">
        <color rgb="FF073763"/>
      </right>
      <top style="thin">
        <color rgb="FFCFE2F3"/>
      </top>
      <bottom style="thin">
        <color rgb="FF91A1B2"/>
      </bottom>
    </border>
    <border>
      <left style="thin">
        <color rgb="FFCFE2F3"/>
      </left>
      <right style="thin">
        <color rgb="FF91A1B2"/>
      </right>
      <top style="thin">
        <color rgb="FF91A1B2"/>
      </top>
      <bottom style="thin">
        <color rgb="FF91A1B2"/>
      </bottom>
    </border>
    <border>
      <left style="thin">
        <color rgb="FF91A1B2"/>
      </left>
      <top style="thin">
        <color rgb="FF91A1B2"/>
      </top>
      <bottom style="thin">
        <color rgb="FF91A1B2"/>
      </bottom>
    </border>
    <border>
      <top style="thin">
        <color rgb="FF91A1B2"/>
      </top>
      <bottom style="thin">
        <color rgb="FF91A1B2"/>
      </bottom>
    </border>
    <border>
      <right style="thin">
        <color rgb="FF073763"/>
      </right>
      <top style="thin">
        <color rgb="FF91A1B2"/>
      </top>
      <bottom style="thin">
        <color rgb="FF91A1B2"/>
      </bottom>
    </border>
    <border>
      <left style="thin">
        <color rgb="FF073763"/>
      </left>
      <right style="thin">
        <color rgb="FFCFE2F3"/>
      </right>
      <top style="thin">
        <color rgb="FFCFE2F3"/>
      </top>
      <bottom style="thin">
        <color rgb="FF073763"/>
      </bottom>
    </border>
    <border>
      <left style="thin">
        <color rgb="FFCFE2F3"/>
      </left>
      <right style="thin">
        <color rgb="FF91A1B2"/>
      </right>
      <top style="thin">
        <color rgb="FF91A1B2"/>
      </top>
      <bottom style="thin">
        <color rgb="FF073763"/>
      </bottom>
    </border>
    <border>
      <left style="thin">
        <color rgb="FF91A1B2"/>
      </left>
      <top style="thin">
        <color rgb="FF91A1B2"/>
      </top>
      <bottom style="thin">
        <color rgb="FF073763"/>
      </bottom>
    </border>
    <border>
      <top style="thin">
        <color rgb="FF91A1B2"/>
      </top>
      <bottom style="thin">
        <color rgb="FF073763"/>
      </bottom>
    </border>
    <border>
      <right style="thin">
        <color rgb="FF073763"/>
      </right>
      <top style="thin">
        <color rgb="FF91A1B2"/>
      </top>
      <bottom style="thin">
        <color rgb="FF073763"/>
      </bottom>
    </border>
    <border>
      <left style="thin">
        <color rgb="FF07152B"/>
      </left>
      <right style="thin">
        <color rgb="FFCFE2F3"/>
      </right>
      <top style="thin">
        <color rgb="FFCFE2F3"/>
      </top>
    </border>
    <border>
      <left style="thin">
        <color rgb="FFCFE2F3"/>
      </left>
      <right style="thin">
        <color rgb="FF07152B"/>
      </right>
      <top style="thin">
        <color rgb="FFCFE2F3"/>
      </top>
    </border>
    <border>
      <left style="thin">
        <color rgb="FF07152B"/>
      </left>
      <right style="thin">
        <color rgb="FFCFE2F3"/>
      </right>
      <top style="thin">
        <color rgb="FFCFE2F3"/>
      </top>
      <bottom style="thin">
        <color rgb="FF07152B"/>
      </bottom>
    </border>
    <border>
      <left style="thin">
        <color rgb="FFCFE2F3"/>
      </left>
      <right style="thin">
        <color rgb="FFCFE2F3"/>
      </right>
      <top style="thin">
        <color rgb="FFCFE2F3"/>
      </top>
      <bottom style="thin">
        <color rgb="FF07152B"/>
      </bottom>
    </border>
    <border>
      <left style="thin">
        <color rgb="FFCFE2F3"/>
      </left>
      <right style="thin">
        <color rgb="FF07152B"/>
      </right>
      <top style="thin">
        <color rgb="FFCFE2F3"/>
      </top>
      <bottom style="thin">
        <color rgb="FF07152B"/>
      </bottom>
    </border>
    <border>
      <left style="thin">
        <color rgb="FF07152B"/>
      </left>
      <right style="thin">
        <color rgb="FF07152B"/>
      </right>
      <top style="thin">
        <color rgb="FF07152B"/>
      </top>
      <bottom style="thin">
        <color rgb="FF07152B"/>
      </bottom>
    </border>
    <border>
      <top style="thin">
        <color rgb="FF07152B"/>
      </top>
      <bottom style="thin">
        <color rgb="FF07152B"/>
      </bottom>
    </border>
    <border>
      <right style="thin">
        <color rgb="FFB7B7B7"/>
      </right>
      <top style="thin">
        <color rgb="FF000000"/>
      </top>
      <bottom style="thin">
        <color rgb="FF000000"/>
      </bottom>
    </border>
    <border>
      <left style="thin">
        <color rgb="FFB7B7B7"/>
      </left>
      <top style="thin">
        <color rgb="FF000000"/>
      </top>
      <bottom style="thin">
        <color rgb="FF000000"/>
      </bottom>
    </border>
    <border>
      <right style="thin">
        <color rgb="FF666666"/>
      </right>
    </border>
    <border>
      <right style="thin">
        <color rgb="FFB7B7B7"/>
      </right>
      <top style="thin">
        <color rgb="FF000000"/>
      </top>
      <bottom style="thin">
        <color rgb="FFB7B7B7"/>
      </bottom>
    </border>
    <border>
      <right style="thin">
        <color rgb="FFB7B7B7"/>
      </right>
      <top style="thin">
        <color rgb="FF000000"/>
      </top>
      <bottom style="thin">
        <color rgb="FFBBBBBB"/>
      </bottom>
    </border>
    <border>
      <right style="thin">
        <color rgb="FFB7B7B7"/>
      </right>
      <bottom style="thin">
        <color rgb="FFB7B7B7"/>
      </bottom>
    </border>
    <border>
      <left style="thin">
        <color rgb="FF999999"/>
      </left>
      <bottom style="thin">
        <color rgb="FFB7B7B7"/>
      </bottom>
    </border>
    <border>
      <right style="thin">
        <color rgb="FFB7B7B7"/>
      </right>
      <top style="thin">
        <color rgb="FFB7B7B7"/>
      </top>
      <bottom style="thin">
        <color rgb="FFB7B7B7"/>
      </bottom>
    </border>
    <border>
      <right style="thin">
        <color rgb="FFB7B7B7"/>
      </right>
      <top style="thin">
        <color rgb="FFBBBBBB"/>
      </top>
      <bottom style="thin">
        <color rgb="FFBBBBBB"/>
      </bottom>
    </border>
    <border>
      <right style="thin">
        <color rgb="FFB7B7B7"/>
      </right>
    </border>
    <border>
      <right style="thin">
        <color rgb="FFB7B7B7"/>
      </right>
      <top style="thin">
        <color rgb="FFB7B7B7"/>
      </top>
      <bottom style="thin">
        <color rgb="FF000000"/>
      </bottom>
    </border>
    <border>
      <right style="thin">
        <color rgb="FFB7B7B7"/>
      </right>
      <top style="thin">
        <color rgb="FFBBBBBB"/>
      </top>
      <bottom style="thin">
        <color rgb="FF000000"/>
      </bottom>
    </border>
    <border>
      <top style="thin">
        <color rgb="FF999999"/>
      </top>
      <bottom style="thin">
        <color rgb="FF999999"/>
      </bottom>
    </border>
    <border>
      <right style="thin">
        <color rgb="FF000000"/>
      </right>
      <top style="thin">
        <color rgb="FF999999"/>
      </top>
      <bottom style="thin">
        <color rgb="FF999999"/>
      </bottom>
    </border>
    <border>
      <right style="thin">
        <color rgb="FF999999"/>
      </right>
    </border>
    <border>
      <right style="thin">
        <color rgb="FF999999"/>
      </right>
      <top style="thin">
        <color rgb="FF000000"/>
      </top>
    </border>
    <border>
      <right style="thin">
        <color rgb="FF999999"/>
      </right>
      <bottom style="thin">
        <color rgb="FF000000"/>
      </bottom>
    </border>
    <border>
      <left style="thin">
        <color rgb="FF000000"/>
      </left>
      <right style="thin">
        <color rgb="FF999999"/>
      </right>
      <top style="thin">
        <color rgb="FF000000"/>
      </top>
    </border>
    <border>
      <left style="thin">
        <color rgb="FF999999"/>
      </left>
      <right style="thin">
        <color rgb="FF000000"/>
      </right>
      <top style="thin">
        <color rgb="FF000000"/>
      </top>
      <bottom style="thin">
        <color rgb="FF000000"/>
      </bottom>
    </border>
    <border>
      <left style="thin">
        <color rgb="FF000000"/>
      </left>
      <right style="thin">
        <color rgb="FF9D988D"/>
      </right>
      <top style="thin">
        <color rgb="FF000000"/>
      </top>
      <bottom style="thin">
        <color rgb="FF9D988D"/>
      </bottom>
    </border>
    <border>
      <left style="thin">
        <color rgb="FF000000"/>
      </left>
      <right style="thin">
        <color rgb="FF9D988D"/>
      </right>
      <top style="thin">
        <color rgb="FF9D988D"/>
      </top>
      <bottom style="thin">
        <color rgb="FF9D988D"/>
      </bottom>
    </border>
    <border>
      <left style="thin">
        <color rgb="FF000000"/>
      </left>
      <right style="thin">
        <color rgb="FF9D988D"/>
      </right>
      <top style="thin">
        <color rgb="FF9D988D"/>
      </top>
      <bottom style="thin">
        <color rgb="FF000000"/>
      </bottom>
    </border>
    <border>
      <right style="thin">
        <color rgb="FF9D988D"/>
      </right>
      <top style="thin">
        <color rgb="FF000000"/>
      </top>
      <bottom style="thin">
        <color rgb="FF000000"/>
      </bottom>
    </border>
    <border>
      <left style="thin">
        <color rgb="FF9D988D"/>
      </left>
      <right style="thin">
        <color rgb="FF9D988D"/>
      </right>
      <top style="thin">
        <color rgb="FF000000"/>
      </top>
      <bottom style="thin">
        <color rgb="FF000000"/>
      </bottom>
    </border>
    <border>
      <left style="thin">
        <color rgb="FF9D988D"/>
      </left>
      <right style="thin">
        <color rgb="FF000000"/>
      </right>
      <top style="thin">
        <color rgb="FF000000"/>
      </top>
      <bottom style="thin">
        <color rgb="FF000000"/>
      </bottom>
    </border>
    <border>
      <left style="thin">
        <color rgb="FFFFFFFF"/>
      </left>
      <top style="thin">
        <color rgb="FF000000"/>
      </top>
    </border>
    <border>
      <right style="thin">
        <color rgb="FFB7B7B7"/>
      </right>
      <top style="thin">
        <color rgb="FF000000"/>
      </top>
    </border>
    <border>
      <left style="thin">
        <color rgb="FFB7B7B7"/>
      </left>
      <top style="thin">
        <color rgb="FF000000"/>
      </top>
    </border>
    <border>
      <left style="thin">
        <color rgb="FFB7B7B7"/>
      </left>
      <right style="thin">
        <color rgb="FFB7B7B7"/>
      </right>
      <top style="thin">
        <color rgb="FF000000"/>
      </top>
    </border>
    <border>
      <left style="thin">
        <color rgb="FFB7B7B7"/>
      </left>
      <top style="thin">
        <color rgb="FF000000"/>
      </top>
      <bottom style="thin">
        <color rgb="FF666666"/>
      </bottom>
    </border>
    <border>
      <right style="thin">
        <color rgb="FFB7B7B7"/>
      </right>
      <top style="thin">
        <color rgb="FF000000"/>
      </top>
      <bottom style="thin">
        <color rgb="FF666666"/>
      </bottom>
    </border>
    <border>
      <left style="thin">
        <color rgb="FFB7B7B7"/>
      </left>
    </border>
    <border>
      <left style="thin">
        <color rgb="FFB7B7B7"/>
      </left>
      <right style="thin">
        <color rgb="FFB7B7B7"/>
      </right>
    </border>
    <border>
      <left style="thin">
        <color rgb="FF000000"/>
      </left>
      <right style="thin">
        <color rgb="FF000000"/>
      </right>
      <top style="thin">
        <color rgb="FFB7B7B7"/>
      </top>
      <bottom style="thin">
        <color rgb="FFB7B7B7"/>
      </bottom>
    </border>
    <border>
      <left style="thin">
        <color rgb="FF9D988D"/>
      </left>
      <top style="thin">
        <color rgb="FFB7B7B7"/>
      </top>
      <bottom style="thin">
        <color rgb="FFB7B7B7"/>
      </bottom>
    </border>
    <border>
      <right style="thin">
        <color rgb="FF9D988D"/>
      </right>
      <top style="thin">
        <color rgb="FFB7B7B7"/>
      </top>
      <bottom style="thin">
        <color rgb="FFB7B7B7"/>
      </bottom>
    </border>
    <border>
      <left style="thin">
        <color rgb="FF9D988D"/>
      </left>
      <right style="thin">
        <color rgb="FF9D988D"/>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000000"/>
      </left>
      <right style="thin">
        <color rgb="FF000000"/>
      </right>
      <top style="thin">
        <color rgb="FFB7B7B7"/>
      </top>
      <bottom style="thin">
        <color rgb="FF000000"/>
      </bottom>
    </border>
    <border>
      <left style="thin">
        <color rgb="FF9D988D"/>
      </left>
      <top style="thin">
        <color rgb="FFB7B7B7"/>
      </top>
      <bottom style="thin">
        <color rgb="FF000000"/>
      </bottom>
    </border>
    <border>
      <right style="thin">
        <color rgb="FF9D988D"/>
      </right>
      <top style="thin">
        <color rgb="FFB7B7B7"/>
      </top>
      <bottom style="thin">
        <color rgb="FF000000"/>
      </bottom>
    </border>
    <border>
      <left style="thin">
        <color rgb="FF9D988D"/>
      </left>
      <right style="thin">
        <color rgb="FF9D988D"/>
      </right>
      <top style="thin">
        <color rgb="FFB7B7B7"/>
      </top>
      <bottom style="thin">
        <color rgb="FF000000"/>
      </bottom>
    </border>
    <border>
      <left style="thin">
        <color rgb="FFB7B7B7"/>
      </left>
      <right style="thin">
        <color rgb="FFB7B7B7"/>
      </right>
      <top style="thin">
        <color rgb="FFB7B7B7"/>
      </top>
      <bottom style="thin">
        <color rgb="FF000000"/>
      </bottom>
    </border>
    <border>
      <left style="thin">
        <color rgb="FFB7B7B7"/>
      </left>
      <top style="thin">
        <color rgb="FFB7B7B7"/>
      </top>
      <bottom style="thin">
        <color rgb="FF000000"/>
      </bottom>
    </border>
    <border>
      <left style="thin">
        <color rgb="FF9D988D"/>
      </left>
      <top style="thin">
        <color rgb="FF000000"/>
      </top>
      <bottom style="thin">
        <color rgb="FFB7B7B7"/>
      </bottom>
    </border>
    <border>
      <right style="thin">
        <color rgb="FF9D988D"/>
      </right>
      <top style="thin">
        <color rgb="FF000000"/>
      </top>
      <bottom style="thin">
        <color rgb="FFB7B7B7"/>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thin">
        <color rgb="FFB7B7B7"/>
      </left>
      <right style="thin">
        <color rgb="FFB7B7B7"/>
      </right>
      <bottom style="thin">
        <color rgb="FF000000"/>
      </bottom>
    </border>
    <border>
      <left style="thin">
        <color rgb="FF9D988D"/>
      </left>
      <right style="thin">
        <color rgb="FF9D988D"/>
      </right>
      <top style="thin">
        <color rgb="FF000000"/>
      </top>
      <bottom style="thin">
        <color rgb="FFB7B7B7"/>
      </bottom>
    </border>
    <border>
      <left style="thin">
        <color rgb="FFB7B7B7"/>
      </left>
      <right style="thin">
        <color rgb="FFB7B7B7"/>
      </right>
      <bottom style="thin">
        <color rgb="FFB7B7B7"/>
      </bottom>
    </border>
    <border>
      <left style="thin">
        <color rgb="FFB7B7B7"/>
      </left>
      <top style="thin">
        <color rgb="FF000000"/>
      </top>
      <bottom style="thin">
        <color rgb="FFB7B7B7"/>
      </bottom>
    </border>
    <border>
      <left style="thin">
        <color rgb="FFB7B7B7"/>
      </left>
      <right style="thin">
        <color rgb="FFB7B7B7"/>
      </right>
      <top style="thin">
        <color rgb="FF000000"/>
      </top>
      <bottom style="thin">
        <color rgb="FFB7B7B7"/>
      </bottom>
    </border>
    <border>
      <left style="dotted">
        <color rgb="FF000000"/>
      </left>
      <top style="thin">
        <color rgb="FF000000"/>
      </top>
      <bottom style="thin">
        <color rgb="FF000000"/>
      </bottom>
    </border>
    <border>
      <left style="thin">
        <color rgb="FF5B0F00"/>
      </left>
    </border>
    <border>
      <left style="dotted">
        <color rgb="FF000000"/>
      </left>
    </border>
    <border>
      <left style="hair">
        <color rgb="FF000000"/>
      </left>
      <right style="hair">
        <color rgb="FF000000"/>
      </right>
      <bottom style="hair">
        <color rgb="FF000000"/>
      </bottom>
    </border>
    <border>
      <left style="thin">
        <color rgb="FF000000"/>
      </left>
      <top style="thin">
        <color rgb="FF666666"/>
      </top>
      <bottom style="thin">
        <color rgb="FF000000"/>
      </bottom>
    </border>
    <border>
      <top style="thin">
        <color rgb="FF666666"/>
      </top>
      <bottom style="thin">
        <color rgb="FF000000"/>
      </bottom>
    </border>
    <border>
      <right style="thin">
        <color rgb="FF000000"/>
      </right>
      <top style="thin">
        <color rgb="FF666666"/>
      </top>
      <bottom style="thin">
        <color rgb="FF000000"/>
      </bottom>
    </border>
    <border>
      <right style="thin">
        <color rgb="FF999999"/>
      </right>
      <top style="thin">
        <color rgb="FF000000"/>
      </top>
      <bottom style="thin">
        <color rgb="FF000000"/>
      </bottom>
    </border>
    <border>
      <top style="thick">
        <color rgb="FF660000"/>
      </top>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thin">
        <color rgb="FF999999"/>
      </left>
      <top style="thin">
        <color rgb="FF000000"/>
      </top>
    </border>
    <border>
      <right style="hair">
        <color rgb="FF000000"/>
      </right>
      <top style="thin">
        <color rgb="FF000000"/>
      </top>
      <bottom style="thin">
        <color rgb="FF000000"/>
      </bottom>
    </border>
    <border>
      <left style="hair">
        <color rgb="FF000000"/>
      </left>
      <bottom style="hair">
        <color rgb="FF000000"/>
      </bottom>
    </border>
    <border>
      <bottom style="hair">
        <color rgb="FF000000"/>
      </bottom>
    </border>
    <border>
      <right style="hair">
        <color rgb="FF000000"/>
      </right>
      <bottom style="hair">
        <color rgb="FF000000"/>
      </bottom>
    </border>
    <border>
      <bottom style="thick">
        <color rgb="FF8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right style="hair">
        <color rgb="FF000000"/>
      </right>
      <top style="medium">
        <color rgb="FF000000"/>
      </top>
    </border>
    <border>
      <right style="hair">
        <color rgb="FF000000"/>
      </right>
      <top style="thin">
        <color rgb="FF000000"/>
      </top>
      <bottom style="medium">
        <color rgb="FF000000"/>
      </bottom>
    </border>
    <border>
      <left style="thin">
        <color rgb="FFDDD9C4"/>
      </left>
      <right style="thin">
        <color rgb="FFDDD9C4"/>
      </right>
    </border>
    <border>
      <left style="thin">
        <color rgb="FF000000"/>
      </left>
      <right style="thin">
        <color rgb="FF666666"/>
      </right>
      <top style="thin">
        <color rgb="FF000000"/>
      </top>
      <bottom style="thin">
        <color rgb="FF000000"/>
      </bottom>
    </border>
    <border>
      <left style="thin">
        <color rgb="FF666666"/>
      </left>
      <right style="thin">
        <color rgb="FF666666"/>
      </right>
      <top style="thin">
        <color rgb="FF000000"/>
      </top>
      <bottom style="thin">
        <color rgb="FF000000"/>
      </bottom>
    </border>
    <border>
      <left style="thin">
        <color rgb="FF666666"/>
      </left>
      <right style="thin">
        <color rgb="FF666666"/>
      </right>
      <top style="thin">
        <color rgb="FF000000"/>
      </top>
    </border>
    <border>
      <left style="thin">
        <color rgb="FF666666"/>
      </left>
      <right style="thin">
        <color rgb="FF000000"/>
      </right>
      <top style="thin">
        <color rgb="FF000000"/>
      </top>
      <bottom style="thin">
        <color rgb="FF000000"/>
      </bottom>
    </border>
    <border>
      <left style="thin">
        <color rgb="FF000000"/>
      </left>
      <right style="thin">
        <color rgb="FFB7B7B7"/>
      </right>
      <top style="thin">
        <color rgb="FF000000"/>
      </top>
    </border>
    <border>
      <left style="thin">
        <color rgb="FF000000"/>
      </left>
      <right style="thin">
        <color rgb="FF999999"/>
      </right>
      <top style="thin">
        <color rgb="FF000000"/>
      </top>
      <bottom style="thin">
        <color rgb="FF999999"/>
      </bottom>
    </border>
    <border>
      <left style="thin">
        <color rgb="FF999999"/>
      </left>
      <right style="thin">
        <color rgb="FF999999"/>
      </right>
      <top style="thin">
        <color rgb="FF000000"/>
      </top>
      <bottom style="thin">
        <color rgb="FF000000"/>
      </bottom>
    </border>
    <border>
      <left style="thin">
        <color rgb="FF999999"/>
      </left>
      <right style="thin">
        <color rgb="FF999999"/>
      </right>
      <top style="thin">
        <color rgb="FF000000"/>
      </top>
      <bottom style="thin">
        <color rgb="FF999999"/>
      </bottom>
    </border>
    <border>
      <left style="thin">
        <color rgb="FF999999"/>
      </left>
      <right style="thin">
        <color rgb="FF000000"/>
      </right>
      <top style="thin">
        <color rgb="FF000000"/>
      </top>
      <bottom style="thin">
        <color rgb="FF999999"/>
      </bottom>
    </border>
    <border>
      <left style="thin">
        <color rgb="FF999999"/>
      </left>
      <top style="thin">
        <color rgb="FF000000"/>
      </top>
      <bottom style="thin">
        <color rgb="FF999999"/>
      </bottom>
    </border>
    <border>
      <left style="thin">
        <color rgb="FF434343"/>
      </left>
      <right style="thin">
        <color rgb="FF434343"/>
      </right>
      <top style="thin">
        <color rgb="FF434343"/>
      </top>
      <bottom style="thin">
        <color rgb="FF999999"/>
      </bottom>
    </border>
    <border>
      <left style="thin">
        <color rgb="FF000000"/>
      </left>
      <right style="thin">
        <color rgb="FFEFEFEF"/>
      </right>
      <top style="thin">
        <color rgb="FF000000"/>
      </top>
      <bottom style="thin">
        <color rgb="FF999999"/>
      </bottom>
    </border>
    <border>
      <left style="thin">
        <color rgb="FFEFEFEF"/>
      </left>
      <right style="thin">
        <color rgb="FF000000"/>
      </right>
      <top style="thin">
        <color rgb="FF000000"/>
      </top>
      <bottom style="thin">
        <color rgb="FF999999"/>
      </bottom>
    </border>
    <border>
      <left style="thin">
        <color rgb="FF000000"/>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000000"/>
      </right>
      <top style="thin">
        <color rgb="FF999999"/>
      </top>
      <bottom style="thin">
        <color rgb="FF999999"/>
      </bottom>
    </border>
    <border>
      <left style="thin">
        <color rgb="FF999999"/>
      </left>
      <top style="thin">
        <color rgb="FF999999"/>
      </top>
      <bottom style="thin">
        <color rgb="FF999999"/>
      </bottom>
    </border>
    <border>
      <left style="thin">
        <color rgb="FF434343"/>
      </left>
      <right style="thin">
        <color rgb="FF434343"/>
      </right>
      <top style="thin">
        <color rgb="FF999999"/>
      </top>
      <bottom style="thin">
        <color rgb="FF999999"/>
      </bottom>
    </border>
    <border>
      <left style="thin">
        <color rgb="FF000000"/>
      </left>
      <right style="thin">
        <color rgb="FFD9D9D9"/>
      </right>
      <top style="thin">
        <color rgb="FF999999"/>
      </top>
      <bottom style="thin">
        <color rgb="FF999999"/>
      </bottom>
    </border>
    <border>
      <left style="thin">
        <color rgb="FFD9D9D9"/>
      </left>
      <right style="thin">
        <color rgb="FF000000"/>
      </right>
      <top style="thin">
        <color rgb="FF999999"/>
      </top>
      <bottom style="thin">
        <color rgb="FF999999"/>
      </bottom>
    </border>
    <border>
      <left style="thin">
        <color rgb="FF000000"/>
      </left>
      <right style="thin">
        <color rgb="FFEFEFEF"/>
      </right>
      <top style="thin">
        <color rgb="FF999999"/>
      </top>
      <bottom style="thin">
        <color rgb="FF999999"/>
      </bottom>
    </border>
    <border>
      <left style="thin">
        <color rgb="FFEFEFEF"/>
      </left>
      <right style="thin">
        <color rgb="FF000000"/>
      </right>
      <top style="thin">
        <color rgb="FF999999"/>
      </top>
      <bottom style="thin">
        <color rgb="FF999999"/>
      </bottom>
    </border>
    <border>
      <left style="thin">
        <color rgb="FF000000"/>
      </left>
      <right style="thin">
        <color rgb="FF999999"/>
      </right>
      <top style="thin">
        <color rgb="FF999999"/>
      </top>
      <bottom style="thin">
        <color rgb="FF000000"/>
      </bottom>
    </border>
    <border>
      <left style="thin">
        <color rgb="FF999999"/>
      </left>
      <right style="thin">
        <color rgb="FF999999"/>
      </right>
      <top style="thin">
        <color rgb="FF999999"/>
      </top>
      <bottom style="thin">
        <color rgb="FF000000"/>
      </bottom>
    </border>
    <border>
      <left style="thin">
        <color rgb="FF999999"/>
      </left>
      <right style="thin">
        <color rgb="FF000000"/>
      </right>
      <top style="thin">
        <color rgb="FF999999"/>
      </top>
      <bottom style="thin">
        <color rgb="FF000000"/>
      </bottom>
    </border>
    <border>
      <left style="thin">
        <color rgb="FF999999"/>
      </left>
      <top style="thin">
        <color rgb="FF999999"/>
      </top>
      <bottom style="thin">
        <color rgb="FF000000"/>
      </bottom>
    </border>
    <border>
      <left style="thin">
        <color rgb="FF434343"/>
      </left>
      <right style="thin">
        <color rgb="FF434343"/>
      </right>
      <top style="thin">
        <color rgb="FF999999"/>
      </top>
      <bottom style="thin">
        <color rgb="FF434343"/>
      </bottom>
    </border>
    <border>
      <left style="thin">
        <color rgb="FF000000"/>
      </left>
      <right style="thin">
        <color rgb="FFEFEFEF"/>
      </right>
      <top style="thin">
        <color rgb="FF999999"/>
      </top>
      <bottom style="thin">
        <color rgb="FF000000"/>
      </bottom>
    </border>
    <border>
      <left style="thin">
        <color rgb="FFEFEFEF"/>
      </left>
      <right style="thin">
        <color rgb="FF000000"/>
      </right>
      <top style="thin">
        <color rgb="FF999999"/>
      </top>
      <bottom style="thin">
        <color rgb="FF000000"/>
      </bottom>
    </border>
    <border>
      <right style="thin">
        <color rgb="FF666666"/>
      </right>
      <bottom style="thin">
        <color rgb="FF000000"/>
      </bottom>
    </border>
    <border>
      <left style="thin">
        <color rgb="FF000000"/>
      </left>
      <top style="thin">
        <color rgb="FFFFFFFF"/>
      </top>
      <bottom style="thin">
        <color rgb="FFFFFFFF"/>
      </bottom>
    </border>
    <border>
      <right style="dotted">
        <color rgb="FF999999"/>
      </right>
    </border>
    <border>
      <left style="dotted">
        <color rgb="FF999999"/>
      </left>
      <right style="thin">
        <color rgb="FF000000"/>
      </right>
    </border>
    <border>
      <left style="thin">
        <color rgb="FFB7B7B7"/>
      </left>
      <right style="thin">
        <color rgb="FF000000"/>
      </right>
      <top style="thin">
        <color rgb="FFB7B7B7"/>
      </top>
      <bottom style="thin">
        <color rgb="FFB7B7B7"/>
      </bottom>
    </border>
    <border>
      <right style="dotted">
        <color rgb="FF999999"/>
      </right>
      <top style="thin">
        <color rgb="FF999999"/>
      </top>
      <bottom style="thin">
        <color rgb="FF999999"/>
      </bottom>
    </border>
    <border>
      <left style="dotted">
        <color rgb="FF999999"/>
      </left>
      <right style="thin">
        <color rgb="FF000000"/>
      </right>
      <top style="thin">
        <color rgb="FF999999"/>
      </top>
      <bottom style="thin">
        <color rgb="FF999999"/>
      </bottom>
    </border>
    <border>
      <right style="dotted">
        <color rgb="FF999999"/>
      </right>
      <top style="thin">
        <color rgb="FF999999"/>
      </top>
      <bottom style="thin">
        <color rgb="FFBBBBBB"/>
      </bottom>
    </border>
    <border>
      <left style="dotted">
        <color rgb="FF999999"/>
      </left>
      <right style="thin">
        <color rgb="FF000000"/>
      </right>
      <top style="thin">
        <color rgb="FF999999"/>
      </top>
      <bottom style="thin">
        <color rgb="FFBBBBBB"/>
      </bottom>
    </border>
    <border>
      <left style="thin">
        <color rgb="FF000000"/>
      </left>
      <top style="thick">
        <color rgb="FF800000"/>
      </top>
      <bottom style="dotted">
        <color rgb="FF000000"/>
      </bottom>
    </border>
    <border>
      <top style="thick">
        <color rgb="FF800000"/>
      </top>
      <bottom style="dotted">
        <color rgb="FF000000"/>
      </bottom>
    </border>
    <border>
      <right style="thin">
        <color rgb="FF000000"/>
      </right>
      <top style="thick">
        <color rgb="FF800000"/>
      </top>
      <bottom style="dotted">
        <color rgb="FF000000"/>
      </bottom>
    </border>
    <border>
      <left style="thin">
        <color rgb="FF000000"/>
      </left>
      <top style="dotted">
        <color rgb="FF000000"/>
      </top>
      <bottom style="dotted">
        <color rgb="FF000000"/>
      </bottom>
    </border>
    <border>
      <top style="dotted">
        <color rgb="FF000000"/>
      </top>
      <bottom style="dotted">
        <color rgb="FF000000"/>
      </bottom>
    </border>
    <border>
      <right style="thin">
        <color rgb="FF000000"/>
      </right>
      <top style="dotted">
        <color rgb="FF000000"/>
      </top>
      <bottom style="dotted">
        <color rgb="FF000000"/>
      </bottom>
    </border>
    <border>
      <left style="thin">
        <color rgb="FF000000"/>
      </left>
      <top style="dotted">
        <color rgb="FF000000"/>
      </top>
      <bottom style="thin">
        <color rgb="FF000000"/>
      </bottom>
    </border>
    <border>
      <top style="dotted">
        <color rgb="FF000000"/>
      </top>
      <bottom style="thin">
        <color rgb="FF000000"/>
      </bottom>
    </border>
    <border>
      <right style="thin">
        <color rgb="FF000000"/>
      </right>
      <top style="dotted">
        <color rgb="FF000000"/>
      </top>
      <bottom style="thin">
        <color rgb="FF000000"/>
      </bottom>
    </border>
    <border>
      <left style="thin">
        <color rgb="FF000000"/>
      </left>
      <right style="dotted">
        <color rgb="FFD8D8D8"/>
      </right>
      <top style="dotted">
        <color rgb="FFD8D8D8"/>
      </top>
      <bottom style="dotted">
        <color rgb="FFD8D8D8"/>
      </bottom>
    </border>
    <border>
      <left style="dotted">
        <color rgb="FFD8D8D8"/>
      </left>
      <right style="dotted">
        <color rgb="FFD8D8D8"/>
      </right>
      <top style="dotted">
        <color rgb="FFD8D8D8"/>
      </top>
      <bottom style="dotted">
        <color rgb="FFD8D8D8"/>
      </bottom>
    </border>
    <border>
      <left style="dotted">
        <color rgb="FFD8D8D8"/>
      </left>
      <right style="thin">
        <color rgb="FF000000"/>
      </right>
      <top style="dotted">
        <color rgb="FFD8D8D8"/>
      </top>
      <bottom style="dotted">
        <color rgb="FFD8D8D8"/>
      </bottom>
    </border>
    <border>
      <left style="thin">
        <color rgb="FF000000"/>
      </left>
      <right style="dotted">
        <color rgb="FFD8D8D8"/>
      </right>
      <top style="dotted">
        <color rgb="FFD8D8D8"/>
      </top>
      <bottom style="thin">
        <color rgb="FF000000"/>
      </bottom>
    </border>
    <border>
      <left style="dotted">
        <color rgb="FFD8D8D8"/>
      </left>
      <right style="dotted">
        <color rgb="FFD8D8D8"/>
      </right>
      <top style="dotted">
        <color rgb="FFD8D8D8"/>
      </top>
      <bottom style="thin">
        <color rgb="FF000000"/>
      </bottom>
    </border>
    <border>
      <left style="dotted">
        <color rgb="FFD8D8D8"/>
      </left>
      <right style="thin">
        <color rgb="FF000000"/>
      </right>
      <top style="dotted">
        <color rgb="FFD8D8D8"/>
      </top>
      <bottom style="thin">
        <color rgb="FF000000"/>
      </bottom>
    </border>
  </borders>
  <cellStyleXfs count="1">
    <xf borderId="0" fillId="0" fontId="0" numFmtId="0" applyAlignment="1" applyFont="1"/>
  </cellStyleXfs>
  <cellXfs count="1908">
    <xf borderId="0" fillId="0" fontId="0" numFmtId="0" xfId="0" applyAlignment="1" applyFont="1">
      <alignment readingOrder="0" shrinkToFit="0" vertical="bottom" wrapText="1"/>
    </xf>
    <xf borderId="1" fillId="2" fontId="1" numFmtId="0" xfId="0" applyAlignment="1" applyBorder="1" applyFill="1" applyFont="1">
      <alignment horizontal="center" readingOrder="0" shrinkToFit="0" vertical="center" wrapText="1"/>
    </xf>
    <xf borderId="2" fillId="2" fontId="2"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2" fontId="2" numFmtId="0" xfId="0" applyAlignment="1" applyBorder="1" applyFont="1">
      <alignment horizontal="center" shrinkToFit="0" vertical="center" wrapText="1"/>
    </xf>
    <xf borderId="2" fillId="2" fontId="3" numFmtId="0" xfId="0" applyAlignment="1" applyBorder="1" applyFont="1">
      <alignment shrinkToFit="0" wrapText="0"/>
    </xf>
    <xf borderId="5" fillId="2" fontId="3" numFmtId="0" xfId="0" applyAlignment="1" applyBorder="1" applyFont="1">
      <alignment shrinkToFit="0" wrapText="0"/>
    </xf>
    <xf borderId="6" fillId="3" fontId="4" numFmtId="0" xfId="0" applyAlignment="1" applyBorder="1" applyFill="1" applyFont="1">
      <alignment readingOrder="0" shrinkToFit="0" vertical="top" wrapText="1"/>
    </xf>
    <xf borderId="0" fillId="4" fontId="1" numFmtId="164" xfId="0" applyAlignment="1" applyFill="1" applyFont="1" applyNumberFormat="1">
      <alignment horizontal="center" readingOrder="0" shrinkToFit="0" vertical="center" wrapText="1"/>
    </xf>
    <xf quotePrefix="1" borderId="0" fillId="4" fontId="1" numFmtId="0" xfId="0" applyAlignment="1" applyFont="1">
      <alignment horizontal="center" readingOrder="0" shrinkToFit="0" vertical="center" wrapText="1"/>
    </xf>
    <xf borderId="0" fillId="4" fontId="1" numFmtId="0" xfId="0" applyAlignment="1" applyFont="1">
      <alignment horizontal="left" readingOrder="0" shrinkToFit="0" vertical="center" wrapText="1"/>
    </xf>
    <xf borderId="0" fillId="0" fontId="1" numFmtId="164"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7" fillId="2" fontId="5" numFmtId="0" xfId="0" applyAlignment="1" applyBorder="1" applyFont="1">
      <alignment horizontal="center" readingOrder="0" shrinkToFit="0" vertical="bottom" wrapText="1"/>
    </xf>
    <xf borderId="8" fillId="0" fontId="6" numFmtId="0" xfId="0" applyAlignment="1" applyBorder="1" applyFont="1">
      <alignment shrinkToFit="0" wrapText="1"/>
    </xf>
    <xf borderId="9" fillId="0" fontId="6" numFmtId="0" xfId="0" applyAlignment="1" applyBorder="1" applyFont="1">
      <alignment shrinkToFit="0" wrapText="1"/>
    </xf>
    <xf borderId="10" fillId="2" fontId="1" numFmtId="0" xfId="0" applyAlignment="1" applyBorder="1" applyFont="1">
      <alignment horizontal="center" shrinkToFit="0" vertical="center" wrapText="1"/>
    </xf>
    <xf borderId="11" fillId="5" fontId="7" numFmtId="0" xfId="0" applyAlignment="1" applyBorder="1" applyFill="1" applyFont="1">
      <alignment horizontal="center" readingOrder="0" shrinkToFit="0" vertical="center" wrapText="1"/>
    </xf>
    <xf borderId="12" fillId="0" fontId="6" numFmtId="0" xfId="0" applyAlignment="1" applyBorder="1" applyFont="1">
      <alignment shrinkToFit="0" wrapText="1"/>
    </xf>
    <xf borderId="13" fillId="0" fontId="6" numFmtId="0" xfId="0" applyAlignment="1" applyBorder="1" applyFont="1">
      <alignment shrinkToFit="0" wrapText="1"/>
    </xf>
    <xf borderId="3" fillId="2" fontId="3" numFmtId="0" xfId="0" applyAlignment="1" applyBorder="1" applyFont="1">
      <alignment shrinkToFit="0" wrapText="0"/>
    </xf>
    <xf borderId="14" fillId="0" fontId="6" numFmtId="0" xfId="0" applyAlignment="1" applyBorder="1" applyFont="1">
      <alignment shrinkToFit="0" wrapText="1"/>
    </xf>
    <xf borderId="0" fillId="4" fontId="1" numFmtId="0" xfId="0" applyAlignment="1" applyFont="1">
      <alignment horizontal="center" readingOrder="0" shrinkToFit="0" vertical="center" wrapText="1"/>
    </xf>
    <xf borderId="15" fillId="0" fontId="6" numFmtId="0" xfId="0" applyAlignment="1" applyBorder="1" applyFont="1">
      <alignment shrinkToFit="0" wrapText="1"/>
    </xf>
    <xf borderId="5" fillId="0" fontId="6" numFmtId="0" xfId="0" applyAlignment="1" applyBorder="1" applyFont="1">
      <alignment shrinkToFit="0" wrapText="1"/>
    </xf>
    <xf borderId="16" fillId="0" fontId="6" numFmtId="0" xfId="0" applyAlignment="1" applyBorder="1" applyFont="1">
      <alignment shrinkToFit="0" wrapText="1"/>
    </xf>
    <xf borderId="6" fillId="4" fontId="8" numFmtId="0" xfId="0" applyAlignment="1" applyBorder="1" applyFont="1">
      <alignment horizontal="center" readingOrder="0" shrinkToFit="0" vertical="center" wrapText="1"/>
    </xf>
    <xf borderId="6" fillId="3" fontId="9" numFmtId="0" xfId="0" applyAlignment="1" applyBorder="1" applyFont="1">
      <alignment horizontal="center" readingOrder="0" shrinkToFit="0" vertical="center" wrapText="1"/>
    </xf>
    <xf borderId="17" fillId="6" fontId="2" numFmtId="0" xfId="0" applyAlignment="1" applyBorder="1" applyFill="1" applyFont="1">
      <alignment horizontal="center" shrinkToFit="0" vertical="center" wrapText="1"/>
    </xf>
    <xf borderId="17" fillId="3" fontId="10" numFmtId="0" xfId="0" applyAlignment="1" applyBorder="1" applyFont="1">
      <alignment horizontal="center" readingOrder="0" shrinkToFit="0" vertical="center" wrapText="1"/>
    </xf>
    <xf borderId="0" fillId="0" fontId="1" numFmtId="0" xfId="0" applyAlignment="1" applyFont="1">
      <alignment horizontal="left" readingOrder="0" shrinkToFit="0" vertical="center" wrapText="1"/>
    </xf>
    <xf borderId="1" fillId="2" fontId="8" numFmtId="0" xfId="0" applyAlignment="1" applyBorder="1" applyFont="1">
      <alignment horizontal="center" readingOrder="0" shrinkToFit="0" vertical="center" wrapText="1"/>
    </xf>
    <xf borderId="10" fillId="0" fontId="6" numFmtId="0" xfId="0" applyAlignment="1" applyBorder="1" applyFont="1">
      <alignment shrinkToFit="0" wrapText="1"/>
    </xf>
    <xf borderId="3" fillId="0" fontId="6" numFmtId="0" xfId="0" applyAlignment="1" applyBorder="1" applyFont="1">
      <alignment shrinkToFit="0" wrapText="1"/>
    </xf>
    <xf borderId="18" fillId="0" fontId="6" numFmtId="0" xfId="0" applyAlignment="1" applyBorder="1" applyFont="1">
      <alignment shrinkToFit="0" wrapText="1"/>
    </xf>
    <xf borderId="3" fillId="2" fontId="3" numFmtId="0" xfId="0" applyAlignment="1" applyBorder="1" applyFont="1">
      <alignment readingOrder="0" shrinkToFit="0" wrapText="0"/>
    </xf>
    <xf borderId="5" fillId="2" fontId="3" numFmtId="0" xfId="0" applyAlignment="1" applyBorder="1" applyFont="1">
      <alignment readingOrder="0" shrinkToFit="0" wrapText="0"/>
    </xf>
    <xf borderId="7" fillId="2" fontId="11" numFmtId="0" xfId="0" applyAlignment="1" applyBorder="1" applyFont="1">
      <alignment horizontal="center" readingOrder="0" shrinkToFit="0" vertical="top" wrapText="1"/>
    </xf>
    <xf borderId="17" fillId="4" fontId="2" numFmtId="0" xfId="0" applyAlignment="1" applyBorder="1" applyFont="1">
      <alignment horizontal="center" readingOrder="0" shrinkToFit="0" vertical="center" wrapText="1"/>
    </xf>
    <xf borderId="6" fillId="6" fontId="8" numFmtId="0" xfId="0" applyAlignment="1" applyBorder="1" applyFont="1">
      <alignment horizontal="center" readingOrder="0" shrinkToFit="0" vertical="center" wrapText="1"/>
    </xf>
    <xf borderId="7" fillId="2" fontId="8" numFmtId="0" xfId="0" applyAlignment="1" applyBorder="1" applyFont="1">
      <alignment horizontal="left" readingOrder="0" shrinkToFit="0" vertical="center" wrapText="1"/>
    </xf>
    <xf borderId="19" fillId="0" fontId="6" numFmtId="0" xfId="0" applyAlignment="1" applyBorder="1" applyFont="1">
      <alignment shrinkToFit="0" wrapText="1"/>
    </xf>
    <xf borderId="20" fillId="0" fontId="6" numFmtId="0" xfId="0" applyAlignment="1" applyBorder="1" applyFont="1">
      <alignment shrinkToFit="0" wrapText="1"/>
    </xf>
    <xf borderId="6" fillId="6" fontId="8"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9" fillId="2" fontId="1" numFmtId="0" xfId="0" applyAlignment="1" applyBorder="1" applyFont="1">
      <alignment horizontal="center" shrinkToFit="0" vertical="center" wrapText="1"/>
    </xf>
    <xf borderId="11" fillId="7" fontId="12" numFmtId="0" xfId="0" applyAlignment="1" applyBorder="1" applyFill="1" applyFont="1">
      <alignment horizontal="center" shrinkToFit="0" vertical="center" wrapText="1"/>
    </xf>
    <xf borderId="11" fillId="7" fontId="13" numFmtId="0" xfId="0" applyAlignment="1" applyBorder="1" applyFont="1">
      <alignment horizontal="center" readingOrder="0" shrinkToFit="0" vertical="center" wrapText="1"/>
    </xf>
    <xf borderId="3" fillId="2" fontId="14" numFmtId="0" xfId="0" applyAlignment="1" applyBorder="1" applyFont="1">
      <alignment shrinkToFit="0" wrapText="0"/>
    </xf>
    <xf borderId="5" fillId="2" fontId="14" numFmtId="0" xfId="0" applyAlignment="1" applyBorder="1" applyFont="1">
      <alignment shrinkToFit="0" wrapText="0"/>
    </xf>
    <xf borderId="21" fillId="3" fontId="15" numFmtId="0" xfId="0" applyAlignment="1" applyBorder="1" applyFont="1">
      <alignment horizontal="center" shrinkToFit="0" vertical="center" wrapText="1"/>
    </xf>
    <xf quotePrefix="1" borderId="22" fillId="3" fontId="15" numFmtId="0" xfId="0" applyAlignment="1" applyBorder="1" applyFont="1">
      <alignment horizontal="center" shrinkToFit="0" vertical="center" wrapText="1"/>
    </xf>
    <xf borderId="21" fillId="3" fontId="15" numFmtId="0" xfId="0" applyAlignment="1" applyBorder="1" applyFont="1">
      <alignment horizontal="center" shrinkToFit="0" vertical="center" wrapText="1"/>
    </xf>
    <xf borderId="11" fillId="3" fontId="7" numFmtId="0" xfId="0" applyAlignment="1" applyBorder="1" applyFont="1">
      <alignment horizontal="center" readingOrder="0" shrinkToFit="0" vertical="center" wrapText="1"/>
    </xf>
    <xf borderId="23" fillId="4" fontId="16" numFmtId="0" xfId="0" applyAlignment="1" applyBorder="1" applyFont="1">
      <alignment horizontal="center" shrinkToFit="0" vertical="center" wrapText="1"/>
    </xf>
    <xf borderId="24" fillId="4" fontId="17" numFmtId="0" xfId="0" applyAlignment="1" applyBorder="1" applyFont="1">
      <alignment horizontal="center" readingOrder="0" shrinkToFit="0" vertical="center" wrapText="1"/>
    </xf>
    <xf borderId="24" fillId="4" fontId="17" numFmtId="0" xfId="0" applyAlignment="1" applyBorder="1" applyFont="1">
      <alignment horizontal="center" shrinkToFit="0" vertical="center" wrapText="1"/>
    </xf>
    <xf quotePrefix="1" borderId="25" fillId="4" fontId="17" numFmtId="0" xfId="0" applyAlignment="1" applyBorder="1" applyFont="1">
      <alignment horizontal="center" shrinkToFit="0" vertical="center" wrapText="1"/>
    </xf>
    <xf borderId="26" fillId="4" fontId="17" numFmtId="0" xfId="0" applyAlignment="1" applyBorder="1" applyFont="1">
      <alignment horizontal="center" shrinkToFit="0" vertical="center" wrapText="1"/>
    </xf>
    <xf borderId="27" fillId="4" fontId="17" numFmtId="0" xfId="0" applyAlignment="1" applyBorder="1" applyFont="1">
      <alignment horizontal="center" shrinkToFit="0" vertical="center" wrapText="1"/>
    </xf>
    <xf borderId="28" fillId="4" fontId="18" numFmtId="0" xfId="0" applyAlignment="1" applyBorder="1" applyFont="1">
      <alignment horizontal="center" shrinkToFit="0" vertical="center" wrapText="1"/>
    </xf>
    <xf borderId="29" fillId="0" fontId="6" numFmtId="0" xfId="0" applyAlignment="1" applyBorder="1" applyFont="1">
      <alignment shrinkToFit="0" wrapText="1"/>
    </xf>
    <xf borderId="30" fillId="4" fontId="18" numFmtId="0" xfId="0" applyAlignment="1" applyBorder="1" applyFont="1">
      <alignment horizontal="center" readingOrder="0" shrinkToFit="0" vertical="center" wrapText="1"/>
    </xf>
    <xf borderId="31" fillId="0" fontId="6" numFmtId="0" xfId="0" applyAlignment="1" applyBorder="1" applyFont="1">
      <alignment shrinkToFit="0" wrapText="1"/>
    </xf>
    <xf borderId="32" fillId="8" fontId="16" numFmtId="0" xfId="0" applyAlignment="1" applyBorder="1" applyFill="1" applyFont="1">
      <alignment horizontal="center" shrinkToFit="0" vertical="center" wrapText="1"/>
    </xf>
    <xf borderId="33" fillId="8" fontId="17" numFmtId="0" xfId="0" applyAlignment="1" applyBorder="1" applyFont="1">
      <alignment horizontal="center" readingOrder="0" shrinkToFit="0" vertical="center" wrapText="1"/>
    </xf>
    <xf borderId="33" fillId="8" fontId="17" numFmtId="0" xfId="0" applyAlignment="1" applyBorder="1" applyFont="1">
      <alignment horizontal="center" shrinkToFit="0" vertical="center" wrapText="1"/>
    </xf>
    <xf quotePrefix="1" borderId="32" fillId="8" fontId="17" numFmtId="0" xfId="0" applyAlignment="1" applyBorder="1" applyFont="1">
      <alignment horizontal="center" shrinkToFit="0" vertical="center" wrapText="1"/>
    </xf>
    <xf borderId="34" fillId="8" fontId="17" numFmtId="0" xfId="0" applyAlignment="1" applyBorder="1" applyFont="1">
      <alignment horizontal="center" shrinkToFit="0" vertical="center" wrapText="1"/>
    </xf>
    <xf borderId="35" fillId="8" fontId="17" numFmtId="0" xfId="0" applyAlignment="1" applyBorder="1" applyFont="1">
      <alignment horizontal="center" shrinkToFit="0" vertical="center" wrapText="1"/>
    </xf>
    <xf borderId="28" fillId="8" fontId="18" numFmtId="0" xfId="0" applyAlignment="1" applyBorder="1" applyFont="1">
      <alignment horizontal="center" shrinkToFit="0" vertical="center" wrapText="1"/>
    </xf>
    <xf borderId="30" fillId="8" fontId="18" numFmtId="0" xfId="0" applyAlignment="1" applyBorder="1" applyFont="1">
      <alignment horizontal="center" readingOrder="0" shrinkToFit="0" vertical="center" wrapText="1"/>
    </xf>
    <xf borderId="32" fillId="4" fontId="16" numFmtId="0" xfId="0" applyAlignment="1" applyBorder="1" applyFont="1">
      <alignment horizontal="center" readingOrder="0" shrinkToFit="0" vertical="center" wrapText="1"/>
    </xf>
    <xf borderId="33" fillId="4" fontId="17" numFmtId="0" xfId="0" applyAlignment="1" applyBorder="1" applyFont="1">
      <alignment horizontal="center" readingOrder="0" shrinkToFit="0" vertical="center" wrapText="1"/>
    </xf>
    <xf borderId="33" fillId="4" fontId="17" numFmtId="0" xfId="0" applyAlignment="1" applyBorder="1" applyFont="1">
      <alignment horizontal="center" shrinkToFit="0" vertical="center" wrapText="1"/>
    </xf>
    <xf quotePrefix="1" borderId="32" fillId="4" fontId="17" numFmtId="0" xfId="0" applyAlignment="1" applyBorder="1" applyFont="1">
      <alignment horizontal="center" shrinkToFit="0" vertical="center" wrapText="1"/>
    </xf>
    <xf borderId="34" fillId="4" fontId="17" numFmtId="0" xfId="0" applyAlignment="1" applyBorder="1" applyFont="1">
      <alignment horizontal="center" shrinkToFit="0" vertical="center" wrapText="1"/>
    </xf>
    <xf borderId="35" fillId="4" fontId="17" numFmtId="0" xfId="0" applyAlignment="1" applyBorder="1" applyFont="1">
      <alignment horizontal="center" shrinkToFit="0" vertical="center" wrapText="1"/>
    </xf>
    <xf borderId="32" fillId="8" fontId="16" numFmtId="0" xfId="0" applyAlignment="1" applyBorder="1" applyFont="1">
      <alignment horizontal="center" shrinkToFit="0" vertical="center" wrapText="1"/>
    </xf>
    <xf borderId="32" fillId="4" fontId="16" numFmtId="0" xfId="0" applyAlignment="1" applyBorder="1" applyFont="1">
      <alignment horizontal="center" shrinkToFit="0" vertical="center" wrapText="1"/>
    </xf>
    <xf borderId="33" fillId="4" fontId="17" numFmtId="0" xfId="0" applyAlignment="1" applyBorder="1" applyFont="1">
      <alignment horizontal="center" shrinkToFit="0" vertical="center" wrapText="1"/>
    </xf>
    <xf borderId="34" fillId="4" fontId="17" numFmtId="0" xfId="0" applyAlignment="1" applyBorder="1" applyFont="1">
      <alignment horizontal="center" shrinkToFit="0" vertical="center" wrapText="1"/>
    </xf>
    <xf borderId="35" fillId="4" fontId="17" numFmtId="0" xfId="0" applyAlignment="1" applyBorder="1" applyFont="1">
      <alignment horizontal="center" shrinkToFit="0" vertical="center" wrapText="1"/>
    </xf>
    <xf borderId="0" fillId="4" fontId="19" numFmtId="0" xfId="0" applyAlignment="1" applyFont="1">
      <alignment horizontal="left" readingOrder="0" shrinkToFit="0" vertical="center" wrapText="1"/>
    </xf>
    <xf borderId="0" fillId="4" fontId="1" numFmtId="0" xfId="0" applyAlignment="1" applyFont="1">
      <alignment horizontal="left" readingOrder="0" shrinkToFit="0" vertical="center" wrapText="1"/>
    </xf>
    <xf borderId="36" fillId="8" fontId="16" numFmtId="0" xfId="0" applyAlignment="1" applyBorder="1" applyFont="1">
      <alignment horizontal="center" shrinkToFit="0" vertical="center" wrapText="1"/>
    </xf>
    <xf borderId="37" fillId="8" fontId="17" numFmtId="0" xfId="0" applyAlignment="1" applyBorder="1" applyFont="1">
      <alignment horizontal="center" readingOrder="0" shrinkToFit="0" vertical="center" wrapText="1"/>
    </xf>
    <xf borderId="37" fillId="8" fontId="17" numFmtId="0" xfId="0" applyAlignment="1" applyBorder="1" applyFont="1">
      <alignment horizontal="center" shrinkToFit="0" vertical="center" wrapText="1"/>
    </xf>
    <xf quotePrefix="1" borderId="36" fillId="8" fontId="17" numFmtId="0" xfId="0" applyAlignment="1" applyBorder="1" applyFont="1">
      <alignment horizontal="center" shrinkToFit="0" vertical="center" wrapText="1"/>
    </xf>
    <xf borderId="38" fillId="8" fontId="17" numFmtId="0" xfId="0" applyAlignment="1" applyBorder="1" applyFont="1">
      <alignment horizontal="center" shrinkToFit="0" vertical="center" wrapText="1"/>
    </xf>
    <xf borderId="39" fillId="8" fontId="17" numFmtId="0" xfId="0" applyAlignment="1" applyBorder="1" applyFont="1">
      <alignment horizontal="center" shrinkToFit="0" vertical="center" wrapText="1"/>
    </xf>
    <xf borderId="40" fillId="2" fontId="1" numFmtId="0" xfId="0" applyAlignment="1" applyBorder="1" applyFont="1">
      <alignment horizontal="center" shrinkToFit="0" vertical="center" wrapText="1"/>
    </xf>
    <xf borderId="17" fillId="3" fontId="15" numFmtId="0" xfId="0" applyAlignment="1" applyBorder="1" applyFont="1">
      <alignment horizontal="center" readingOrder="0" shrinkToFit="0" vertical="center" wrapText="1"/>
    </xf>
    <xf borderId="17" fillId="4" fontId="18" numFmtId="0" xfId="0" applyAlignment="1" applyBorder="1" applyFont="1">
      <alignment horizontal="center" shrinkToFit="0" vertical="center" wrapText="1"/>
    </xf>
    <xf borderId="36" fillId="4" fontId="17" numFmtId="0" xfId="0" applyAlignment="1" applyBorder="1" applyFont="1">
      <alignment horizontal="center" shrinkToFit="0" vertical="center" wrapText="1"/>
    </xf>
    <xf borderId="38" fillId="4" fontId="18" numFmtId="0" xfId="0" applyAlignment="1" applyBorder="1" applyFont="1">
      <alignment horizontal="center" shrinkToFit="0" vertical="center" wrapText="1"/>
    </xf>
    <xf borderId="40" fillId="2" fontId="20" numFmtId="0" xfId="0" applyAlignment="1" applyBorder="1" applyFont="1">
      <alignment shrinkToFit="0" wrapText="1"/>
    </xf>
    <xf borderId="40" fillId="2" fontId="21" numFmtId="0" xfId="0" applyAlignment="1" applyBorder="1" applyFont="1">
      <alignment readingOrder="0" shrinkToFit="0" wrapText="1"/>
    </xf>
    <xf borderId="7" fillId="2" fontId="2" numFmtId="0" xfId="0" applyAlignment="1" applyBorder="1" applyFont="1">
      <alignment horizontal="left" readingOrder="0" shrinkToFit="0" vertical="center" wrapText="1"/>
    </xf>
    <xf borderId="19" fillId="2" fontId="22" numFmtId="0" xfId="0" applyAlignment="1" applyBorder="1" applyFont="1">
      <alignment horizontal="center" readingOrder="0" shrinkToFit="0" vertical="center" wrapText="1"/>
    </xf>
    <xf borderId="2" fillId="2" fontId="1" numFmtId="0" xfId="0" applyAlignment="1" applyBorder="1" applyFont="1">
      <alignment horizontal="center" shrinkToFit="0" vertical="center" wrapText="1"/>
    </xf>
    <xf borderId="15" fillId="2" fontId="21" numFmtId="0" xfId="0" applyAlignment="1" applyBorder="1" applyFont="1">
      <alignment horizontal="right" readingOrder="0" shrinkToFit="0" wrapText="1"/>
    </xf>
    <xf borderId="15" fillId="2" fontId="23" numFmtId="0" xfId="0" applyAlignment="1" applyBorder="1" applyFont="1">
      <alignment horizontal="right" readingOrder="0" shrinkToFit="0" wrapText="1"/>
    </xf>
    <xf borderId="0" fillId="3" fontId="4" numFmtId="0" xfId="0" applyAlignment="1" applyFont="1">
      <alignment horizontal="left" readingOrder="0" shrinkToFit="0" vertical="center" wrapText="1"/>
    </xf>
    <xf borderId="7" fillId="2" fontId="1" numFmtId="0" xfId="0" applyAlignment="1" applyBorder="1" applyFont="1">
      <alignment horizontal="center" readingOrder="0" shrinkToFit="0" vertical="center" wrapText="1"/>
    </xf>
    <xf borderId="6" fillId="7" fontId="12" numFmtId="0" xfId="0" applyAlignment="1" applyBorder="1" applyFont="1">
      <alignment horizontal="center" readingOrder="0" shrinkToFit="0" vertical="center" wrapText="1"/>
    </xf>
    <xf borderId="41" fillId="4" fontId="17" numFmtId="0" xfId="0" applyAlignment="1" applyBorder="1" applyFont="1">
      <alignment horizontal="center" readingOrder="0" shrinkToFit="0" vertical="center" wrapText="1"/>
    </xf>
    <xf borderId="42" fillId="0" fontId="6" numFmtId="0" xfId="0" applyAlignment="1" applyBorder="1" applyFont="1">
      <alignment shrinkToFit="0" wrapText="1"/>
    </xf>
    <xf borderId="43" fillId="4" fontId="17" numFmtId="0" xfId="0" applyAlignment="1" applyBorder="1" applyFont="1">
      <alignment horizontal="center" readingOrder="0" shrinkToFit="0" vertical="center" wrapText="1"/>
    </xf>
    <xf borderId="44" fillId="0" fontId="6" numFmtId="0" xfId="0" applyAlignment="1" applyBorder="1" applyFont="1">
      <alignment shrinkToFit="0" wrapText="1"/>
    </xf>
    <xf borderId="45" fillId="9" fontId="12" numFmtId="0" xfId="0" applyAlignment="1" applyBorder="1" applyFill="1" applyFont="1">
      <alignment horizontal="center" readingOrder="0" shrinkToFit="0" vertical="center" wrapText="1"/>
    </xf>
    <xf borderId="46" fillId="0" fontId="6" numFmtId="0" xfId="0" applyAlignment="1" applyBorder="1" applyFont="1">
      <alignment shrinkToFit="0" wrapText="1"/>
    </xf>
    <xf borderId="46" fillId="4" fontId="17" numFmtId="0" xfId="0" applyAlignment="1" applyBorder="1" applyFont="1">
      <alignment horizontal="center" readingOrder="0" shrinkToFit="0" vertical="center" wrapText="1"/>
    </xf>
    <xf borderId="47" fillId="4" fontId="24" numFmtId="0" xfId="0" applyAlignment="1" applyBorder="1" applyFont="1">
      <alignment horizontal="center" readingOrder="0" shrinkToFit="0" vertical="center" wrapText="1"/>
    </xf>
    <xf borderId="10" fillId="2" fontId="1" numFmtId="0" xfId="0" applyAlignment="1" applyBorder="1" applyFont="1">
      <alignment horizontal="center" readingOrder="0" shrinkToFit="0" vertical="center" wrapText="1"/>
    </xf>
    <xf borderId="48" fillId="8" fontId="17" numFmtId="0" xfId="0" applyAlignment="1" applyBorder="1" applyFont="1">
      <alignment horizontal="center" readingOrder="0" shrinkToFit="0" vertical="center" wrapText="1"/>
    </xf>
    <xf borderId="49" fillId="0" fontId="6" numFmtId="0" xfId="0" applyAlignment="1" applyBorder="1" applyFont="1">
      <alignment shrinkToFit="0" wrapText="1"/>
    </xf>
    <xf borderId="50" fillId="8" fontId="17" numFmtId="0" xfId="0" applyAlignment="1" applyBorder="1" applyFont="1">
      <alignment horizontal="center" readingOrder="0" shrinkToFit="0" vertical="center" wrapText="1"/>
    </xf>
    <xf borderId="51" fillId="0" fontId="6" numFmtId="0" xfId="0" applyAlignment="1" applyBorder="1" applyFont="1">
      <alignment shrinkToFit="0" wrapText="1"/>
    </xf>
    <xf borderId="52" fillId="0" fontId="6" numFmtId="0" xfId="0" applyAlignment="1" applyBorder="1" applyFont="1">
      <alignment shrinkToFit="0" wrapText="1"/>
    </xf>
    <xf borderId="53" fillId="0" fontId="6" numFmtId="0" xfId="0" applyAlignment="1" applyBorder="1" applyFont="1">
      <alignment shrinkToFit="0" wrapText="1"/>
    </xf>
    <xf borderId="53" fillId="8" fontId="17" numFmtId="0" xfId="0" applyAlignment="1" applyBorder="1" applyFont="1">
      <alignment horizontal="center" readingOrder="0" shrinkToFit="0" vertical="center" wrapText="1"/>
    </xf>
    <xf borderId="54" fillId="8" fontId="24" numFmtId="0" xfId="0" applyAlignment="1" applyBorder="1" applyFont="1">
      <alignment horizontal="center" readingOrder="0" shrinkToFit="0" vertical="center" wrapText="1"/>
    </xf>
    <xf borderId="55" fillId="4" fontId="17" numFmtId="0" xfId="0" applyAlignment="1" applyBorder="1" applyFont="1">
      <alignment horizontal="center" readingOrder="0" shrinkToFit="0" vertical="center" wrapText="1"/>
    </xf>
    <xf borderId="56" fillId="0" fontId="6" numFmtId="0" xfId="0" applyAlignment="1" applyBorder="1" applyFont="1">
      <alignment shrinkToFit="0" wrapText="1"/>
    </xf>
    <xf borderId="57" fillId="4" fontId="17" numFmtId="0" xfId="0" applyAlignment="1" applyBorder="1" applyFont="1">
      <alignment horizontal="center" readingOrder="0" shrinkToFit="0" vertical="center" wrapText="1"/>
    </xf>
    <xf borderId="58" fillId="0" fontId="6" numFmtId="0" xfId="0" applyAlignment="1" applyBorder="1" applyFont="1">
      <alignment shrinkToFit="0" wrapText="1"/>
    </xf>
    <xf borderId="48" fillId="4" fontId="17" numFmtId="0" xfId="0" applyAlignment="1" applyBorder="1" applyFont="1">
      <alignment horizontal="center" readingOrder="0" shrinkToFit="0" vertical="center" wrapText="1"/>
    </xf>
    <xf borderId="53" fillId="4" fontId="17" numFmtId="0" xfId="0" applyAlignment="1" applyBorder="1" applyFont="1">
      <alignment horizontal="center" readingOrder="0" shrinkToFit="0" vertical="center" wrapText="1"/>
    </xf>
    <xf borderId="54" fillId="4" fontId="24" numFmtId="0" xfId="0" applyAlignment="1" applyBorder="1" applyFont="1">
      <alignment horizontal="center" readingOrder="0" shrinkToFit="0" vertical="center" wrapText="1"/>
    </xf>
    <xf borderId="19" fillId="2" fontId="1" numFmtId="0" xfId="0" applyAlignment="1" applyBorder="1" applyFont="1">
      <alignment horizontal="center" readingOrder="0" shrinkToFit="0" vertical="center" wrapText="1"/>
    </xf>
    <xf borderId="6" fillId="10" fontId="12" numFmtId="0" xfId="0" applyAlignment="1" applyBorder="1" applyFill="1" applyFont="1">
      <alignment horizontal="center" readingOrder="0" shrinkToFit="0" vertical="center" wrapText="1"/>
    </xf>
    <xf borderId="59" fillId="4" fontId="17" numFmtId="0" xfId="0" applyAlignment="1" applyBorder="1" applyFont="1">
      <alignment horizontal="center" readingOrder="0" shrinkToFit="0" vertical="center" wrapText="1"/>
    </xf>
    <xf borderId="60" fillId="8" fontId="17" numFmtId="0" xfId="0" applyAlignment="1" applyBorder="1" applyFont="1">
      <alignment horizontal="center" readingOrder="0" shrinkToFit="0" vertical="center" wrapText="1"/>
    </xf>
    <xf borderId="60" fillId="4" fontId="17" numFmtId="0" xfId="0" applyAlignment="1" applyBorder="1" applyFont="1">
      <alignment horizontal="center" readingOrder="0" shrinkToFit="0" vertical="center" wrapText="1"/>
    </xf>
    <xf borderId="55" fillId="8" fontId="17" numFmtId="0" xfId="0" applyAlignment="1" applyBorder="1" applyFont="1">
      <alignment horizontal="center" readingOrder="0" shrinkToFit="0" vertical="center" wrapText="1"/>
    </xf>
    <xf borderId="61" fillId="8" fontId="17" numFmtId="0" xfId="0" applyAlignment="1" applyBorder="1" applyFont="1">
      <alignment horizontal="center" readingOrder="0" shrinkToFit="0" vertical="center" wrapText="1"/>
    </xf>
    <xf borderId="62" fillId="8" fontId="24" numFmtId="0" xfId="0" applyAlignment="1" applyBorder="1" applyFont="1">
      <alignment horizontal="center" readingOrder="0" shrinkToFit="0" vertical="center" wrapText="1"/>
    </xf>
    <xf borderId="11" fillId="11" fontId="12" numFmtId="0" xfId="0" applyAlignment="1" applyBorder="1" applyFill="1" applyFont="1">
      <alignment horizontal="center" readingOrder="0" shrinkToFit="0" vertical="center" wrapText="1"/>
    </xf>
    <xf borderId="63" fillId="4" fontId="17" numFmtId="165" xfId="0" applyAlignment="1" applyBorder="1" applyFont="1" applyNumberFormat="1">
      <alignment horizontal="center" readingOrder="0" shrinkToFit="0" vertical="center" wrapText="1"/>
    </xf>
    <xf borderId="64" fillId="4" fontId="24" numFmtId="0" xfId="0" applyAlignment="1" applyBorder="1" applyFont="1">
      <alignment horizontal="center" readingOrder="0" shrinkToFit="0" vertical="center" wrapText="1"/>
    </xf>
    <xf borderId="65" fillId="0" fontId="6" numFmtId="0" xfId="0" applyAlignment="1" applyBorder="1" applyFont="1">
      <alignment shrinkToFit="0" wrapText="1"/>
    </xf>
    <xf borderId="66" fillId="0" fontId="6" numFmtId="0" xfId="0" applyAlignment="1" applyBorder="1" applyFont="1">
      <alignment shrinkToFit="0" wrapText="1"/>
    </xf>
    <xf borderId="66" fillId="8" fontId="17" numFmtId="0" xfId="0" applyAlignment="1" applyBorder="1" applyFont="1">
      <alignment horizontal="center" readingOrder="0" shrinkToFit="0" vertical="center" wrapText="1"/>
    </xf>
    <xf borderId="15" fillId="2" fontId="1" numFmtId="0" xfId="0" applyAlignment="1" applyBorder="1" applyFont="1">
      <alignment horizontal="center" readingOrder="0" shrinkToFit="0" vertical="center" wrapText="1"/>
    </xf>
    <xf borderId="11" fillId="5" fontId="25" numFmtId="0" xfId="0" applyAlignment="1" applyBorder="1" applyFont="1">
      <alignment horizontal="center" readingOrder="0" shrinkToFit="0" vertical="center" wrapText="1"/>
    </xf>
    <xf borderId="0" fillId="2" fontId="1" numFmtId="0" xfId="0" applyAlignment="1" applyFont="1">
      <alignment shrinkToFit="0" vertical="center" wrapText="1"/>
    </xf>
    <xf borderId="0" fillId="2" fontId="26" numFmtId="0" xfId="0" applyAlignment="1" applyFont="1">
      <alignment horizontal="center" readingOrder="0" shrinkToFit="0" vertical="bottom" wrapText="1"/>
    </xf>
    <xf borderId="0" fillId="2" fontId="27" numFmtId="0" xfId="0" applyAlignment="1" applyFont="1">
      <alignment horizontal="center" readingOrder="0" shrinkToFit="0" vertical="bottom" wrapText="1"/>
    </xf>
    <xf borderId="67" fillId="2" fontId="28" numFmtId="0" xfId="0" applyAlignment="1" applyBorder="1" applyFont="1">
      <alignment horizontal="center" shrinkToFit="0" vertical="bottom" wrapText="1"/>
    </xf>
    <xf borderId="67" fillId="0" fontId="6" numFmtId="0" xfId="0" applyAlignment="1" applyBorder="1" applyFont="1">
      <alignment shrinkToFit="0" wrapText="1"/>
    </xf>
    <xf borderId="0" fillId="2" fontId="8" numFmtId="0" xfId="0" applyAlignment="1" applyFont="1">
      <alignment horizontal="center" shrinkToFit="0" vertical="bottom" wrapText="1"/>
    </xf>
    <xf borderId="0" fillId="2" fontId="1" numFmtId="0" xfId="0" applyAlignment="1" applyFont="1">
      <alignment shrinkToFit="0" vertical="bottom" wrapText="1"/>
    </xf>
    <xf borderId="0" fillId="2" fontId="20" numFmtId="0" xfId="0" applyAlignment="1" applyFont="1">
      <alignment shrinkToFit="0" vertical="center" wrapText="1"/>
    </xf>
    <xf borderId="68" fillId="0" fontId="6" numFmtId="0" xfId="0" applyAlignment="1" applyBorder="1" applyFont="1">
      <alignment shrinkToFit="0" wrapText="1"/>
    </xf>
    <xf borderId="11" fillId="5" fontId="15" numFmtId="0" xfId="0" applyAlignment="1" applyBorder="1" applyFont="1">
      <alignment horizontal="center" shrinkToFit="0" vertical="center" wrapText="1"/>
    </xf>
    <xf borderId="0" fillId="2" fontId="29" numFmtId="0" xfId="0" applyAlignment="1" applyFont="1">
      <alignment horizontal="center" shrinkToFit="0" vertical="center" wrapText="1"/>
    </xf>
    <xf borderId="0" fillId="2" fontId="29" numFmtId="0" xfId="0" applyAlignment="1" applyFont="1">
      <alignment horizontal="center" shrinkToFit="0" vertical="center" wrapText="1"/>
    </xf>
    <xf borderId="0" fillId="2" fontId="29" numFmtId="0" xfId="0" applyAlignment="1" applyFont="1">
      <alignment horizontal="center" readingOrder="0" shrinkToFit="0" vertical="center" wrapText="1"/>
    </xf>
    <xf borderId="0" fillId="2" fontId="29" numFmtId="0" xfId="0" applyAlignment="1" applyFont="1">
      <alignment horizontal="center" shrinkToFit="0" vertical="center" wrapText="1"/>
    </xf>
    <xf borderId="45" fillId="3" fontId="15" numFmtId="0" xfId="0" applyAlignment="1" applyBorder="1" applyFont="1">
      <alignment horizontal="center" shrinkToFit="0" vertical="center" wrapText="1"/>
    </xf>
    <xf borderId="69" fillId="0" fontId="6" numFmtId="0" xfId="0" applyAlignment="1" applyBorder="1" applyFont="1">
      <alignment shrinkToFit="0" wrapText="1"/>
    </xf>
    <xf borderId="69" fillId="12" fontId="30" numFmtId="0" xfId="0" applyAlignment="1" applyBorder="1" applyFill="1" applyFont="1">
      <alignment readingOrder="0" shrinkToFit="0" vertical="center" wrapText="1"/>
    </xf>
    <xf borderId="70" fillId="12" fontId="30" numFmtId="0" xfId="0" applyAlignment="1" applyBorder="1" applyFont="1">
      <alignment readingOrder="0" shrinkToFit="0" vertical="center" wrapText="1"/>
    </xf>
    <xf borderId="71" fillId="12" fontId="30" numFmtId="0" xfId="0" applyAlignment="1" applyBorder="1" applyFont="1">
      <alignment readingOrder="0" shrinkToFit="0" vertical="center" wrapText="1"/>
    </xf>
    <xf borderId="72" fillId="12" fontId="30" numFmtId="0" xfId="0" applyAlignment="1" applyBorder="1" applyFont="1">
      <alignment readingOrder="0" shrinkToFit="0" vertical="center" wrapText="1"/>
    </xf>
    <xf borderId="73" fillId="0" fontId="6" numFmtId="0" xfId="0" applyAlignment="1" applyBorder="1" applyFont="1">
      <alignment shrinkToFit="0" wrapText="1"/>
    </xf>
    <xf borderId="74" fillId="0" fontId="6" numFmtId="0" xfId="0" applyAlignment="1" applyBorder="1" applyFont="1">
      <alignment shrinkToFit="0" wrapText="1"/>
    </xf>
    <xf borderId="75" fillId="0" fontId="6" numFmtId="0" xfId="0" applyAlignment="1" applyBorder="1" applyFont="1">
      <alignment shrinkToFit="0" wrapText="1"/>
    </xf>
    <xf borderId="76" fillId="0" fontId="6" numFmtId="0" xfId="0" applyAlignment="1" applyBorder="1" applyFont="1">
      <alignment shrinkToFit="0" wrapText="1"/>
    </xf>
    <xf borderId="77" fillId="0" fontId="6" numFmtId="0" xfId="0" applyAlignment="1" applyBorder="1" applyFont="1">
      <alignment shrinkToFit="0" wrapText="1"/>
    </xf>
    <xf borderId="0" fillId="2" fontId="20" numFmtId="0" xfId="0" applyAlignment="1" applyFont="1">
      <alignment shrinkToFit="0" vertical="center" wrapText="1"/>
    </xf>
    <xf borderId="45" fillId="7" fontId="15" numFmtId="3" xfId="0" applyAlignment="1" applyBorder="1" applyFont="1" applyNumberFormat="1">
      <alignment horizontal="center" shrinkToFit="0" vertical="center" wrapText="1"/>
    </xf>
    <xf borderId="78" fillId="0" fontId="6" numFmtId="0" xfId="0" applyAlignment="1" applyBorder="1" applyFont="1">
      <alignment shrinkToFit="0" wrapText="1"/>
    </xf>
    <xf borderId="0" fillId="2" fontId="20" numFmtId="0" xfId="0" applyAlignment="1" applyFont="1">
      <alignment readingOrder="0" shrinkToFit="0" vertical="center" wrapText="1"/>
    </xf>
    <xf borderId="11" fillId="7" fontId="15" numFmtId="3" xfId="0" applyAlignment="1" applyBorder="1" applyFont="1" applyNumberFormat="1">
      <alignment horizontal="center" shrinkToFit="0" vertical="center" wrapText="1"/>
    </xf>
    <xf borderId="79" fillId="13" fontId="31" numFmtId="0" xfId="0" applyAlignment="1" applyBorder="1" applyFill="1" applyFont="1">
      <alignment horizontal="center" shrinkToFit="0" vertical="center" wrapText="1"/>
    </xf>
    <xf borderId="80" fillId="0" fontId="6" numFmtId="0" xfId="0" applyAlignment="1" applyBorder="1" applyFont="1">
      <alignment shrinkToFit="0" wrapText="1"/>
    </xf>
    <xf borderId="81" fillId="0" fontId="6" numFmtId="0" xfId="0" applyAlignment="1" applyBorder="1" applyFont="1">
      <alignment shrinkToFit="0" wrapText="1"/>
    </xf>
    <xf borderId="79" fillId="10" fontId="10" numFmtId="0" xfId="0" applyAlignment="1" applyBorder="1" applyFont="1">
      <alignment horizontal="center" readingOrder="0" shrinkToFit="0" vertical="center" wrapText="1"/>
    </xf>
    <xf borderId="79" fillId="7" fontId="31" numFmtId="0" xfId="0" applyAlignment="1" applyBorder="1" applyFont="1">
      <alignment horizontal="center" readingOrder="0" shrinkToFit="0" vertical="center" wrapText="1"/>
    </xf>
    <xf borderId="82" fillId="3" fontId="32" numFmtId="0" xfId="0" applyAlignment="1" applyBorder="1" applyFont="1">
      <alignment shrinkToFit="0" vertical="center" wrapText="0"/>
    </xf>
    <xf borderId="83" fillId="0" fontId="6" numFmtId="0" xfId="0" applyAlignment="1" applyBorder="1" applyFont="1">
      <alignment shrinkToFit="0" wrapText="1"/>
    </xf>
    <xf borderId="84" fillId="0" fontId="6" numFmtId="0" xfId="0" applyAlignment="1" applyBorder="1" applyFont="1">
      <alignment shrinkToFit="0" wrapText="1"/>
    </xf>
    <xf borderId="79" fillId="5" fontId="31" numFmtId="0" xfId="0" applyAlignment="1" applyBorder="1" applyFont="1">
      <alignment horizontal="center" readingOrder="0" shrinkToFit="0" vertical="center" wrapText="1"/>
    </xf>
    <xf borderId="85" fillId="3" fontId="15" numFmtId="0" xfId="0" applyAlignment="1" applyBorder="1" applyFont="1">
      <alignment horizontal="center" shrinkToFit="0" vertical="center" wrapText="1"/>
    </xf>
    <xf borderId="86" fillId="0" fontId="6" numFmtId="0" xfId="0" applyAlignment="1" applyBorder="1" applyFont="1">
      <alignment shrinkToFit="0" wrapText="1"/>
    </xf>
    <xf borderId="86" fillId="12" fontId="30" numFmtId="0" xfId="0" applyAlignment="1" applyBorder="1" applyFont="1">
      <alignment readingOrder="0" shrinkToFit="0" vertical="center" wrapText="1"/>
    </xf>
    <xf borderId="87" fillId="12" fontId="30" numFmtId="0" xfId="0" applyAlignment="1" applyBorder="1" applyFont="1">
      <alignment readingOrder="0" shrinkToFit="0" vertical="center" wrapText="1"/>
    </xf>
    <xf borderId="88" fillId="12" fontId="30" numFmtId="0" xfId="0" applyAlignment="1" applyBorder="1" applyFont="1">
      <alignment readingOrder="0" shrinkToFit="0" vertical="center" wrapText="1"/>
    </xf>
    <xf borderId="0" fillId="2" fontId="30" numFmtId="0" xfId="0" applyAlignment="1" applyFont="1">
      <alignment horizontal="center" shrinkToFit="0" vertical="center" wrapText="1"/>
    </xf>
    <xf borderId="82" fillId="3" fontId="31" numFmtId="0" xfId="0" applyAlignment="1" applyBorder="1" applyFont="1">
      <alignment horizontal="center" shrinkToFit="0" vertical="center" wrapText="1"/>
    </xf>
    <xf borderId="80" fillId="4" fontId="33" numFmtId="3" xfId="0" applyAlignment="1" applyBorder="1" applyFont="1" applyNumberFormat="1">
      <alignment horizontal="center" shrinkToFit="0" vertical="center" wrapText="0"/>
    </xf>
    <xf borderId="89" fillId="0" fontId="6" numFmtId="0" xfId="0" applyAlignment="1" applyBorder="1" applyFont="1">
      <alignment shrinkToFit="0" wrapText="1"/>
    </xf>
    <xf borderId="90" fillId="14" fontId="33" numFmtId="166" xfId="0" applyAlignment="1" applyBorder="1" applyFill="1" applyFont="1" applyNumberFormat="1">
      <alignment horizontal="center" shrinkToFit="0" vertical="center" wrapText="1"/>
    </xf>
    <xf borderId="91" fillId="0" fontId="6" numFmtId="0" xfId="0" applyAlignment="1" applyBorder="1" applyFont="1">
      <alignment shrinkToFit="0" wrapText="1"/>
    </xf>
    <xf borderId="80" fillId="4" fontId="20" numFmtId="0" xfId="0" applyAlignment="1" applyBorder="1" applyFont="1">
      <alignment horizontal="center" shrinkToFit="0" vertical="center" wrapText="1"/>
    </xf>
    <xf borderId="90" fillId="6" fontId="33" numFmtId="166" xfId="0" applyAlignment="1" applyBorder="1" applyFont="1" applyNumberFormat="1">
      <alignment horizontal="center" shrinkToFit="0" vertical="center" wrapText="1"/>
    </xf>
    <xf borderId="92" fillId="0" fontId="6" numFmtId="0" xfId="0" applyAlignment="1" applyBorder="1" applyFont="1">
      <alignment shrinkToFit="0" wrapText="1"/>
    </xf>
    <xf borderId="93" fillId="4" fontId="34" numFmtId="0" xfId="0" applyAlignment="1" applyBorder="1" applyFont="1">
      <alignment horizontal="center" shrinkToFit="0" vertical="center" wrapText="1"/>
    </xf>
    <xf borderId="94" fillId="0" fontId="6" numFmtId="0" xfId="0" applyAlignment="1" applyBorder="1" applyFont="1">
      <alignment shrinkToFit="0" wrapText="1"/>
    </xf>
    <xf borderId="95" fillId="0" fontId="6" numFmtId="0" xfId="0" applyAlignment="1" applyBorder="1" applyFont="1">
      <alignment shrinkToFit="0" wrapText="1"/>
    </xf>
    <xf borderId="93" fillId="4" fontId="35" numFmtId="0" xfId="0" applyAlignment="1" applyBorder="1" applyFont="1">
      <alignment horizontal="center" shrinkToFit="0" vertical="center" wrapText="1"/>
    </xf>
    <xf borderId="93" fillId="4" fontId="36" numFmtId="3" xfId="0" applyAlignment="1" applyBorder="1" applyFont="1" applyNumberFormat="1">
      <alignment horizontal="center" shrinkToFit="0" vertical="center" wrapText="1"/>
    </xf>
    <xf borderId="93" fillId="4" fontId="37" numFmtId="167" xfId="0" applyAlignment="1" applyBorder="1" applyFont="1" applyNumberFormat="1">
      <alignment horizontal="center" shrinkToFit="0" vertical="center" wrapText="1"/>
    </xf>
    <xf borderId="96" fillId="0" fontId="6" numFmtId="0" xfId="0" applyAlignment="1" applyBorder="1" applyFont="1">
      <alignment shrinkToFit="0" wrapText="1"/>
    </xf>
    <xf borderId="93" fillId="4" fontId="37" numFmtId="166" xfId="0" applyAlignment="1" applyBorder="1" applyFont="1" applyNumberFormat="1">
      <alignment horizontal="center" shrinkToFit="0" vertical="center" wrapText="1"/>
    </xf>
    <xf borderId="97" fillId="4" fontId="38" numFmtId="0" xfId="0" applyAlignment="1" applyBorder="1" applyFont="1">
      <alignment horizontal="center" shrinkToFit="0" vertical="center" wrapText="1"/>
    </xf>
    <xf borderId="98" fillId="0" fontId="6" numFmtId="0" xfId="0" applyAlignment="1" applyBorder="1" applyFont="1">
      <alignment shrinkToFit="0" wrapText="1"/>
    </xf>
    <xf borderId="99" fillId="0" fontId="6" numFmtId="0" xfId="0" applyAlignment="1" applyBorder="1" applyFont="1">
      <alignment shrinkToFit="0" wrapText="1"/>
    </xf>
    <xf borderId="100" fillId="3" fontId="31" numFmtId="0" xfId="0" applyAlignment="1" applyBorder="1" applyFont="1">
      <alignment horizontal="center" shrinkToFit="0" vertical="center" wrapText="1"/>
    </xf>
    <xf borderId="101" fillId="0" fontId="6" numFmtId="0" xfId="0" applyAlignment="1" applyBorder="1" applyFont="1">
      <alignment shrinkToFit="0" wrapText="1"/>
    </xf>
    <xf borderId="12" fillId="8" fontId="33" numFmtId="3" xfId="0" applyAlignment="1" applyBorder="1" applyFont="1" applyNumberFormat="1">
      <alignment horizontal="center" shrinkToFit="0" vertical="center" wrapText="0"/>
    </xf>
    <xf borderId="45" fillId="6" fontId="33" numFmtId="166" xfId="0" applyAlignment="1" applyBorder="1" applyFont="1" applyNumberFormat="1">
      <alignment horizontal="center" shrinkToFit="0" vertical="center" wrapText="1"/>
    </xf>
    <xf borderId="12" fillId="4" fontId="20" numFmtId="0" xfId="0" applyAlignment="1" applyBorder="1" applyFont="1">
      <alignment horizontal="center" shrinkToFit="0" vertical="center" wrapText="1"/>
    </xf>
    <xf borderId="45" fillId="14" fontId="33" numFmtId="166" xfId="0" applyAlignment="1" applyBorder="1" applyFont="1" applyNumberFormat="1">
      <alignment horizontal="center" shrinkToFit="0" vertical="center" wrapText="1"/>
    </xf>
    <xf borderId="102" fillId="0" fontId="6" numFmtId="0" xfId="0" applyAlignment="1" applyBorder="1" applyFont="1">
      <alignment shrinkToFit="0" wrapText="1"/>
    </xf>
    <xf borderId="103" fillId="0" fontId="6" numFmtId="0" xfId="0" applyAlignment="1" applyBorder="1" applyFont="1">
      <alignment shrinkToFit="0" wrapText="1"/>
    </xf>
    <xf borderId="104" fillId="0" fontId="6" numFmtId="0" xfId="0" applyAlignment="1" applyBorder="1" applyFont="1">
      <alignment shrinkToFit="0" wrapText="1"/>
    </xf>
    <xf borderId="12" fillId="4" fontId="33" numFmtId="3" xfId="0" applyAlignment="1" applyBorder="1" applyFont="1" applyNumberFormat="1">
      <alignment horizontal="center" shrinkToFit="0" vertical="center" wrapText="0"/>
    </xf>
    <xf borderId="79" fillId="15" fontId="39" numFmtId="0" xfId="0" applyAlignment="1" applyBorder="1" applyFill="1" applyFont="1">
      <alignment readingOrder="0" shrinkToFit="0" vertical="center" wrapText="1"/>
    </xf>
    <xf borderId="105" fillId="16" fontId="39" numFmtId="0" xfId="0" applyAlignment="1" applyBorder="1" applyFill="1" applyFont="1">
      <alignment readingOrder="0" shrinkToFit="0" vertical="center" wrapText="1"/>
    </xf>
    <xf borderId="105" fillId="0" fontId="6" numFmtId="0" xfId="0" applyAlignment="1" applyBorder="1" applyFont="1">
      <alignment shrinkToFit="0" wrapText="1"/>
    </xf>
    <xf borderId="106" fillId="0" fontId="6" numFmtId="0" xfId="0" applyAlignment="1" applyBorder="1" applyFont="1">
      <alignment shrinkToFit="0" wrapText="1"/>
    </xf>
    <xf borderId="82" fillId="5" fontId="12" numFmtId="0" xfId="0" applyAlignment="1" applyBorder="1" applyFont="1">
      <alignment horizontal="center" readingOrder="0" shrinkToFit="0" vertical="center" wrapText="1"/>
    </xf>
    <xf borderId="100" fillId="3" fontId="31" numFmtId="0" xfId="0" applyAlignment="1" applyBorder="1" applyFont="1">
      <alignment horizontal="center" shrinkToFit="0" vertical="center" wrapText="1"/>
    </xf>
    <xf borderId="100" fillId="17" fontId="39" numFmtId="0" xfId="0" applyAlignment="1" applyBorder="1" applyFill="1" applyFont="1">
      <alignment readingOrder="0" shrinkToFit="0" vertical="center" wrapText="1"/>
    </xf>
    <xf borderId="107" fillId="0" fontId="6" numFmtId="0" xfId="0" applyAlignment="1" applyBorder="1" applyFont="1">
      <alignment shrinkToFit="0" wrapText="1"/>
    </xf>
    <xf borderId="101" fillId="16" fontId="39" numFmtId="0" xfId="0" applyAlignment="1" applyBorder="1" applyFont="1">
      <alignment readingOrder="0" shrinkToFit="0" vertical="center" wrapText="1"/>
    </xf>
    <xf borderId="108" fillId="4" fontId="40" numFmtId="0" xfId="0" applyAlignment="1" applyBorder="1" applyFont="1">
      <alignment horizontal="center" shrinkToFit="0" vertical="center" wrapText="1"/>
    </xf>
    <xf borderId="97" fillId="0" fontId="6" numFmtId="0" xfId="0" applyAlignment="1" applyBorder="1" applyFont="1">
      <alignment shrinkToFit="0" wrapText="1"/>
    </xf>
    <xf borderId="103" fillId="3" fontId="31" numFmtId="0" xfId="0" applyAlignment="1" applyBorder="1" applyFont="1">
      <alignment horizontal="center" shrinkToFit="0" vertical="center" wrapText="1"/>
    </xf>
    <xf borderId="94" fillId="8" fontId="33" numFmtId="3" xfId="0" applyAlignment="1" applyBorder="1" applyFont="1" applyNumberFormat="1">
      <alignment horizontal="center" shrinkToFit="0" vertical="center" wrapText="0"/>
    </xf>
    <xf borderId="109" fillId="0" fontId="6" numFmtId="0" xfId="0" applyAlignment="1" applyBorder="1" applyFont="1">
      <alignment shrinkToFit="0" wrapText="1"/>
    </xf>
    <xf borderId="110" fillId="6" fontId="33" numFmtId="166" xfId="0" applyAlignment="1" applyBorder="1" applyFont="1" applyNumberFormat="1">
      <alignment horizontal="center" shrinkToFit="0" vertical="center" wrapText="1"/>
    </xf>
    <xf borderId="94" fillId="4" fontId="20" numFmtId="0" xfId="0" applyAlignment="1" applyBorder="1" applyFont="1">
      <alignment horizontal="center" shrinkToFit="0" vertical="center" wrapText="1"/>
    </xf>
    <xf borderId="110" fillId="14" fontId="33" numFmtId="166" xfId="0" applyAlignment="1" applyBorder="1" applyFont="1" applyNumberFormat="1">
      <alignment horizontal="center" shrinkToFit="0" vertical="center" wrapText="1"/>
    </xf>
    <xf borderId="111" fillId="17" fontId="39" numFmtId="0" xfId="0" applyAlignment="1" applyBorder="1" applyFont="1">
      <alignment readingOrder="0" shrinkToFit="0" vertical="center" wrapText="1"/>
    </xf>
    <xf borderId="112" fillId="0" fontId="6" numFmtId="0" xfId="0" applyAlignment="1" applyBorder="1" applyFont="1">
      <alignment shrinkToFit="0" wrapText="1"/>
    </xf>
    <xf borderId="113" fillId="0" fontId="6" numFmtId="0" xfId="0" applyAlignment="1" applyBorder="1" applyFont="1">
      <alignment shrinkToFit="0" wrapText="1"/>
    </xf>
    <xf borderId="100" fillId="18" fontId="39" numFmtId="0" xfId="0" applyAlignment="1" applyBorder="1" applyFill="1" applyFont="1">
      <alignment readingOrder="0" shrinkToFit="0" vertical="center" wrapText="1"/>
    </xf>
    <xf borderId="112" fillId="16" fontId="39" numFmtId="0" xfId="0" applyAlignment="1" applyBorder="1" applyFont="1">
      <alignment readingOrder="0" shrinkToFit="0" vertical="center" wrapText="1"/>
    </xf>
    <xf borderId="11" fillId="6" fontId="41" numFmtId="1" xfId="0" applyAlignment="1" applyBorder="1" applyFont="1" applyNumberFormat="1">
      <alignment horizontal="center" shrinkToFit="0" vertical="center" wrapText="1"/>
    </xf>
    <xf borderId="45" fillId="3" fontId="32" numFmtId="0" xfId="0" applyAlignment="1" applyBorder="1" applyFont="1">
      <alignment horizontal="left" readingOrder="0" shrinkToFit="0" vertical="center" wrapText="1"/>
    </xf>
    <xf borderId="101" fillId="19" fontId="39" numFmtId="0" xfId="0" applyAlignment="1" applyBorder="1" applyFill="1" applyFont="1">
      <alignment readingOrder="0" shrinkToFit="0" vertical="center" wrapText="1"/>
    </xf>
    <xf borderId="11" fillId="6" fontId="41" numFmtId="166" xfId="0" applyAlignment="1" applyBorder="1" applyFont="1" applyNumberFormat="1">
      <alignment horizontal="center" shrinkToFit="0" vertical="center" wrapText="1"/>
    </xf>
    <xf borderId="114" fillId="3" fontId="32" numFmtId="0" xfId="0" applyAlignment="1" applyBorder="1" applyFont="1">
      <alignment horizontal="left" shrinkToFit="0" vertical="center" wrapText="1"/>
    </xf>
    <xf borderId="115" fillId="0" fontId="6" numFmtId="0" xfId="0" applyAlignment="1" applyBorder="1" applyFont="1">
      <alignment shrinkToFit="0" wrapText="1"/>
    </xf>
    <xf borderId="116" fillId="0" fontId="6" numFmtId="0" xfId="0" applyAlignment="1" applyBorder="1" applyFont="1">
      <alignment shrinkToFit="0" wrapText="1"/>
    </xf>
    <xf borderId="82" fillId="7" fontId="31" numFmtId="0" xfId="0" applyAlignment="1" applyBorder="1" applyFont="1">
      <alignment horizontal="center" shrinkToFit="0" vertical="center" wrapText="1"/>
    </xf>
    <xf borderId="103" fillId="18" fontId="39" numFmtId="0" xfId="0" applyAlignment="1" applyBorder="1" applyFont="1">
      <alignment readingOrder="0" shrinkToFit="0" vertical="center" wrapText="1"/>
    </xf>
    <xf borderId="117" fillId="0" fontId="6" numFmtId="0" xfId="0" applyAlignment="1" applyBorder="1" applyFont="1">
      <alignment shrinkToFit="0" wrapText="1"/>
    </xf>
    <xf borderId="68" fillId="19" fontId="39" numFmtId="0" xfId="0" applyAlignment="1" applyBorder="1" applyFont="1">
      <alignment readingOrder="0" shrinkToFit="0" vertical="center" wrapText="1"/>
    </xf>
    <xf borderId="97" fillId="2" fontId="42" numFmtId="0" xfId="0" applyAlignment="1" applyBorder="1" applyFont="1">
      <alignment horizontal="right" shrinkToFit="0" vertical="center" wrapText="1"/>
    </xf>
    <xf borderId="118" fillId="20" fontId="43" numFmtId="0" xfId="0" applyAlignment="1" applyBorder="1" applyFill="1" applyFont="1">
      <alignment horizontal="left" readingOrder="0" shrinkToFit="0" vertical="center" wrapText="0"/>
    </xf>
    <xf borderId="119" fillId="0" fontId="6" numFmtId="0" xfId="0" applyAlignment="1" applyBorder="1" applyFont="1">
      <alignment shrinkToFit="0" wrapText="1"/>
    </xf>
    <xf borderId="119" fillId="20" fontId="43" numFmtId="0" xfId="0" applyAlignment="1" applyBorder="1" applyFont="1">
      <alignment horizontal="left" readingOrder="0" shrinkToFit="0" vertical="center" wrapText="0"/>
    </xf>
    <xf borderId="120" fillId="0" fontId="6" numFmtId="0" xfId="0" applyAlignment="1" applyBorder="1" applyFont="1">
      <alignment shrinkToFit="0" wrapText="1"/>
    </xf>
    <xf borderId="121" fillId="12" fontId="30" numFmtId="0" xfId="0" applyAlignment="1" applyBorder="1" applyFont="1">
      <alignment readingOrder="0" shrinkToFit="0" vertical="center" wrapText="1"/>
    </xf>
    <xf borderId="97" fillId="2" fontId="44" numFmtId="0" xfId="0" applyAlignment="1" applyBorder="1" applyFont="1">
      <alignment horizontal="right" shrinkToFit="0" vertical="center" wrapText="1"/>
    </xf>
    <xf borderId="79" fillId="3" fontId="31" numFmtId="0" xfId="0" applyAlignment="1" applyBorder="1" applyFont="1">
      <alignment horizontal="center" shrinkToFit="0" vertical="center" wrapText="1"/>
    </xf>
    <xf borderId="80" fillId="3" fontId="31" numFmtId="0" xfId="0" applyAlignment="1" applyBorder="1" applyFont="1">
      <alignment horizontal="center" readingOrder="0" shrinkToFit="0" vertical="center" wrapText="1"/>
    </xf>
    <xf borderId="79" fillId="3" fontId="31" numFmtId="0" xfId="0" applyAlignment="1" applyBorder="1" applyFont="1">
      <alignment horizontal="center" readingOrder="0" shrinkToFit="0" vertical="center" wrapText="1"/>
    </xf>
    <xf borderId="79" fillId="11" fontId="31" numFmtId="0" xfId="0" applyAlignment="1" applyBorder="1" applyFont="1">
      <alignment horizontal="center" readingOrder="0" shrinkToFit="0" vertical="center" wrapText="1"/>
    </xf>
    <xf borderId="122" fillId="0" fontId="6" numFmtId="0" xfId="0" applyAlignment="1" applyBorder="1" applyFont="1">
      <alignment shrinkToFit="0" wrapText="1"/>
    </xf>
    <xf borderId="0" fillId="2" fontId="30" numFmtId="0" xfId="0" applyAlignment="1" applyFont="1">
      <alignment shrinkToFit="0" vertical="center" wrapText="1"/>
    </xf>
    <xf borderId="123" fillId="20" fontId="43" numFmtId="0" xfId="0" applyAlignment="1" applyBorder="1" applyFont="1">
      <alignment horizontal="left" readingOrder="0" shrinkToFit="0" vertical="center" wrapText="0"/>
    </xf>
    <xf borderId="124" fillId="0" fontId="6" numFmtId="0" xfId="0" applyAlignment="1" applyBorder="1" applyFont="1">
      <alignment shrinkToFit="0" wrapText="1"/>
    </xf>
    <xf borderId="124" fillId="20" fontId="43" numFmtId="0" xfId="0" applyAlignment="1" applyBorder="1" applyFont="1">
      <alignment horizontal="left" readingOrder="0" shrinkToFit="0" vertical="center" wrapText="0"/>
    </xf>
    <xf borderId="125" fillId="0" fontId="6" numFmtId="0" xfId="0" applyAlignment="1" applyBorder="1" applyFont="1">
      <alignment shrinkToFit="0" wrapText="1"/>
    </xf>
    <xf borderId="108" fillId="4" fontId="45" numFmtId="0" xfId="0" applyAlignment="1" applyBorder="1" applyFont="1">
      <alignment horizontal="center" readingOrder="0" shrinkToFit="0" vertical="center" wrapText="1"/>
    </xf>
    <xf borderId="45" fillId="4" fontId="46" numFmtId="0" xfId="0" applyAlignment="1" applyBorder="1" applyFont="1">
      <alignment horizontal="center" readingOrder="0" shrinkToFit="0" vertical="center" wrapText="1"/>
    </xf>
    <xf borderId="67" fillId="4" fontId="46" numFmtId="0" xfId="0" applyAlignment="1" applyBorder="1" applyFont="1">
      <alignment horizontal="center" readingOrder="0" shrinkToFit="0" vertical="center" wrapText="1"/>
    </xf>
    <xf borderId="108" fillId="4" fontId="47" numFmtId="0" xfId="0" applyAlignment="1" applyBorder="1" applyFont="1">
      <alignment horizontal="center" readingOrder="0" shrinkToFit="0" vertical="center" wrapText="1"/>
    </xf>
    <xf borderId="85" fillId="3" fontId="15" numFmtId="0" xfId="0" applyAlignment="1" applyBorder="1" applyFont="1">
      <alignment horizontal="center" readingOrder="0" shrinkToFit="0" vertical="center" wrapText="1"/>
    </xf>
    <xf borderId="0" fillId="2" fontId="48" numFmtId="0" xfId="0" applyAlignment="1" applyFont="1">
      <alignment readingOrder="0" shrinkToFit="0" vertical="center" wrapText="0"/>
    </xf>
    <xf borderId="97" fillId="6" fontId="49" numFmtId="166" xfId="0" applyAlignment="1" applyBorder="1" applyFont="1" applyNumberFormat="1">
      <alignment horizontal="center" shrinkToFit="0" vertical="center" wrapText="1"/>
    </xf>
    <xf borderId="126" fillId="0" fontId="6" numFmtId="0" xfId="0" applyAlignment="1" applyBorder="1" applyFont="1">
      <alignment shrinkToFit="0" wrapText="1"/>
    </xf>
    <xf borderId="127" fillId="0" fontId="6" numFmtId="0" xfId="0" applyAlignment="1" applyBorder="1" applyFont="1">
      <alignment shrinkToFit="0" wrapText="1"/>
    </xf>
    <xf borderId="0" fillId="2" fontId="50" numFmtId="0" xfId="0" applyAlignment="1" applyFont="1">
      <alignment shrinkToFit="0" vertical="center" wrapText="1"/>
    </xf>
    <xf borderId="82" fillId="3" fontId="51" numFmtId="0" xfId="0" applyAlignment="1" applyBorder="1" applyFont="1">
      <alignment horizontal="center" shrinkToFit="0" vertical="center" wrapText="1"/>
    </xf>
    <xf borderId="128" fillId="0" fontId="6" numFmtId="0" xfId="0" applyAlignment="1" applyBorder="1" applyFont="1">
      <alignment shrinkToFit="0" wrapText="1"/>
    </xf>
    <xf borderId="129" fillId="3" fontId="51" numFmtId="3" xfId="0" applyAlignment="1" applyBorder="1" applyFont="1" applyNumberFormat="1">
      <alignment horizontal="center" shrinkToFit="0" vertical="center" wrapText="1"/>
    </xf>
    <xf borderId="93" fillId="21" fontId="52" numFmtId="3" xfId="0" applyAlignment="1" applyBorder="1" applyFill="1" applyFont="1" applyNumberFormat="1">
      <alignment horizontal="center" readingOrder="0" shrinkToFit="0" vertical="center" wrapText="1"/>
    </xf>
    <xf borderId="130" fillId="0" fontId="6" numFmtId="0" xfId="0" applyAlignment="1" applyBorder="1" applyFont="1">
      <alignment shrinkToFit="0" wrapText="1"/>
    </xf>
    <xf borderId="131" fillId="22" fontId="52" numFmtId="3" xfId="0" applyAlignment="1" applyBorder="1" applyFill="1" applyFont="1" applyNumberFormat="1">
      <alignment horizontal="center" readingOrder="0" shrinkToFit="0" vertical="center" wrapText="1"/>
    </xf>
    <xf borderId="131" fillId="23" fontId="53" numFmtId="3" xfId="0" applyAlignment="1" applyBorder="1" applyFill="1" applyFont="1" applyNumberFormat="1">
      <alignment horizontal="center" shrinkToFit="0" vertical="center" wrapText="1"/>
    </xf>
    <xf borderId="132" fillId="0" fontId="6" numFmtId="0" xfId="0" applyAlignment="1" applyBorder="1" applyFont="1">
      <alignment shrinkToFit="0" wrapText="1"/>
    </xf>
    <xf borderId="0" fillId="2" fontId="48" numFmtId="0" xfId="0" applyAlignment="1" applyFont="1">
      <alignment readingOrder="0" shrinkToFit="0" wrapText="0"/>
    </xf>
    <xf borderId="0" fillId="2" fontId="1" numFmtId="0" xfId="0" applyAlignment="1" applyFont="1">
      <alignment shrinkToFit="0" wrapText="1"/>
    </xf>
    <xf borderId="0" fillId="2" fontId="1" numFmtId="0" xfId="0" applyAlignment="1" applyFont="1">
      <alignment horizontal="right" shrinkToFit="0" wrapText="1"/>
    </xf>
    <xf borderId="0" fillId="24" fontId="54" numFmtId="0" xfId="0" applyAlignment="1" applyFill="1" applyFont="1">
      <alignment readingOrder="0" shrinkToFit="0" wrapText="1"/>
    </xf>
    <xf borderId="0" fillId="24" fontId="55" numFmtId="0" xfId="0" applyAlignment="1" applyFont="1">
      <alignment horizontal="center" shrinkToFit="0" vertical="center" wrapText="1"/>
    </xf>
    <xf borderId="11" fillId="5" fontId="12" numFmtId="0" xfId="0" applyAlignment="1" applyBorder="1" applyFont="1">
      <alignment horizontal="center" readingOrder="0" shrinkToFit="0" vertical="center" wrapText="1"/>
    </xf>
    <xf borderId="52" fillId="24" fontId="12" numFmtId="0" xfId="0" applyAlignment="1" applyBorder="1" applyFont="1">
      <alignment horizontal="center" readingOrder="0" shrinkToFit="0" vertical="center" wrapText="1"/>
    </xf>
    <xf borderId="0" fillId="24" fontId="12" numFmtId="0" xfId="0" applyAlignment="1" applyFont="1">
      <alignment horizontal="center" readingOrder="0" shrinkToFit="0" vertical="center" wrapText="1"/>
    </xf>
    <xf borderId="52" fillId="25" fontId="56" numFmtId="0" xfId="0" applyAlignment="1" applyBorder="1" applyFill="1" applyFont="1">
      <alignment horizontal="center" shrinkToFit="0" vertical="center" wrapText="1"/>
    </xf>
    <xf borderId="52" fillId="24" fontId="57" numFmtId="0" xfId="0" applyAlignment="1" applyBorder="1" applyFont="1">
      <alignment horizontal="center" shrinkToFit="0" vertical="center" wrapText="1"/>
    </xf>
    <xf borderId="0" fillId="24" fontId="57" numFmtId="0" xfId="0" applyAlignment="1" applyFont="1">
      <alignment horizontal="center" shrinkToFit="0" vertical="center" wrapText="1"/>
    </xf>
    <xf borderId="52" fillId="24" fontId="58" numFmtId="0" xfId="0" applyAlignment="1" applyBorder="1" applyFont="1">
      <alignment horizontal="center" shrinkToFit="0" vertical="center" wrapText="1"/>
    </xf>
    <xf borderId="0" fillId="24" fontId="58" numFmtId="0" xfId="0" applyAlignment="1" applyFont="1">
      <alignment horizontal="center" shrinkToFit="0" vertical="center" wrapText="1"/>
    </xf>
    <xf borderId="0" fillId="24" fontId="1" numFmtId="0" xfId="0" applyAlignment="1" applyFont="1">
      <alignment shrinkToFit="0" wrapText="1"/>
    </xf>
    <xf borderId="0" fillId="24" fontId="54" numFmtId="0" xfId="0" applyAlignment="1" applyFont="1">
      <alignment horizontal="center" readingOrder="0" shrinkToFit="0" wrapText="1"/>
    </xf>
    <xf borderId="0" fillId="24" fontId="59" numFmtId="0" xfId="0" applyAlignment="1" applyFont="1">
      <alignment horizontal="center" readingOrder="0" shrinkToFit="0" vertical="center" wrapText="1"/>
    </xf>
    <xf borderId="45" fillId="5" fontId="12" numFmtId="0" xfId="0" applyAlignment="1" applyBorder="1" applyFont="1">
      <alignment horizontal="center" readingOrder="0" shrinkToFit="0" vertical="center" wrapText="1"/>
    </xf>
    <xf borderId="0" fillId="2" fontId="55" numFmtId="0" xfId="0" applyAlignment="1" applyFont="1">
      <alignment horizontal="center" shrinkToFit="0" vertical="center" wrapText="1"/>
    </xf>
    <xf borderId="68" fillId="2" fontId="60" numFmtId="0" xfId="0" applyAlignment="1" applyBorder="1" applyFont="1">
      <alignment horizontal="center" readingOrder="0" shrinkToFit="0" vertical="bottom" wrapText="1"/>
    </xf>
    <xf borderId="0" fillId="2" fontId="61" numFmtId="0" xfId="0" applyAlignment="1" applyFont="1">
      <alignment horizontal="center" readingOrder="0" shrinkToFit="0" vertical="bottom" wrapText="1"/>
    </xf>
    <xf borderId="68" fillId="2" fontId="62" numFmtId="0" xfId="0" applyAlignment="1" applyBorder="1" applyFont="1">
      <alignment horizontal="center" readingOrder="0" shrinkToFit="0" vertical="bottom" wrapText="1"/>
    </xf>
    <xf borderId="68" fillId="2" fontId="63" numFmtId="0" xfId="0" applyAlignment="1" applyBorder="1" applyFont="1">
      <alignment horizontal="center" readingOrder="0" shrinkToFit="0" vertical="bottom" wrapText="1"/>
    </xf>
    <xf borderId="0" fillId="2" fontId="64" numFmtId="0" xfId="0" applyAlignment="1" applyFont="1">
      <alignment horizontal="center" readingOrder="0" shrinkToFit="0" vertical="bottom" wrapText="1"/>
    </xf>
    <xf borderId="68" fillId="2" fontId="65" numFmtId="0" xfId="0" applyAlignment="1" applyBorder="1" applyFont="1">
      <alignment horizontal="center" readingOrder="0" shrinkToFit="0" vertical="bottom" wrapText="1"/>
    </xf>
    <xf borderId="68" fillId="2" fontId="66" numFmtId="0" xfId="0" applyAlignment="1" applyBorder="1" applyFont="1">
      <alignment horizontal="center" readingOrder="0" shrinkToFit="0" vertical="bottom" wrapText="1"/>
    </xf>
    <xf borderId="67" fillId="2" fontId="61" numFmtId="0" xfId="0" applyAlignment="1" applyBorder="1" applyFont="1">
      <alignment horizontal="center" readingOrder="0" shrinkToFit="0" vertical="bottom" wrapText="1"/>
    </xf>
    <xf borderId="0" fillId="24" fontId="61" numFmtId="0" xfId="0" applyAlignment="1" applyFont="1">
      <alignment horizontal="center" readingOrder="0" shrinkToFit="0" vertical="bottom" wrapText="1"/>
    </xf>
    <xf borderId="0" fillId="0" fontId="67" numFmtId="0" xfId="0" applyAlignment="1" applyFont="1">
      <alignment horizontal="center" readingOrder="0" shrinkToFit="0" vertical="center" wrapText="1"/>
    </xf>
    <xf borderId="133" fillId="0" fontId="6" numFmtId="0" xfId="0" applyAlignment="1" applyBorder="1" applyFont="1">
      <alignment shrinkToFit="0" wrapText="1"/>
    </xf>
    <xf borderId="0" fillId="2" fontId="29" numFmtId="0" xfId="0" applyAlignment="1" applyFont="1">
      <alignment horizontal="center" readingOrder="0" shrinkToFit="0" vertical="center" wrapText="1"/>
    </xf>
    <xf borderId="0" fillId="2" fontId="68" numFmtId="0" xfId="0" applyAlignment="1" applyFont="1">
      <alignment horizontal="right" shrinkToFit="0" vertical="center" wrapText="0"/>
    </xf>
    <xf borderId="0" fillId="2" fontId="69" numFmtId="0" xfId="0" applyAlignment="1" applyFont="1">
      <alignment horizontal="center" readingOrder="0" shrinkToFit="0" vertical="center" wrapText="1"/>
    </xf>
    <xf borderId="0" fillId="24" fontId="29" numFmtId="0" xfId="0" applyAlignment="1" applyFont="1">
      <alignment horizontal="center" readingOrder="0" shrinkToFit="0" vertical="center" wrapText="1"/>
    </xf>
    <xf borderId="68" fillId="2" fontId="65" numFmtId="0" xfId="0" applyAlignment="1" applyBorder="1" applyFont="1">
      <alignment horizontal="center" readingOrder="0" shrinkToFit="0" vertical="bottom" wrapText="1"/>
    </xf>
    <xf borderId="0" fillId="2" fontId="65" numFmtId="0" xfId="0" applyAlignment="1" applyFont="1">
      <alignment horizontal="center" shrinkToFit="0" vertical="bottom" wrapText="1"/>
    </xf>
    <xf borderId="0" fillId="2" fontId="65" numFmtId="0" xfId="0" applyAlignment="1" applyFont="1">
      <alignment horizontal="center" readingOrder="0" shrinkToFit="0" vertical="bottom" wrapText="1"/>
    </xf>
    <xf borderId="68" fillId="2" fontId="70" numFmtId="0" xfId="0" applyAlignment="1" applyBorder="1" applyFont="1">
      <alignment horizontal="center" readingOrder="0" shrinkToFit="0" vertical="bottom" wrapText="1"/>
    </xf>
    <xf borderId="0" fillId="2" fontId="71" numFmtId="0" xfId="0" applyAlignment="1" applyFont="1">
      <alignment shrinkToFit="0" vertical="bottom" wrapText="1"/>
    </xf>
    <xf borderId="68" fillId="2" fontId="65" numFmtId="168" xfId="0" applyAlignment="1" applyBorder="1" applyFont="1" applyNumberFormat="1">
      <alignment horizontal="center" readingOrder="0" shrinkToFit="0" vertical="bottom" wrapText="1"/>
    </xf>
    <xf borderId="0" fillId="2" fontId="61" numFmtId="0" xfId="0" applyAlignment="1" applyFont="1">
      <alignment horizontal="center" shrinkToFit="0" vertical="bottom" wrapText="1"/>
    </xf>
    <xf borderId="0" fillId="2" fontId="20" numFmtId="0" xfId="0" applyAlignment="1" applyFont="1">
      <alignment shrinkToFit="0" vertical="bottom" wrapText="1"/>
    </xf>
    <xf borderId="68" fillId="2" fontId="72" numFmtId="0" xfId="0" applyAlignment="1" applyBorder="1" applyFont="1">
      <alignment horizontal="right" readingOrder="0" shrinkToFit="0" vertical="bottom" wrapText="1"/>
    </xf>
    <xf borderId="0" fillId="2" fontId="73" numFmtId="0" xfId="0" applyAlignment="1" applyFont="1">
      <alignment horizontal="center" readingOrder="0" shrinkToFit="0" vertical="bottom" wrapText="1"/>
    </xf>
    <xf borderId="0" fillId="24" fontId="61" numFmtId="0" xfId="0" applyAlignment="1" applyFont="1">
      <alignment horizontal="center" shrinkToFit="0" vertical="bottom" wrapText="1"/>
    </xf>
    <xf borderId="0" fillId="2" fontId="29" numFmtId="0" xfId="0" applyAlignment="1" applyFont="1">
      <alignment horizontal="center" shrinkToFit="0" vertical="center" wrapText="1"/>
    </xf>
    <xf borderId="0" fillId="2" fontId="68" numFmtId="0" xfId="0" applyAlignment="1" applyFont="1">
      <alignment horizontal="center" shrinkToFit="0" vertical="top" wrapText="0"/>
    </xf>
    <xf borderId="0" fillId="24" fontId="74" numFmtId="0" xfId="0" applyAlignment="1" applyFont="1">
      <alignment horizontal="center" shrinkToFit="0" vertical="center" wrapText="1"/>
    </xf>
    <xf borderId="0" fillId="24" fontId="12" numFmtId="0" xfId="0" applyAlignment="1" applyFont="1">
      <alignment horizontal="center" readingOrder="0" shrinkToFit="0" vertical="center" wrapText="1"/>
    </xf>
    <xf borderId="11" fillId="5" fontId="12" numFmtId="0" xfId="0" applyAlignment="1" applyBorder="1" applyFont="1">
      <alignment horizontal="center" readingOrder="0" shrinkToFit="0" vertical="center" wrapText="1"/>
    </xf>
    <xf borderId="0" fillId="24" fontId="75" numFmtId="0" xfId="0" applyAlignment="1" applyFont="1">
      <alignment horizontal="center" shrinkToFit="0" vertical="center" wrapText="1"/>
    </xf>
    <xf borderId="52" fillId="2" fontId="75" numFmtId="0" xfId="0" applyAlignment="1" applyBorder="1" applyFont="1">
      <alignment horizontal="center" shrinkToFit="0" vertical="center" wrapText="1"/>
    </xf>
    <xf borderId="112" fillId="2" fontId="75" numFmtId="0" xfId="0" applyAlignment="1" applyBorder="1" applyFont="1">
      <alignment horizontal="center" shrinkToFit="0" vertical="center" wrapText="1"/>
    </xf>
    <xf borderId="0" fillId="2" fontId="75" numFmtId="0" xfId="0" applyAlignment="1" applyFont="1">
      <alignment horizontal="center" shrinkToFit="0" vertical="center" wrapText="1"/>
    </xf>
    <xf borderId="0" fillId="2" fontId="1" numFmtId="0" xfId="0" applyAlignment="1" applyFont="1">
      <alignment horizontal="center" shrinkToFit="0" vertical="center" wrapText="1"/>
    </xf>
    <xf borderId="133" fillId="2" fontId="1" numFmtId="0" xfId="0" applyAlignment="1" applyBorder="1" applyFont="1">
      <alignment shrinkToFit="0" wrapText="1"/>
    </xf>
    <xf borderId="14" fillId="2" fontId="55" numFmtId="0" xfId="0" applyAlignment="1" applyBorder="1" applyFont="1">
      <alignment horizontal="center" shrinkToFit="0" vertical="center" wrapText="1"/>
    </xf>
    <xf borderId="11" fillId="7" fontId="31" numFmtId="0" xfId="0" applyAlignment="1" applyBorder="1" applyFont="1">
      <alignment horizontal="center" readingOrder="0" shrinkToFit="0" vertical="center" wrapText="1"/>
    </xf>
    <xf borderId="52" fillId="2" fontId="76" numFmtId="0" xfId="0" applyAlignment="1" applyBorder="1" applyFont="1">
      <alignment horizontal="center" shrinkToFit="0" vertical="center" wrapText="1"/>
    </xf>
    <xf borderId="133" fillId="2" fontId="76" numFmtId="0" xfId="0" applyAlignment="1" applyBorder="1" applyFont="1">
      <alignment horizontal="center" shrinkToFit="0" vertical="center" wrapText="1"/>
    </xf>
    <xf borderId="45" fillId="7" fontId="31" numFmtId="0" xfId="0" applyAlignment="1" applyBorder="1" applyFont="1">
      <alignment horizontal="center" readingOrder="0" shrinkToFit="0" vertical="center" wrapText="1"/>
    </xf>
    <xf borderId="52" fillId="2" fontId="55" numFmtId="0" xfId="0" applyAlignment="1" applyBorder="1" applyFont="1">
      <alignment horizontal="center" shrinkToFit="0" vertical="center" wrapText="1"/>
    </xf>
    <xf borderId="133" fillId="2" fontId="55" numFmtId="0" xfId="0" applyAlignment="1" applyBorder="1" applyFont="1">
      <alignment horizontal="center" shrinkToFit="0" vertical="center" wrapText="1"/>
    </xf>
    <xf borderId="11" fillId="3" fontId="31" numFmtId="0" xfId="0" applyAlignment="1" applyBorder="1" applyFont="1">
      <alignment horizontal="center" readingOrder="0" shrinkToFit="0" vertical="center" wrapText="1"/>
    </xf>
    <xf borderId="134" fillId="3" fontId="31" numFmtId="0" xfId="0" applyAlignment="1" applyBorder="1" applyFont="1">
      <alignment horizontal="center" shrinkToFit="0" vertical="center" wrapText="1"/>
    </xf>
    <xf borderId="135" fillId="0" fontId="6" numFmtId="0" xfId="0" applyAlignment="1" applyBorder="1" applyFont="1">
      <alignment shrinkToFit="0" wrapText="1"/>
    </xf>
    <xf borderId="136" fillId="0" fontId="77" numFmtId="3" xfId="0" applyAlignment="1" applyBorder="1" applyFont="1" applyNumberFormat="1">
      <alignment horizontal="center" readingOrder="0" shrinkToFit="0" vertical="center" wrapText="1"/>
    </xf>
    <xf borderId="137" fillId="0" fontId="6" numFmtId="0" xfId="0" applyAlignment="1" applyBorder="1" applyFont="1">
      <alignment shrinkToFit="0" wrapText="1"/>
    </xf>
    <xf borderId="138" fillId="0" fontId="6" numFmtId="0" xfId="0" applyAlignment="1" applyBorder="1" applyFont="1">
      <alignment shrinkToFit="0" wrapText="1"/>
    </xf>
    <xf borderId="137" fillId="25" fontId="77" numFmtId="166" xfId="0" applyAlignment="1" applyBorder="1" applyFont="1" applyNumberFormat="1">
      <alignment horizontal="center" shrinkToFit="0" vertical="center" wrapText="1"/>
    </xf>
    <xf borderId="139" fillId="12" fontId="78" numFmtId="0" xfId="0" applyAlignment="1" applyBorder="1" applyFont="1">
      <alignment horizontal="center" readingOrder="0" shrinkToFit="0" vertical="center" wrapText="1"/>
    </xf>
    <xf borderId="140" fillId="0" fontId="6" numFmtId="0" xfId="0" applyAlignment="1" applyBorder="1" applyFont="1">
      <alignment shrinkToFit="0" wrapText="1"/>
    </xf>
    <xf borderId="141" fillId="12" fontId="78" numFmtId="0" xfId="0" applyAlignment="1" applyBorder="1" applyFont="1">
      <alignment horizontal="center" readingOrder="0" shrinkToFit="0" vertical="center" wrapText="1"/>
    </xf>
    <xf borderId="142" fillId="0" fontId="6" numFmtId="0" xfId="0" applyAlignment="1" applyBorder="1" applyFont="1">
      <alignment shrinkToFit="0" wrapText="1"/>
    </xf>
    <xf borderId="143" fillId="26" fontId="31" numFmtId="0" xfId="0" applyAlignment="1" applyBorder="1" applyFill="1" applyFont="1">
      <alignment horizontal="center" shrinkToFit="0" vertical="center" wrapText="1"/>
    </xf>
    <xf borderId="143" fillId="0" fontId="6" numFmtId="0" xfId="0" applyAlignment="1" applyBorder="1" applyFont="1">
      <alignment shrinkToFit="0" wrapText="1"/>
    </xf>
    <xf borderId="143" fillId="25" fontId="79" numFmtId="166" xfId="0" applyAlignment="1" applyBorder="1" applyFont="1" applyNumberFormat="1">
      <alignment horizontal="center" shrinkToFit="0" vertical="center" wrapText="1"/>
    </xf>
    <xf borderId="52" fillId="2" fontId="42" numFmtId="0" xfId="0" applyAlignment="1" applyBorder="1" applyFont="1">
      <alignment horizontal="right" readingOrder="0" shrinkToFit="0" vertical="bottom" wrapText="1"/>
    </xf>
    <xf borderId="45" fillId="3" fontId="31" numFmtId="0" xfId="0" applyAlignment="1" applyBorder="1" applyFont="1">
      <alignment horizontal="left" shrinkToFit="0" vertical="center" wrapText="1"/>
    </xf>
    <xf borderId="11" fillId="3" fontId="80" numFmtId="0" xfId="0" applyAlignment="1" applyBorder="1" applyFont="1">
      <alignment horizontal="center" readingOrder="0" shrinkToFit="0" vertical="center" wrapText="1"/>
    </xf>
    <xf borderId="11" fillId="3" fontId="31" numFmtId="0" xfId="0" applyAlignment="1" applyBorder="1" applyFont="1">
      <alignment horizontal="center" shrinkToFit="0" vertical="center" wrapText="1"/>
    </xf>
    <xf borderId="11" fillId="3" fontId="80" numFmtId="0" xfId="0" applyAlignment="1" applyBorder="1" applyFont="1">
      <alignment horizontal="center" shrinkToFit="0" vertical="center" wrapText="1"/>
    </xf>
    <xf borderId="11" fillId="3" fontId="31" numFmtId="0" xfId="0" applyAlignment="1" applyBorder="1" applyFont="1">
      <alignment horizontal="center" shrinkToFit="0" vertical="center" wrapText="0"/>
    </xf>
    <xf borderId="11" fillId="4" fontId="81" numFmtId="3" xfId="0" applyAlignment="1" applyBorder="1" applyFont="1" applyNumberFormat="1">
      <alignment horizontal="center" readingOrder="0" shrinkToFit="0" vertical="center" wrapText="1"/>
    </xf>
    <xf borderId="144" fillId="3" fontId="31" numFmtId="0" xfId="0" applyAlignment="1" applyBorder="1" applyFont="1">
      <alignment horizontal="center" shrinkToFit="0" vertical="center" wrapText="1"/>
    </xf>
    <xf borderId="145" fillId="8" fontId="77" numFmtId="0" xfId="0" applyAlignment="1" applyBorder="1" applyFont="1">
      <alignment horizontal="center" readingOrder="0" shrinkToFit="0" vertical="center" wrapText="0"/>
    </xf>
    <xf borderId="146" fillId="0" fontId="6" numFmtId="0" xfId="0" applyAlignment="1" applyBorder="1" applyFont="1">
      <alignment shrinkToFit="0" wrapText="1"/>
    </xf>
    <xf borderId="147" fillId="0" fontId="6" numFmtId="0" xfId="0" applyAlignment="1" applyBorder="1" applyFont="1">
      <alignment shrinkToFit="0" wrapText="1"/>
    </xf>
    <xf borderId="146" fillId="6" fontId="79" numFmtId="166" xfId="0" applyAlignment="1" applyBorder="1" applyFont="1" applyNumberFormat="1">
      <alignment horizontal="center" shrinkToFit="0" vertical="center" wrapText="1"/>
    </xf>
    <xf borderId="148" fillId="8" fontId="78" numFmtId="0" xfId="0" applyAlignment="1" applyBorder="1" applyFont="1">
      <alignment horizontal="center" readingOrder="0" shrinkToFit="0" vertical="center" wrapText="1"/>
    </xf>
    <xf borderId="149" fillId="0" fontId="6" numFmtId="0" xfId="0" applyAlignment="1" applyBorder="1" applyFont="1">
      <alignment shrinkToFit="0" wrapText="1"/>
    </xf>
    <xf borderId="150" fillId="8" fontId="78" numFmtId="0" xfId="0" applyAlignment="1" applyBorder="1" applyFont="1">
      <alignment horizontal="center" readingOrder="0" shrinkToFit="0" vertical="center" wrapText="1"/>
    </xf>
    <xf borderId="151" fillId="0" fontId="6" numFmtId="0" xfId="0" applyAlignment="1" applyBorder="1" applyFont="1">
      <alignment shrinkToFit="0" wrapText="1"/>
    </xf>
    <xf borderId="152" fillId="26" fontId="31" numFmtId="0" xfId="0" applyAlignment="1" applyBorder="1" applyFont="1">
      <alignment horizontal="center" shrinkToFit="0" vertical="center" wrapText="1"/>
    </xf>
    <xf borderId="152" fillId="0" fontId="6" numFmtId="0" xfId="0" applyAlignment="1" applyBorder="1" applyFont="1">
      <alignment shrinkToFit="0" wrapText="1"/>
    </xf>
    <xf borderId="152" fillId="25" fontId="77" numFmtId="166" xfId="0" applyAlignment="1" applyBorder="1" applyFont="1" applyNumberFormat="1">
      <alignment horizontal="center" readingOrder="0" shrinkToFit="0" vertical="center" wrapText="1"/>
    </xf>
    <xf borderId="45" fillId="20" fontId="82" numFmtId="0" xfId="0" applyAlignment="1" applyBorder="1" applyFont="1">
      <alignment horizontal="left" readingOrder="0" shrinkToFit="0" wrapText="0"/>
    </xf>
    <xf borderId="145" fillId="8" fontId="52" numFmtId="0" xfId="0" applyAlignment="1" applyBorder="1" applyFont="1">
      <alignment horizontal="center" readingOrder="0" shrinkToFit="0" vertical="center" wrapText="0"/>
    </xf>
    <xf borderId="145" fillId="6" fontId="52" numFmtId="0" xfId="0" applyAlignment="1" applyBorder="1" applyFont="1">
      <alignment horizontal="center" readingOrder="0" shrinkToFit="0" vertical="center" wrapText="0"/>
    </xf>
    <xf borderId="145" fillId="6" fontId="52" numFmtId="0" xfId="0" applyAlignment="1" applyBorder="1" applyFont="1">
      <alignment horizontal="center" shrinkToFit="0" vertical="center" wrapText="1"/>
    </xf>
    <xf borderId="133" fillId="2" fontId="1" numFmtId="0" xfId="0" applyAlignment="1" applyBorder="1" applyFont="1">
      <alignment readingOrder="0" shrinkToFit="0" wrapText="1"/>
    </xf>
    <xf borderId="145" fillId="0" fontId="77" numFmtId="3" xfId="0" applyAlignment="1" applyBorder="1" applyFont="1" applyNumberFormat="1">
      <alignment horizontal="center" readingOrder="0" shrinkToFit="0" vertical="center" wrapText="1"/>
    </xf>
    <xf borderId="146" fillId="6" fontId="77" numFmtId="166" xfId="0" applyAlignment="1" applyBorder="1" applyFont="1" applyNumberFormat="1">
      <alignment horizontal="center" shrinkToFit="0" vertical="center" wrapText="1"/>
    </xf>
    <xf borderId="148" fillId="12" fontId="78" numFmtId="0" xfId="0" applyAlignment="1" applyBorder="1" applyFont="1">
      <alignment horizontal="center" readingOrder="0" shrinkToFit="0" vertical="center" wrapText="1"/>
    </xf>
    <xf borderId="150" fillId="12" fontId="78" numFmtId="0" xfId="0" applyAlignment="1" applyBorder="1" applyFont="1">
      <alignment horizontal="center" readingOrder="0" shrinkToFit="0" vertical="center" wrapText="1"/>
    </xf>
    <xf borderId="152" fillId="25" fontId="77" numFmtId="166" xfId="0" applyAlignment="1" applyBorder="1" applyFont="1" applyNumberFormat="1">
      <alignment horizontal="center" shrinkToFit="0" vertical="center" wrapText="1"/>
    </xf>
    <xf borderId="52" fillId="2" fontId="44" numFmtId="0" xfId="0" applyAlignment="1" applyBorder="1" applyFont="1">
      <alignment horizontal="right" shrinkToFit="0" vertical="bottom" wrapText="1"/>
    </xf>
    <xf borderId="153" fillId="20" fontId="82" numFmtId="0" xfId="0" applyAlignment="1" applyBorder="1" applyFont="1">
      <alignment horizontal="left" readingOrder="0" shrinkToFit="0" wrapText="0"/>
    </xf>
    <xf borderId="154" fillId="0" fontId="6" numFmtId="0" xfId="0" applyAlignment="1" applyBorder="1" applyFont="1">
      <alignment shrinkToFit="0" wrapText="1"/>
    </xf>
    <xf borderId="145" fillId="0" fontId="52" numFmtId="0" xfId="0" applyAlignment="1" applyBorder="1" applyFont="1">
      <alignment horizontal="center" readingOrder="0" shrinkToFit="0" vertical="center" wrapText="1"/>
    </xf>
    <xf borderId="145" fillId="25" fontId="52" numFmtId="0" xfId="0" applyAlignment="1" applyBorder="1" applyFont="1">
      <alignment horizontal="center" shrinkToFit="0" vertical="center" wrapText="1"/>
    </xf>
    <xf borderId="155" fillId="0" fontId="6" numFmtId="0" xfId="0" applyAlignment="1" applyBorder="1" applyFont="1">
      <alignment shrinkToFit="0" wrapText="1"/>
    </xf>
    <xf borderId="12" fillId="3" fontId="31" numFmtId="0" xfId="0" applyAlignment="1" applyBorder="1" applyFont="1">
      <alignment horizontal="center" readingOrder="0" shrinkToFit="0" vertical="center" wrapText="1"/>
    </xf>
    <xf borderId="156" fillId="8" fontId="52" numFmtId="0" xfId="0" applyAlignment="1" applyBorder="1" applyFont="1">
      <alignment horizontal="center" readingOrder="0" shrinkToFit="0" vertical="center" wrapText="0"/>
    </xf>
    <xf borderId="157" fillId="0" fontId="6" numFmtId="0" xfId="0" applyAlignment="1" applyBorder="1" applyFont="1">
      <alignment shrinkToFit="0" wrapText="1"/>
    </xf>
    <xf borderId="145" fillId="8" fontId="52" numFmtId="0" xfId="0" applyAlignment="1" applyBorder="1" applyFont="1">
      <alignment horizontal="center" shrinkToFit="0" vertical="center" wrapText="0"/>
    </xf>
    <xf borderId="156" fillId="25" fontId="52" numFmtId="0" xfId="0" applyAlignment="1" applyBorder="1" applyFont="1">
      <alignment horizontal="center" shrinkToFit="0" vertical="center" wrapText="1"/>
    </xf>
    <xf borderId="11" fillId="4" fontId="45" numFmtId="0" xfId="0" applyAlignment="1" applyBorder="1" applyFont="1">
      <alignment horizontal="center" readingOrder="0" shrinkToFit="0" vertical="center" wrapText="1"/>
    </xf>
    <xf borderId="11" fillId="4" fontId="46" numFmtId="0" xfId="0" applyAlignment="1" applyBorder="1" applyFont="1">
      <alignment horizontal="center" readingOrder="0" shrinkToFit="0" vertical="center" wrapText="1"/>
    </xf>
    <xf borderId="144" fillId="3" fontId="31" numFmtId="0" xfId="0" applyAlignment="1" applyBorder="1" applyFont="1">
      <alignment horizontal="center" readingOrder="0" shrinkToFit="0" vertical="center" wrapText="1"/>
    </xf>
    <xf borderId="152" fillId="26" fontId="31" numFmtId="0" xfId="0" applyAlignment="1" applyBorder="1" applyFont="1">
      <alignment horizontal="center" readingOrder="0" shrinkToFit="0" vertical="center" wrapText="1"/>
    </xf>
    <xf borderId="52" fillId="2" fontId="83" numFmtId="0" xfId="0" applyAlignment="1" applyBorder="1" applyFont="1">
      <alignment horizontal="right" readingOrder="0" shrinkToFit="0" vertical="bottom" wrapText="1"/>
    </xf>
    <xf borderId="12" fillId="3" fontId="84" numFmtId="0" xfId="0" applyAlignment="1" applyBorder="1" applyFont="1">
      <alignment horizontal="center" readingOrder="0" shrinkToFit="0" vertical="center" wrapText="1"/>
    </xf>
    <xf borderId="136" fillId="0" fontId="52" numFmtId="0" xfId="0" applyAlignment="1" applyBorder="1" applyFont="1">
      <alignment horizontal="center" readingOrder="0" shrinkToFit="0" vertical="center" wrapText="1"/>
    </xf>
    <xf borderId="11" fillId="6" fontId="52" numFmtId="0" xfId="0" applyAlignment="1" applyBorder="1" applyFont="1">
      <alignment horizontal="center" shrinkToFit="0" vertical="center" wrapText="1"/>
    </xf>
    <xf borderId="0" fillId="2" fontId="1" numFmtId="0" xfId="0" applyAlignment="1" applyFont="1">
      <alignment readingOrder="0" shrinkToFit="0" wrapText="1"/>
    </xf>
    <xf borderId="65" fillId="3" fontId="31" numFmtId="0" xfId="0" applyAlignment="1" applyBorder="1" applyFont="1">
      <alignment horizontal="center" shrinkToFit="0" vertical="center" wrapText="1"/>
    </xf>
    <xf borderId="158" fillId="6" fontId="77" numFmtId="166" xfId="0" applyAlignment="1" applyBorder="1" applyFont="1" applyNumberFormat="1">
      <alignment horizontal="center" shrinkToFit="0" vertical="center" wrapText="1"/>
    </xf>
    <xf borderId="158" fillId="0" fontId="6" numFmtId="0" xfId="0" applyAlignment="1" applyBorder="1" applyFont="1">
      <alignment shrinkToFit="0" wrapText="1"/>
    </xf>
    <xf borderId="114" fillId="8" fontId="78" numFmtId="0" xfId="0" applyAlignment="1" applyBorder="1" applyFont="1">
      <alignment horizontal="center" readingOrder="0" shrinkToFit="0" vertical="center" wrapText="1"/>
    </xf>
    <xf borderId="159" fillId="0" fontId="6" numFmtId="0" xfId="0" applyAlignment="1" applyBorder="1" applyFont="1">
      <alignment shrinkToFit="0" wrapText="1"/>
    </xf>
    <xf borderId="160" fillId="8" fontId="78" numFmtId="0" xfId="0" applyAlignment="1" applyBorder="1" applyFont="1">
      <alignment horizontal="center" readingOrder="0" shrinkToFit="0" vertical="center" wrapText="1"/>
    </xf>
    <xf borderId="161" fillId="0" fontId="6" numFmtId="0" xfId="0" applyAlignment="1" applyBorder="1" applyFont="1">
      <alignment shrinkToFit="0" wrapText="1"/>
    </xf>
    <xf borderId="112" fillId="26" fontId="31" numFmtId="0" xfId="0" applyAlignment="1" applyBorder="1" applyFont="1">
      <alignment horizontal="center" shrinkToFit="0" vertical="center" wrapText="1"/>
    </xf>
    <xf borderId="112" fillId="25" fontId="77" numFmtId="166" xfId="0" applyAlignment="1" applyBorder="1" applyFont="1" applyNumberFormat="1">
      <alignment horizontal="center" shrinkToFit="0" vertical="center" wrapText="1"/>
    </xf>
    <xf borderId="0" fillId="2" fontId="85" numFmtId="0" xfId="0" applyAlignment="1" applyFont="1">
      <alignment horizontal="right" readingOrder="0" shrinkToFit="0" vertical="center" wrapText="1"/>
    </xf>
    <xf borderId="12" fillId="6" fontId="52" numFmtId="0" xfId="0" applyAlignment="1" applyBorder="1" applyFont="1">
      <alignment horizontal="center" shrinkToFit="0" vertical="center" wrapText="1"/>
    </xf>
    <xf borderId="112" fillId="26" fontId="86" numFmtId="0" xfId="0" applyAlignment="1" applyBorder="1" applyFont="1">
      <alignment horizontal="center" readingOrder="0" shrinkToFit="0" vertical="center" wrapText="0"/>
    </xf>
    <xf borderId="65" fillId="2" fontId="75" numFmtId="0" xfId="0" applyAlignment="1" applyBorder="1" applyFont="1">
      <alignment horizontal="center" shrinkToFit="0" vertical="center" wrapText="1"/>
    </xf>
    <xf borderId="12" fillId="2" fontId="75" numFmtId="0" xfId="0" applyAlignment="1" applyBorder="1" applyFont="1">
      <alignment horizontal="center" shrinkToFit="0" vertical="center" wrapText="1"/>
    </xf>
    <xf borderId="12" fillId="2" fontId="75" numFmtId="0" xfId="0" applyAlignment="1" applyBorder="1" applyFont="1">
      <alignment horizontal="center" readingOrder="0" shrinkToFit="0" vertical="center" wrapText="1"/>
    </xf>
    <xf borderId="12" fillId="2" fontId="75" numFmtId="0" xfId="0" applyAlignment="1" applyBorder="1" applyFont="1">
      <alignment horizontal="center" readingOrder="0" shrinkToFit="0" vertical="top" wrapText="1"/>
    </xf>
    <xf borderId="112" fillId="2" fontId="75" numFmtId="0" xfId="0" applyAlignment="1" applyBorder="1" applyFont="1">
      <alignment horizontal="center" shrinkToFit="0" vertical="top" wrapText="1"/>
    </xf>
    <xf borderId="112" fillId="2" fontId="75" numFmtId="0" xfId="0" applyAlignment="1" applyBorder="1" applyFont="1">
      <alignment horizontal="center" readingOrder="0" shrinkToFit="0" vertical="top" wrapText="1"/>
    </xf>
    <xf borderId="12" fillId="2" fontId="75" numFmtId="0" xfId="0" applyAlignment="1" applyBorder="1" applyFont="1">
      <alignment horizontal="center" shrinkToFit="0" vertical="top" wrapText="1"/>
    </xf>
    <xf borderId="112" fillId="2" fontId="1" numFmtId="0" xfId="0" applyAlignment="1" applyBorder="1" applyFont="1">
      <alignment shrinkToFit="0" wrapText="1"/>
    </xf>
    <xf borderId="113" fillId="2" fontId="1" numFmtId="0" xfId="0" applyAlignment="1" applyBorder="1" applyFont="1">
      <alignment shrinkToFit="0" wrapText="1"/>
    </xf>
    <xf borderId="12" fillId="27" fontId="87" numFmtId="0" xfId="0" applyAlignment="1" applyBorder="1" applyFill="1" applyFont="1">
      <alignment horizontal="center" shrinkToFit="0" vertical="center" wrapText="1"/>
    </xf>
    <xf borderId="162" fillId="8" fontId="88" numFmtId="0" xfId="0" applyAlignment="1" applyBorder="1" applyFont="1">
      <alignment horizontal="center" readingOrder="0" shrinkToFit="0" vertical="center" wrapText="0"/>
    </xf>
    <xf borderId="162" fillId="8" fontId="87" numFmtId="0" xfId="0" applyAlignment="1" applyBorder="1" applyFont="1">
      <alignment horizontal="center" readingOrder="0" shrinkToFit="0" vertical="center" wrapText="1"/>
    </xf>
    <xf borderId="162" fillId="25" fontId="87" numFmtId="0" xfId="0" applyAlignment="1" applyBorder="1" applyFont="1">
      <alignment horizontal="center" shrinkToFit="0" wrapText="1"/>
    </xf>
    <xf quotePrefix="1" borderId="12" fillId="27" fontId="89" numFmtId="0" xfId="0" applyAlignment="1" applyBorder="1" applyFont="1">
      <alignment horizontal="center" shrinkToFit="0" wrapText="1"/>
    </xf>
    <xf borderId="162" fillId="25" fontId="90" numFmtId="0" xfId="0" applyAlignment="1" applyBorder="1" applyFont="1">
      <alignment horizontal="center" shrinkToFit="0" wrapText="1"/>
    </xf>
    <xf borderId="162" fillId="25" fontId="87" numFmtId="166" xfId="0" applyAlignment="1" applyBorder="1" applyFont="1" applyNumberFormat="1">
      <alignment horizontal="center" shrinkToFit="0" wrapText="1"/>
    </xf>
    <xf quotePrefix="1" borderId="12" fillId="27" fontId="87" numFmtId="0" xfId="0" applyAlignment="1" applyBorder="1" applyFont="1">
      <alignment horizontal="center" shrinkToFit="0" wrapText="1"/>
    </xf>
    <xf borderId="162" fillId="25" fontId="91" numFmtId="166" xfId="0" applyAlignment="1" applyBorder="1" applyFont="1" applyNumberFormat="1">
      <alignment horizontal="center" shrinkToFit="0" wrapText="1"/>
    </xf>
    <xf borderId="11" fillId="25" fontId="87" numFmtId="0" xfId="0" applyAlignment="1" applyBorder="1" applyFont="1">
      <alignment horizontal="center" shrinkToFit="0" wrapText="1"/>
    </xf>
    <xf borderId="12" fillId="27" fontId="20" numFmtId="0" xfId="0" applyAlignment="1" applyBorder="1" applyFont="1">
      <alignment shrinkToFit="0" wrapText="1"/>
    </xf>
    <xf borderId="162" fillId="28" fontId="92" numFmtId="0" xfId="0" applyAlignment="1" applyBorder="1" applyFill="1" applyFont="1">
      <alignment horizontal="center" shrinkToFit="0" wrapText="1"/>
    </xf>
    <xf borderId="12" fillId="27" fontId="93" numFmtId="0" xfId="0" applyAlignment="1" applyBorder="1" applyFont="1">
      <alignment horizontal="center" shrinkToFit="0" vertical="center" wrapText="1"/>
    </xf>
    <xf borderId="112" fillId="24" fontId="75" numFmtId="0" xfId="0" applyAlignment="1" applyBorder="1" applyFont="1">
      <alignment horizontal="center" shrinkToFit="0" vertical="center" wrapText="1"/>
    </xf>
    <xf borderId="12" fillId="24" fontId="75" numFmtId="0" xfId="0" applyAlignment="1" applyBorder="1" applyFont="1">
      <alignment horizontal="center" shrinkToFit="0" vertical="center" wrapText="1"/>
    </xf>
    <xf borderId="67" fillId="24" fontId="55" numFmtId="0" xfId="0" applyAlignment="1" applyBorder="1" applyFont="1">
      <alignment horizontal="center" shrinkToFit="0" vertical="center" wrapText="1"/>
    </xf>
    <xf borderId="67" fillId="24" fontId="75" numFmtId="0" xfId="0" applyAlignment="1" applyBorder="1" applyFont="1">
      <alignment horizontal="center" shrinkToFit="0" vertical="center" wrapText="1"/>
    </xf>
    <xf borderId="12" fillId="24" fontId="75" numFmtId="0" xfId="0" applyAlignment="1" applyBorder="1" applyFont="1">
      <alignment horizontal="center" readingOrder="0" shrinkToFit="0" vertical="center" wrapText="1"/>
    </xf>
    <xf borderId="67" fillId="24" fontId="1" numFmtId="0" xfId="0" applyAlignment="1" applyBorder="1" applyFont="1">
      <alignment shrinkToFit="0" wrapText="1"/>
    </xf>
    <xf borderId="0" fillId="24" fontId="12" numFmtId="0" xfId="0" applyAlignment="1" applyFont="1">
      <alignment horizontal="center" shrinkToFit="0" vertical="center" wrapText="1"/>
    </xf>
    <xf borderId="11" fillId="5" fontId="12" numFmtId="0" xfId="0" applyAlignment="1" applyBorder="1" applyFont="1">
      <alignment horizontal="center" shrinkToFit="0" vertical="center" wrapText="1"/>
    </xf>
    <xf borderId="67" fillId="2" fontId="75" numFmtId="0" xfId="0" applyAlignment="1" applyBorder="1" applyFont="1">
      <alignment horizontal="center" shrinkToFit="0" vertical="center" wrapText="1"/>
    </xf>
    <xf borderId="11" fillId="29" fontId="94" numFmtId="0" xfId="0" applyAlignment="1" applyBorder="1" applyFill="1" applyFont="1">
      <alignment horizontal="center" readingOrder="0" shrinkToFit="0" vertical="center" wrapText="0"/>
    </xf>
    <xf borderId="0" fillId="4" fontId="95" numFmtId="0" xfId="0" applyAlignment="1" applyFont="1">
      <alignment horizontal="center" readingOrder="0" shrinkToFit="0" vertical="center" wrapText="1"/>
    </xf>
    <xf borderId="0" fillId="2" fontId="96" numFmtId="0" xfId="0" applyAlignment="1" applyFont="1">
      <alignment horizontal="center" shrinkToFit="0" vertical="center" wrapText="1"/>
    </xf>
    <xf borderId="11" fillId="3" fontId="15" numFmtId="0" xfId="0" applyAlignment="1" applyBorder="1" applyFont="1">
      <alignment horizontal="center" readingOrder="0" shrinkToFit="0" vertical="center" wrapText="0"/>
    </xf>
    <xf borderId="11" fillId="4" fontId="97" numFmtId="0" xfId="0" applyAlignment="1" applyBorder="1" applyFont="1">
      <alignment horizontal="center" readingOrder="0" shrinkToFit="0" vertical="center" wrapText="1"/>
    </xf>
    <xf borderId="11" fillId="7" fontId="31" numFmtId="0" xfId="0" applyAlignment="1" applyBorder="1" applyFont="1">
      <alignment horizontal="center" shrinkToFit="0" vertical="center" wrapText="1"/>
    </xf>
    <xf borderId="11" fillId="7" fontId="31" numFmtId="0" xfId="0" applyAlignment="1" applyBorder="1" applyFont="1">
      <alignment horizontal="center" shrinkToFit="0" vertical="center" wrapText="0"/>
    </xf>
    <xf borderId="11" fillId="7" fontId="31" numFmtId="0" xfId="0" applyAlignment="1" applyBorder="1" applyFont="1">
      <alignment horizontal="center" readingOrder="0" shrinkToFit="0" vertical="center" wrapText="0"/>
    </xf>
    <xf borderId="11" fillId="13" fontId="31" numFmtId="0" xfId="0" applyAlignment="1" applyBorder="1" applyFont="1">
      <alignment horizontal="center" readingOrder="0" shrinkToFit="0" vertical="center" wrapText="1"/>
    </xf>
    <xf borderId="45" fillId="10" fontId="31" numFmtId="0" xfId="0" applyAlignment="1" applyBorder="1" applyFont="1">
      <alignment horizontal="center" readingOrder="0" shrinkToFit="0" vertical="center" wrapText="0"/>
    </xf>
    <xf borderId="45" fillId="3" fontId="31" numFmtId="0" xfId="0" applyAlignment="1" applyBorder="1" applyFont="1">
      <alignment horizontal="center" shrinkToFit="0" vertical="center" wrapText="1"/>
    </xf>
    <xf borderId="11" fillId="3" fontId="31" numFmtId="0" xfId="0" applyAlignment="1" applyBorder="1" applyFont="1">
      <alignment horizontal="left" readingOrder="0" shrinkToFit="0" vertical="center" wrapText="1"/>
    </xf>
    <xf borderId="12" fillId="3" fontId="31" numFmtId="0" xfId="0" applyAlignment="1" applyBorder="1" applyFont="1">
      <alignment horizontal="center" shrinkToFit="0" vertical="center" wrapText="1"/>
    </xf>
    <xf borderId="67" fillId="14" fontId="77" numFmtId="169" xfId="0" applyAlignment="1" applyBorder="1" applyFont="1" applyNumberFormat="1">
      <alignment horizontal="center" shrinkToFit="0" vertical="center" wrapText="1"/>
    </xf>
    <xf borderId="11" fillId="15" fontId="98" numFmtId="0" xfId="0" applyAlignment="1" applyBorder="1" applyFont="1">
      <alignment readingOrder="0" shrinkToFit="0" vertical="center" wrapText="1"/>
    </xf>
    <xf borderId="163" fillId="0" fontId="99" numFmtId="49" xfId="0" applyAlignment="1" applyBorder="1" applyFont="1" applyNumberFormat="1">
      <alignment horizontal="center" readingOrder="0" shrinkToFit="0" vertical="center" wrapText="0"/>
    </xf>
    <xf borderId="164" fillId="0" fontId="6" numFmtId="0" xfId="0" applyAlignment="1" applyBorder="1" applyFont="1">
      <alignment shrinkToFit="0" wrapText="1"/>
    </xf>
    <xf borderId="165" fillId="0" fontId="6" numFmtId="0" xfId="0" applyAlignment="1" applyBorder="1" applyFont="1">
      <alignment shrinkToFit="0" wrapText="1"/>
    </xf>
    <xf borderId="164" fillId="0" fontId="100" numFmtId="170" xfId="0" applyAlignment="1" applyBorder="1" applyFont="1" applyNumberFormat="1">
      <alignment horizontal="center" readingOrder="0" shrinkToFit="0" vertical="center" wrapText="1"/>
    </xf>
    <xf borderId="166" fillId="0" fontId="6" numFmtId="0" xfId="0" applyAlignment="1" applyBorder="1" applyFont="1">
      <alignment shrinkToFit="0" wrapText="1"/>
    </xf>
    <xf borderId="52" fillId="2" fontId="101" numFmtId="0" xfId="0" applyAlignment="1" applyBorder="1" applyFont="1">
      <alignment horizontal="left" readingOrder="0" shrinkToFit="0" vertical="center" wrapText="1"/>
    </xf>
    <xf borderId="0" fillId="2" fontId="55" numFmtId="0" xfId="0" applyAlignment="1" applyFont="1">
      <alignment horizontal="right" readingOrder="0" shrinkToFit="0" vertical="center" wrapText="1"/>
    </xf>
    <xf borderId="45" fillId="30" fontId="102" numFmtId="0" xfId="0" applyAlignment="1" applyBorder="1" applyFill="1" applyFont="1">
      <alignment horizontal="center" readingOrder="0" shrinkToFit="0" vertical="center" wrapText="1"/>
    </xf>
    <xf borderId="167" fillId="0" fontId="6" numFmtId="0" xfId="0" applyAlignment="1" applyBorder="1" applyFont="1">
      <alignment shrinkToFit="0" wrapText="1"/>
    </xf>
    <xf borderId="67" fillId="6" fontId="103" numFmtId="0" xfId="0" applyAlignment="1" applyBorder="1" applyFont="1">
      <alignment horizontal="center" readingOrder="0" shrinkToFit="0" vertical="center" wrapText="1"/>
    </xf>
    <xf borderId="67" fillId="25" fontId="104" numFmtId="166" xfId="0" applyAlignment="1" applyBorder="1" applyFont="1" applyNumberFormat="1">
      <alignment horizontal="center" readingOrder="0" shrinkToFit="0" vertical="center" wrapText="0"/>
    </xf>
    <xf borderId="45" fillId="6" fontId="105" numFmtId="3" xfId="0" applyAlignment="1" applyBorder="1" applyFont="1" applyNumberFormat="1">
      <alignment horizontal="center" readingOrder="0" shrinkToFit="0" vertical="center" wrapText="1"/>
    </xf>
    <xf borderId="0" fillId="2" fontId="106" numFmtId="0" xfId="0" applyAlignment="1" applyFont="1">
      <alignment horizontal="center" shrinkToFit="0" vertical="center" wrapText="1"/>
    </xf>
    <xf quotePrefix="1" borderId="0" fillId="2" fontId="107" numFmtId="0" xfId="0" applyAlignment="1" applyFont="1">
      <alignment horizontal="center" readingOrder="0" shrinkToFit="0" vertical="center" wrapText="1"/>
    </xf>
    <xf borderId="133" fillId="2" fontId="108" numFmtId="49" xfId="0" applyAlignment="1" applyBorder="1" applyFont="1" applyNumberFormat="1">
      <alignment horizontal="center" readingOrder="0" shrinkToFit="0" vertical="top" wrapText="1"/>
    </xf>
    <xf borderId="45" fillId="6" fontId="109" numFmtId="0" xfId="0" applyAlignment="1" applyBorder="1" applyFont="1">
      <alignment horizontal="center" shrinkToFit="0" vertical="center" wrapText="1"/>
    </xf>
    <xf borderId="146" fillId="6" fontId="109" numFmtId="166" xfId="0" applyAlignment="1" applyBorder="1" applyFont="1" applyNumberFormat="1">
      <alignment horizontal="center" shrinkToFit="0" vertical="center" wrapText="1"/>
    </xf>
    <xf borderId="11" fillId="6" fontId="109" numFmtId="166" xfId="0" applyAlignment="1" applyBorder="1" applyFont="1" applyNumberFormat="1">
      <alignment horizontal="center" readingOrder="0" shrinkToFit="0" vertical="center" wrapText="0"/>
    </xf>
    <xf borderId="11" fillId="4" fontId="77" numFmtId="0" xfId="0" applyAlignment="1" applyBorder="1" applyFont="1">
      <alignment horizontal="center" shrinkToFit="0" vertical="center" wrapText="1"/>
    </xf>
    <xf borderId="11" fillId="8" fontId="110" numFmtId="0" xfId="0" applyAlignment="1" applyBorder="1" applyFont="1">
      <alignment horizontal="center" shrinkToFit="0" vertical="center" wrapText="0"/>
    </xf>
    <xf borderId="168" fillId="0" fontId="111" numFmtId="0" xfId="0" applyAlignment="1" applyBorder="1" applyFont="1">
      <alignment horizontal="right" readingOrder="0" shrinkToFit="0" vertical="center" wrapText="0"/>
    </xf>
    <xf borderId="169" fillId="0" fontId="6" numFmtId="0" xfId="0" applyAlignment="1" applyBorder="1" applyFont="1">
      <alignment shrinkToFit="0" wrapText="1"/>
    </xf>
    <xf borderId="170" fillId="0" fontId="111" numFmtId="0" xfId="0" applyAlignment="1" applyBorder="1" applyFont="1">
      <alignment horizontal="left" readingOrder="0" shrinkToFit="0" vertical="center" wrapText="0"/>
    </xf>
    <xf borderId="170" fillId="0" fontId="6" numFmtId="0" xfId="0" applyAlignment="1" applyBorder="1" applyFont="1">
      <alignment shrinkToFit="0" wrapText="1"/>
    </xf>
    <xf borderId="41" fillId="0" fontId="55" numFmtId="0" xfId="0" applyAlignment="1" applyBorder="1" applyFont="1">
      <alignment horizontal="center" readingOrder="0" shrinkToFit="0" vertical="center" wrapText="0"/>
    </xf>
    <xf borderId="136" fillId="6" fontId="77" numFmtId="0" xfId="0" applyAlignment="1" applyBorder="1" applyFont="1">
      <alignment horizontal="center" readingOrder="0" shrinkToFit="0" vertical="center" wrapText="1"/>
    </xf>
    <xf borderId="168" fillId="0" fontId="99" numFmtId="0" xfId="0" applyAlignment="1" applyBorder="1" applyFont="1">
      <alignment horizontal="center" readingOrder="0" shrinkToFit="0" vertical="center" wrapText="1"/>
    </xf>
    <xf borderId="171" fillId="0" fontId="6" numFmtId="0" xfId="0" applyAlignment="1" applyBorder="1" applyFont="1">
      <alignment shrinkToFit="0" wrapText="1"/>
    </xf>
    <xf borderId="136" fillId="25" fontId="77" numFmtId="0" xfId="0" applyAlignment="1" applyBorder="1" applyFont="1">
      <alignment horizontal="center" readingOrder="0" shrinkToFit="0" vertical="center" wrapText="1"/>
    </xf>
    <xf borderId="0" fillId="6" fontId="77" numFmtId="166" xfId="0" applyAlignment="1" applyFont="1" applyNumberFormat="1">
      <alignment horizontal="center" shrinkToFit="0" vertical="center" wrapText="1"/>
    </xf>
    <xf borderId="144" fillId="17" fontId="98" numFmtId="0" xfId="0" applyAlignment="1" applyBorder="1" applyFont="1">
      <alignment readingOrder="0" shrinkToFit="0" vertical="center" wrapText="1"/>
    </xf>
    <xf borderId="172" fillId="31" fontId="99" numFmtId="49" xfId="0" applyAlignment="1" applyBorder="1" applyFill="1" applyFont="1" applyNumberFormat="1">
      <alignment horizontal="center" readingOrder="0" shrinkToFit="0" vertical="center" wrapText="0"/>
    </xf>
    <xf borderId="173" fillId="0" fontId="6" numFmtId="0" xfId="0" applyAlignment="1" applyBorder="1" applyFont="1">
      <alignment shrinkToFit="0" wrapText="1"/>
    </xf>
    <xf borderId="174" fillId="0" fontId="6" numFmtId="0" xfId="0" applyAlignment="1" applyBorder="1" applyFont="1">
      <alignment shrinkToFit="0" wrapText="1"/>
    </xf>
    <xf borderId="173" fillId="31" fontId="112" numFmtId="170" xfId="0" applyAlignment="1" applyBorder="1" applyFont="1" applyNumberFormat="1">
      <alignment horizontal="center" readingOrder="0" shrinkToFit="0" vertical="center" wrapText="1"/>
    </xf>
    <xf borderId="175" fillId="0" fontId="6" numFmtId="0" xfId="0" applyAlignment="1" applyBorder="1" applyFont="1">
      <alignment shrinkToFit="0" wrapText="1"/>
    </xf>
    <xf borderId="176" fillId="0" fontId="6" numFmtId="0" xfId="0" applyAlignment="1" applyBorder="1" applyFont="1">
      <alignment shrinkToFit="0" wrapText="1"/>
    </xf>
    <xf borderId="0" fillId="2" fontId="113" numFmtId="0" xfId="0" applyAlignment="1" applyFont="1">
      <alignment horizontal="center" shrinkToFit="0" vertical="center" wrapText="1"/>
    </xf>
    <xf borderId="67" fillId="3" fontId="31" numFmtId="0" xfId="0" applyAlignment="1" applyBorder="1" applyFont="1">
      <alignment horizontal="center" readingOrder="0" shrinkToFit="0" vertical="center" wrapText="1"/>
    </xf>
    <xf borderId="0" fillId="2" fontId="31" numFmtId="0" xfId="0" applyAlignment="1" applyFont="1">
      <alignment horizontal="center" readingOrder="0" shrinkToFit="0" vertical="center" wrapText="1"/>
    </xf>
    <xf borderId="65" fillId="8" fontId="111" numFmtId="0" xfId="0" applyAlignment="1" applyBorder="1" applyFont="1">
      <alignment horizontal="right" readingOrder="0" shrinkToFit="0" vertical="center" wrapText="0"/>
    </xf>
    <xf borderId="112" fillId="8" fontId="114" numFmtId="0" xfId="0" applyAlignment="1" applyBorder="1" applyFont="1">
      <alignment horizontal="left" readingOrder="0" shrinkToFit="0" vertical="center" wrapText="0"/>
    </xf>
    <xf borderId="55" fillId="8" fontId="55" numFmtId="0" xfId="0" applyAlignment="1" applyBorder="1" applyFont="1">
      <alignment horizontal="center" readingOrder="0" shrinkToFit="0" vertical="center" wrapText="0"/>
    </xf>
    <xf borderId="177" fillId="25" fontId="77" numFmtId="0" xfId="0" applyAlignment="1" applyBorder="1" applyFont="1">
      <alignment horizontal="center" shrinkToFit="0" vertical="center" wrapText="1"/>
    </xf>
    <xf borderId="178" fillId="0" fontId="6" numFmtId="0" xfId="0" applyAlignment="1" applyBorder="1" applyFont="1">
      <alignment shrinkToFit="0" wrapText="1"/>
    </xf>
    <xf borderId="177" fillId="26" fontId="115" numFmtId="0" xfId="0" applyAlignment="1" applyBorder="1" applyFont="1">
      <alignment horizontal="center" readingOrder="0" shrinkToFit="0" vertical="center" wrapText="1"/>
    </xf>
    <xf borderId="177" fillId="31" fontId="99" numFmtId="0" xfId="0" applyAlignment="1" applyBorder="1" applyFont="1">
      <alignment horizontal="center" readingOrder="0" shrinkToFit="0" vertical="center" wrapText="1"/>
    </xf>
    <xf borderId="0" fillId="14" fontId="77" numFmtId="166" xfId="0" applyAlignment="1" applyFont="1" applyNumberFormat="1">
      <alignment horizontal="center" shrinkToFit="0" vertical="center" wrapText="1"/>
    </xf>
    <xf borderId="172" fillId="0" fontId="99" numFmtId="49" xfId="0" applyAlignment="1" applyBorder="1" applyFont="1" applyNumberFormat="1">
      <alignment horizontal="center" readingOrder="0" shrinkToFit="0" vertical="center" wrapText="0"/>
    </xf>
    <xf borderId="173" fillId="0" fontId="112" numFmtId="170" xfId="0" applyAlignment="1" applyBorder="1" applyFont="1" applyNumberFormat="1">
      <alignment horizontal="center" readingOrder="0" shrinkToFit="0" vertical="center" wrapText="1"/>
    </xf>
    <xf borderId="52" fillId="2" fontId="101" numFmtId="0" xfId="0" applyAlignment="1" applyBorder="1" applyFont="1">
      <alignment horizontal="left" shrinkToFit="0" vertical="center" wrapText="1"/>
    </xf>
    <xf borderId="0" fillId="2" fontId="116" numFmtId="0" xfId="0" applyAlignment="1" applyFont="1">
      <alignment horizontal="center" readingOrder="0" shrinkToFit="0" vertical="top" wrapText="1"/>
    </xf>
    <xf borderId="0" fillId="2" fontId="117" numFmtId="0" xfId="0" applyAlignment="1" applyFont="1">
      <alignment horizontal="center" shrinkToFit="0" vertical="top" wrapText="1"/>
    </xf>
    <xf borderId="0" fillId="2" fontId="118" numFmtId="0" xfId="0" applyAlignment="1" applyFont="1">
      <alignment horizontal="center" shrinkToFit="0" vertical="top" wrapText="1"/>
    </xf>
    <xf borderId="11" fillId="0" fontId="109" numFmtId="166" xfId="0" applyAlignment="1" applyBorder="1" applyFont="1" applyNumberFormat="1">
      <alignment horizontal="center" readingOrder="0" shrinkToFit="0" vertical="center" wrapText="0"/>
    </xf>
    <xf borderId="11" fillId="4" fontId="77" numFmtId="0" xfId="0" applyAlignment="1" applyBorder="1" applyFont="1">
      <alignment horizontal="center" shrinkToFit="0" vertical="center" wrapText="1"/>
    </xf>
    <xf borderId="11" fillId="8" fontId="110" numFmtId="0" xfId="0" applyAlignment="1" applyBorder="1" applyFont="1">
      <alignment horizontal="center" shrinkToFit="0" vertical="center" wrapText="0"/>
    </xf>
    <xf borderId="0" fillId="2" fontId="119" numFmtId="0" xfId="0" applyAlignment="1" applyFont="1">
      <alignment horizontal="right" readingOrder="0" shrinkToFit="0" vertical="center" wrapText="0"/>
    </xf>
    <xf borderId="11" fillId="6" fontId="77" numFmtId="1" xfId="0" applyAlignment="1" applyBorder="1" applyFont="1" applyNumberFormat="1">
      <alignment horizontal="center" shrinkToFit="0" vertical="center" wrapText="1"/>
    </xf>
    <xf borderId="65" fillId="17" fontId="98" numFmtId="0" xfId="0" applyAlignment="1" applyBorder="1" applyFont="1">
      <alignment readingOrder="0" shrinkToFit="0" vertical="center" wrapText="1"/>
    </xf>
    <xf borderId="11" fillId="11" fontId="31" numFmtId="0" xfId="0" applyAlignment="1" applyBorder="1" applyFont="1">
      <alignment horizontal="center" readingOrder="0" shrinkToFit="0" vertical="center" wrapText="1"/>
    </xf>
    <xf borderId="0" fillId="2" fontId="55" numFmtId="0" xfId="0" applyAlignment="1" applyFont="1">
      <alignment horizontal="center" readingOrder="0" shrinkToFit="0" vertical="center" wrapText="1"/>
    </xf>
    <xf borderId="144" fillId="18" fontId="98" numFmtId="0" xfId="0" applyAlignment="1" applyBorder="1" applyFont="1">
      <alignment readingOrder="0" shrinkToFit="0" vertical="center" wrapText="1"/>
    </xf>
    <xf borderId="0" fillId="2" fontId="120" numFmtId="0" xfId="0" applyAlignment="1" applyFont="1">
      <alignment horizontal="right" readingOrder="0" shrinkToFit="0" vertical="center" wrapText="1"/>
    </xf>
    <xf borderId="73" fillId="32" fontId="1" numFmtId="0" xfId="0" applyAlignment="1" applyBorder="1" applyFill="1" applyFont="1">
      <alignment shrinkToFit="0" wrapText="1"/>
    </xf>
    <xf borderId="179" fillId="0" fontId="6" numFmtId="0" xfId="0" applyAlignment="1" applyBorder="1" applyFont="1">
      <alignment shrinkToFit="0" wrapText="1"/>
    </xf>
    <xf borderId="180" fillId="33" fontId="121" numFmtId="0" xfId="0" applyAlignment="1" applyBorder="1" applyFill="1" applyFont="1">
      <alignment horizontal="center" shrinkToFit="0" vertical="center" wrapText="1"/>
    </xf>
    <xf borderId="181" fillId="0" fontId="6" numFmtId="0" xfId="0" applyAlignment="1" applyBorder="1" applyFont="1">
      <alignment shrinkToFit="0" wrapText="1"/>
    </xf>
    <xf borderId="180" fillId="12" fontId="121" numFmtId="0" xfId="0" applyAlignment="1" applyBorder="1" applyFont="1">
      <alignment horizontal="center" readingOrder="0" shrinkToFit="0" vertical="center" wrapText="1"/>
    </xf>
    <xf borderId="180" fillId="0" fontId="6" numFmtId="0" xfId="0" applyAlignment="1" applyBorder="1" applyFont="1">
      <alignment shrinkToFit="0" wrapText="1"/>
    </xf>
    <xf borderId="182" fillId="0" fontId="6" numFmtId="0" xfId="0" applyAlignment="1" applyBorder="1" applyFont="1">
      <alignment shrinkToFit="0" wrapText="1"/>
    </xf>
    <xf borderId="11" fillId="3" fontId="31" numFmtId="0" xfId="0" applyAlignment="1" applyBorder="1" applyFont="1">
      <alignment horizontal="center" readingOrder="0" shrinkToFit="0" vertical="center" wrapText="0"/>
    </xf>
    <xf borderId="65" fillId="7" fontId="7" numFmtId="0" xfId="0" applyAlignment="1" applyBorder="1" applyFont="1">
      <alignment horizontal="center" readingOrder="0" shrinkToFit="0" wrapText="1"/>
    </xf>
    <xf borderId="183" fillId="32" fontId="1" numFmtId="0" xfId="0" applyAlignment="1" applyBorder="1" applyFont="1">
      <alignment shrinkToFit="0" wrapText="1"/>
    </xf>
    <xf borderId="184" fillId="0" fontId="6" numFmtId="0" xfId="0" applyAlignment="1" applyBorder="1" applyFont="1">
      <alignment shrinkToFit="0" wrapText="1"/>
    </xf>
    <xf borderId="185" fillId="33" fontId="122" numFmtId="0" xfId="0" applyAlignment="1" applyBorder="1" applyFont="1">
      <alignment horizontal="center" readingOrder="0" shrinkToFit="0" vertical="center" wrapText="1"/>
    </xf>
    <xf borderId="185" fillId="12" fontId="121" numFmtId="0" xfId="0" applyAlignment="1" applyBorder="1" applyFont="1">
      <alignment horizontal="center" readingOrder="0" shrinkToFit="0" vertical="center" wrapText="1"/>
    </xf>
    <xf borderId="185" fillId="0" fontId="6" numFmtId="0" xfId="0" applyAlignment="1" applyBorder="1" applyFont="1">
      <alignment shrinkToFit="0" wrapText="1"/>
    </xf>
    <xf borderId="186" fillId="0" fontId="6" numFmtId="0" xfId="0" applyAlignment="1" applyBorder="1" applyFont="1">
      <alignment shrinkToFit="0" wrapText="1"/>
    </xf>
    <xf borderId="11" fillId="3" fontId="31" numFmtId="0" xfId="0" applyAlignment="1" applyBorder="1" applyFont="1">
      <alignment horizontal="center" readingOrder="0" shrinkToFit="0" vertical="center" wrapText="1"/>
    </xf>
    <xf borderId="45" fillId="4" fontId="123" numFmtId="0" xfId="0" applyAlignment="1" applyBorder="1" applyFont="1">
      <alignment horizontal="center" readingOrder="0" shrinkToFit="0" vertical="center" wrapText="1"/>
    </xf>
    <xf borderId="0" fillId="2" fontId="124" numFmtId="0" xfId="0" applyAlignment="1" applyFont="1">
      <alignment horizontal="center" readingOrder="0" shrinkToFit="0" vertical="center" wrapText="1"/>
    </xf>
    <xf borderId="136" fillId="3" fontId="125" numFmtId="166" xfId="0" applyAlignment="1" applyBorder="1" applyFont="1" applyNumberFormat="1">
      <alignment horizontal="center" readingOrder="0" shrinkToFit="0" vertical="center" wrapText="1"/>
    </xf>
    <xf borderId="187" fillId="0" fontId="6" numFmtId="0" xfId="0" applyAlignment="1" applyBorder="1" applyFont="1">
      <alignment shrinkToFit="0" wrapText="1"/>
    </xf>
    <xf borderId="188" fillId="3" fontId="125" numFmtId="0" xfId="0" applyAlignment="1" applyBorder="1" applyFont="1">
      <alignment horizontal="center" readingOrder="0" shrinkToFit="0" vertical="center" wrapText="0"/>
    </xf>
    <xf borderId="188" fillId="3" fontId="126" numFmtId="0" xfId="0" applyAlignment="1" applyBorder="1" applyFont="1">
      <alignment horizontal="center" readingOrder="0" shrinkToFit="0" vertical="center" wrapText="1"/>
    </xf>
    <xf borderId="0" fillId="2" fontId="120" numFmtId="0" xfId="0" applyAlignment="1" applyFont="1">
      <alignment horizontal="right" readingOrder="0" shrinkToFit="0" vertical="center" wrapText="0"/>
    </xf>
    <xf borderId="65" fillId="33" fontId="111" numFmtId="0" xfId="0" applyAlignment="1" applyBorder="1" applyFont="1">
      <alignment horizontal="center" readingOrder="0" shrinkToFit="0" vertical="center" wrapText="0"/>
    </xf>
    <xf borderId="45" fillId="4" fontId="127" numFmtId="0" xfId="0" applyAlignment="1" applyBorder="1" applyFont="1">
      <alignment readingOrder="0" shrinkToFit="0" wrapText="1"/>
    </xf>
    <xf borderId="67" fillId="8" fontId="127" numFmtId="0" xfId="0" applyAlignment="1" applyBorder="1" applyFont="1">
      <alignment readingOrder="0" shrinkToFit="0" wrapText="1"/>
    </xf>
    <xf borderId="67" fillId="4" fontId="127" numFmtId="0" xfId="0" applyAlignment="1" applyBorder="1" applyFont="1">
      <alignment readingOrder="0" shrinkToFit="0" wrapText="1"/>
    </xf>
    <xf borderId="145" fillId="0" fontId="111" numFmtId="166" xfId="0" applyAlignment="1" applyBorder="1" applyFont="1" applyNumberFormat="1">
      <alignment horizontal="center" readingOrder="0" shrinkToFit="0" vertical="center" wrapText="1"/>
    </xf>
    <xf borderId="145" fillId="0" fontId="111" numFmtId="0" xfId="0" applyAlignment="1" applyBorder="1" applyFont="1">
      <alignment horizontal="center" readingOrder="0" shrinkToFit="0" vertical="center" wrapText="0"/>
    </xf>
    <xf borderId="189" fillId="0" fontId="6" numFmtId="0" xfId="0" applyAlignment="1" applyBorder="1" applyFont="1">
      <alignment shrinkToFit="0" wrapText="1"/>
    </xf>
    <xf borderId="146" fillId="6" fontId="128" numFmtId="166" xfId="0" applyAlignment="1" applyBorder="1" applyFont="1" applyNumberFormat="1">
      <alignment horizontal="center" shrinkToFit="0" vertical="center" wrapText="1"/>
    </xf>
    <xf borderId="190" fillId="32" fontId="1" numFmtId="0" xfId="0" applyAlignment="1" applyBorder="1" applyFont="1">
      <alignment shrinkToFit="0" wrapText="1"/>
    </xf>
    <xf borderId="191" fillId="0" fontId="6" numFmtId="0" xfId="0" applyAlignment="1" applyBorder="1" applyFont="1">
      <alignment shrinkToFit="0" wrapText="1"/>
    </xf>
    <xf borderId="192" fillId="33" fontId="122" numFmtId="0" xfId="0" applyAlignment="1" applyBorder="1" applyFont="1">
      <alignment horizontal="center" readingOrder="0" shrinkToFit="0" vertical="center" wrapText="1"/>
    </xf>
    <xf borderId="192" fillId="12" fontId="121" numFmtId="0" xfId="0" applyAlignment="1" applyBorder="1" applyFont="1">
      <alignment horizontal="center" readingOrder="0" shrinkToFit="0" vertical="center" wrapText="1"/>
    </xf>
    <xf borderId="192" fillId="0" fontId="6" numFmtId="0" xfId="0" applyAlignment="1" applyBorder="1" applyFont="1">
      <alignment shrinkToFit="0" wrapText="1"/>
    </xf>
    <xf borderId="193" fillId="0" fontId="6" numFmtId="0" xfId="0" applyAlignment="1" applyBorder="1" applyFont="1">
      <alignment shrinkToFit="0" wrapText="1"/>
    </xf>
    <xf borderId="11" fillId="4" fontId="127" numFmtId="0" xfId="0" applyAlignment="1" applyBorder="1" applyFont="1">
      <alignment readingOrder="0" shrinkToFit="0" wrapText="1"/>
    </xf>
    <xf borderId="12" fillId="8" fontId="127" numFmtId="0" xfId="0" applyAlignment="1" applyBorder="1" applyFont="1">
      <alignment readingOrder="0" shrinkToFit="0" wrapText="1"/>
    </xf>
    <xf borderId="12" fillId="4" fontId="127" numFmtId="0" xfId="0" applyAlignment="1" applyBorder="1" applyFont="1">
      <alignment readingOrder="0" shrinkToFit="0" wrapText="1"/>
    </xf>
    <xf borderId="11" fillId="3" fontId="129" numFmtId="0" xfId="0" applyAlignment="1" applyBorder="1" applyFont="1">
      <alignment horizontal="center" shrinkToFit="0" vertical="center" wrapText="0"/>
    </xf>
    <xf borderId="12" fillId="26" fontId="130" numFmtId="0" xfId="0" applyAlignment="1" applyBorder="1" applyFont="1">
      <alignment horizontal="center" readingOrder="0" shrinkToFit="0" wrapText="1"/>
    </xf>
    <xf borderId="145" fillId="8" fontId="111" numFmtId="166" xfId="0" applyAlignment="1" applyBorder="1" applyFont="1" applyNumberFormat="1">
      <alignment horizontal="center" readingOrder="0" shrinkToFit="0" vertical="center" wrapText="1"/>
    </xf>
    <xf borderId="145" fillId="8" fontId="111" numFmtId="0" xfId="0" applyAlignment="1" applyBorder="1" applyFont="1">
      <alignment horizontal="center" readingOrder="0" shrinkToFit="0" vertical="center" wrapText="0"/>
    </xf>
    <xf borderId="65" fillId="18" fontId="98" numFmtId="0" xfId="0" applyAlignment="1" applyBorder="1" applyFont="1">
      <alignment readingOrder="0" shrinkToFit="0" vertical="center" wrapText="1"/>
    </xf>
    <xf borderId="112" fillId="2" fontId="55" numFmtId="0" xfId="0" applyAlignment="1" applyBorder="1" applyFont="1">
      <alignment horizontal="center" shrinkToFit="0" vertical="bottom" wrapText="1"/>
    </xf>
    <xf borderId="0" fillId="2" fontId="131" numFmtId="0" xfId="0" applyAlignment="1" applyFont="1">
      <alignment horizontal="right" readingOrder="0" shrinkToFit="0" vertical="top" wrapText="1"/>
    </xf>
    <xf borderId="177" fillId="0" fontId="111" numFmtId="166" xfId="0" applyAlignment="1" applyBorder="1" applyFont="1" applyNumberFormat="1">
      <alignment horizontal="center" readingOrder="0" shrinkToFit="0" vertical="center" wrapText="1"/>
    </xf>
    <xf borderId="177" fillId="0" fontId="111" numFmtId="0" xfId="0" applyAlignment="1" applyBorder="1" applyFont="1">
      <alignment horizontal="center" shrinkToFit="0" vertical="center" wrapText="0"/>
    </xf>
    <xf borderId="194" fillId="0" fontId="6" numFmtId="0" xfId="0" applyAlignment="1" applyBorder="1" applyFont="1">
      <alignment shrinkToFit="0" wrapText="1"/>
    </xf>
    <xf borderId="158" fillId="6" fontId="128" numFmtId="166" xfId="0" applyAlignment="1" applyBorder="1" applyFont="1" applyNumberFormat="1">
      <alignment horizontal="center" shrinkToFit="0" vertical="center" wrapText="1"/>
    </xf>
    <xf borderId="144" fillId="16" fontId="98" numFmtId="0" xfId="0" applyAlignment="1" applyBorder="1" applyFont="1">
      <alignment readingOrder="0" shrinkToFit="0" vertical="center" wrapText="1"/>
    </xf>
    <xf borderId="0" fillId="2" fontId="55" numFmtId="0" xfId="0" applyAlignment="1" applyFont="1">
      <alignment horizontal="center" shrinkToFit="0" vertical="top" wrapText="1"/>
    </xf>
    <xf borderId="133" fillId="2" fontId="55" numFmtId="0" xfId="0" applyAlignment="1" applyBorder="1" applyFont="1">
      <alignment horizontal="center" shrinkToFit="0" vertical="top" wrapText="1"/>
    </xf>
    <xf borderId="45" fillId="7" fontId="7" numFmtId="0" xfId="0" applyAlignment="1" applyBorder="1" applyFont="1">
      <alignment horizontal="left" shrinkToFit="0" vertical="center" wrapText="1"/>
    </xf>
    <xf borderId="143" fillId="7" fontId="31" numFmtId="0" xfId="0" applyAlignment="1" applyBorder="1" applyFont="1">
      <alignment horizontal="center" shrinkToFit="0" wrapText="1"/>
    </xf>
    <xf borderId="45" fillId="7" fontId="31" numFmtId="0" xfId="0" applyAlignment="1" applyBorder="1" applyFont="1">
      <alignment horizontal="center" shrinkToFit="0" wrapText="1"/>
    </xf>
    <xf borderId="143" fillId="7" fontId="31" numFmtId="0" xfId="0" applyAlignment="1" applyBorder="1" applyFont="1">
      <alignment horizontal="center" shrinkToFit="0" wrapText="0"/>
    </xf>
    <xf borderId="195" fillId="0" fontId="6" numFmtId="0" xfId="0" applyAlignment="1" applyBorder="1" applyFont="1">
      <alignment shrinkToFit="0" wrapText="1"/>
    </xf>
    <xf borderId="143" fillId="7" fontId="31" numFmtId="0" xfId="0" applyAlignment="1" applyBorder="1" applyFont="1">
      <alignment horizontal="center" readingOrder="0" shrinkToFit="0" wrapText="1"/>
    </xf>
    <xf borderId="143" fillId="7" fontId="31" numFmtId="0" xfId="0" applyAlignment="1" applyBorder="1" applyFont="1">
      <alignment horizontal="center" shrinkToFit="0" wrapText="1"/>
    </xf>
    <xf borderId="67" fillId="7" fontId="132" numFmtId="0" xfId="0" applyAlignment="1" applyBorder="1" applyFont="1">
      <alignment horizontal="center" shrinkToFit="0" wrapText="1"/>
    </xf>
    <xf borderId="67" fillId="7" fontId="133" numFmtId="0" xfId="0" applyAlignment="1" applyBorder="1" applyFont="1">
      <alignment horizontal="center" readingOrder="0" shrinkToFit="0" wrapText="1"/>
    </xf>
    <xf borderId="0" fillId="2" fontId="20" numFmtId="0" xfId="0" applyAlignment="1" applyFont="1">
      <alignment shrinkToFit="0" wrapText="1"/>
    </xf>
    <xf borderId="145" fillId="0" fontId="111" numFmtId="0" xfId="0" applyAlignment="1" applyBorder="1" applyFont="1">
      <alignment horizontal="right" readingOrder="0" shrinkToFit="0" vertical="center" wrapText="0"/>
    </xf>
    <xf borderId="146" fillId="0" fontId="111" numFmtId="0" xfId="0" applyAlignment="1" applyBorder="1" applyFont="1">
      <alignment horizontal="left" readingOrder="0" shrinkToFit="0" vertical="center" wrapText="0"/>
    </xf>
    <xf borderId="168" fillId="0" fontId="111" numFmtId="166" xfId="0" applyAlignment="1" applyBorder="1" applyFont="1" applyNumberFormat="1">
      <alignment horizontal="center" readingOrder="0" shrinkToFit="0" vertical="center" wrapText="1"/>
    </xf>
    <xf borderId="145" fillId="0" fontId="134" numFmtId="166" xfId="0" applyAlignment="1" applyBorder="1" applyFont="1" applyNumberFormat="1">
      <alignment horizontal="center" shrinkToFit="0" vertical="center" wrapText="1"/>
    </xf>
    <xf borderId="196" fillId="0" fontId="6" numFmtId="0" xfId="0" applyAlignment="1" applyBorder="1" applyFont="1">
      <alignment shrinkToFit="0" wrapText="1"/>
    </xf>
    <xf borderId="146" fillId="0" fontId="111" numFmtId="166" xfId="0" applyAlignment="1" applyBorder="1" applyFont="1" applyNumberFormat="1">
      <alignment horizontal="center" readingOrder="0" shrinkToFit="0" vertical="center" wrapText="1"/>
    </xf>
    <xf borderId="170" fillId="0" fontId="128" numFmtId="49" xfId="0" applyAlignment="1" applyBorder="1" applyFont="1" applyNumberFormat="1">
      <alignment horizontal="center" shrinkToFit="0" vertical="center" wrapText="1"/>
    </xf>
    <xf borderId="168" fillId="0" fontId="111" numFmtId="166" xfId="0" applyAlignment="1" applyBorder="1" applyFont="1" applyNumberFormat="1">
      <alignment horizontal="center" shrinkToFit="0" vertical="center" wrapText="1"/>
    </xf>
    <xf borderId="170" fillId="0" fontId="111" numFmtId="49" xfId="0" applyAlignment="1" applyBorder="1" applyFont="1" applyNumberFormat="1">
      <alignment horizontal="center" shrinkToFit="0" vertical="center" wrapText="1"/>
    </xf>
    <xf borderId="146" fillId="0" fontId="111" numFmtId="0" xfId="0" applyAlignment="1" applyBorder="1" applyFont="1">
      <alignment horizontal="center" readingOrder="0" shrinkToFit="0" vertical="center" wrapText="1"/>
    </xf>
    <xf borderId="146" fillId="0" fontId="135" numFmtId="0" xfId="0" applyAlignment="1" applyBorder="1" applyFont="1">
      <alignment horizontal="center" readingOrder="0" shrinkToFit="0" vertical="center" wrapText="1"/>
    </xf>
    <xf borderId="170" fillId="0" fontId="111" numFmtId="0" xfId="0" applyAlignment="1" applyBorder="1" applyFont="1">
      <alignment horizontal="center" shrinkToFit="0" vertical="center" wrapText="1"/>
    </xf>
    <xf borderId="146" fillId="0" fontId="128" numFmtId="0" xfId="0" applyAlignment="1" applyBorder="1" applyFont="1">
      <alignment horizontal="center" shrinkToFit="0" vertical="center" wrapText="1"/>
    </xf>
    <xf borderId="65" fillId="7" fontId="31" numFmtId="0" xfId="0" applyAlignment="1" applyBorder="1" applyFont="1">
      <alignment horizontal="center" shrinkToFit="0" vertical="bottom" wrapText="1"/>
    </xf>
    <xf borderId="145" fillId="8" fontId="111" numFmtId="0" xfId="0" applyAlignment="1" applyBorder="1" applyFont="1">
      <alignment horizontal="right" readingOrder="0" shrinkToFit="0" vertical="center" wrapText="0"/>
    </xf>
    <xf borderId="146" fillId="8" fontId="111" numFmtId="0" xfId="0" applyAlignment="1" applyBorder="1" applyFont="1">
      <alignment horizontal="left" readingOrder="0" shrinkToFit="0" vertical="center" wrapText="0"/>
    </xf>
    <xf borderId="145" fillId="8" fontId="111" numFmtId="166" xfId="0" applyAlignment="1" applyBorder="1" applyFont="1" applyNumberFormat="1">
      <alignment horizontal="center" shrinkToFit="0" vertical="center" wrapText="1"/>
    </xf>
    <xf borderId="145" fillId="8" fontId="134" numFmtId="166" xfId="0" applyAlignment="1" applyBorder="1" applyFont="1" applyNumberFormat="1">
      <alignment horizontal="center" shrinkToFit="0" vertical="center" wrapText="1"/>
    </xf>
    <xf borderId="146" fillId="8" fontId="111" numFmtId="166" xfId="0" applyAlignment="1" applyBorder="1" applyFont="1" applyNumberFormat="1">
      <alignment horizontal="center" shrinkToFit="0" vertical="center" wrapText="1"/>
    </xf>
    <xf borderId="146" fillId="8" fontId="128" numFmtId="49" xfId="0" applyAlignment="1" applyBorder="1" applyFont="1" applyNumberFormat="1">
      <alignment horizontal="center" shrinkToFit="0" vertical="center" wrapText="1"/>
    </xf>
    <xf borderId="170" fillId="8" fontId="111" numFmtId="49" xfId="0" applyAlignment="1" applyBorder="1" applyFont="1" applyNumberFormat="1">
      <alignment horizontal="center" shrinkToFit="0" vertical="center" wrapText="1"/>
    </xf>
    <xf borderId="146" fillId="8" fontId="111" numFmtId="0" xfId="0" applyAlignment="1" applyBorder="1" applyFont="1">
      <alignment horizontal="center" shrinkToFit="0" vertical="center" wrapText="1"/>
    </xf>
    <xf borderId="146" fillId="8" fontId="135" numFmtId="0" xfId="0" applyAlignment="1" applyBorder="1" applyFont="1">
      <alignment horizontal="center" readingOrder="0" shrinkToFit="0" vertical="center" wrapText="1"/>
    </xf>
    <xf borderId="170" fillId="8" fontId="111" numFmtId="0" xfId="0" applyAlignment="1" applyBorder="1" applyFont="1">
      <alignment horizontal="center" shrinkToFit="0" vertical="center" wrapText="1"/>
    </xf>
    <xf borderId="146" fillId="8" fontId="128" numFmtId="0" xfId="0" applyAlignment="1" applyBorder="1" applyFont="1">
      <alignment horizontal="center" shrinkToFit="0" vertical="center" wrapText="1"/>
    </xf>
    <xf borderId="197" fillId="34" fontId="20" numFmtId="0" xfId="0" applyAlignment="1" applyBorder="1" applyFill="1" applyFont="1">
      <alignment readingOrder="0" shrinkToFit="0" wrapText="1"/>
    </xf>
    <xf borderId="198" fillId="0" fontId="6" numFmtId="0" xfId="0" applyAlignment="1" applyBorder="1" applyFont="1">
      <alignment shrinkToFit="0" wrapText="1"/>
    </xf>
    <xf borderId="199" fillId="0" fontId="6" numFmtId="0" xfId="0" applyAlignment="1" applyBorder="1" applyFont="1">
      <alignment shrinkToFit="0" wrapText="1"/>
    </xf>
    <xf borderId="145" fillId="0" fontId="111" numFmtId="0" xfId="0" applyAlignment="1" applyBorder="1" applyFont="1">
      <alignment horizontal="right" shrinkToFit="0" vertical="center" wrapText="0"/>
    </xf>
    <xf borderId="145" fillId="0" fontId="111" numFmtId="166" xfId="0" applyAlignment="1" applyBorder="1" applyFont="1" applyNumberFormat="1">
      <alignment horizontal="center" shrinkToFit="0" vertical="center" wrapText="1"/>
    </xf>
    <xf borderId="146" fillId="0" fontId="111" numFmtId="166" xfId="0" applyAlignment="1" applyBorder="1" applyFont="1" applyNumberFormat="1">
      <alignment horizontal="center" shrinkToFit="0" vertical="center" wrapText="1"/>
    </xf>
    <xf borderId="146" fillId="0" fontId="128" numFmtId="49" xfId="0" applyAlignment="1" applyBorder="1" applyFont="1" applyNumberFormat="1">
      <alignment horizontal="center" shrinkToFit="0" vertical="center" wrapText="1"/>
    </xf>
    <xf borderId="170" fillId="0" fontId="135" numFmtId="0" xfId="0" applyAlignment="1" applyBorder="1" applyFont="1">
      <alignment horizontal="center" readingOrder="0" shrinkToFit="0" vertical="center" wrapText="1"/>
    </xf>
    <xf borderId="200" fillId="4" fontId="20" numFmtId="0" xfId="0" applyAlignment="1" applyBorder="1" applyFont="1">
      <alignment readingOrder="0" shrinkToFit="0" wrapText="1"/>
    </xf>
    <xf borderId="201" fillId="0" fontId="6" numFmtId="0" xfId="0" applyAlignment="1" applyBorder="1" applyFont="1">
      <alignment shrinkToFit="0" wrapText="1"/>
    </xf>
    <xf borderId="202" fillId="0" fontId="6" numFmtId="0" xfId="0" applyAlignment="1" applyBorder="1" applyFont="1">
      <alignment shrinkToFit="0" wrapText="1"/>
    </xf>
    <xf borderId="65" fillId="16" fontId="98" numFmtId="0" xfId="0" applyAlignment="1" applyBorder="1" applyFont="1">
      <alignment readingOrder="0" shrinkToFit="0" vertical="center" wrapText="1"/>
    </xf>
    <xf borderId="145" fillId="8" fontId="111" numFmtId="0" xfId="0" applyAlignment="1" applyBorder="1" applyFont="1">
      <alignment horizontal="right" shrinkToFit="0" vertical="center" wrapText="0"/>
    </xf>
    <xf borderId="200" fillId="34" fontId="20" numFmtId="0" xfId="0" applyAlignment="1" applyBorder="1" applyFont="1">
      <alignment shrinkToFit="0" wrapText="1"/>
    </xf>
    <xf borderId="144" fillId="19" fontId="98" numFmtId="0" xfId="0" applyAlignment="1" applyBorder="1" applyFont="1">
      <alignment readingOrder="0" shrinkToFit="0" vertical="center" wrapText="1"/>
    </xf>
    <xf borderId="170" fillId="0" fontId="135" numFmtId="0" xfId="0" applyAlignment="1" applyBorder="1" applyFont="1">
      <alignment horizontal="center" shrinkToFit="0" vertical="center" wrapText="1"/>
    </xf>
    <xf borderId="0" fillId="2" fontId="20" numFmtId="0" xfId="0" applyAlignment="1" applyFont="1">
      <alignment shrinkToFit="0" wrapText="1"/>
    </xf>
    <xf borderId="200" fillId="4" fontId="20" numFmtId="0" xfId="0" applyAlignment="1" applyBorder="1" applyFont="1">
      <alignment shrinkToFit="0" wrapText="1"/>
    </xf>
    <xf borderId="177" fillId="8" fontId="111" numFmtId="0" xfId="0" applyAlignment="1" applyBorder="1" applyFont="1">
      <alignment horizontal="right" shrinkToFit="0" vertical="center" wrapText="0"/>
    </xf>
    <xf borderId="158" fillId="8" fontId="111" numFmtId="0" xfId="0" applyAlignment="1" applyBorder="1" applyFont="1">
      <alignment horizontal="left" readingOrder="0" shrinkToFit="0" vertical="center" wrapText="0"/>
    </xf>
    <xf borderId="177" fillId="8" fontId="111" numFmtId="166" xfId="0" applyAlignment="1" applyBorder="1" applyFont="1" applyNumberFormat="1">
      <alignment horizontal="center" shrinkToFit="0" vertical="center" wrapText="1"/>
    </xf>
    <xf borderId="177" fillId="8" fontId="134" numFmtId="166" xfId="0" applyAlignment="1" applyBorder="1" applyFont="1" applyNumberFormat="1">
      <alignment horizontal="center" shrinkToFit="0" vertical="center" wrapText="1"/>
    </xf>
    <xf borderId="203" fillId="0" fontId="6" numFmtId="0" xfId="0" applyAlignment="1" applyBorder="1" applyFont="1">
      <alignment shrinkToFit="0" wrapText="1"/>
    </xf>
    <xf borderId="158" fillId="8" fontId="111" numFmtId="166" xfId="0" applyAlignment="1" applyBorder="1" applyFont="1" applyNumberFormat="1">
      <alignment horizontal="center" shrinkToFit="0" vertical="center" wrapText="1"/>
    </xf>
    <xf borderId="158" fillId="8" fontId="128" numFmtId="49" xfId="0" applyAlignment="1" applyBorder="1" applyFont="1" applyNumberFormat="1">
      <alignment horizontal="center" shrinkToFit="0" vertical="center" wrapText="1"/>
    </xf>
    <xf borderId="112" fillId="8" fontId="111" numFmtId="49" xfId="0" applyAlignment="1" applyBorder="1" applyFont="1" applyNumberFormat="1">
      <alignment horizontal="center" shrinkToFit="0" vertical="center" wrapText="1"/>
    </xf>
    <xf borderId="158" fillId="8" fontId="111" numFmtId="0" xfId="0" applyAlignment="1" applyBorder="1" applyFont="1">
      <alignment horizontal="center" shrinkToFit="0" vertical="center" wrapText="1"/>
    </xf>
    <xf borderId="158" fillId="8" fontId="135" numFmtId="0" xfId="0" applyAlignment="1" applyBorder="1" applyFont="1">
      <alignment horizontal="center" readingOrder="0" shrinkToFit="0" vertical="center" wrapText="1"/>
    </xf>
    <xf borderId="112" fillId="8" fontId="111" numFmtId="0" xfId="0" applyAlignment="1" applyBorder="1" applyFont="1">
      <alignment horizontal="center" shrinkToFit="0" vertical="center" wrapText="1"/>
    </xf>
    <xf borderId="158" fillId="8" fontId="128" numFmtId="0" xfId="0" applyAlignment="1" applyBorder="1" applyFont="1">
      <alignment horizontal="center" shrinkToFit="0" vertical="center" wrapText="1"/>
    </xf>
    <xf borderId="200" fillId="34" fontId="20" numFmtId="0" xfId="0" applyAlignment="1" applyBorder="1" applyFont="1">
      <alignment shrinkToFit="0" wrapText="1"/>
    </xf>
    <xf borderId="65" fillId="19" fontId="98" numFmtId="0" xfId="0" applyAlignment="1" applyBorder="1" applyFont="1">
      <alignment readingOrder="0" shrinkToFit="0" vertical="center" wrapText="1"/>
    </xf>
    <xf borderId="204" fillId="31" fontId="99" numFmtId="49" xfId="0" applyAlignment="1" applyBorder="1" applyFont="1" applyNumberFormat="1">
      <alignment horizontal="center" readingOrder="0" shrinkToFit="0" vertical="center" wrapText="0"/>
    </xf>
    <xf borderId="205" fillId="0" fontId="6" numFmtId="0" xfId="0" applyAlignment="1" applyBorder="1" applyFont="1">
      <alignment shrinkToFit="0" wrapText="1"/>
    </xf>
    <xf borderId="206" fillId="0" fontId="6" numFmtId="0" xfId="0" applyAlignment="1" applyBorder="1" applyFont="1">
      <alignment shrinkToFit="0" wrapText="1"/>
    </xf>
    <xf borderId="207" fillId="31" fontId="112" numFmtId="170" xfId="0" applyAlignment="1" applyBorder="1" applyFont="1" applyNumberFormat="1">
      <alignment horizontal="center" readingOrder="0" shrinkToFit="0" vertical="center" wrapText="1"/>
    </xf>
    <xf borderId="207" fillId="0" fontId="6" numFmtId="0" xfId="0" applyAlignment="1" applyBorder="1" applyFont="1">
      <alignment shrinkToFit="0" wrapText="1"/>
    </xf>
    <xf borderId="208" fillId="0" fontId="6" numFmtId="0" xfId="0" applyAlignment="1" applyBorder="1" applyFont="1">
      <alignment shrinkToFit="0" wrapText="1"/>
    </xf>
    <xf borderId="136" fillId="7" fontId="31" numFmtId="0" xfId="0" applyAlignment="1" applyBorder="1" applyFont="1">
      <alignment horizontal="center" readingOrder="0" shrinkToFit="0" vertical="center" wrapText="1"/>
    </xf>
    <xf borderId="133" fillId="2" fontId="136" numFmtId="0" xfId="0" applyAlignment="1" applyBorder="1" applyFont="1">
      <alignment horizontal="center" shrinkToFit="0" vertical="center" wrapText="1"/>
    </xf>
    <xf borderId="209" fillId="34" fontId="20" numFmtId="0" xfId="0" applyAlignment="1" applyBorder="1" applyFont="1">
      <alignment shrinkToFit="0" wrapText="1"/>
    </xf>
    <xf borderId="210" fillId="0" fontId="6" numFmtId="0" xfId="0" applyAlignment="1" applyBorder="1" applyFont="1">
      <alignment shrinkToFit="0" wrapText="1"/>
    </xf>
    <xf borderId="211" fillId="0" fontId="6" numFmtId="0" xfId="0" applyAlignment="1" applyBorder="1" applyFont="1">
      <alignment shrinkToFit="0" wrapText="1"/>
    </xf>
    <xf borderId="12" fillId="2" fontId="137" numFmtId="0" xfId="0" applyAlignment="1" applyBorder="1" applyFont="1">
      <alignment horizontal="center" shrinkToFit="0" vertical="center" wrapText="1"/>
    </xf>
    <xf borderId="12" fillId="2" fontId="55" numFmtId="0" xfId="0" applyAlignment="1" applyBorder="1" applyFont="1">
      <alignment horizontal="center" shrinkToFit="0" vertical="center" wrapText="1"/>
    </xf>
    <xf borderId="145" fillId="8" fontId="138" numFmtId="0" xfId="0" applyAlignment="1" applyBorder="1" applyFont="1">
      <alignment horizontal="center" shrinkToFit="0" vertical="center" wrapText="0"/>
    </xf>
    <xf borderId="145" fillId="8" fontId="139" numFmtId="0" xfId="0" applyAlignment="1" applyBorder="1" applyFont="1">
      <alignment horizontal="right" readingOrder="0" shrinkToFit="0" vertical="center" wrapText="0"/>
    </xf>
    <xf borderId="146" fillId="8" fontId="140" numFmtId="0" xfId="0" applyAlignment="1" applyBorder="1" applyFont="1">
      <alignment horizontal="left" readingOrder="0" shrinkToFit="0" vertical="center" wrapText="0"/>
    </xf>
    <xf borderId="200" fillId="4" fontId="20" numFmtId="0" xfId="0" applyAlignment="1" applyBorder="1" applyFont="1">
      <alignment shrinkToFit="0" wrapText="1"/>
    </xf>
    <xf borderId="212" fillId="6" fontId="141" numFmtId="1" xfId="0" applyAlignment="1" applyBorder="1" applyFont="1" applyNumberFormat="1">
      <alignment horizontal="center" shrinkToFit="0" vertical="center" wrapText="1"/>
    </xf>
    <xf borderId="213" fillId="0" fontId="6" numFmtId="0" xfId="0" applyAlignment="1" applyBorder="1" applyFont="1">
      <alignment shrinkToFit="0" wrapText="1"/>
    </xf>
    <xf borderId="214" fillId="0" fontId="6" numFmtId="0" xfId="0" applyAlignment="1" applyBorder="1" applyFont="1">
      <alignment shrinkToFit="0" wrapText="1"/>
    </xf>
    <xf borderId="215" fillId="3" fontId="31" numFmtId="0" xfId="0" applyAlignment="1" applyBorder="1" applyFont="1">
      <alignment horizontal="left" readingOrder="0" shrinkToFit="0" vertical="center" wrapText="1"/>
    </xf>
    <xf borderId="216" fillId="0" fontId="6" numFmtId="0" xfId="0" applyAlignment="1" applyBorder="1" applyFont="1">
      <alignment shrinkToFit="0" wrapText="1"/>
    </xf>
    <xf borderId="145" fillId="0" fontId="138" numFmtId="0" xfId="0" applyAlignment="1" applyBorder="1" applyFont="1">
      <alignment horizontal="center" shrinkToFit="0" vertical="center" wrapText="0"/>
    </xf>
    <xf borderId="170" fillId="4" fontId="138" numFmtId="0" xfId="0" applyAlignment="1" applyBorder="1" applyFont="1">
      <alignment horizontal="left" readingOrder="0" shrinkToFit="0" vertical="center" wrapText="0"/>
    </xf>
    <xf borderId="168" fillId="4" fontId="138" numFmtId="0" xfId="0" applyAlignment="1" applyBorder="1" applyFont="1">
      <alignment horizontal="left" shrinkToFit="0" vertical="center" wrapText="0"/>
    </xf>
    <xf borderId="217" fillId="6" fontId="141" numFmtId="166" xfId="0" applyAlignment="1" applyBorder="1" applyFont="1" applyNumberFormat="1">
      <alignment horizontal="center" shrinkToFit="0" vertical="center" wrapText="1"/>
    </xf>
    <xf borderId="217" fillId="0" fontId="6" numFmtId="0" xfId="0" applyAlignment="1" applyBorder="1" applyFont="1">
      <alignment shrinkToFit="0" wrapText="1"/>
    </xf>
    <xf borderId="65" fillId="3" fontId="31" numFmtId="0" xfId="0" applyAlignment="1" applyBorder="1" applyFont="1">
      <alignment horizontal="left" shrinkToFit="0" vertical="center" wrapText="1"/>
    </xf>
    <xf borderId="170" fillId="8" fontId="138" numFmtId="0" xfId="0" applyAlignment="1" applyBorder="1" applyFont="1">
      <alignment horizontal="left" readingOrder="0" shrinkToFit="0" vertical="center" wrapText="0"/>
    </xf>
    <xf borderId="168" fillId="8" fontId="138" numFmtId="0" xfId="0" applyAlignment="1" applyBorder="1" applyFont="1">
      <alignment horizontal="left" shrinkToFit="0" vertical="center" wrapText="0"/>
    </xf>
    <xf borderId="45" fillId="14" fontId="77" numFmtId="169" xfId="0" applyAlignment="1" applyBorder="1" applyFont="1" applyNumberFormat="1">
      <alignment horizontal="center" shrinkToFit="0" vertical="center" wrapText="1"/>
    </xf>
    <xf borderId="218" fillId="4" fontId="142" numFmtId="0" xfId="0" applyAlignment="1" applyBorder="1" applyFont="1">
      <alignment horizontal="left" readingOrder="0" shrinkToFit="0" vertical="center" wrapText="1"/>
    </xf>
    <xf borderId="219" fillId="0" fontId="6" numFmtId="0" xfId="0" applyAlignment="1" applyBorder="1" applyFont="1">
      <alignment shrinkToFit="0" wrapText="1"/>
    </xf>
    <xf borderId="45" fillId="4" fontId="78" numFmtId="0" xfId="0" applyAlignment="1" applyBorder="1" applyFont="1">
      <alignment horizontal="center" readingOrder="0" shrinkToFit="0" vertical="center" wrapText="1"/>
    </xf>
    <xf borderId="218" fillId="0" fontId="99" numFmtId="49" xfId="0" applyAlignment="1" applyBorder="1" applyFont="1" applyNumberFormat="1">
      <alignment horizontal="center" readingOrder="0" shrinkToFit="0" vertical="center" wrapText="0"/>
    </xf>
    <xf borderId="220" fillId="0" fontId="6" numFmtId="0" xfId="0" applyAlignment="1" applyBorder="1" applyFont="1">
      <alignment shrinkToFit="0" wrapText="1"/>
    </xf>
    <xf borderId="52" fillId="6" fontId="77" numFmtId="166" xfId="0" applyAlignment="1" applyBorder="1" applyFont="1" applyNumberFormat="1">
      <alignment horizontal="center" shrinkToFit="0" vertical="center" wrapText="1"/>
    </xf>
    <xf borderId="221" fillId="31" fontId="142" numFmtId="0" xfId="0" applyAlignment="1" applyBorder="1" applyFont="1">
      <alignment horizontal="left" readingOrder="0" shrinkToFit="0" vertical="center" wrapText="1"/>
    </xf>
    <xf borderId="222" fillId="0" fontId="6" numFmtId="0" xfId="0" applyAlignment="1" applyBorder="1" applyFont="1">
      <alignment shrinkToFit="0" wrapText="1"/>
    </xf>
    <xf borderId="52" fillId="31" fontId="78" numFmtId="0" xfId="0" applyAlignment="1" applyBorder="1" applyFont="1">
      <alignment horizontal="center" readingOrder="0" shrinkToFit="0" vertical="center" wrapText="1"/>
    </xf>
    <xf borderId="221" fillId="31" fontId="99" numFmtId="49" xfId="0" applyAlignment="1" applyBorder="1" applyFont="1" applyNumberFormat="1">
      <alignment horizontal="center" readingOrder="0" shrinkToFit="0" vertical="center" wrapText="0"/>
    </xf>
    <xf borderId="223" fillId="0" fontId="6" numFmtId="0" xfId="0" applyAlignment="1" applyBorder="1" applyFont="1">
      <alignment shrinkToFit="0" wrapText="1"/>
    </xf>
    <xf borderId="224" fillId="8" fontId="138" numFmtId="0" xfId="0" applyAlignment="1" applyBorder="1" applyFont="1">
      <alignment horizontal="center" shrinkToFit="0" vertical="center" wrapText="0"/>
    </xf>
    <xf borderId="225" fillId="0" fontId="6" numFmtId="0" xfId="0" applyAlignment="1" applyBorder="1" applyFont="1">
      <alignment shrinkToFit="0" wrapText="1"/>
    </xf>
    <xf borderId="226" fillId="0" fontId="6" numFmtId="0" xfId="0" applyAlignment="1" applyBorder="1" applyFont="1">
      <alignment shrinkToFit="0" wrapText="1"/>
    </xf>
    <xf borderId="65" fillId="14" fontId="77" numFmtId="166" xfId="0" applyAlignment="1" applyBorder="1" applyFont="1" applyNumberFormat="1">
      <alignment horizontal="center" shrinkToFit="0" vertical="center" wrapText="1"/>
    </xf>
    <xf borderId="227" fillId="4" fontId="142" numFmtId="0" xfId="0" applyAlignment="1" applyBorder="1" applyFont="1">
      <alignment horizontal="left" readingOrder="0" shrinkToFit="0" vertical="center" wrapText="1"/>
    </xf>
    <xf borderId="228" fillId="0" fontId="6" numFmtId="0" xfId="0" applyAlignment="1" applyBorder="1" applyFont="1">
      <alignment shrinkToFit="0" wrapText="1"/>
    </xf>
    <xf borderId="65" fillId="4" fontId="78" numFmtId="0" xfId="0" applyAlignment="1" applyBorder="1" applyFont="1">
      <alignment horizontal="center" readingOrder="0" shrinkToFit="0" vertical="center" wrapText="1"/>
    </xf>
    <xf borderId="227" fillId="0" fontId="99" numFmtId="49" xfId="0" applyAlignment="1" applyBorder="1" applyFont="1" applyNumberFormat="1">
      <alignment horizontal="center" readingOrder="0" shrinkToFit="0" vertical="center" wrapText="0"/>
    </xf>
    <xf borderId="229" fillId="0" fontId="6" numFmtId="0" xfId="0" applyAlignment="1" applyBorder="1" applyFont="1">
      <alignment shrinkToFit="0" wrapText="1"/>
    </xf>
    <xf borderId="168" fillId="0" fontId="138" numFmtId="0" xfId="0" applyAlignment="1" applyBorder="1" applyFont="1">
      <alignment horizontal="center" shrinkToFit="0" vertical="center" wrapText="0"/>
    </xf>
    <xf borderId="177" fillId="4" fontId="139" numFmtId="0" xfId="0" applyAlignment="1" applyBorder="1" applyFont="1">
      <alignment horizontal="center" readingOrder="0" shrinkToFit="0" vertical="center" wrapText="0"/>
    </xf>
    <xf borderId="158" fillId="4" fontId="139" numFmtId="0" xfId="0" applyAlignment="1" applyBorder="1" applyFont="1">
      <alignment horizontal="left" readingOrder="0" shrinkToFit="0" vertical="center" wrapText="0"/>
    </xf>
    <xf borderId="230" fillId="31" fontId="142" numFmtId="0" xfId="0" applyAlignment="1" applyBorder="1" applyFont="1">
      <alignment horizontal="left" readingOrder="0" shrinkToFit="0" vertical="center" wrapText="1"/>
    </xf>
    <xf borderId="231" fillId="0" fontId="6" numFmtId="0" xfId="0" applyAlignment="1" applyBorder="1" applyFont="1">
      <alignment shrinkToFit="0" wrapText="1"/>
    </xf>
    <xf borderId="230" fillId="31" fontId="99" numFmtId="49" xfId="0" applyAlignment="1" applyBorder="1" applyFont="1" applyNumberFormat="1">
      <alignment horizontal="center" readingOrder="0" shrinkToFit="0" vertical="center" wrapText="0"/>
    </xf>
    <xf borderId="232" fillId="0" fontId="6" numFmtId="0" xfId="0" applyAlignment="1" applyBorder="1" applyFont="1">
      <alignment shrinkToFit="0" wrapText="1"/>
    </xf>
    <xf borderId="0" fillId="2" fontId="136" numFmtId="0" xfId="0" applyAlignment="1" applyFont="1">
      <alignment horizontal="center" shrinkToFit="0" vertical="center" wrapText="1"/>
    </xf>
    <xf borderId="224" fillId="8" fontId="139" numFmtId="0" xfId="0" applyAlignment="1" applyBorder="1" applyFont="1">
      <alignment horizontal="center" readingOrder="0" shrinkToFit="0" vertical="center" wrapText="0"/>
    </xf>
    <xf borderId="225" fillId="8" fontId="139" numFmtId="0" xfId="0" applyAlignment="1" applyBorder="1" applyFont="1">
      <alignment horizontal="left" readingOrder="0" shrinkToFit="0" vertical="center" wrapText="0"/>
    </xf>
    <xf borderId="65" fillId="4" fontId="138" numFmtId="0" xfId="0" applyAlignment="1" applyBorder="1" applyFont="1">
      <alignment horizontal="left" readingOrder="0" shrinkToFit="0" vertical="center" wrapText="0"/>
    </xf>
    <xf borderId="65" fillId="4" fontId="138" numFmtId="0" xfId="0" applyAlignment="1" applyBorder="1" applyFont="1">
      <alignment horizontal="left" shrinkToFit="0" vertical="center" wrapText="0"/>
    </xf>
    <xf borderId="0" fillId="2" fontId="119" numFmtId="0" xfId="0" applyAlignment="1" applyFont="1">
      <alignment horizontal="left" readingOrder="0" shrinkToFit="0" vertical="center" wrapText="1"/>
    </xf>
    <xf borderId="67" fillId="2" fontId="55" numFmtId="0" xfId="0" applyAlignment="1" applyBorder="1" applyFont="1">
      <alignment horizontal="center" shrinkToFit="0" vertical="center" wrapText="1"/>
    </xf>
    <xf borderId="0" fillId="24" fontId="55" numFmtId="0" xfId="0" applyAlignment="1" applyFont="1">
      <alignment horizontal="center" readingOrder="0" shrinkToFit="0" vertical="center" wrapText="1"/>
    </xf>
    <xf borderId="112" fillId="2" fontId="55" numFmtId="0" xfId="0" applyAlignment="1" applyBorder="1" applyFont="1">
      <alignment horizontal="center" shrinkToFit="0" vertical="center" wrapText="1"/>
    </xf>
    <xf borderId="136" fillId="0" fontId="138" numFmtId="0" xfId="0" applyAlignment="1" applyBorder="1" applyFont="1">
      <alignment horizontal="right" readingOrder="0" shrinkToFit="0" vertical="center" wrapText="0"/>
    </xf>
    <xf borderId="67" fillId="0" fontId="143" numFmtId="0" xfId="0" applyAlignment="1" applyBorder="1" applyFont="1">
      <alignment horizontal="left" readingOrder="0" shrinkToFit="0" vertical="center" wrapText="1"/>
    </xf>
    <xf borderId="11" fillId="7" fontId="31" numFmtId="0" xfId="0" applyAlignment="1" applyBorder="1" applyFont="1">
      <alignment horizontal="center" readingOrder="0" shrinkToFit="0" vertical="center" wrapText="1"/>
    </xf>
    <xf borderId="233" fillId="7" fontId="31" numFmtId="0" xfId="0" applyAlignment="1" applyBorder="1" applyFont="1">
      <alignment horizontal="center" readingOrder="0" shrinkToFit="0" vertical="center" wrapText="1"/>
    </xf>
    <xf borderId="12" fillId="31" fontId="78" numFmtId="0" xfId="0" applyAlignment="1" applyBorder="1" applyFont="1">
      <alignment horizontal="center" readingOrder="0" shrinkToFit="0" vertical="center" wrapText="1"/>
    </xf>
    <xf borderId="12" fillId="7" fontId="31" numFmtId="0" xfId="0" applyAlignment="1" applyBorder="1" applyFont="1">
      <alignment horizontal="center" readingOrder="0" shrinkToFit="0" vertical="center" wrapText="1"/>
    </xf>
    <xf borderId="156" fillId="8" fontId="138" numFmtId="0" xfId="0" applyAlignment="1" applyBorder="1" applyFont="1">
      <alignment horizontal="right" readingOrder="0" shrinkToFit="0" vertical="center" wrapText="0"/>
    </xf>
    <xf borderId="234" fillId="0" fontId="6" numFmtId="0" xfId="0" applyAlignment="1" applyBorder="1" applyFont="1">
      <alignment shrinkToFit="0" wrapText="1"/>
    </xf>
    <xf borderId="234" fillId="8" fontId="143" numFmtId="0" xfId="0" applyAlignment="1" applyBorder="1" applyFont="1">
      <alignment horizontal="left" readingOrder="0" shrinkToFit="0" vertical="center" wrapText="1"/>
    </xf>
    <xf borderId="133" fillId="24" fontId="55" numFmtId="0" xfId="0" applyAlignment="1" applyBorder="1" applyFont="1">
      <alignment horizontal="center" shrinkToFit="0" vertical="center" wrapText="1"/>
    </xf>
    <xf borderId="168" fillId="0" fontId="144" numFmtId="0" xfId="0" applyAlignment="1" applyBorder="1" applyFont="1">
      <alignment shrinkToFit="0" vertical="center" wrapText="1"/>
    </xf>
    <xf borderId="235" fillId="0" fontId="144" numFmtId="0" xfId="0" applyAlignment="1" applyBorder="1" applyFont="1">
      <alignment shrinkToFit="0" vertical="center" wrapText="1"/>
    </xf>
    <xf borderId="0" fillId="2" fontId="119" numFmtId="0" xfId="0" applyAlignment="1" applyFont="1">
      <alignment horizontal="center" shrinkToFit="0" vertical="center" wrapText="1"/>
    </xf>
    <xf borderId="45" fillId="3" fontId="84" numFmtId="0" xfId="0" applyAlignment="1" applyBorder="1" applyFont="1">
      <alignment horizontal="right" shrinkToFit="0" vertical="center" wrapText="1"/>
    </xf>
    <xf borderId="67" fillId="25" fontId="145" numFmtId="0" xfId="0" applyAlignment="1" applyBorder="1" applyFont="1">
      <alignment horizontal="center" shrinkToFit="0" vertical="center" wrapText="1"/>
    </xf>
    <xf borderId="145" fillId="8" fontId="144" numFmtId="0" xfId="0" applyAlignment="1" applyBorder="1" applyFont="1">
      <alignment shrinkToFit="0" vertical="center" wrapText="1"/>
    </xf>
    <xf borderId="236" fillId="8" fontId="144" numFmtId="0" xfId="0" applyAlignment="1" applyBorder="1" applyFont="1">
      <alignment shrinkToFit="0" vertical="center" wrapText="1"/>
    </xf>
    <xf borderId="65" fillId="3" fontId="84" numFmtId="0" xfId="0" applyAlignment="1" applyBorder="1" applyFont="1">
      <alignment horizontal="right" readingOrder="0" shrinkToFit="0" vertical="center" wrapText="1"/>
    </xf>
    <xf borderId="145" fillId="0" fontId="144" numFmtId="0" xfId="0" applyAlignment="1" applyBorder="1" applyFont="1">
      <alignment shrinkToFit="0" vertical="center" wrapText="1"/>
    </xf>
    <xf borderId="236" fillId="0" fontId="144" numFmtId="0" xfId="0" applyAlignment="1" applyBorder="1" applyFont="1">
      <alignment shrinkToFit="0" vertical="center" wrapText="1"/>
    </xf>
    <xf borderId="168" fillId="0" fontId="138" numFmtId="0" xfId="0" applyAlignment="1" applyBorder="1" applyFont="1">
      <alignment horizontal="right" readingOrder="0" shrinkToFit="0" vertical="center" wrapText="0"/>
    </xf>
    <xf borderId="0" fillId="0" fontId="143" numFmtId="0" xfId="0" applyAlignment="1" applyFont="1">
      <alignment horizontal="left" readingOrder="0" shrinkToFit="0" vertical="center" wrapText="1"/>
    </xf>
    <xf borderId="145" fillId="8" fontId="138" numFmtId="0" xfId="0" applyAlignment="1" applyBorder="1" applyFont="1">
      <alignment horizontal="right" readingOrder="0" shrinkToFit="0" vertical="center" wrapText="0"/>
    </xf>
    <xf borderId="146" fillId="8" fontId="143" numFmtId="0" xfId="0" applyAlignment="1" applyBorder="1" applyFont="1">
      <alignment horizontal="left" shrinkToFit="0" vertical="center" wrapText="1"/>
    </xf>
    <xf borderId="145" fillId="0" fontId="138" numFmtId="0" xfId="0" applyAlignment="1" applyBorder="1" applyFont="1">
      <alignment horizontal="right" readingOrder="0" shrinkToFit="0" vertical="center" wrapText="0"/>
    </xf>
    <xf borderId="146" fillId="8" fontId="143" numFmtId="0" xfId="0" applyAlignment="1" applyBorder="1" applyFont="1">
      <alignment horizontal="left" readingOrder="0" shrinkToFit="0" vertical="center" wrapText="1"/>
    </xf>
    <xf borderId="52" fillId="2" fontId="119" numFmtId="0" xfId="0" applyAlignment="1" applyBorder="1" applyFont="1">
      <alignment horizontal="center" shrinkToFit="0" vertical="center" wrapText="1"/>
    </xf>
    <xf borderId="177" fillId="4" fontId="138" numFmtId="0" xfId="0" applyAlignment="1" applyBorder="1" applyFont="1">
      <alignment horizontal="right" readingOrder="0" shrinkToFit="0" vertical="center" wrapText="0"/>
    </xf>
    <xf borderId="112" fillId="0" fontId="143" numFmtId="0" xfId="0" applyAlignment="1" applyBorder="1" applyFont="1">
      <alignment horizontal="left" shrinkToFit="0" vertical="center" wrapText="1"/>
    </xf>
    <xf borderId="237" fillId="8" fontId="144" numFmtId="0" xfId="0" applyAlignment="1" applyBorder="1" applyFont="1">
      <alignment shrinkToFit="0" vertical="center" wrapText="1"/>
    </xf>
    <xf borderId="238" fillId="0" fontId="6" numFmtId="0" xfId="0" applyAlignment="1" applyBorder="1" applyFont="1">
      <alignment shrinkToFit="0" wrapText="1"/>
    </xf>
    <xf borderId="239" fillId="0" fontId="6" numFmtId="0" xfId="0" applyAlignment="1" applyBorder="1" applyFont="1">
      <alignment shrinkToFit="0" wrapText="1"/>
    </xf>
    <xf borderId="11" fillId="3" fontId="84" numFmtId="0" xfId="0" applyAlignment="1" applyBorder="1" applyFont="1">
      <alignment horizontal="left" shrinkToFit="0" vertical="center" wrapText="0"/>
    </xf>
    <xf borderId="12" fillId="3" fontId="84" numFmtId="0" xfId="0" applyAlignment="1" applyBorder="1" applyFont="1">
      <alignment horizontal="right" readingOrder="0" shrinkToFit="0" vertical="center" wrapText="0"/>
    </xf>
    <xf borderId="12" fillId="25" fontId="145" numFmtId="0" xfId="0" applyAlignment="1" applyBorder="1" applyFont="1">
      <alignment horizontal="right" shrinkToFit="0" vertical="center" wrapText="0"/>
    </xf>
    <xf borderId="136" fillId="8" fontId="138" numFmtId="0" xfId="0" applyAlignment="1" applyBorder="1" applyFont="1">
      <alignment horizontal="right" readingOrder="0" shrinkToFit="0" vertical="center" wrapText="0"/>
    </xf>
    <xf borderId="137" fillId="8" fontId="143" numFmtId="0" xfId="0" applyAlignment="1" applyBorder="1" applyFont="1">
      <alignment horizontal="left" readingOrder="0" shrinkToFit="0" vertical="center" wrapText="1"/>
    </xf>
    <xf borderId="145" fillId="4" fontId="138" numFmtId="0" xfId="0" applyAlignment="1" applyBorder="1" applyFont="1">
      <alignment horizontal="right" readingOrder="0" shrinkToFit="0" vertical="center" wrapText="0"/>
    </xf>
    <xf borderId="0" fillId="0" fontId="143" numFmtId="0" xfId="0" applyAlignment="1" applyFont="1">
      <alignment horizontal="left" shrinkToFit="0" vertical="center" wrapText="1"/>
    </xf>
    <xf borderId="224" fillId="0" fontId="144" numFmtId="0" xfId="0" applyAlignment="1" applyBorder="1" applyFont="1">
      <alignment shrinkToFit="0" vertical="center" wrapText="1"/>
    </xf>
    <xf borderId="158" fillId="8" fontId="143" numFmtId="0" xfId="0" applyAlignment="1" applyBorder="1" applyFont="1">
      <alignment horizontal="left" shrinkToFit="0" vertical="center" wrapText="1"/>
    </xf>
    <xf borderId="67" fillId="2" fontId="146" numFmtId="0" xfId="0" applyAlignment="1" applyBorder="1" applyFont="1">
      <alignment horizontal="right" shrinkToFit="0" vertical="center" wrapText="1"/>
    </xf>
    <xf borderId="65" fillId="0" fontId="144" numFmtId="0" xfId="0" applyAlignment="1" applyBorder="1" applyFont="1">
      <alignment shrinkToFit="0" vertical="center" wrapText="1"/>
    </xf>
    <xf borderId="11" fillId="7" fontId="7" numFmtId="0" xfId="0" applyAlignment="1" applyBorder="1" applyFont="1">
      <alignment horizontal="left" readingOrder="0" shrinkToFit="0" vertical="center" wrapText="1"/>
    </xf>
    <xf borderId="240" fillId="8" fontId="144" numFmtId="0" xfId="0" applyAlignment="1" applyBorder="1" applyFont="1">
      <alignment shrinkToFit="0" vertical="center" wrapText="1"/>
    </xf>
    <xf borderId="241" fillId="0" fontId="6" numFmtId="0" xfId="0" applyAlignment="1" applyBorder="1" applyFont="1">
      <alignment shrinkToFit="0" wrapText="1"/>
    </xf>
    <xf borderId="242" fillId="0" fontId="6" numFmtId="0" xfId="0" applyAlignment="1" applyBorder="1" applyFont="1">
      <alignment shrinkToFit="0" wrapText="1"/>
    </xf>
    <xf borderId="48" fillId="0" fontId="144" numFmtId="0" xfId="0" applyAlignment="1" applyBorder="1" applyFont="1">
      <alignment shrinkToFit="0" vertical="center" wrapText="1"/>
    </xf>
    <xf borderId="48" fillId="8" fontId="144" numFmtId="0" xfId="0" applyAlignment="1" applyBorder="1" applyFont="1">
      <alignment shrinkToFit="0" vertical="center" wrapText="1"/>
    </xf>
    <xf borderId="156" fillId="4" fontId="138" numFmtId="0" xfId="0" applyAlignment="1" applyBorder="1" applyFont="1">
      <alignment horizontal="right" readingOrder="0" shrinkToFit="0" vertical="center" wrapText="0"/>
    </xf>
    <xf borderId="177" fillId="8" fontId="138" numFmtId="0" xfId="0" applyAlignment="1" applyBorder="1" applyFont="1">
      <alignment horizontal="right" readingOrder="0" shrinkToFit="0" vertical="center" wrapText="0"/>
    </xf>
    <xf borderId="55" fillId="8" fontId="144" numFmtId="0" xfId="0" applyAlignment="1" applyBorder="1" applyFont="1">
      <alignment shrinkToFit="0" vertical="center" wrapText="1"/>
    </xf>
    <xf borderId="68" fillId="24" fontId="147" numFmtId="0" xfId="0" applyAlignment="1" applyBorder="1" applyFont="1">
      <alignment horizontal="left" readingOrder="0" shrinkToFit="0" vertical="center" wrapText="0"/>
    </xf>
    <xf borderId="0" fillId="3" fontId="4" numFmtId="0" xfId="0" applyAlignment="1" applyFont="1">
      <alignment readingOrder="0" shrinkToFit="0" textRotation="255" vertical="top" wrapText="1"/>
    </xf>
    <xf borderId="0" fillId="0" fontId="2" numFmtId="0" xfId="0" applyAlignment="1" applyFont="1">
      <alignment shrinkToFit="0" wrapText="1"/>
    </xf>
    <xf borderId="11" fillId="3" fontId="148" numFmtId="0" xfId="0" applyAlignment="1" applyBorder="1" applyFont="1">
      <alignment horizontal="center" readingOrder="0" shrinkToFit="0" vertical="bottom" wrapText="1"/>
    </xf>
    <xf borderId="45" fillId="3" fontId="148" numFmtId="0" xfId="0" applyAlignment="1" applyBorder="1" applyFont="1">
      <alignment horizontal="center" readingOrder="0" shrinkToFit="0" vertical="center" wrapText="1"/>
    </xf>
    <xf borderId="41" fillId="3" fontId="148" numFmtId="0" xfId="0" applyAlignment="1" applyBorder="1" applyFont="1">
      <alignment horizontal="center" readingOrder="0" shrinkToFit="0" vertical="bottom" wrapText="1"/>
    </xf>
    <xf borderId="243" fillId="0" fontId="144" numFmtId="0" xfId="0" applyAlignment="1" applyBorder="1" applyFont="1">
      <alignment horizontal="center" readingOrder="0" shrinkToFit="0" vertical="center" wrapText="1"/>
    </xf>
    <xf borderId="14" fillId="0" fontId="144" numFmtId="0" xfId="0" applyAlignment="1" applyBorder="1" applyFont="1">
      <alignment horizontal="center" readingOrder="0" shrinkToFit="0" vertical="center" wrapText="1"/>
    </xf>
    <xf borderId="244" fillId="0" fontId="144" numFmtId="0" xfId="0" applyAlignment="1" applyBorder="1" applyFont="1">
      <alignment horizontal="center" readingOrder="0" shrinkToFit="0" vertical="center" wrapText="1"/>
    </xf>
    <xf borderId="14" fillId="0" fontId="144" numFmtId="0" xfId="0" applyAlignment="1" applyBorder="1" applyFont="1">
      <alignment horizontal="center" shrinkToFit="0" vertical="center" wrapText="1"/>
    </xf>
    <xf borderId="18" fillId="0" fontId="144" numFmtId="0" xfId="0" applyAlignment="1" applyBorder="1" applyFont="1">
      <alignment horizontal="center" readingOrder="0" shrinkToFit="0" vertical="center" wrapText="1"/>
    </xf>
    <xf borderId="0" fillId="0" fontId="1" numFmtId="0" xfId="0" applyAlignment="1" applyFont="1">
      <alignment shrinkToFit="0" wrapText="1"/>
    </xf>
    <xf borderId="245" fillId="0" fontId="144" numFmtId="0" xfId="0" applyAlignment="1" applyBorder="1" applyFont="1">
      <alignment horizontal="center" readingOrder="0" shrinkToFit="0" vertical="center" wrapText="1"/>
    </xf>
    <xf borderId="243" fillId="31" fontId="144" numFmtId="0" xfId="0" applyAlignment="1" applyBorder="1" applyFont="1">
      <alignment horizontal="center" readingOrder="0" shrinkToFit="0" vertical="center" wrapText="1"/>
    </xf>
    <xf borderId="14" fillId="31" fontId="144" numFmtId="0" xfId="0" applyAlignment="1" applyBorder="1" applyFont="1">
      <alignment horizontal="center" readingOrder="0" shrinkToFit="0" vertical="center" wrapText="1"/>
    </xf>
    <xf borderId="14" fillId="31" fontId="144" numFmtId="0" xfId="0" applyAlignment="1" applyBorder="1" applyFont="1">
      <alignment horizontal="center" shrinkToFit="0" vertical="center" wrapText="1"/>
    </xf>
    <xf borderId="244" fillId="31" fontId="144" numFmtId="0" xfId="0" applyAlignment="1" applyBorder="1" applyFont="1">
      <alignment horizontal="center" readingOrder="0" shrinkToFit="0" vertical="center" wrapText="1"/>
    </xf>
    <xf borderId="18" fillId="31" fontId="144" numFmtId="0" xfId="0" applyAlignment="1" applyBorder="1" applyFont="1">
      <alignment horizontal="center" readingOrder="0" shrinkToFit="0" vertical="center" wrapText="1"/>
    </xf>
    <xf borderId="245" fillId="31" fontId="144" numFmtId="0" xfId="0" applyAlignment="1" applyBorder="1" applyFont="1">
      <alignment horizontal="center" readingOrder="0" shrinkToFit="0" vertical="center" wrapText="1"/>
    </xf>
    <xf borderId="14" fillId="0" fontId="16" numFmtId="0" xfId="0" applyAlignment="1" applyBorder="1" applyFont="1">
      <alignment horizontal="center" readingOrder="0" shrinkToFit="0" vertical="center" wrapText="1"/>
    </xf>
    <xf borderId="14" fillId="31" fontId="16" numFmtId="0" xfId="0" applyAlignment="1" applyBorder="1" applyFont="1">
      <alignment horizontal="center" readingOrder="0" shrinkToFit="0" vertical="center" wrapText="1"/>
    </xf>
    <xf borderId="14" fillId="0" fontId="16" numFmtId="0" xfId="0" applyAlignment="1" applyBorder="1" applyFont="1">
      <alignment horizontal="center" shrinkToFit="0" vertical="center" wrapText="1"/>
    </xf>
    <xf borderId="14" fillId="31" fontId="16" numFmtId="0" xfId="0" applyAlignment="1" applyBorder="1" applyFont="1">
      <alignment horizontal="center" shrinkToFit="0" vertical="center" wrapText="1"/>
    </xf>
    <xf borderId="246" fillId="31" fontId="144" numFmtId="0" xfId="0" applyAlignment="1" applyBorder="1" applyFont="1">
      <alignment horizontal="center" readingOrder="0" shrinkToFit="0" vertical="center" wrapText="1"/>
    </xf>
    <xf borderId="18" fillId="31" fontId="16" numFmtId="0" xfId="0" applyAlignment="1" applyBorder="1" applyFont="1">
      <alignment horizontal="center" shrinkToFit="0" vertical="center" wrapText="1"/>
    </xf>
    <xf borderId="0" fillId="0" fontId="2" numFmtId="0" xfId="0" applyAlignment="1" applyFont="1">
      <alignment horizontal="left" shrinkToFit="0" wrapText="0"/>
    </xf>
    <xf borderId="0" fillId="0" fontId="1" numFmtId="0" xfId="0" applyAlignment="1" applyFont="1">
      <alignment horizontal="left" shrinkToFit="0" wrapText="0"/>
    </xf>
    <xf borderId="0" fillId="0" fontId="1" numFmtId="0" xfId="0" applyAlignment="1" applyFont="1">
      <alignment horizontal="left" shrinkToFit="0" wrapText="1"/>
    </xf>
    <xf borderId="11" fillId="3" fontId="148" numFmtId="0" xfId="0" applyAlignment="1" applyBorder="1" applyFont="1">
      <alignment horizontal="left" shrinkToFit="0" vertical="bottom" wrapText="0"/>
    </xf>
    <xf borderId="11" fillId="3" fontId="148" numFmtId="0" xfId="0" applyAlignment="1" applyBorder="1" applyFont="1">
      <alignment horizontal="left" readingOrder="0" shrinkToFit="0" vertical="bottom" wrapText="0"/>
    </xf>
    <xf borderId="243" fillId="0" fontId="16" numFmtId="0" xfId="0" applyAlignment="1" applyBorder="1" applyFont="1">
      <alignment horizontal="left" shrinkToFit="0" vertical="center" wrapText="0"/>
    </xf>
    <xf borderId="247" fillId="0" fontId="144" numFmtId="0" xfId="0" applyAlignment="1" applyBorder="1" applyFont="1">
      <alignment horizontal="left" shrinkToFit="0" vertical="center" wrapText="0"/>
    </xf>
    <xf borderId="14" fillId="0" fontId="144" numFmtId="0" xfId="0" applyAlignment="1" applyBorder="1" applyFont="1">
      <alignment horizontal="left" shrinkToFit="0" vertical="center" wrapText="0"/>
    </xf>
    <xf borderId="243" fillId="0" fontId="22" numFmtId="0" xfId="0" applyAlignment="1" applyBorder="1" applyFont="1">
      <alignment horizontal="left" shrinkToFit="0" vertical="center" wrapText="0"/>
    </xf>
    <xf borderId="248" fillId="0" fontId="22" numFmtId="0" xfId="0" applyAlignment="1" applyBorder="1" applyFont="1">
      <alignment horizontal="left" readingOrder="0" shrinkToFit="0" vertical="center" wrapText="0"/>
    </xf>
    <xf borderId="249" fillId="0" fontId="144" numFmtId="0" xfId="0" applyAlignment="1" applyBorder="1" applyFont="1">
      <alignment horizontal="left" shrinkToFit="0" vertical="center" wrapText="0"/>
    </xf>
    <xf borderId="250" fillId="0" fontId="144" numFmtId="0" xfId="0" applyAlignment="1" applyBorder="1" applyFont="1">
      <alignment horizontal="left" readingOrder="0" shrinkToFit="0" vertical="center" wrapText="0"/>
    </xf>
    <xf borderId="251" fillId="0" fontId="144" numFmtId="0" xfId="0" applyAlignment="1" applyBorder="1" applyFont="1">
      <alignment horizontal="left" readingOrder="0" shrinkToFit="0" vertical="center" wrapText="0"/>
    </xf>
    <xf borderId="243" fillId="31" fontId="16" numFmtId="0" xfId="0" applyAlignment="1" applyBorder="1" applyFont="1">
      <alignment horizontal="left" shrinkToFit="0" vertical="center" wrapText="0"/>
    </xf>
    <xf borderId="247" fillId="31" fontId="144" numFmtId="0" xfId="0" applyAlignment="1" applyBorder="1" applyFont="1">
      <alignment horizontal="left" shrinkToFit="0" vertical="center" wrapText="0"/>
    </xf>
    <xf borderId="14" fillId="31" fontId="149" numFmtId="0" xfId="0" applyAlignment="1" applyBorder="1" applyFont="1">
      <alignment horizontal="left" readingOrder="0" shrinkToFit="0" vertical="center" wrapText="0"/>
    </xf>
    <xf borderId="243" fillId="31" fontId="150" numFmtId="0" xfId="0" applyAlignment="1" applyBorder="1" applyFont="1">
      <alignment horizontal="left" readingOrder="0" shrinkToFit="0" vertical="center" wrapText="0"/>
    </xf>
    <xf borderId="248" fillId="31" fontId="22" numFmtId="0" xfId="0" applyAlignment="1" applyBorder="1" applyFont="1">
      <alignment horizontal="left" readingOrder="0" shrinkToFit="0" vertical="center" wrapText="0"/>
    </xf>
    <xf borderId="249" fillId="31" fontId="149" numFmtId="0" xfId="0" applyAlignment="1" applyBorder="1" applyFont="1">
      <alignment horizontal="left" readingOrder="0" shrinkToFit="0" vertical="center" wrapText="0"/>
    </xf>
    <xf borderId="250" fillId="31" fontId="144" numFmtId="0" xfId="0" applyAlignment="1" applyBorder="1" applyFont="1">
      <alignment horizontal="left" readingOrder="0" shrinkToFit="0" vertical="center" wrapText="0"/>
    </xf>
    <xf borderId="251" fillId="31" fontId="144" numFmtId="0" xfId="0" applyAlignment="1" applyBorder="1" applyFont="1">
      <alignment horizontal="left" readingOrder="0" shrinkToFit="0" vertical="center" wrapText="0"/>
    </xf>
    <xf borderId="14" fillId="0" fontId="149" numFmtId="0" xfId="0" applyAlignment="1" applyBorder="1" applyFont="1">
      <alignment horizontal="left" readingOrder="0" shrinkToFit="0" vertical="center" wrapText="0"/>
    </xf>
    <xf borderId="243" fillId="0" fontId="144" numFmtId="0" xfId="0" applyAlignment="1" applyBorder="1" applyFont="1">
      <alignment horizontal="left" shrinkToFit="0" vertical="center" wrapText="0"/>
    </xf>
    <xf borderId="249" fillId="0" fontId="149" numFmtId="0" xfId="0" applyAlignment="1" applyBorder="1" applyFont="1">
      <alignment horizontal="left" readingOrder="0" shrinkToFit="0" vertical="center" wrapText="0"/>
    </xf>
    <xf borderId="14" fillId="31" fontId="144" numFmtId="0" xfId="0" applyAlignment="1" applyBorder="1" applyFont="1">
      <alignment horizontal="left" shrinkToFit="0" vertical="center" wrapText="0"/>
    </xf>
    <xf borderId="243" fillId="31" fontId="22" numFmtId="0" xfId="0" applyAlignment="1" applyBorder="1" applyFont="1">
      <alignment horizontal="left" shrinkToFit="0" vertical="center" wrapText="0"/>
    </xf>
    <xf borderId="249" fillId="31" fontId="144" numFmtId="0" xfId="0" applyAlignment="1" applyBorder="1" applyFont="1">
      <alignment horizontal="left" shrinkToFit="0" vertical="center" wrapText="0"/>
    </xf>
    <xf borderId="243" fillId="31" fontId="16" numFmtId="0" xfId="0" applyAlignment="1" applyBorder="1" applyFont="1">
      <alignment horizontal="left" readingOrder="0" shrinkToFit="0" vertical="center" wrapText="0"/>
    </xf>
    <xf borderId="243" fillId="31" fontId="22" numFmtId="0" xfId="0" applyAlignment="1" applyBorder="1" applyFont="1">
      <alignment horizontal="left" readingOrder="0" shrinkToFit="0" vertical="center" wrapText="0"/>
    </xf>
    <xf borderId="243" fillId="0" fontId="16" numFmtId="0" xfId="0" applyAlignment="1" applyBorder="1" applyFont="1">
      <alignment horizontal="left" readingOrder="0" shrinkToFit="0" vertical="center" wrapText="0"/>
    </xf>
    <xf borderId="14" fillId="31" fontId="144" numFmtId="0" xfId="0" applyAlignment="1" applyBorder="1" applyFont="1">
      <alignment horizontal="left" readingOrder="0" shrinkToFit="0" vertical="center" wrapText="0"/>
    </xf>
    <xf borderId="249" fillId="31" fontId="144" numFmtId="0" xfId="0" applyAlignment="1" applyBorder="1" applyFont="1">
      <alignment horizontal="left" readingOrder="0" shrinkToFit="0" vertical="center" wrapText="0"/>
    </xf>
    <xf borderId="244" fillId="31" fontId="16" numFmtId="0" xfId="0" applyAlignment="1" applyBorder="1" applyFont="1">
      <alignment horizontal="left" readingOrder="0" shrinkToFit="0" vertical="center" wrapText="0"/>
    </xf>
    <xf borderId="252" fillId="31" fontId="144" numFmtId="0" xfId="0" applyAlignment="1" applyBorder="1" applyFont="1">
      <alignment horizontal="left" shrinkToFit="0" vertical="center" wrapText="0"/>
    </xf>
    <xf borderId="18" fillId="31" fontId="144" numFmtId="0" xfId="0" applyAlignment="1" applyBorder="1" applyFont="1">
      <alignment horizontal="left" readingOrder="0" shrinkToFit="0" vertical="center" wrapText="0"/>
    </xf>
    <xf borderId="244" fillId="31" fontId="22" numFmtId="0" xfId="0" applyAlignment="1" applyBorder="1" applyFont="1">
      <alignment horizontal="left" readingOrder="0" shrinkToFit="0" vertical="center" wrapText="0"/>
    </xf>
    <xf borderId="253" fillId="31" fontId="22" numFmtId="0" xfId="0" applyAlignment="1" applyBorder="1" applyFont="1">
      <alignment horizontal="left" readingOrder="0" shrinkToFit="0" vertical="center" wrapText="0"/>
    </xf>
    <xf borderId="254" fillId="31" fontId="144" numFmtId="0" xfId="0" applyAlignment="1" applyBorder="1" applyFont="1">
      <alignment horizontal="left" readingOrder="0" shrinkToFit="0" vertical="center" wrapText="0"/>
    </xf>
    <xf borderId="255" fillId="31" fontId="144" numFmtId="0" xfId="0" applyAlignment="1" applyBorder="1" applyFont="1">
      <alignment horizontal="left" readingOrder="0" shrinkToFit="0" vertical="center" wrapText="0"/>
    </xf>
    <xf borderId="256" fillId="31" fontId="144" numFmtId="0" xfId="0" applyAlignment="1" applyBorder="1" applyFont="1">
      <alignment horizontal="left" readingOrder="0" shrinkToFit="0" vertical="center" wrapText="0"/>
    </xf>
    <xf borderId="257" fillId="31" fontId="16" numFmtId="0" xfId="0" applyAlignment="1" applyBorder="1" applyFont="1">
      <alignment horizontal="left" readingOrder="0" shrinkToFit="0" vertical="center" wrapText="0"/>
    </xf>
    <xf borderId="258" fillId="31" fontId="144" numFmtId="0" xfId="0" applyAlignment="1" applyBorder="1" applyFont="1">
      <alignment horizontal="left" shrinkToFit="0" vertical="center" wrapText="0"/>
    </xf>
    <xf borderId="244" fillId="0" fontId="16" numFmtId="0" xfId="0" applyAlignment="1" applyBorder="1" applyFont="1">
      <alignment horizontal="left" readingOrder="0" shrinkToFit="0" vertical="center" wrapText="0"/>
    </xf>
    <xf borderId="252" fillId="0" fontId="144" numFmtId="0" xfId="0" applyAlignment="1" applyBorder="1" applyFont="1">
      <alignment horizontal="left" shrinkToFit="0" vertical="center" wrapText="0"/>
    </xf>
    <xf borderId="0" fillId="0" fontId="16" numFmtId="0" xfId="0" applyAlignment="1" applyFont="1">
      <alignment horizontal="left" readingOrder="0" shrinkToFit="0" vertical="center" wrapText="0"/>
    </xf>
    <xf borderId="0" fillId="0" fontId="144" numFmtId="0" xfId="0" applyAlignment="1" applyFont="1">
      <alignment horizontal="left" shrinkToFit="0" vertical="center" wrapText="0"/>
    </xf>
    <xf borderId="13" fillId="3" fontId="148" numFmtId="0" xfId="0" applyAlignment="1" applyBorder="1" applyFont="1">
      <alignment horizontal="left" readingOrder="0" shrinkToFit="0" vertical="bottom" wrapText="0"/>
    </xf>
    <xf borderId="45" fillId="3" fontId="148" numFmtId="0" xfId="0" applyAlignment="1" applyBorder="1" applyFont="1">
      <alignment horizontal="left" readingOrder="0" shrinkToFit="0" vertical="bottom" wrapText="0"/>
    </xf>
    <xf borderId="259" fillId="0" fontId="144" numFmtId="0" xfId="0" applyAlignment="1" applyBorder="1" applyFont="1">
      <alignment horizontal="left" readingOrder="0" shrinkToFit="0" vertical="center" wrapText="0"/>
    </xf>
    <xf borderId="260" fillId="0" fontId="144" numFmtId="0" xfId="0" applyAlignment="1" applyBorder="1" applyFont="1">
      <alignment horizontal="left" readingOrder="0" shrinkToFit="0" vertical="center" wrapText="0"/>
    </xf>
    <xf borderId="261" fillId="0" fontId="144" numFmtId="0" xfId="0" applyAlignment="1" applyBorder="1" applyFont="1">
      <alignment horizontal="left" readingOrder="0" shrinkToFit="0" vertical="center" wrapText="0"/>
    </xf>
    <xf borderId="262" fillId="0" fontId="144" numFmtId="0" xfId="0" applyAlignment="1" applyBorder="1" applyFont="1">
      <alignment horizontal="left" readingOrder="0" shrinkToFit="0" vertical="center" wrapText="0"/>
    </xf>
    <xf borderId="0" fillId="0" fontId="1" numFmtId="0" xfId="0" applyAlignment="1" applyFont="1">
      <alignment readingOrder="0" shrinkToFit="0" wrapText="1"/>
    </xf>
    <xf borderId="263" fillId="31" fontId="149" numFmtId="0" xfId="0" applyAlignment="1" applyBorder="1" applyFont="1">
      <alignment horizontal="left" shrinkToFit="0" vertical="center" wrapText="0"/>
    </xf>
    <xf borderId="264" fillId="31" fontId="149" numFmtId="0" xfId="0" applyAlignment="1" applyBorder="1" applyFont="1">
      <alignment horizontal="left" shrinkToFit="0" vertical="center" wrapText="0"/>
    </xf>
    <xf borderId="265" fillId="31" fontId="144" numFmtId="0" xfId="0" applyAlignment="1" applyBorder="1" applyFont="1">
      <alignment horizontal="left" readingOrder="0" shrinkToFit="0" vertical="center" wrapText="0"/>
    </xf>
    <xf borderId="265" fillId="31" fontId="144" numFmtId="0" xfId="0" applyAlignment="1" applyBorder="1" applyFont="1">
      <alignment horizontal="left" shrinkToFit="0" vertical="center" wrapText="0"/>
    </xf>
    <xf borderId="266" fillId="31" fontId="144" numFmtId="0" xfId="0" applyAlignment="1" applyBorder="1" applyFont="1">
      <alignment horizontal="left" shrinkToFit="0" vertical="center" wrapText="0"/>
    </xf>
    <xf borderId="263" fillId="0" fontId="144" numFmtId="0" xfId="0" applyAlignment="1" applyBorder="1" applyFont="1">
      <alignment horizontal="left" readingOrder="0" shrinkToFit="0" vertical="center" wrapText="0"/>
    </xf>
    <xf borderId="264" fillId="0" fontId="144" numFmtId="0" xfId="0" applyAlignment="1" applyBorder="1" applyFont="1">
      <alignment horizontal="left" readingOrder="0" shrinkToFit="0" vertical="center" wrapText="0"/>
    </xf>
    <xf borderId="265" fillId="0" fontId="144" numFmtId="0" xfId="0" applyAlignment="1" applyBorder="1" applyFont="1">
      <alignment horizontal="left" readingOrder="0" shrinkToFit="0" vertical="center" wrapText="0"/>
    </xf>
    <xf borderId="266" fillId="0" fontId="144" numFmtId="0" xfId="0" applyAlignment="1" applyBorder="1" applyFont="1">
      <alignment horizontal="left" readingOrder="0" shrinkToFit="0" vertical="center" wrapText="0"/>
    </xf>
    <xf borderId="266" fillId="31" fontId="144" numFmtId="0" xfId="0" applyAlignment="1" applyBorder="1" applyFont="1">
      <alignment horizontal="left" readingOrder="0" shrinkToFit="0" vertical="center" wrapText="0"/>
    </xf>
    <xf borderId="264" fillId="31" fontId="149" numFmtId="0" xfId="0" applyAlignment="1" applyBorder="1" applyFont="1">
      <alignment horizontal="left" readingOrder="0" shrinkToFit="0" vertical="center" wrapText="0"/>
    </xf>
    <xf borderId="267" fillId="31" fontId="149" numFmtId="0" xfId="0" applyAlignment="1" applyBorder="1" applyFont="1">
      <alignment horizontal="left" shrinkToFit="0" vertical="center" wrapText="0"/>
    </xf>
    <xf borderId="268" fillId="31" fontId="149" numFmtId="0" xfId="0" applyAlignment="1" applyBorder="1" applyFont="1">
      <alignment horizontal="left" shrinkToFit="0" vertical="center" wrapText="0"/>
    </xf>
    <xf borderId="269" fillId="31" fontId="144" numFmtId="0" xfId="0" applyAlignment="1" applyBorder="1" applyFont="1">
      <alignment horizontal="left" readingOrder="0" shrinkToFit="0" vertical="center" wrapText="0"/>
    </xf>
    <xf borderId="267" fillId="0" fontId="144" numFmtId="0" xfId="0" applyAlignment="1" applyBorder="1" applyFont="1">
      <alignment horizontal="left" readingOrder="0" shrinkToFit="0" vertical="center" wrapText="0"/>
    </xf>
    <xf borderId="268" fillId="0" fontId="144" numFmtId="0" xfId="0" applyAlignment="1" applyBorder="1" applyFont="1">
      <alignment horizontal="left" readingOrder="0" shrinkToFit="0" vertical="center" wrapText="0"/>
    </xf>
    <xf borderId="269" fillId="0" fontId="144" numFmtId="0" xfId="0" applyAlignment="1" applyBorder="1" applyFont="1">
      <alignment horizontal="left" readingOrder="0" shrinkToFit="0" vertical="center" wrapText="0"/>
    </xf>
    <xf borderId="270" fillId="0" fontId="144" numFmtId="0" xfId="0" applyAlignment="1" applyBorder="1" applyFont="1">
      <alignment horizontal="left" readingOrder="0" shrinkToFit="0" vertical="center" wrapText="0"/>
    </xf>
    <xf borderId="243" fillId="0" fontId="20" numFmtId="0" xfId="0" applyAlignment="1" applyBorder="1" applyFont="1">
      <alignment horizontal="left" shrinkToFit="0" wrapText="0"/>
    </xf>
    <xf borderId="247" fillId="0" fontId="20" numFmtId="0" xfId="0" applyAlignment="1" applyBorder="1" applyFont="1">
      <alignment horizontal="left" shrinkToFit="0" wrapText="0"/>
    </xf>
    <xf borderId="247" fillId="0" fontId="144" numFmtId="166" xfId="0" applyAlignment="1" applyBorder="1" applyFont="1" applyNumberFormat="1">
      <alignment horizontal="left" shrinkToFit="0" vertical="center" wrapText="0"/>
    </xf>
    <xf borderId="243" fillId="31" fontId="20" numFmtId="0" xfId="0" applyAlignment="1" applyBorder="1" applyFont="1">
      <alignment horizontal="left" shrinkToFit="0" wrapText="0"/>
    </xf>
    <xf borderId="247" fillId="31" fontId="20" numFmtId="0" xfId="0" applyAlignment="1" applyBorder="1" applyFont="1">
      <alignment horizontal="left" shrinkToFit="0" wrapText="0"/>
    </xf>
    <xf borderId="247" fillId="31" fontId="144" numFmtId="166" xfId="0" applyAlignment="1" applyBorder="1" applyFont="1" applyNumberFormat="1">
      <alignment horizontal="left" shrinkToFit="0" vertical="center" wrapText="0"/>
    </xf>
    <xf borderId="246" fillId="0" fontId="144" numFmtId="0" xfId="0" applyAlignment="1" applyBorder="1" applyFont="1">
      <alignment horizontal="left" shrinkToFit="0" vertical="center" wrapText="0"/>
    </xf>
    <xf borderId="271" fillId="0" fontId="144" numFmtId="166" xfId="0" applyAlignment="1" applyBorder="1" applyFont="1" applyNumberFormat="1">
      <alignment horizontal="left" shrinkToFit="0" vertical="center" wrapText="0"/>
    </xf>
    <xf borderId="243" fillId="31" fontId="20" numFmtId="0" xfId="0" applyAlignment="1" applyBorder="1" applyFont="1">
      <alignment horizontal="left" shrinkToFit="0" wrapText="0"/>
    </xf>
    <xf borderId="244" fillId="31" fontId="20" numFmtId="0" xfId="0" applyAlignment="1" applyBorder="1" applyFont="1">
      <alignment horizontal="left" shrinkToFit="0" wrapText="0"/>
    </xf>
    <xf borderId="252" fillId="31" fontId="20" numFmtId="0" xfId="0" applyAlignment="1" applyBorder="1" applyFont="1">
      <alignment horizontal="left" shrinkToFit="0" wrapText="0"/>
    </xf>
    <xf borderId="272" fillId="0" fontId="144" numFmtId="0" xfId="0" applyAlignment="1" applyBorder="1" applyFont="1">
      <alignment horizontal="left" readingOrder="0" shrinkToFit="0" vertical="center" wrapText="0"/>
    </xf>
    <xf borderId="14" fillId="0" fontId="16" numFmtId="0" xfId="0" applyAlignment="1" applyBorder="1" applyFont="1">
      <alignment horizontal="left" readingOrder="0" shrinkToFit="0" vertical="center" wrapText="0"/>
    </xf>
    <xf borderId="273" fillId="0" fontId="144" numFmtId="0" xfId="0" applyAlignment="1" applyBorder="1" applyFont="1">
      <alignment horizontal="left" readingOrder="0" shrinkToFit="0" vertical="center" wrapText="0"/>
    </xf>
    <xf borderId="274" fillId="0" fontId="144" numFmtId="0" xfId="0" applyAlignment="1" applyBorder="1" applyFont="1">
      <alignment horizontal="left" readingOrder="0" shrinkToFit="0" vertical="center" wrapText="0"/>
    </xf>
    <xf borderId="275" fillId="0" fontId="144" numFmtId="0" xfId="0" applyAlignment="1" applyBorder="1" applyFont="1">
      <alignment horizontal="left" readingOrder="0" shrinkToFit="0" vertical="center" wrapText="0"/>
    </xf>
    <xf borderId="14" fillId="31" fontId="16" numFmtId="0" xfId="0" applyAlignment="1" applyBorder="1" applyFont="1">
      <alignment horizontal="left" readingOrder="0" shrinkToFit="0" vertical="center" wrapText="0"/>
    </xf>
    <xf borderId="273" fillId="31" fontId="149" numFmtId="0" xfId="0" applyAlignment="1" applyBorder="1" applyFont="1">
      <alignment horizontal="left" readingOrder="0" shrinkToFit="0" vertical="center" wrapText="0"/>
    </xf>
    <xf borderId="273" fillId="31" fontId="149" numFmtId="0" xfId="0" applyAlignment="1" applyBorder="1" applyFont="1">
      <alignment horizontal="left" shrinkToFit="0" vertical="center" wrapText="0"/>
    </xf>
    <xf borderId="274" fillId="31" fontId="144" numFmtId="0" xfId="0" applyAlignment="1" applyBorder="1" applyFont="1">
      <alignment horizontal="left" shrinkToFit="0" vertical="center" wrapText="0"/>
    </xf>
    <xf borderId="275" fillId="31" fontId="144" numFmtId="0" xfId="0" applyAlignment="1" applyBorder="1" applyFont="1">
      <alignment horizontal="left" shrinkToFit="0" vertical="center" wrapText="0"/>
    </xf>
    <xf borderId="247" fillId="0" fontId="144" numFmtId="0" xfId="0" applyAlignment="1" applyBorder="1" applyFont="1">
      <alignment horizontal="left" readingOrder="0" shrinkToFit="0" vertical="center" wrapText="0"/>
    </xf>
    <xf borderId="276" fillId="31" fontId="149" numFmtId="0" xfId="0" applyAlignment="1" applyBorder="1" applyFont="1">
      <alignment horizontal="left" readingOrder="0" shrinkToFit="0" vertical="center" wrapText="0"/>
    </xf>
    <xf borderId="274" fillId="31" fontId="144" numFmtId="0" xfId="0" applyAlignment="1" applyBorder="1" applyFont="1">
      <alignment horizontal="left" readingOrder="0" shrinkToFit="0" vertical="center" wrapText="0"/>
    </xf>
    <xf borderId="247" fillId="31" fontId="144" numFmtId="0" xfId="0" applyAlignment="1" applyBorder="1" applyFont="1">
      <alignment horizontal="left" readingOrder="0" shrinkToFit="0" vertical="center" wrapText="0"/>
    </xf>
    <xf borderId="0" fillId="0" fontId="20" numFmtId="0" xfId="0" applyAlignment="1" applyFont="1">
      <alignment horizontal="left" shrinkToFit="0" vertical="bottom" wrapText="0"/>
    </xf>
    <xf borderId="0" fillId="0" fontId="20" numFmtId="0" xfId="0" applyAlignment="1" applyFont="1">
      <alignment horizontal="left" shrinkToFit="0" vertical="bottom" wrapText="0"/>
    </xf>
    <xf borderId="252" fillId="0" fontId="144" numFmtId="0" xfId="0" applyAlignment="1" applyBorder="1" applyFont="1">
      <alignment horizontal="left" readingOrder="0" shrinkToFit="0" vertical="center" wrapText="0"/>
    </xf>
    <xf borderId="18" fillId="31" fontId="16" numFmtId="0" xfId="0" applyAlignment="1" applyBorder="1" applyFont="1">
      <alignment horizontal="left" readingOrder="0" shrinkToFit="0" vertical="center" wrapText="0"/>
    </xf>
    <xf borderId="276" fillId="31" fontId="149" numFmtId="0" xfId="0" applyAlignment="1" applyBorder="1" applyFont="1">
      <alignment horizontal="left" shrinkToFit="0" vertical="center" wrapText="0"/>
    </xf>
    <xf borderId="277" fillId="31" fontId="144" numFmtId="0" xfId="0" applyAlignment="1" applyBorder="1" applyFont="1">
      <alignment horizontal="left" shrinkToFit="0" vertical="center" wrapText="0"/>
    </xf>
    <xf borderId="272" fillId="31" fontId="144" numFmtId="0" xfId="0" applyAlignment="1" applyBorder="1" applyFont="1">
      <alignment horizontal="left" shrinkToFit="0" vertical="center" wrapText="0"/>
    </xf>
    <xf borderId="278" fillId="3" fontId="94" numFmtId="0" xfId="0" applyAlignment="1" applyBorder="1" applyFont="1">
      <alignment horizontal="center" readingOrder="0" shrinkToFit="0" vertical="center" wrapText="1"/>
    </xf>
    <xf borderId="0" fillId="3" fontId="94" numFmtId="0" xfId="0" applyAlignment="1" applyFont="1">
      <alignment horizontal="center" readingOrder="0" shrinkToFit="0" vertical="center" wrapText="1"/>
    </xf>
    <xf borderId="0" fillId="0" fontId="151" numFmtId="0" xfId="0" applyAlignment="1" applyFont="1">
      <alignment horizontal="center" readingOrder="0" shrinkToFit="0" vertical="center" wrapText="1"/>
    </xf>
    <xf borderId="0" fillId="35" fontId="151" numFmtId="0" xfId="0" applyAlignment="1" applyFill="1" applyFont="1">
      <alignment horizontal="center" readingOrder="0" shrinkToFit="0" vertical="center" wrapText="1"/>
    </xf>
    <xf borderId="0" fillId="36" fontId="151" numFmtId="0" xfId="0" applyAlignment="1" applyFill="1" applyFont="1">
      <alignment horizontal="center" readingOrder="0" shrinkToFit="0" vertical="center" wrapText="1"/>
    </xf>
    <xf borderId="0" fillId="37" fontId="151" numFmtId="0" xfId="0" applyAlignment="1" applyFill="1" applyFont="1">
      <alignment horizontal="center" readingOrder="0" shrinkToFit="0" vertical="center" wrapText="1"/>
    </xf>
    <xf borderId="0" fillId="38" fontId="151" numFmtId="0" xfId="0" applyAlignment="1" applyFill="1" applyFont="1">
      <alignment horizontal="center" readingOrder="0" shrinkToFit="0" vertical="center" wrapText="1"/>
    </xf>
    <xf borderId="0" fillId="34" fontId="151" numFmtId="0" xfId="0" applyAlignment="1" applyFont="1">
      <alignment horizontal="center" readingOrder="0" shrinkToFit="0" vertical="center" wrapText="1"/>
    </xf>
    <xf borderId="0" fillId="16" fontId="151" numFmtId="0" xfId="0" applyAlignment="1" applyFont="1">
      <alignment horizontal="center" readingOrder="0" shrinkToFit="0" vertical="center" wrapText="1"/>
    </xf>
    <xf borderId="0" fillId="39" fontId="151" numFmtId="0" xfId="0" applyAlignment="1" applyFill="1" applyFont="1">
      <alignment horizontal="center" readingOrder="0" shrinkToFit="0" vertical="center" wrapText="1"/>
    </xf>
    <xf borderId="0" fillId="40" fontId="151" numFmtId="0" xfId="0" applyAlignment="1" applyFill="1" applyFont="1">
      <alignment horizontal="center" readingOrder="0" shrinkToFit="0" vertical="center" wrapText="1"/>
    </xf>
    <xf borderId="0" fillId="41" fontId="151" numFmtId="0" xfId="0" applyAlignment="1" applyFill="1" applyFont="1">
      <alignment horizontal="center" readingOrder="0" shrinkToFit="0" vertical="center" wrapText="1"/>
    </xf>
    <xf borderId="0" fillId="42" fontId="151" numFmtId="0" xfId="0" applyAlignment="1" applyFill="1" applyFont="1">
      <alignment horizontal="center" readingOrder="0" shrinkToFit="0" vertical="center" wrapText="1"/>
    </xf>
    <xf borderId="0" fillId="17" fontId="151" numFmtId="0" xfId="0" applyAlignment="1" applyFont="1">
      <alignment horizontal="center" readingOrder="0" shrinkToFit="0" vertical="center" wrapText="1"/>
    </xf>
    <xf borderId="0" fillId="43" fontId="151" numFmtId="0" xfId="0" applyAlignment="1" applyFill="1" applyFont="1">
      <alignment horizontal="center" readingOrder="0" shrinkToFit="0" vertical="center" wrapText="1"/>
    </xf>
    <xf borderId="0" fillId="44" fontId="151" numFmtId="0" xfId="0" applyAlignment="1" applyFill="1" applyFont="1">
      <alignment horizontal="center" readingOrder="0" shrinkToFit="0" vertical="center" wrapText="1"/>
    </xf>
    <xf borderId="0" fillId="14" fontId="151" numFmtId="0" xfId="0" applyAlignment="1" applyFont="1">
      <alignment horizontal="center" readingOrder="0" shrinkToFit="0" vertical="center" wrapText="1"/>
    </xf>
    <xf borderId="0" fillId="45" fontId="151" numFmtId="0" xfId="0" applyAlignment="1" applyFill="1" applyFont="1">
      <alignment horizontal="center" readingOrder="0" shrinkToFit="0" vertical="center" wrapText="1"/>
    </xf>
    <xf borderId="0" fillId="6" fontId="151" numFmtId="0" xfId="0" applyAlignment="1" applyFont="1">
      <alignment horizontal="center" readingOrder="0" shrinkToFit="0" vertical="center" wrapText="1"/>
    </xf>
    <xf borderId="0" fillId="3" fontId="4" numFmtId="0" xfId="0" applyAlignment="1" applyFont="1">
      <alignment horizontal="center" readingOrder="0" shrinkToFit="0" vertical="center" wrapText="1"/>
    </xf>
    <xf borderId="0" fillId="3" fontId="152" numFmtId="0" xfId="0" applyAlignment="1" applyFont="1">
      <alignment horizontal="center" readingOrder="0" shrinkToFit="0" vertical="center" wrapText="1"/>
    </xf>
    <xf borderId="0" fillId="28" fontId="151" numFmtId="0" xfId="0" applyAlignment="1" applyFont="1">
      <alignment horizontal="center" readingOrder="0" shrinkToFit="0" vertical="center" wrapText="1"/>
    </xf>
    <xf borderId="0" fillId="28" fontId="2" numFmtId="0" xfId="0" applyAlignment="1" applyFont="1">
      <alignment horizontal="center" shrinkToFit="0" vertical="center" wrapText="1"/>
    </xf>
    <xf borderId="0" fillId="28" fontId="2" numFmtId="0" xfId="0" applyAlignment="1" applyFont="1">
      <alignment horizontal="center" readingOrder="0" shrinkToFit="0" vertical="center" wrapText="1"/>
    </xf>
    <xf borderId="0" fillId="38" fontId="2" numFmtId="0" xfId="0" applyAlignment="1" applyFont="1">
      <alignment horizontal="center" readingOrder="0" shrinkToFit="0" vertical="center" wrapText="1"/>
    </xf>
    <xf borderId="0" fillId="38" fontId="2" numFmtId="0" xfId="0" applyAlignment="1" applyFont="1">
      <alignment horizontal="center" shrinkToFit="0" vertical="center" wrapText="1"/>
    </xf>
    <xf borderId="0" fillId="46" fontId="2" numFmtId="0" xfId="0" applyAlignment="1" applyFill="1" applyFont="1">
      <alignment horizontal="center" readingOrder="0" shrinkToFit="0" vertical="center" wrapText="1"/>
    </xf>
    <xf borderId="0" fillId="46" fontId="2" numFmtId="0" xfId="0" applyAlignment="1" applyFont="1">
      <alignment horizontal="center" shrinkToFit="0" vertical="center" wrapText="1"/>
    </xf>
    <xf borderId="0" fillId="18" fontId="2" numFmtId="0" xfId="0" applyAlignment="1" applyFont="1">
      <alignment horizontal="center" readingOrder="0" shrinkToFit="0" vertical="center" wrapText="1"/>
    </xf>
    <xf borderId="0" fillId="18" fontId="2" numFmtId="0" xfId="0" applyAlignment="1" applyFont="1">
      <alignment horizontal="center" shrinkToFit="0" vertical="center" wrapText="1"/>
    </xf>
    <xf borderId="0" fillId="47" fontId="2" numFmtId="0" xfId="0" applyAlignment="1" applyFill="1" applyFont="1">
      <alignment horizontal="center" readingOrder="0" shrinkToFit="0" vertical="center" wrapText="1"/>
    </xf>
    <xf borderId="0" fillId="47" fontId="2" numFmtId="0" xfId="0" applyAlignment="1" applyFont="1">
      <alignment horizontal="center" shrinkToFit="0" vertical="center" wrapText="1"/>
    </xf>
    <xf borderId="0" fillId="48" fontId="2" numFmtId="0" xfId="0" applyAlignment="1" applyFill="1" applyFont="1">
      <alignment horizontal="center" readingOrder="0" shrinkToFit="0" vertical="center" wrapText="1"/>
    </xf>
    <xf borderId="0" fillId="48" fontId="2" numFmtId="0" xfId="0" applyAlignment="1" applyFont="1">
      <alignment horizontal="center" shrinkToFit="0" vertical="center" wrapText="1"/>
    </xf>
    <xf borderId="0" fillId="35" fontId="2" numFmtId="0" xfId="0" applyAlignment="1" applyFont="1">
      <alignment horizontal="center" readingOrder="0" shrinkToFit="0" vertical="center" wrapText="1"/>
    </xf>
    <xf borderId="0" fillId="35" fontId="2" numFmtId="0" xfId="0" applyAlignment="1" applyFont="1">
      <alignment horizontal="center" shrinkToFit="0" vertical="center" wrapText="1"/>
    </xf>
    <xf borderId="0" fillId="49" fontId="2" numFmtId="0" xfId="0" applyAlignment="1" applyFill="1" applyFont="1">
      <alignment horizontal="center" readingOrder="0" shrinkToFit="0" vertical="center" wrapText="1"/>
    </xf>
    <xf borderId="0" fillId="49" fontId="2" numFmtId="0" xfId="0" applyAlignment="1" applyFont="1">
      <alignment horizontal="center" shrinkToFit="0" vertical="center" wrapText="1"/>
    </xf>
    <xf borderId="0" fillId="50" fontId="2" numFmtId="0" xfId="0" applyAlignment="1" applyFill="1" applyFont="1">
      <alignment horizontal="center" readingOrder="0" shrinkToFit="0" vertical="center" wrapText="1"/>
    </xf>
    <xf borderId="0" fillId="50" fontId="2" numFmtId="0" xfId="0" applyAlignment="1" applyFont="1">
      <alignment horizontal="center" shrinkToFit="0" vertical="center" wrapText="1"/>
    </xf>
    <xf borderId="0" fillId="51" fontId="2" numFmtId="0" xfId="0" applyAlignment="1" applyFill="1" applyFont="1">
      <alignment horizontal="center" readingOrder="0" shrinkToFit="0" vertical="center" wrapText="1"/>
    </xf>
    <xf borderId="0" fillId="51" fontId="2" numFmtId="0" xfId="0" applyAlignment="1" applyFont="1">
      <alignment horizontal="center" shrinkToFit="0" vertical="center" wrapText="1"/>
    </xf>
    <xf borderId="0" fillId="52" fontId="2" numFmtId="0" xfId="0" applyAlignment="1" applyFill="1" applyFont="1">
      <alignment horizontal="center" readingOrder="0" shrinkToFit="0" vertical="center" wrapText="1"/>
    </xf>
    <xf borderId="0" fillId="52" fontId="2" numFmtId="0" xfId="0" applyAlignment="1" applyFont="1">
      <alignment horizontal="center" shrinkToFit="0" vertical="center" wrapText="1"/>
    </xf>
    <xf borderId="0" fillId="48" fontId="151" numFmtId="0" xfId="0" applyAlignment="1" applyFont="1">
      <alignment horizontal="center" readingOrder="0" shrinkToFit="0" vertical="center" wrapText="1"/>
    </xf>
    <xf borderId="0" fillId="3" fontId="152" numFmtId="0" xfId="0" applyAlignment="1" applyFont="1">
      <alignment horizontal="center" readingOrder="0" shrinkToFit="0" vertical="center" wrapText="1"/>
    </xf>
    <xf borderId="0" fillId="53" fontId="151" numFmtId="0" xfId="0" applyAlignment="1" applyFill="1" applyFont="1">
      <alignment horizontal="center" readingOrder="0" shrinkToFit="0" vertical="center" wrapText="1"/>
    </xf>
    <xf borderId="0" fillId="53" fontId="2" numFmtId="0" xfId="0" applyAlignment="1" applyFont="1">
      <alignment horizontal="center" shrinkToFit="0" vertical="center" wrapText="1"/>
    </xf>
    <xf borderId="0" fillId="54" fontId="151" numFmtId="0" xfId="0" applyAlignment="1" applyFill="1" applyFont="1">
      <alignment horizontal="center" readingOrder="0" shrinkToFit="0" vertical="center" wrapText="1"/>
    </xf>
    <xf borderId="0" fillId="54" fontId="2" numFmtId="0" xfId="0" applyAlignment="1" applyFont="1">
      <alignment horizontal="center" shrinkToFit="0" vertical="center" wrapText="1"/>
    </xf>
    <xf borderId="0" fillId="54" fontId="2" numFmtId="0" xfId="0" applyAlignment="1" applyFont="1">
      <alignment horizontal="center" readingOrder="0" shrinkToFit="0" vertical="center" wrapText="1"/>
    </xf>
    <xf borderId="0" fillId="55" fontId="151" numFmtId="0" xfId="0" applyAlignment="1" applyFill="1" applyFont="1">
      <alignment horizontal="center" readingOrder="0" shrinkToFit="0" vertical="center" wrapText="1"/>
    </xf>
    <xf borderId="0" fillId="55" fontId="2" numFmtId="0" xfId="0" applyAlignment="1" applyFont="1">
      <alignment horizontal="center" readingOrder="0" shrinkToFit="0" vertical="center" wrapText="1"/>
    </xf>
    <xf borderId="0" fillId="55" fontId="2" numFmtId="0" xfId="0" applyAlignment="1" applyFont="1">
      <alignment horizontal="center" shrinkToFit="0" vertical="center" wrapText="1"/>
    </xf>
    <xf borderId="0" fillId="56" fontId="151" numFmtId="0" xfId="0" applyAlignment="1" applyFill="1" applyFont="1">
      <alignment horizontal="center" readingOrder="0" shrinkToFit="0" vertical="center" wrapText="1"/>
    </xf>
    <xf borderId="0" fillId="57" fontId="151" numFmtId="0" xfId="0" applyAlignment="1" applyFill="1" applyFont="1">
      <alignment horizontal="center" readingOrder="0" shrinkToFit="0" vertical="center" wrapText="1"/>
    </xf>
    <xf borderId="0" fillId="58" fontId="151" numFmtId="0" xfId="0" applyAlignment="1" applyFill="1" applyFont="1">
      <alignment horizontal="center" readingOrder="0" shrinkToFit="0" vertical="center" wrapText="1"/>
    </xf>
    <xf borderId="0" fillId="59" fontId="151" numFmtId="0" xfId="0" applyAlignment="1" applyFill="1" applyFont="1">
      <alignment horizontal="center" readingOrder="0" shrinkToFit="0" vertical="center" wrapText="1"/>
    </xf>
    <xf borderId="0" fillId="59" fontId="2" numFmtId="0" xfId="0" applyAlignment="1" applyFont="1">
      <alignment horizontal="center" readingOrder="0" shrinkToFit="0" vertical="center" wrapText="1"/>
    </xf>
    <xf borderId="0" fillId="59" fontId="2" numFmtId="0" xfId="0" applyAlignment="1" applyFont="1">
      <alignment horizontal="center" shrinkToFit="0" vertical="center" wrapText="1"/>
    </xf>
    <xf borderId="0" fillId="60" fontId="151" numFmtId="0" xfId="0" applyAlignment="1" applyFill="1" applyFont="1">
      <alignment horizontal="center" readingOrder="0" shrinkToFit="0" vertical="center" wrapText="1"/>
    </xf>
    <xf borderId="279" fillId="3" fontId="94" numFmtId="0" xfId="0" applyAlignment="1" applyBorder="1" applyFont="1">
      <alignment horizontal="center" readingOrder="0" shrinkToFit="0" vertical="center" wrapText="1"/>
    </xf>
    <xf borderId="280" fillId="3" fontId="94" numFmtId="0" xfId="0" applyAlignment="1" applyBorder="1" applyFont="1">
      <alignment horizontal="center" readingOrder="0" shrinkToFit="0" vertical="center" wrapText="1"/>
    </xf>
    <xf borderId="281" fillId="3" fontId="94" numFmtId="0" xfId="0" applyAlignment="1" applyBorder="1" applyFont="1">
      <alignment horizontal="center" readingOrder="0" shrinkToFit="0" vertical="center" wrapText="1"/>
    </xf>
    <xf borderId="0" fillId="0" fontId="151" numFmtId="0" xfId="0" applyAlignment="1" applyFont="1">
      <alignment horizontal="center" shrinkToFit="0" vertical="center" wrapText="1"/>
    </xf>
    <xf borderId="0" fillId="3" fontId="153" numFmtId="0" xfId="0" applyAlignment="1" applyFont="1">
      <alignment horizontal="center" readingOrder="0" shrinkToFit="0" vertical="center" wrapText="1"/>
    </xf>
    <xf borderId="83" fillId="3" fontId="94" numFmtId="0" xfId="0" applyAlignment="1" applyBorder="1" applyFont="1">
      <alignment horizontal="center" readingOrder="0" shrinkToFit="0" vertical="center" wrapText="1"/>
    </xf>
    <xf borderId="83" fillId="3" fontId="6" numFmtId="0" xfId="0" applyAlignment="1" applyBorder="1" applyFont="1">
      <alignment shrinkToFit="0" wrapText="1"/>
    </xf>
    <xf borderId="278" fillId="3" fontId="6" numFmtId="0" xfId="0" applyAlignment="1" applyBorder="1" applyFont="1">
      <alignment shrinkToFit="0" wrapText="1"/>
    </xf>
    <xf borderId="0" fillId="4" fontId="151" numFmtId="0" xfId="0" applyAlignment="1" applyFont="1">
      <alignment horizontal="center" readingOrder="0" shrinkToFit="0" vertical="center" wrapText="1"/>
    </xf>
    <xf borderId="0" fillId="31" fontId="151" numFmtId="0" xfId="0" applyAlignment="1" applyFont="1">
      <alignment horizontal="center" readingOrder="0" shrinkToFit="0" vertical="center" wrapText="1"/>
    </xf>
    <xf borderId="0" fillId="4" fontId="2" numFmtId="0" xfId="0" applyAlignment="1" applyFont="1">
      <alignment horizontal="center" readingOrder="0" shrinkToFit="0" vertical="center" wrapText="1"/>
    </xf>
    <xf borderId="0" fillId="31" fontId="2" numFmtId="0" xfId="0" applyAlignment="1" applyFont="1">
      <alignment horizontal="center" readingOrder="0" shrinkToFit="0" vertical="center" wrapText="1"/>
    </xf>
    <xf borderId="0" fillId="4" fontId="151" numFmtId="0" xfId="0" applyAlignment="1" applyFont="1">
      <alignment horizontal="center" shrinkToFit="0" vertical="center" wrapText="1"/>
    </xf>
    <xf borderId="0" fillId="49" fontId="151" numFmtId="0" xfId="0" applyAlignment="1" applyFont="1">
      <alignment horizontal="center" readingOrder="0" shrinkToFit="0" vertical="center" wrapText="1"/>
    </xf>
    <xf borderId="0" fillId="28" fontId="151" numFmtId="0" xfId="0" applyAlignment="1" applyFont="1">
      <alignment horizontal="center" readingOrder="0" shrinkToFit="0" vertical="center" wrapText="1"/>
    </xf>
    <xf borderId="0" fillId="47" fontId="151" numFmtId="0" xfId="0" applyAlignment="1" applyFont="1">
      <alignment horizontal="center" readingOrder="0" shrinkToFit="0" vertical="center" wrapText="1"/>
    </xf>
    <xf borderId="0" fillId="61" fontId="151" numFmtId="0" xfId="0" applyAlignment="1" applyFill="1" applyFont="1">
      <alignment horizontal="center" readingOrder="0" shrinkToFit="0" vertical="center" wrapText="1"/>
    </xf>
    <xf borderId="0" fillId="31" fontId="151" numFmtId="0" xfId="0" applyAlignment="1" applyFont="1">
      <alignment horizontal="center" shrinkToFit="0" vertical="center" wrapText="1"/>
    </xf>
    <xf borderId="98" fillId="3" fontId="94" numFmtId="0" xfId="0" applyAlignment="1" applyBorder="1" applyFont="1">
      <alignment horizontal="left" readingOrder="0" shrinkToFit="0" vertical="center" wrapText="1"/>
    </xf>
    <xf borderId="0" fillId="0" fontId="151" numFmtId="0" xfId="0" applyAlignment="1" applyFont="1">
      <alignment horizontal="left" readingOrder="0" shrinkToFit="0" vertical="center" wrapText="1"/>
    </xf>
    <xf borderId="0" fillId="14" fontId="151" numFmtId="0" xfId="0" applyAlignment="1" applyFont="1">
      <alignment horizontal="left" readingOrder="0" shrinkToFit="0" vertical="center" wrapText="1"/>
    </xf>
    <xf borderId="0" fillId="49" fontId="151" numFmtId="0" xfId="0" applyAlignment="1" applyFont="1">
      <alignment horizontal="left" readingOrder="0" shrinkToFit="0" vertical="center" wrapText="1"/>
    </xf>
    <xf borderId="0" fillId="35" fontId="151" numFmtId="0" xfId="0" applyAlignment="1" applyFont="1">
      <alignment horizontal="left" readingOrder="0" shrinkToFit="0" vertical="center" wrapText="1"/>
    </xf>
    <xf borderId="0" fillId="36" fontId="151" numFmtId="0" xfId="0" applyAlignment="1" applyFont="1">
      <alignment horizontal="left" readingOrder="0" shrinkToFit="0" vertical="center" wrapText="1"/>
    </xf>
    <xf borderId="0" fillId="37" fontId="151" numFmtId="0" xfId="0" applyAlignment="1" applyFont="1">
      <alignment horizontal="left" readingOrder="0" shrinkToFit="0" vertical="center" wrapText="1"/>
    </xf>
    <xf borderId="0" fillId="28" fontId="151" numFmtId="0" xfId="0" applyAlignment="1" applyFont="1">
      <alignment horizontal="left" readingOrder="0" shrinkToFit="0" vertical="center" wrapText="1"/>
    </xf>
    <xf borderId="0" fillId="38" fontId="151" numFmtId="0" xfId="0" applyAlignment="1" applyFont="1">
      <alignment horizontal="left" readingOrder="0" shrinkToFit="0" vertical="center" wrapText="1"/>
    </xf>
    <xf borderId="0" fillId="34" fontId="151" numFmtId="0" xfId="0" applyAlignment="1" applyFont="1">
      <alignment horizontal="left" readingOrder="0" shrinkToFit="0" vertical="center" wrapText="1"/>
    </xf>
    <xf borderId="0" fillId="42" fontId="151" numFmtId="0" xfId="0" applyAlignment="1" applyFont="1">
      <alignment horizontal="left" readingOrder="0" shrinkToFit="0" vertical="center" wrapText="1"/>
    </xf>
    <xf borderId="0" fillId="17" fontId="151" numFmtId="0" xfId="0" applyAlignment="1" applyFont="1">
      <alignment horizontal="left" readingOrder="0" shrinkToFit="0" vertical="center" wrapText="1"/>
    </xf>
    <xf borderId="0" fillId="16" fontId="151" numFmtId="0" xfId="0" applyAlignment="1" applyFont="1">
      <alignment horizontal="left" readingOrder="0" shrinkToFit="0" vertical="center" wrapText="1"/>
    </xf>
    <xf borderId="0" fillId="39" fontId="151" numFmtId="0" xfId="0" applyAlignment="1" applyFont="1">
      <alignment horizontal="left" readingOrder="0" shrinkToFit="0" vertical="center" wrapText="1"/>
    </xf>
    <xf borderId="0" fillId="61" fontId="151" numFmtId="0" xfId="0" applyAlignment="1" applyFont="1">
      <alignment horizontal="left" readingOrder="0" shrinkToFit="0" vertical="center" wrapText="1"/>
    </xf>
    <xf borderId="0" fillId="10" fontId="151" numFmtId="0" xfId="0" applyAlignment="1" applyFont="1">
      <alignment horizontal="left" readingOrder="0" shrinkToFit="0" vertical="center" wrapText="1"/>
    </xf>
    <xf borderId="0" fillId="3" fontId="154" numFmtId="0" xfId="0" applyAlignment="1" applyFont="1">
      <alignment horizontal="left" readingOrder="0" shrinkToFit="0" vertical="center" wrapText="1"/>
    </xf>
    <xf borderId="0" fillId="62" fontId="151" numFmtId="0" xfId="0" applyAlignment="1" applyFill="1" applyFont="1">
      <alignment horizontal="left" readingOrder="0" shrinkToFit="0" vertical="center" wrapText="1"/>
    </xf>
    <xf borderId="0" fillId="47" fontId="151" numFmtId="0" xfId="0" applyAlignment="1" applyFont="1">
      <alignment horizontal="left" readingOrder="0" shrinkToFit="0" vertical="center" wrapText="1"/>
    </xf>
    <xf borderId="278" fillId="3" fontId="154" numFmtId="0" xfId="0" applyAlignment="1" applyBorder="1" applyFont="1">
      <alignment horizontal="left" readingOrder="0" shrinkToFit="0" vertical="center" wrapText="1"/>
    </xf>
    <xf borderId="0" fillId="0" fontId="151" numFmtId="0" xfId="0" applyAlignment="1" applyFont="1">
      <alignment horizontal="left" shrinkToFit="0" vertical="center" wrapText="1"/>
    </xf>
    <xf borderId="0" fillId="63" fontId="151" numFmtId="0" xfId="0" applyAlignment="1" applyFill="1" applyFont="1">
      <alignment horizontal="left" readingOrder="0" shrinkToFit="0" vertical="center" wrapText="1"/>
    </xf>
    <xf borderId="0" fillId="56" fontId="151" numFmtId="0" xfId="0" applyAlignment="1" applyFont="1">
      <alignment horizontal="left" readingOrder="0" shrinkToFit="0" vertical="center" wrapText="1"/>
    </xf>
    <xf borderId="0" fillId="64" fontId="151" numFmtId="0" xfId="0" applyAlignment="1" applyFill="1" applyFont="1">
      <alignment horizontal="left" readingOrder="0" shrinkToFit="0" vertical="center" wrapText="1"/>
    </xf>
    <xf borderId="0" fillId="41" fontId="151" numFmtId="0" xfId="0" applyAlignment="1" applyFont="1">
      <alignment horizontal="left" readingOrder="0" shrinkToFit="0" vertical="center" wrapText="1"/>
    </xf>
    <xf borderId="278" fillId="3" fontId="94" numFmtId="0" xfId="0" applyAlignment="1" applyBorder="1" applyFont="1">
      <alignment horizontal="left" readingOrder="0" shrinkToFit="0" vertical="center" wrapText="1"/>
    </xf>
    <xf borderId="0" fillId="24" fontId="155" numFmtId="0" xfId="0" applyAlignment="1" applyFont="1">
      <alignment shrinkToFit="0" wrapText="1"/>
    </xf>
    <xf borderId="0" fillId="24" fontId="156" numFmtId="0" xfId="0" applyAlignment="1" applyFont="1">
      <alignment shrinkToFit="0" wrapText="1"/>
    </xf>
    <xf borderId="0" fillId="4" fontId="155" numFmtId="0" xfId="0" applyAlignment="1" applyFont="1">
      <alignment shrinkToFit="0" wrapText="1"/>
    </xf>
    <xf borderId="282" fillId="46" fontId="1" numFmtId="0" xfId="0" applyAlignment="1" applyBorder="1" applyFont="1">
      <alignment shrinkToFit="0" wrapText="1"/>
    </xf>
    <xf borderId="283" fillId="46" fontId="1" numFmtId="0" xfId="0" applyAlignment="1" applyBorder="1" applyFont="1">
      <alignment shrinkToFit="0" wrapText="1"/>
    </xf>
    <xf borderId="283" fillId="46" fontId="2" numFmtId="0" xfId="0" applyAlignment="1" applyBorder="1" applyFont="1">
      <alignment shrinkToFit="0" wrapText="1"/>
    </xf>
    <xf borderId="284" fillId="46" fontId="1" numFmtId="0" xfId="0" applyAlignment="1" applyBorder="1" applyFont="1">
      <alignment shrinkToFit="0" wrapText="1"/>
    </xf>
    <xf borderId="285" fillId="3" fontId="148" numFmtId="0" xfId="0" applyAlignment="1" applyBorder="1" applyFont="1">
      <alignment horizontal="left" readingOrder="0" shrinkToFit="0" vertical="center" wrapText="0"/>
    </xf>
    <xf borderId="0" fillId="4" fontId="155" numFmtId="0" xfId="0" applyAlignment="1" applyFont="1">
      <alignment shrinkToFit="0" vertical="center" wrapText="1"/>
    </xf>
    <xf borderId="11" fillId="3" fontId="148" numFmtId="0" xfId="0" applyAlignment="1" applyBorder="1" applyFont="1">
      <alignment horizontal="left" readingOrder="0" shrinkToFit="0" vertical="center" wrapText="0"/>
    </xf>
    <xf borderId="286" fillId="46" fontId="1" numFmtId="0" xfId="0" applyAlignment="1" applyBorder="1" applyFont="1">
      <alignment shrinkToFit="0" wrapText="1"/>
    </xf>
    <xf borderId="287" fillId="46" fontId="1" numFmtId="0" xfId="0" applyAlignment="1" applyBorder="1" applyFont="1">
      <alignment shrinkToFit="0" wrapText="1"/>
    </xf>
    <xf borderId="288" fillId="46" fontId="157" numFmtId="0" xfId="0" applyAlignment="1" applyBorder="1" applyFont="1">
      <alignment horizontal="center" readingOrder="0" shrinkToFit="0" wrapText="1"/>
    </xf>
    <xf borderId="289" fillId="0" fontId="6" numFmtId="0" xfId="0" applyAlignment="1" applyBorder="1" applyFont="1">
      <alignment shrinkToFit="0" wrapText="1"/>
    </xf>
    <xf borderId="287" fillId="46" fontId="2" numFmtId="0" xfId="0" applyAlignment="1" applyBorder="1" applyFont="1">
      <alignment shrinkToFit="0" wrapText="1"/>
    </xf>
    <xf borderId="287" fillId="46" fontId="2" numFmtId="0" xfId="0" applyAlignment="1" applyBorder="1" applyFont="1">
      <alignment horizontal="center" shrinkToFit="0" wrapText="1"/>
    </xf>
    <xf borderId="290" fillId="46" fontId="157" numFmtId="0" xfId="0" applyAlignment="1" applyBorder="1" applyFont="1">
      <alignment horizontal="center" readingOrder="0" shrinkToFit="0" vertical="center" wrapText="1"/>
    </xf>
    <xf borderId="290" fillId="46" fontId="2" numFmtId="0" xfId="0" applyAlignment="1" applyBorder="1" applyFont="1">
      <alignment shrinkToFit="0" wrapText="1"/>
    </xf>
    <xf borderId="291" fillId="46" fontId="1" numFmtId="0" xfId="0" applyAlignment="1" applyBorder="1" applyFont="1">
      <alignment shrinkToFit="0" wrapText="1"/>
    </xf>
    <xf borderId="14" fillId="0" fontId="144" numFmtId="0" xfId="0" applyAlignment="1" applyBorder="1" applyFont="1">
      <alignment horizontal="left" readingOrder="0" shrinkToFit="0" vertical="center" wrapText="0"/>
    </xf>
    <xf borderId="287" fillId="46" fontId="158" numFmtId="0" xfId="0" applyAlignment="1" applyBorder="1" applyFont="1">
      <alignment readingOrder="0" shrinkToFit="0" vertical="top" wrapText="0"/>
    </xf>
    <xf borderId="292" fillId="0" fontId="6" numFmtId="0" xfId="0" applyAlignment="1" applyBorder="1" applyFont="1">
      <alignment shrinkToFit="0" wrapText="1"/>
    </xf>
    <xf borderId="293" fillId="0" fontId="6" numFmtId="0" xfId="0" applyAlignment="1" applyBorder="1" applyFont="1">
      <alignment shrinkToFit="0" wrapText="1"/>
    </xf>
    <xf borderId="287" fillId="46" fontId="158" numFmtId="0" xfId="0" applyAlignment="1" applyBorder="1" applyFont="1">
      <alignment horizontal="right" readingOrder="0" shrinkToFit="0" vertical="top" wrapText="1"/>
    </xf>
    <xf borderId="294" fillId="0" fontId="6" numFmtId="0" xfId="0" applyAlignment="1" applyBorder="1" applyFont="1">
      <alignment shrinkToFit="0" wrapText="1"/>
    </xf>
    <xf borderId="290" fillId="46" fontId="1" numFmtId="0" xfId="0" applyAlignment="1" applyBorder="1" applyFont="1">
      <alignment shrinkToFit="0" wrapText="1"/>
    </xf>
    <xf borderId="295" fillId="46" fontId="2" numFmtId="0" xfId="0" applyAlignment="1" applyBorder="1" applyFont="1">
      <alignment shrinkToFit="0" wrapText="1"/>
    </xf>
    <xf borderId="296" fillId="46" fontId="2" numFmtId="0" xfId="0" applyAlignment="1" applyBorder="1" applyFont="1">
      <alignment shrinkToFit="0" wrapText="1"/>
    </xf>
    <xf borderId="296" fillId="46" fontId="158" numFmtId="0" xfId="0" applyAlignment="1" applyBorder="1" applyFont="1">
      <alignment horizontal="center" readingOrder="0" shrinkToFit="0" vertical="top" wrapText="1"/>
    </xf>
    <xf borderId="297" fillId="46" fontId="1" numFmtId="0" xfId="0" applyAlignment="1" applyBorder="1" applyFont="1">
      <alignment shrinkToFit="0" wrapText="1"/>
    </xf>
    <xf borderId="298" fillId="65" fontId="159" numFmtId="0" xfId="0" applyAlignment="1" applyBorder="1" applyFill="1" applyFont="1">
      <alignment readingOrder="0" shrinkToFit="0" wrapText="1"/>
    </xf>
    <xf borderId="299" fillId="0" fontId="6" numFmtId="0" xfId="0" applyAlignment="1" applyBorder="1" applyFont="1">
      <alignment shrinkToFit="0" wrapText="1"/>
    </xf>
    <xf borderId="300" fillId="46" fontId="2" numFmtId="0" xfId="0" applyAlignment="1" applyBorder="1" applyFont="1">
      <alignment shrinkToFit="0" wrapText="1"/>
    </xf>
    <xf borderId="288" fillId="46" fontId="2" numFmtId="0" xfId="0" applyAlignment="1" applyBorder="1" applyFont="1">
      <alignment shrinkToFit="0" wrapText="1"/>
    </xf>
    <xf borderId="301" fillId="3" fontId="10" numFmtId="0" xfId="0" applyAlignment="1" applyBorder="1" applyFont="1">
      <alignment horizontal="center" readingOrder="0" shrinkToFit="0" wrapText="1"/>
    </xf>
    <xf borderId="296" fillId="3" fontId="10" numFmtId="0" xfId="0" applyAlignment="1" applyBorder="1" applyFont="1">
      <alignment horizontal="center" readingOrder="0" shrinkToFit="0" wrapText="1"/>
    </xf>
    <xf borderId="302" fillId="3" fontId="10" numFmtId="0" xfId="0" applyAlignment="1" applyBorder="1" applyFont="1">
      <alignment horizontal="center" readingOrder="0" shrinkToFit="0" wrapText="1"/>
    </xf>
    <xf borderId="303" fillId="0" fontId="6" numFmtId="0" xfId="0" applyAlignment="1" applyBorder="1" applyFont="1">
      <alignment shrinkToFit="0" wrapText="1"/>
    </xf>
    <xf borderId="304" fillId="0" fontId="6" numFmtId="0" xfId="0" applyAlignment="1" applyBorder="1" applyFont="1">
      <alignment shrinkToFit="0" wrapText="1"/>
    </xf>
    <xf borderId="305" fillId="46" fontId="1" numFmtId="0" xfId="0" applyAlignment="1" applyBorder="1" applyFont="1">
      <alignment shrinkToFit="0" wrapText="1"/>
    </xf>
    <xf borderId="306" fillId="0" fontId="144" numFmtId="0" xfId="0" applyAlignment="1" applyBorder="1" applyFont="1">
      <alignment horizontal="left" readingOrder="0" shrinkToFit="0" vertical="center" wrapText="0"/>
    </xf>
    <xf borderId="307" fillId="66" fontId="10" numFmtId="0" xfId="0" applyAlignment="1" applyBorder="1" applyFill="1" applyFont="1">
      <alignment horizontal="center" readingOrder="0" shrinkToFit="0" vertical="center" wrapText="1"/>
    </xf>
    <xf borderId="308" fillId="8" fontId="2" numFmtId="0" xfId="0" applyAlignment="1" applyBorder="1" applyFont="1">
      <alignment horizontal="center" readingOrder="0" shrinkToFit="0" vertical="center" wrapText="1"/>
    </xf>
    <xf borderId="309" fillId="8" fontId="2" numFmtId="0" xfId="0" applyAlignment="1" applyBorder="1" applyFont="1">
      <alignment shrinkToFit="0" vertical="center" wrapText="1"/>
    </xf>
    <xf borderId="310" fillId="0" fontId="6" numFmtId="0" xfId="0" applyAlignment="1" applyBorder="1" applyFont="1">
      <alignment shrinkToFit="0" wrapText="1"/>
    </xf>
    <xf borderId="311" fillId="0" fontId="6" numFmtId="0" xfId="0" applyAlignment="1" applyBorder="1" applyFont="1">
      <alignment shrinkToFit="0" wrapText="1"/>
    </xf>
    <xf borderId="312" fillId="4" fontId="2" numFmtId="0" xfId="0" applyAlignment="1" applyBorder="1" applyFont="1">
      <alignment horizontal="center" readingOrder="0" shrinkToFit="0" vertical="center" wrapText="1"/>
    </xf>
    <xf borderId="313" fillId="4" fontId="2" numFmtId="0" xfId="0" applyAlignment="1" applyBorder="1" applyFont="1">
      <alignment shrinkToFit="0" vertical="center" wrapText="1"/>
    </xf>
    <xf borderId="314" fillId="0" fontId="6" numFmtId="0" xfId="0" applyAlignment="1" applyBorder="1" applyFont="1">
      <alignment shrinkToFit="0" wrapText="1"/>
    </xf>
    <xf borderId="315" fillId="0" fontId="6" numFmtId="0" xfId="0" applyAlignment="1" applyBorder="1" applyFont="1">
      <alignment shrinkToFit="0" wrapText="1"/>
    </xf>
    <xf borderId="316" fillId="66" fontId="10" numFmtId="0" xfId="0" applyAlignment="1" applyBorder="1" applyFont="1">
      <alignment horizontal="center" readingOrder="0" shrinkToFit="0" vertical="center" wrapText="1"/>
    </xf>
    <xf borderId="317" fillId="8" fontId="2" numFmtId="0" xfId="0" applyAlignment="1" applyBorder="1" applyFont="1">
      <alignment horizontal="center" shrinkToFit="0" vertical="center" wrapText="1"/>
    </xf>
    <xf borderId="318" fillId="8" fontId="2" numFmtId="0" xfId="0" applyAlignment="1" applyBorder="1" applyFont="1">
      <alignment shrinkToFit="0" vertical="center" wrapText="1"/>
    </xf>
    <xf borderId="319" fillId="0" fontId="6" numFmtId="0" xfId="0" applyAlignment="1" applyBorder="1" applyFont="1">
      <alignment shrinkToFit="0" wrapText="1"/>
    </xf>
    <xf borderId="320" fillId="0" fontId="6" numFmtId="0" xfId="0" applyAlignment="1" applyBorder="1" applyFont="1">
      <alignment shrinkToFit="0" wrapText="1"/>
    </xf>
    <xf borderId="296" fillId="46" fontId="1" numFmtId="0" xfId="0" applyAlignment="1" applyBorder="1" applyFont="1">
      <alignment shrinkToFit="0" wrapText="1"/>
    </xf>
    <xf borderId="308" fillId="8" fontId="2" numFmtId="0" xfId="0" applyAlignment="1" applyBorder="1" applyFont="1">
      <alignment horizontal="center" shrinkToFit="0" vertical="center" wrapText="1"/>
    </xf>
    <xf borderId="312" fillId="4" fontId="2" numFmtId="0" xfId="0" applyAlignment="1" applyBorder="1" applyFont="1">
      <alignment horizontal="center" shrinkToFit="0" vertical="center" wrapText="1"/>
    </xf>
    <xf borderId="0" fillId="4" fontId="155" numFmtId="0" xfId="0" applyAlignment="1" applyFont="1">
      <alignment readingOrder="0" shrinkToFit="0" vertical="center" wrapText="1"/>
    </xf>
    <xf borderId="321" fillId="46" fontId="1" numFmtId="0" xfId="0" applyAlignment="1" applyBorder="1" applyFont="1">
      <alignment shrinkToFit="0" wrapText="1"/>
    </xf>
    <xf borderId="322" fillId="46" fontId="1" numFmtId="0" xfId="0" applyAlignment="1" applyBorder="1" applyFont="1">
      <alignment shrinkToFit="0" wrapText="1"/>
    </xf>
    <xf borderId="323" fillId="46" fontId="1" numFmtId="0" xfId="0" applyAlignment="1" applyBorder="1" applyFont="1">
      <alignment shrinkToFit="0" wrapText="1"/>
    </xf>
    <xf borderId="324" fillId="46" fontId="1" numFmtId="0" xfId="0" applyAlignment="1" applyBorder="1" applyFont="1">
      <alignment shrinkToFit="0" wrapText="1"/>
    </xf>
    <xf borderId="324" fillId="46" fontId="2" numFmtId="0" xfId="0" applyAlignment="1" applyBorder="1" applyFont="1">
      <alignment shrinkToFit="0" wrapText="1"/>
    </xf>
    <xf borderId="325" fillId="46" fontId="1" numFmtId="0" xfId="0" applyAlignment="1" applyBorder="1" applyFont="1">
      <alignment shrinkToFit="0" wrapText="1"/>
    </xf>
    <xf borderId="326" fillId="3" fontId="94" numFmtId="0" xfId="0" applyAlignment="1" applyBorder="1" applyFont="1">
      <alignment horizontal="center" readingOrder="0" shrinkToFit="0" vertical="center" wrapText="1"/>
    </xf>
    <xf borderId="133" fillId="3" fontId="160" numFmtId="0" xfId="0" applyAlignment="1" applyBorder="1" applyFont="1">
      <alignment horizontal="center" readingOrder="0" shrinkToFit="0" vertical="center" wrapText="0"/>
    </xf>
    <xf borderId="14" fillId="3" fontId="161" numFmtId="0" xfId="0" applyAlignment="1" applyBorder="1" applyFont="1">
      <alignment horizontal="center" readingOrder="0" shrinkToFit="0" vertical="center" wrapText="0"/>
    </xf>
    <xf borderId="14" fillId="3" fontId="160" numFmtId="0" xfId="0" applyAlignment="1" applyBorder="1" applyFont="1">
      <alignment horizontal="center" readingOrder="0" shrinkToFit="0" vertical="center" wrapText="0"/>
    </xf>
    <xf borderId="18" fillId="3" fontId="160" numFmtId="0" xfId="0" applyAlignment="1" applyBorder="1" applyFont="1">
      <alignment horizontal="center" readingOrder="0" shrinkToFit="0" vertical="center" wrapText="0"/>
    </xf>
    <xf borderId="298" fillId="3" fontId="94" numFmtId="0" xfId="0" applyAlignment="1" applyBorder="1" applyFont="1">
      <alignment horizontal="left" readingOrder="0" shrinkToFit="0" vertical="center" wrapText="1"/>
    </xf>
    <xf borderId="327" fillId="4" fontId="6" numFmtId="0" xfId="0" applyAlignment="1" applyBorder="1" applyFont="1">
      <alignment shrinkToFit="0" wrapText="1"/>
    </xf>
    <xf borderId="299" fillId="4" fontId="6" numFmtId="0" xfId="0" applyAlignment="1" applyBorder="1" applyFont="1">
      <alignment shrinkToFit="0" wrapText="1"/>
    </xf>
    <xf borderId="327" fillId="31" fontId="6" numFmtId="0" xfId="0" applyAlignment="1" applyBorder="1" applyFont="1">
      <alignment shrinkToFit="0" wrapText="1"/>
    </xf>
    <xf borderId="299" fillId="31" fontId="6" numFmtId="0" xfId="0" applyAlignment="1" applyBorder="1" applyFont="1">
      <alignment shrinkToFit="0" wrapText="1"/>
    </xf>
    <xf borderId="0" fillId="2" fontId="1" numFmtId="0" xfId="0" applyAlignment="1" applyFont="1">
      <alignment horizontal="center" shrinkToFit="0" vertical="center" wrapText="1"/>
    </xf>
    <xf borderId="14" fillId="2" fontId="162" numFmtId="0" xfId="0" applyAlignment="1" applyBorder="1" applyFont="1">
      <alignment horizontal="center" readingOrder="0" shrinkToFit="0" vertical="center" wrapText="1"/>
    </xf>
    <xf borderId="11" fillId="7" fontId="163" numFmtId="0" xfId="0" applyAlignment="1" applyBorder="1" applyFont="1">
      <alignment horizontal="center" shrinkToFit="0" vertical="center" wrapText="1"/>
    </xf>
    <xf borderId="328" fillId="0" fontId="6" numFmtId="0" xfId="0" applyAlignment="1" applyBorder="1" applyFont="1">
      <alignment shrinkToFit="0" wrapText="1"/>
    </xf>
    <xf borderId="329" fillId="7" fontId="132" numFmtId="0" xfId="0" applyAlignment="1" applyBorder="1" applyFont="1">
      <alignment horizontal="center" shrinkToFit="0" vertical="center" wrapText="1"/>
    </xf>
    <xf borderId="329" fillId="7" fontId="163" numFmtId="0" xfId="0" applyAlignment="1" applyBorder="1" applyFont="1">
      <alignment horizontal="center" shrinkToFit="0" vertical="center" wrapText="1"/>
    </xf>
    <xf borderId="14" fillId="2" fontId="106" numFmtId="0" xfId="0" applyAlignment="1" applyBorder="1" applyFont="1">
      <alignment horizontal="center" shrinkToFit="0" vertical="center" wrapText="1"/>
    </xf>
    <xf borderId="52" fillId="2" fontId="106" numFmtId="0" xfId="0" applyAlignment="1" applyBorder="1" applyFont="1">
      <alignment horizontal="center" shrinkToFit="0" vertical="center" wrapText="1"/>
    </xf>
    <xf borderId="11" fillId="7" fontId="163" numFmtId="0" xfId="0" applyAlignment="1" applyBorder="1" applyFont="1">
      <alignment horizontal="center" readingOrder="0" shrinkToFit="0" vertical="center" wrapText="1"/>
    </xf>
    <xf borderId="0" fillId="24" fontId="163" numFmtId="0" xfId="0" applyAlignment="1" applyFont="1">
      <alignment horizontal="center" shrinkToFit="0" vertical="center" wrapText="1"/>
    </xf>
    <xf borderId="11" fillId="67" fontId="109" numFmtId="0" xfId="0" applyAlignment="1" applyBorder="1" applyFill="1" applyFont="1">
      <alignment horizontal="center" readingOrder="0" shrinkToFit="0" vertical="center" wrapText="1"/>
    </xf>
    <xf borderId="11" fillId="16" fontId="109" numFmtId="0" xfId="0" applyAlignment="1" applyBorder="1" applyFont="1">
      <alignment horizontal="center" readingOrder="0" shrinkToFit="0" vertical="center" wrapText="1"/>
    </xf>
    <xf borderId="11" fillId="25" fontId="109" numFmtId="0" xfId="0" applyAlignment="1" applyBorder="1" applyFont="1">
      <alignment horizontal="center" shrinkToFit="0" vertical="center" wrapText="1"/>
    </xf>
    <xf borderId="11" fillId="3" fontId="164" numFmtId="0" xfId="0" applyAlignment="1" applyBorder="1" applyFont="1">
      <alignment horizontal="center" readingOrder="0" shrinkToFit="0" vertical="center" wrapText="1"/>
    </xf>
    <xf borderId="0" fillId="3" fontId="164" numFmtId="3" xfId="0" applyAlignment="1" applyFont="1" applyNumberFormat="1">
      <alignment horizontal="center" readingOrder="0" shrinkToFit="0" vertical="center" wrapText="1"/>
    </xf>
    <xf borderId="330" fillId="0" fontId="6" numFmtId="0" xfId="0" applyAlignment="1" applyBorder="1" applyFont="1">
      <alignment shrinkToFit="0" wrapText="1"/>
    </xf>
    <xf borderId="136" fillId="0" fontId="138" numFmtId="0" xfId="0" applyAlignment="1" applyBorder="1" applyFont="1">
      <alignment horizontal="left" readingOrder="0" shrinkToFit="0" vertical="center" wrapText="1"/>
    </xf>
    <xf borderId="331" fillId="0" fontId="6" numFmtId="0" xfId="0" applyAlignment="1" applyBorder="1" applyFont="1">
      <alignment shrinkToFit="0" wrapText="1"/>
    </xf>
    <xf borderId="136" fillId="0" fontId="109" numFmtId="0" xfId="0" applyAlignment="1" applyBorder="1" applyFont="1">
      <alignment horizontal="center" shrinkToFit="0" vertical="center" wrapText="1"/>
    </xf>
    <xf borderId="137" fillId="0" fontId="109" numFmtId="0" xfId="0" applyAlignment="1" applyBorder="1" applyFont="1">
      <alignment horizontal="center" shrinkToFit="0" vertical="center" wrapText="1"/>
    </xf>
    <xf borderId="136" fillId="6" fontId="109" numFmtId="0" xfId="0" applyAlignment="1" applyBorder="1" applyFont="1">
      <alignment horizontal="center" shrinkToFit="0" vertical="center" wrapText="1"/>
    </xf>
    <xf borderId="0" fillId="24" fontId="109" numFmtId="0" xfId="0" applyAlignment="1" applyFont="1">
      <alignment horizontal="center" shrinkToFit="0" vertical="center" wrapText="1"/>
    </xf>
    <xf borderId="11" fillId="25" fontId="145" numFmtId="0" xfId="0" applyAlignment="1" applyBorder="1" applyFont="1">
      <alignment horizontal="left" readingOrder="0" shrinkToFit="0" vertical="center" wrapText="1"/>
    </xf>
    <xf borderId="11" fillId="16" fontId="109" numFmtId="49" xfId="0" applyAlignment="1" applyBorder="1" applyFont="1" applyNumberFormat="1">
      <alignment horizontal="center" readingOrder="0" shrinkToFit="0" vertical="center" wrapText="1"/>
    </xf>
    <xf borderId="112" fillId="25" fontId="109" numFmtId="0" xfId="0" applyAlignment="1" applyBorder="1" applyFont="1">
      <alignment horizontal="center" shrinkToFit="0" vertical="center" wrapText="1"/>
    </xf>
    <xf borderId="136" fillId="0" fontId="109" numFmtId="0" xfId="0" applyAlignment="1" applyBorder="1" applyFont="1">
      <alignment horizontal="center" readingOrder="0" shrinkToFit="0" vertical="center" wrapText="1"/>
    </xf>
    <xf borderId="137" fillId="0" fontId="109" numFmtId="0" xfId="0" applyAlignment="1" applyBorder="1" applyFont="1">
      <alignment horizontal="center" readingOrder="0" shrinkToFit="0" vertical="center" wrapText="1"/>
    </xf>
    <xf borderId="52" fillId="21" fontId="165" numFmtId="3" xfId="0" applyAlignment="1" applyBorder="1" applyFont="1" applyNumberFormat="1">
      <alignment horizontal="center" readingOrder="0" shrinkToFit="0" vertical="center" wrapText="1"/>
    </xf>
    <xf borderId="45" fillId="22" fontId="165" numFmtId="3" xfId="0" applyAlignment="1" applyBorder="1" applyFont="1" applyNumberFormat="1">
      <alignment horizontal="center" readingOrder="0" shrinkToFit="0" vertical="center" wrapText="1"/>
    </xf>
    <xf borderId="45" fillId="23" fontId="165" numFmtId="3" xfId="0" applyAlignment="1" applyBorder="1" applyFont="1" applyNumberFormat="1">
      <alignment horizontal="center" readingOrder="0" shrinkToFit="0" vertical="center" wrapText="1"/>
    </xf>
    <xf borderId="41" fillId="0" fontId="138" numFmtId="0" xfId="0" applyAlignment="1" applyBorder="1" applyFont="1">
      <alignment horizontal="left" readingOrder="0" shrinkToFit="0" vertical="center" wrapText="1"/>
    </xf>
    <xf borderId="332" fillId="0" fontId="6" numFmtId="0" xfId="0" applyAlignment="1" applyBorder="1" applyFont="1">
      <alignment shrinkToFit="0" wrapText="1"/>
    </xf>
    <xf borderId="41" fillId="0" fontId="109" numFmtId="0" xfId="0" applyAlignment="1" applyBorder="1" applyFont="1">
      <alignment horizontal="center" readingOrder="0" shrinkToFit="0" vertical="center" wrapText="1"/>
    </xf>
    <xf borderId="46" fillId="0" fontId="109" numFmtId="0" xfId="0" applyAlignment="1" applyBorder="1" applyFont="1">
      <alignment horizontal="center" readingOrder="0" shrinkToFit="0" vertical="center" wrapText="1"/>
    </xf>
    <xf borderId="145" fillId="8" fontId="138" numFmtId="0" xfId="0" applyAlignment="1" applyBorder="1" applyFont="1">
      <alignment horizontal="left" shrinkToFit="0" vertical="center" wrapText="0"/>
    </xf>
    <xf borderId="145" fillId="8" fontId="109" numFmtId="0" xfId="0" applyAlignment="1" applyBorder="1" applyFont="1">
      <alignment horizontal="center" readingOrder="0" shrinkToFit="0" vertical="center" wrapText="0"/>
    </xf>
    <xf borderId="145" fillId="8" fontId="109" numFmtId="0" xfId="0" applyAlignment="1" applyBorder="1" applyFont="1">
      <alignment horizontal="center" shrinkToFit="0" vertical="center" wrapText="0"/>
    </xf>
    <xf borderId="145" fillId="6" fontId="109" numFmtId="0" xfId="0" applyAlignment="1" applyBorder="1" applyFont="1">
      <alignment horizontal="center" shrinkToFit="0" vertical="center" wrapText="1"/>
    </xf>
    <xf borderId="65" fillId="25" fontId="145" numFmtId="0" xfId="0" applyAlignment="1" applyBorder="1" applyFont="1">
      <alignment horizontal="left" readingOrder="0" shrinkToFit="0" vertical="center" wrapText="1"/>
    </xf>
    <xf borderId="65" fillId="67" fontId="109" numFmtId="0" xfId="0" applyAlignment="1" applyBorder="1" applyFont="1">
      <alignment horizontal="center" readingOrder="0" shrinkToFit="0" vertical="center" wrapText="1"/>
    </xf>
    <xf borderId="65" fillId="16" fontId="109" numFmtId="0" xfId="0" applyAlignment="1" applyBorder="1" applyFont="1">
      <alignment horizontal="center" readingOrder="0" shrinkToFit="0" vertical="center" wrapText="1"/>
    </xf>
    <xf borderId="145" fillId="8" fontId="138" numFmtId="0" xfId="0" applyAlignment="1" applyBorder="1" applyFont="1">
      <alignment horizontal="left" readingOrder="0" shrinkToFit="0" vertical="center" wrapText="0"/>
    </xf>
    <xf borderId="11" fillId="3" fontId="164" numFmtId="0" xfId="0" applyAlignment="1" applyBorder="1" applyFont="1">
      <alignment horizontal="center" readingOrder="0" shrinkToFit="0" vertical="center" wrapText="0"/>
    </xf>
    <xf borderId="12" fillId="3" fontId="164" numFmtId="0" xfId="0" applyAlignment="1" applyBorder="1" applyFont="1">
      <alignment horizontal="center" readingOrder="0" shrinkToFit="0" vertical="center" wrapText="0"/>
    </xf>
    <xf borderId="12" fillId="3" fontId="163" numFmtId="0" xfId="0" applyAlignment="1" applyBorder="1" applyFont="1">
      <alignment horizontal="center" readingOrder="0" shrinkToFit="0" vertical="center" wrapText="1"/>
    </xf>
    <xf borderId="48" fillId="8" fontId="138" numFmtId="0" xfId="0" applyAlignment="1" applyBorder="1" applyFont="1">
      <alignment horizontal="left" readingOrder="0" shrinkToFit="0" vertical="center" wrapText="0"/>
    </xf>
    <xf borderId="48" fillId="8" fontId="109" numFmtId="0" xfId="0" applyAlignment="1" applyBorder="1" applyFont="1">
      <alignment horizontal="center" readingOrder="0" shrinkToFit="0" vertical="center" wrapText="0"/>
    </xf>
    <xf borderId="168" fillId="0" fontId="138" numFmtId="0" xfId="0" applyAlignment="1" applyBorder="1" applyFont="1">
      <alignment horizontal="left" readingOrder="0" shrinkToFit="0" vertical="center" wrapText="1"/>
    </xf>
    <xf borderId="333" fillId="0" fontId="6" numFmtId="0" xfId="0" applyAlignment="1" applyBorder="1" applyFont="1">
      <alignment shrinkToFit="0" wrapText="1"/>
    </xf>
    <xf borderId="168" fillId="0" fontId="109" numFmtId="0" xfId="0" applyAlignment="1" applyBorder="1" applyFont="1">
      <alignment horizontal="center" shrinkToFit="0" vertical="center" wrapText="1"/>
    </xf>
    <xf borderId="170" fillId="0" fontId="109" numFmtId="0" xfId="0" applyAlignment="1" applyBorder="1" applyFont="1">
      <alignment horizontal="center" shrinkToFit="0" vertical="center" wrapText="1"/>
    </xf>
    <xf borderId="168" fillId="6" fontId="109" numFmtId="0" xfId="0" applyAlignment="1" applyBorder="1" applyFont="1">
      <alignment horizontal="center" shrinkToFit="0" vertical="center" wrapText="1"/>
    </xf>
    <xf borderId="168" fillId="8" fontId="138" numFmtId="0" xfId="0" applyAlignment="1" applyBorder="1" applyFont="1">
      <alignment horizontal="left" readingOrder="0" shrinkToFit="0" vertical="center" wrapText="0"/>
    </xf>
    <xf borderId="168" fillId="8" fontId="109" numFmtId="0" xfId="0" applyAlignment="1" applyBorder="1" applyFont="1">
      <alignment horizontal="center" readingOrder="0" shrinkToFit="0" vertical="center" wrapText="0"/>
    </xf>
    <xf borderId="334" fillId="6" fontId="109" numFmtId="0" xfId="0" applyAlignment="1" applyBorder="1" applyFont="1">
      <alignment horizontal="center" shrinkToFit="0" vertical="center" wrapText="1"/>
    </xf>
    <xf borderId="145" fillId="0" fontId="138" numFmtId="0" xfId="0" applyAlignment="1" applyBorder="1" applyFont="1">
      <alignment horizontal="left" shrinkToFit="0" vertical="center" wrapText="1"/>
    </xf>
    <xf borderId="335" fillId="0" fontId="6" numFmtId="0" xfId="0" applyAlignment="1" applyBorder="1" applyFont="1">
      <alignment shrinkToFit="0" wrapText="1"/>
    </xf>
    <xf borderId="145" fillId="0" fontId="109" numFmtId="0" xfId="0" applyAlignment="1" applyBorder="1" applyFont="1">
      <alignment horizontal="center" shrinkToFit="0" vertical="center" wrapText="1"/>
    </xf>
    <xf borderId="146" fillId="0" fontId="109" numFmtId="0" xfId="0" applyAlignment="1" applyBorder="1" applyFont="1">
      <alignment horizontal="center" shrinkToFit="0" vertical="center" wrapText="1"/>
    </xf>
    <xf borderId="52" fillId="68" fontId="165" numFmtId="3" xfId="0" applyAlignment="1" applyBorder="1" applyFill="1" applyFont="1" applyNumberFormat="1">
      <alignment horizontal="center" readingOrder="0" shrinkToFit="0" vertical="center" wrapText="1"/>
    </xf>
    <xf borderId="45" fillId="69" fontId="165" numFmtId="3" xfId="0" applyAlignment="1" applyBorder="1" applyFill="1" applyFont="1" applyNumberFormat="1">
      <alignment horizontal="center" readingOrder="0" shrinkToFit="0" vertical="center" wrapText="1"/>
    </xf>
    <xf borderId="45" fillId="24" fontId="166" numFmtId="4" xfId="0" applyAlignment="1" applyBorder="1" applyFont="1" applyNumberFormat="1">
      <alignment horizontal="center" shrinkToFit="0" vertical="center" wrapText="1"/>
    </xf>
    <xf borderId="48" fillId="0" fontId="138" numFmtId="0" xfId="0" applyAlignment="1" applyBorder="1" applyFont="1">
      <alignment horizontal="left" shrinkToFit="0" vertical="center" wrapText="1"/>
    </xf>
    <xf borderId="336" fillId="0" fontId="6" numFmtId="0" xfId="0" applyAlignment="1" applyBorder="1" applyFont="1">
      <alignment shrinkToFit="0" wrapText="1"/>
    </xf>
    <xf borderId="48" fillId="0" fontId="109" numFmtId="0" xfId="0" applyAlignment="1" applyBorder="1" applyFont="1">
      <alignment horizontal="center" shrinkToFit="0" vertical="center" wrapText="1"/>
    </xf>
    <xf borderId="53" fillId="0" fontId="109" numFmtId="0" xfId="0" applyAlignment="1" applyBorder="1" applyFont="1">
      <alignment horizontal="center" shrinkToFit="0" vertical="center" wrapText="1"/>
    </xf>
    <xf borderId="145" fillId="4" fontId="138" numFmtId="0" xfId="0" applyAlignment="1" applyBorder="1" applyFont="1">
      <alignment horizontal="left" shrinkToFit="0" vertical="center" wrapText="0"/>
    </xf>
    <xf borderId="145" fillId="4" fontId="109" numFmtId="0" xfId="0" applyAlignment="1" applyBorder="1" applyFont="1">
      <alignment horizontal="center" shrinkToFit="0" vertical="center" wrapText="0"/>
    </xf>
    <xf borderId="52" fillId="6" fontId="109" numFmtId="0" xfId="0" applyAlignment="1" applyBorder="1" applyFont="1">
      <alignment horizontal="center" shrinkToFit="0" vertical="center" wrapText="1"/>
    </xf>
    <xf borderId="134" fillId="3" fontId="163" numFmtId="0" xfId="0" applyAlignment="1" applyBorder="1" applyFont="1">
      <alignment horizontal="center" shrinkToFit="0" vertical="center" wrapText="1"/>
    </xf>
    <xf borderId="11" fillId="39" fontId="109" numFmtId="0" xfId="0" applyAlignment="1" applyBorder="1" applyFont="1">
      <alignment readingOrder="0" shrinkToFit="0" wrapText="1"/>
    </xf>
    <xf borderId="11" fillId="16" fontId="109" numFmtId="0" xfId="0" applyAlignment="1" applyBorder="1" applyFont="1">
      <alignment horizontal="center" shrinkToFit="0" vertical="center" wrapText="1"/>
    </xf>
    <xf borderId="11" fillId="6" fontId="109" numFmtId="0" xfId="0" applyAlignment="1" applyBorder="1" applyFont="1">
      <alignment horizontal="center" shrinkToFit="0" vertical="center" wrapText="1"/>
    </xf>
    <xf borderId="48" fillId="8" fontId="138" numFmtId="0" xfId="0" applyAlignment="1" applyBorder="1" applyFont="1">
      <alignment horizontal="left" shrinkToFit="0" vertical="center" wrapText="0"/>
    </xf>
    <xf borderId="48" fillId="8" fontId="109" numFmtId="0" xfId="0" applyAlignment="1" applyBorder="1" applyFont="1">
      <alignment horizontal="center" shrinkToFit="0" vertical="center" wrapText="0"/>
    </xf>
    <xf borderId="145" fillId="8" fontId="109" numFmtId="0" xfId="0" applyAlignment="1" applyBorder="1" applyFont="1">
      <alignment horizontal="center" readingOrder="0" shrinkToFit="0" vertical="center" wrapText="1"/>
    </xf>
    <xf borderId="146" fillId="8" fontId="109" numFmtId="0" xfId="0" applyAlignment="1" applyBorder="1" applyFont="1">
      <alignment horizontal="center" readingOrder="0" shrinkToFit="0" vertical="center" wrapText="1"/>
    </xf>
    <xf borderId="52" fillId="3" fontId="163" numFmtId="0" xfId="0" applyAlignment="1" applyBorder="1" applyFont="1">
      <alignment horizontal="center" shrinkToFit="0" wrapText="1"/>
    </xf>
    <xf borderId="0" fillId="3" fontId="163" numFmtId="0" xfId="0" applyAlignment="1" applyFont="1">
      <alignment horizontal="center" shrinkToFit="0" wrapText="1"/>
    </xf>
    <xf borderId="0" fillId="3" fontId="132" numFmtId="0" xfId="0" applyAlignment="1" applyFont="1">
      <alignment horizontal="center" shrinkToFit="0" wrapText="1"/>
    </xf>
    <xf borderId="0" fillId="3" fontId="163" numFmtId="0" xfId="0" applyAlignment="1" applyFont="1">
      <alignment horizontal="center" shrinkToFit="0" vertical="bottom" wrapText="1"/>
    </xf>
    <xf borderId="145" fillId="8" fontId="138" numFmtId="0" xfId="0" applyAlignment="1" applyBorder="1" applyFont="1">
      <alignment horizontal="center" shrinkToFit="0" vertical="center" wrapText="1"/>
    </xf>
    <xf borderId="146" fillId="8" fontId="138" numFmtId="0" xfId="0" applyAlignment="1" applyBorder="1" applyFont="1">
      <alignment horizontal="center" shrinkToFit="0" vertical="center" wrapText="1"/>
    </xf>
    <xf borderId="156" fillId="8" fontId="138" numFmtId="0" xfId="0" applyAlignment="1" applyBorder="1" applyFont="1">
      <alignment horizontal="left" shrinkToFit="0" vertical="center" wrapText="0"/>
    </xf>
    <xf borderId="156" fillId="8" fontId="109" numFmtId="0" xfId="0" applyAlignment="1" applyBorder="1" applyFont="1">
      <alignment horizontal="center" shrinkToFit="0" vertical="center" wrapText="0"/>
    </xf>
    <xf borderId="145" fillId="0" fontId="138" numFmtId="0" xfId="0" applyAlignment="1" applyBorder="1" applyFont="1">
      <alignment horizontal="center" shrinkToFit="0" vertical="center" wrapText="1"/>
    </xf>
    <xf borderId="146" fillId="0" fontId="138" numFmtId="0" xfId="0" applyAlignment="1" applyBorder="1" applyFont="1">
      <alignment horizontal="center" shrinkToFit="0" vertical="center" wrapText="1"/>
    </xf>
    <xf borderId="11" fillId="3" fontId="31" numFmtId="0" xfId="0" applyAlignment="1" applyBorder="1" applyFont="1">
      <alignment horizontal="left" shrinkToFit="0" vertical="center" wrapText="1"/>
    </xf>
    <xf borderId="146" fillId="8" fontId="109" numFmtId="0" xfId="0" applyAlignment="1" applyBorder="1" applyFont="1">
      <alignment horizontal="center" shrinkToFit="0" vertical="center" wrapText="1"/>
    </xf>
    <xf borderId="168" fillId="31" fontId="109" numFmtId="0" xfId="0" applyAlignment="1" applyBorder="1" applyFont="1">
      <alignment horizontal="center" readingOrder="0" shrinkToFit="0" vertical="center" wrapText="1"/>
    </xf>
    <xf borderId="170" fillId="31" fontId="109" numFmtId="0" xfId="0" applyAlignment="1" applyBorder="1" applyFont="1">
      <alignment horizontal="center" shrinkToFit="0" vertical="center" wrapText="1"/>
    </xf>
    <xf borderId="146" fillId="0" fontId="109" numFmtId="0" xfId="0" applyAlignment="1" applyBorder="1" applyFont="1">
      <alignment horizontal="center" readingOrder="0" shrinkToFit="0" vertical="center" wrapText="1"/>
    </xf>
    <xf borderId="168" fillId="0" fontId="138" numFmtId="0" xfId="0" applyAlignment="1" applyBorder="1" applyFont="1">
      <alignment horizontal="left" shrinkToFit="0" vertical="center" wrapText="1"/>
    </xf>
    <xf borderId="156" fillId="6" fontId="109" numFmtId="0" xfId="0" applyAlignment="1" applyBorder="1" applyFont="1">
      <alignment horizontal="center" shrinkToFit="0" vertical="center" wrapText="1"/>
    </xf>
    <xf borderId="12" fillId="16" fontId="109" numFmtId="0" xfId="0" applyAlignment="1" applyBorder="1" applyFont="1">
      <alignment horizontal="center" readingOrder="0" shrinkToFit="0" vertical="center" wrapText="1"/>
    </xf>
    <xf borderId="145" fillId="31" fontId="109" numFmtId="0" xfId="0" applyAlignment="1" applyBorder="1" applyFont="1">
      <alignment horizontal="center" readingOrder="0" shrinkToFit="0" vertical="center" wrapText="1"/>
    </xf>
    <xf borderId="146" fillId="31" fontId="109" numFmtId="0" xfId="0" applyAlignment="1" applyBorder="1" applyFont="1">
      <alignment horizontal="center" shrinkToFit="0" vertical="center" wrapText="1"/>
    </xf>
    <xf borderId="168" fillId="0" fontId="167" numFmtId="0" xfId="0" applyAlignment="1" applyBorder="1" applyFont="1">
      <alignment horizontal="left" shrinkToFit="0" vertical="center" wrapText="1"/>
    </xf>
    <xf borderId="156" fillId="0" fontId="109" numFmtId="0" xfId="0" applyAlignment="1" applyBorder="1" applyFont="1">
      <alignment horizontal="center" shrinkToFit="0" vertical="center" wrapText="1"/>
    </xf>
    <xf borderId="234" fillId="0" fontId="109" numFmtId="0" xfId="0" applyAlignment="1" applyBorder="1" applyFont="1">
      <alignment horizontal="center" shrinkToFit="0" vertical="center" wrapText="1"/>
    </xf>
    <xf borderId="145" fillId="0" fontId="109" numFmtId="0" xfId="0" applyAlignment="1" applyBorder="1" applyFont="1">
      <alignment horizontal="center" readingOrder="0" shrinkToFit="0" vertical="center" wrapText="1"/>
    </xf>
    <xf borderId="52" fillId="0" fontId="167" numFmtId="0" xfId="0" applyAlignment="1" applyBorder="1" applyFont="1">
      <alignment horizontal="left" shrinkToFit="0" vertical="center" wrapText="1"/>
    </xf>
    <xf borderId="337" fillId="0" fontId="6" numFmtId="0" xfId="0" applyAlignment="1" applyBorder="1" applyFont="1">
      <alignment shrinkToFit="0" wrapText="1"/>
    </xf>
    <xf borderId="52" fillId="0" fontId="109" numFmtId="0" xfId="0" applyAlignment="1" applyBorder="1" applyFont="1">
      <alignment horizontal="center" shrinkToFit="0" vertical="center" wrapText="1"/>
    </xf>
    <xf borderId="0" fillId="0" fontId="109" numFmtId="0" xfId="0" applyAlignment="1" applyFont="1">
      <alignment horizontal="center" shrinkToFit="0" vertical="center" wrapText="1"/>
    </xf>
    <xf borderId="12" fillId="16" fontId="109" numFmtId="0" xfId="0" applyAlignment="1" applyBorder="1" applyFont="1">
      <alignment horizontal="center" shrinkToFit="0" vertical="center" wrapText="1"/>
    </xf>
    <xf borderId="136" fillId="7" fontId="31" numFmtId="0" xfId="0" applyAlignment="1" applyBorder="1" applyFont="1">
      <alignment horizontal="center" readingOrder="0" shrinkToFit="0" vertical="bottom" wrapText="1"/>
    </xf>
    <xf borderId="145" fillId="8" fontId="140" numFmtId="0" xfId="0" applyAlignment="1" applyBorder="1" applyFont="1">
      <alignment horizontal="left" shrinkToFit="0" vertical="center" wrapText="0"/>
    </xf>
    <xf borderId="215" fillId="8" fontId="109" numFmtId="0" xfId="0" applyAlignment="1" applyBorder="1" applyFont="1">
      <alignment horizontal="center" shrinkToFit="0" vertical="center" wrapText="0"/>
    </xf>
    <xf borderId="52" fillId="6" fontId="168" numFmtId="10" xfId="0" applyAlignment="1" applyBorder="1" applyFont="1" applyNumberFormat="1">
      <alignment horizontal="center" readingOrder="0" shrinkToFit="0" vertical="center" wrapText="1"/>
    </xf>
    <xf borderId="145" fillId="0" fontId="140" numFmtId="0" xfId="0" applyAlignment="1" applyBorder="1" applyFont="1">
      <alignment horizontal="left" shrinkToFit="0" vertical="center" wrapText="1"/>
    </xf>
    <xf borderId="215" fillId="4" fontId="109" numFmtId="0" xfId="0" applyAlignment="1" applyBorder="1" applyFont="1">
      <alignment horizontal="center" readingOrder="0" shrinkToFit="0" vertical="center" wrapText="1"/>
    </xf>
    <xf borderId="215" fillId="4" fontId="109" numFmtId="0" xfId="0" applyAlignment="1" applyBorder="1" applyFont="1">
      <alignment horizontal="center" shrinkToFit="0" vertical="center" wrapText="0"/>
    </xf>
    <xf borderId="177" fillId="8" fontId="138" numFmtId="0" xfId="0" applyAlignment="1" applyBorder="1" applyFont="1">
      <alignment horizontal="left" shrinkToFit="0" vertical="center" wrapText="0"/>
    </xf>
    <xf borderId="177" fillId="8" fontId="109" numFmtId="0" xfId="0" applyAlignment="1" applyBorder="1" applyFont="1">
      <alignment horizontal="center" shrinkToFit="0" vertical="center" wrapText="0"/>
    </xf>
    <xf borderId="177" fillId="0" fontId="138" numFmtId="0" xfId="0" applyAlignment="1" applyBorder="1" applyFont="1">
      <alignment horizontal="left" shrinkToFit="0" vertical="center" wrapText="1"/>
    </xf>
    <xf borderId="338" fillId="0" fontId="6" numFmtId="0" xfId="0" applyAlignment="1" applyBorder="1" applyFont="1">
      <alignment shrinkToFit="0" wrapText="1"/>
    </xf>
    <xf borderId="177" fillId="0" fontId="109" numFmtId="0" xfId="0" applyAlignment="1" applyBorder="1" applyFont="1">
      <alignment horizontal="center" readingOrder="0" shrinkToFit="0" vertical="center" wrapText="1"/>
    </xf>
    <xf borderId="158" fillId="0" fontId="109" numFmtId="0" xfId="0" applyAlignment="1" applyBorder="1" applyFont="1">
      <alignment horizontal="center" readingOrder="0" shrinkToFit="0" vertical="center" wrapText="1"/>
    </xf>
    <xf borderId="177" fillId="6" fontId="109" numFmtId="0" xfId="0" applyAlignment="1" applyBorder="1" applyFont="1">
      <alignment horizontal="center" shrinkToFit="0" vertical="center" wrapText="1"/>
    </xf>
    <xf borderId="177" fillId="8" fontId="140" numFmtId="0" xfId="0" applyAlignment="1" applyBorder="1" applyFont="1">
      <alignment horizontal="left" shrinkToFit="0" vertical="center" wrapText="0"/>
    </xf>
    <xf borderId="65" fillId="8" fontId="109" numFmtId="0" xfId="0" applyAlignment="1" applyBorder="1" applyFont="1">
      <alignment horizontal="center" readingOrder="0" shrinkToFit="0" vertical="center" wrapText="1"/>
    </xf>
    <xf borderId="65" fillId="8" fontId="109" numFmtId="0" xfId="0" applyAlignment="1" applyBorder="1" applyFont="1">
      <alignment horizontal="center" shrinkToFit="0" vertical="center" wrapText="0"/>
    </xf>
    <xf borderId="0" fillId="2" fontId="169" numFmtId="0" xfId="0" applyAlignment="1" applyFont="1">
      <alignment horizontal="right" readingOrder="0" shrinkToFit="0" vertical="center" wrapText="1"/>
    </xf>
    <xf borderId="11" fillId="45" fontId="170" numFmtId="171" xfId="0" applyAlignment="1" applyBorder="1" applyFont="1" applyNumberFormat="1">
      <alignment horizontal="center" shrinkToFit="0" vertical="center" wrapText="1"/>
    </xf>
    <xf borderId="55" fillId="0" fontId="138" numFmtId="0" xfId="0" applyAlignment="1" applyBorder="1" applyFont="1">
      <alignment horizontal="left" shrinkToFit="0" vertical="center" wrapText="1"/>
    </xf>
    <xf borderId="339" fillId="0" fontId="6" numFmtId="0" xfId="0" applyAlignment="1" applyBorder="1" applyFont="1">
      <alignment shrinkToFit="0" wrapText="1"/>
    </xf>
    <xf borderId="55" fillId="0" fontId="109" numFmtId="0" xfId="0" applyAlignment="1" applyBorder="1" applyFont="1">
      <alignment horizontal="center" shrinkToFit="0" vertical="center" wrapText="1"/>
    </xf>
    <xf borderId="66" fillId="0" fontId="109" numFmtId="0" xfId="0" applyAlignment="1" applyBorder="1" applyFont="1">
      <alignment horizontal="center" shrinkToFit="0" vertical="center" wrapText="1"/>
    </xf>
    <xf borderId="65" fillId="45" fontId="170" numFmtId="171" xfId="0" applyAlignment="1" applyBorder="1" applyFont="1" applyNumberFormat="1">
      <alignment horizontal="center" shrinkToFit="0" vertical="center" wrapText="0"/>
    </xf>
    <xf borderId="0" fillId="24" fontId="76" numFmtId="0" xfId="0" applyAlignment="1" applyFont="1">
      <alignment horizontal="left" readingOrder="0" shrinkToFit="0" vertical="center" wrapText="1"/>
    </xf>
    <xf borderId="0" fillId="2" fontId="171" numFmtId="0" xfId="0" applyAlignment="1" applyFont="1">
      <alignment horizontal="center" shrinkToFit="0" vertical="center" wrapText="1"/>
    </xf>
    <xf borderId="19" fillId="3" fontId="172" numFmtId="0" xfId="0" applyAlignment="1" applyBorder="1" applyFont="1">
      <alignment horizontal="center" readingOrder="0" shrinkToFit="0" vertical="center" wrapText="0"/>
    </xf>
    <xf borderId="11" fillId="7" fontId="163" numFmtId="0" xfId="0" applyAlignment="1" applyBorder="1" applyFont="1">
      <alignment horizontal="center" readingOrder="0" shrinkToFit="0" vertical="center" wrapText="0"/>
    </xf>
    <xf borderId="11" fillId="3" fontId="163" numFmtId="0" xfId="0" applyAlignment="1" applyBorder="1" applyFont="1">
      <alignment horizontal="center" readingOrder="0" shrinkToFit="0" vertical="center" wrapText="1"/>
    </xf>
    <xf borderId="11" fillId="3" fontId="163" numFmtId="0" xfId="0" applyAlignment="1" applyBorder="1" applyFont="1">
      <alignment horizontal="center" readingOrder="0" shrinkToFit="0" vertical="center" wrapText="0"/>
    </xf>
    <xf borderId="52" fillId="2" fontId="173" numFmtId="0" xfId="0" applyAlignment="1" applyBorder="1" applyFont="1">
      <alignment horizontal="center" readingOrder="0" shrinkToFit="0" vertical="center" wrapText="1"/>
    </xf>
    <xf borderId="215" fillId="8" fontId="174" numFmtId="49" xfId="0" applyAlignment="1" applyBorder="1" applyFont="1" applyNumberFormat="1">
      <alignment horizontal="center" readingOrder="0" shrinkToFit="0" vertical="center" wrapText="0"/>
    </xf>
    <xf borderId="215" fillId="8" fontId="138" numFmtId="0" xfId="0" applyAlignment="1" applyBorder="1" applyFont="1">
      <alignment horizontal="center" readingOrder="0" shrinkToFit="0" vertical="center" wrapText="0"/>
    </xf>
    <xf borderId="215" fillId="8" fontId="139" numFmtId="0" xfId="0" applyAlignment="1" applyBorder="1" applyFont="1">
      <alignment horizontal="center" readingOrder="0" shrinkToFit="0" vertical="center" wrapText="0"/>
    </xf>
    <xf borderId="148" fillId="8" fontId="139" numFmtId="0" xfId="0" applyAlignment="1" applyBorder="1" applyFont="1">
      <alignment horizontal="center" readingOrder="0" shrinkToFit="0" vertical="top" wrapText="1"/>
    </xf>
    <xf borderId="340" fillId="0" fontId="6" numFmtId="0" xfId="0" applyAlignment="1" applyBorder="1" applyFont="1">
      <alignment shrinkToFit="0" wrapText="1"/>
    </xf>
    <xf borderId="341" fillId="0" fontId="6" numFmtId="0" xfId="0" applyAlignment="1" applyBorder="1" applyFont="1">
      <alignment shrinkToFit="0" wrapText="1"/>
    </xf>
    <xf borderId="215" fillId="4" fontId="174" numFmtId="49" xfId="0" applyAlignment="1" applyBorder="1" applyFont="1" applyNumberFormat="1">
      <alignment horizontal="center" readingOrder="0" shrinkToFit="0" vertical="center" wrapText="0"/>
    </xf>
    <xf borderId="215" fillId="4" fontId="138" numFmtId="0" xfId="0" applyAlignment="1" applyBorder="1" applyFont="1">
      <alignment horizontal="center" readingOrder="0" shrinkToFit="0" vertical="center" wrapText="0"/>
    </xf>
    <xf borderId="215" fillId="4" fontId="139" numFmtId="0" xfId="0" applyAlignment="1" applyBorder="1" applyFont="1">
      <alignment horizontal="center" readingOrder="0" shrinkToFit="0" vertical="center" wrapText="0"/>
    </xf>
    <xf borderId="148" fillId="4" fontId="139" numFmtId="0" xfId="0" applyAlignment="1" applyBorder="1" applyFont="1">
      <alignment horizontal="center" readingOrder="0" shrinkToFit="0" vertical="top" wrapText="1"/>
    </xf>
    <xf borderId="0" fillId="2" fontId="174" numFmtId="49" xfId="0" applyAlignment="1" applyFont="1" applyNumberFormat="1">
      <alignment horizontal="center" readingOrder="0" shrinkToFit="0" vertical="center" wrapText="0"/>
    </xf>
    <xf borderId="0" fillId="2" fontId="138" numFmtId="0" xfId="0" applyAlignment="1" applyFont="1">
      <alignment horizontal="center" readingOrder="0" shrinkToFit="0" vertical="center" wrapText="0"/>
    </xf>
    <xf borderId="0" fillId="2" fontId="139" numFmtId="0" xfId="0" applyAlignment="1" applyFont="1">
      <alignment horizontal="center" readingOrder="0" shrinkToFit="0" vertical="center" wrapText="0"/>
    </xf>
    <xf borderId="0" fillId="2" fontId="139" numFmtId="0" xfId="0" applyAlignment="1" applyFont="1">
      <alignment horizontal="left" readingOrder="0" shrinkToFit="0" vertical="top" wrapText="1"/>
    </xf>
    <xf borderId="148" fillId="8" fontId="139" numFmtId="0" xfId="0" applyAlignment="1" applyBorder="1" applyFont="1">
      <alignment horizontal="left" readingOrder="0" shrinkToFit="0" vertical="top" wrapText="1"/>
    </xf>
    <xf borderId="148" fillId="4" fontId="139" numFmtId="0" xfId="0" applyAlignment="1" applyBorder="1" applyFont="1">
      <alignment horizontal="left" readingOrder="0" shrinkToFit="0" vertical="top" wrapText="1"/>
    </xf>
    <xf borderId="65" fillId="2" fontId="55" numFmtId="0" xfId="0" applyAlignment="1" applyBorder="1" applyFont="1">
      <alignment horizontal="center" shrinkToFit="0" vertical="center" wrapText="1"/>
    </xf>
    <xf borderId="0" fillId="3" fontId="1" numFmtId="0" xfId="0" applyAlignment="1" applyFont="1">
      <alignment shrinkToFit="0" wrapText="1"/>
    </xf>
    <xf borderId="12" fillId="3" fontId="84" numFmtId="0" xfId="0" applyAlignment="1" applyBorder="1" applyFont="1">
      <alignment horizontal="left" readingOrder="0" shrinkToFit="0" vertical="center" wrapText="1"/>
    </xf>
    <xf borderId="0" fillId="3" fontId="175" numFmtId="0" xfId="0" applyAlignment="1" applyFont="1">
      <alignment readingOrder="0" shrinkToFit="0" wrapText="0"/>
    </xf>
    <xf borderId="45" fillId="5" fontId="12" numFmtId="0" xfId="0" applyAlignment="1" applyBorder="1" applyFont="1">
      <alignment horizontal="center" readingOrder="0" shrinkToFit="0" vertical="center" wrapText="1"/>
    </xf>
    <xf borderId="0" fillId="3" fontId="12" numFmtId="0" xfId="0" applyAlignment="1" applyFont="1">
      <alignment horizontal="center" shrinkToFit="0" wrapText="1"/>
    </xf>
    <xf borderId="45" fillId="2" fontId="55" numFmtId="0" xfId="0" applyAlignment="1" applyBorder="1" applyFont="1">
      <alignment horizontal="center" shrinkToFit="0" vertical="center" wrapText="1"/>
    </xf>
    <xf borderId="12" fillId="2" fontId="31" numFmtId="0" xfId="0" applyAlignment="1" applyBorder="1" applyFont="1">
      <alignment horizontal="center" shrinkToFit="0" vertical="center" wrapText="1"/>
    </xf>
    <xf borderId="78" fillId="2" fontId="12" numFmtId="0" xfId="0" applyAlignment="1" applyBorder="1" applyFont="1">
      <alignment horizontal="center" shrinkToFit="0" wrapText="1"/>
    </xf>
    <xf borderId="52" fillId="3" fontId="163" numFmtId="0" xfId="0" applyAlignment="1" applyBorder="1" applyFont="1">
      <alignment horizontal="center" readingOrder="0" shrinkToFit="0" vertical="center" wrapText="1"/>
    </xf>
    <xf borderId="342" fillId="0" fontId="6" numFmtId="0" xfId="0" applyAlignment="1" applyBorder="1" applyFont="1">
      <alignment shrinkToFit="0" wrapText="1"/>
    </xf>
    <xf borderId="0" fillId="3" fontId="163" numFmtId="0" xfId="0" applyAlignment="1" applyFont="1">
      <alignment horizontal="center" readingOrder="0" shrinkToFit="0" vertical="center" wrapText="1"/>
    </xf>
    <xf borderId="45" fillId="70" fontId="176" numFmtId="0" xfId="0" applyAlignment="1" applyBorder="1" applyFill="1" applyFont="1">
      <alignment horizontal="center" readingOrder="0" shrinkToFit="0" vertical="center" wrapText="1"/>
    </xf>
    <xf borderId="343" fillId="0" fontId="6" numFmtId="0" xfId="0" applyAlignment="1" applyBorder="1" applyFont="1">
      <alignment shrinkToFit="0" wrapText="1"/>
    </xf>
    <xf borderId="67" fillId="70" fontId="176" numFmtId="0" xfId="0" applyAlignment="1" applyBorder="1" applyFont="1">
      <alignment horizontal="center" readingOrder="0" shrinkToFit="0" vertical="center" wrapText="1"/>
    </xf>
    <xf borderId="344" fillId="0" fontId="6" numFmtId="0" xfId="0" applyAlignment="1" applyBorder="1" applyFont="1">
      <alignment shrinkToFit="0" wrapText="1"/>
    </xf>
    <xf borderId="0" fillId="2" fontId="177" numFmtId="0" xfId="0" applyAlignment="1" applyFont="1">
      <alignment horizontal="center" shrinkToFit="0" vertical="center" wrapText="1"/>
    </xf>
    <xf borderId="12" fillId="3" fontId="12" numFmtId="0" xfId="0" applyAlignment="1" applyBorder="1" applyFont="1">
      <alignment horizontal="center" readingOrder="0" shrinkToFit="0" vertical="center" wrapText="1"/>
    </xf>
    <xf borderId="112" fillId="3" fontId="163" numFmtId="0" xfId="0" applyAlignment="1" applyBorder="1" applyFont="1">
      <alignment horizontal="center" readingOrder="0" shrinkToFit="0" vertical="center" wrapText="1"/>
    </xf>
    <xf borderId="133" fillId="2" fontId="31" numFmtId="0" xfId="0" applyAlignment="1" applyBorder="1" applyFont="1">
      <alignment horizontal="center" readingOrder="0" shrinkToFit="0" vertical="center" wrapText="1"/>
    </xf>
    <xf borderId="133" fillId="2" fontId="12" numFmtId="0" xfId="0" applyAlignment="1" applyBorder="1" applyFont="1">
      <alignment horizontal="center" shrinkToFit="0" wrapText="1"/>
    </xf>
    <xf borderId="45" fillId="70" fontId="178" numFmtId="0" xfId="0" applyAlignment="1" applyBorder="1" applyFont="1">
      <alignment horizontal="left" readingOrder="0" shrinkToFit="0" vertical="top" wrapText="1"/>
    </xf>
    <xf borderId="0" fillId="2" fontId="177" numFmtId="0" xfId="0" applyAlignment="1" applyFont="1">
      <alignment horizontal="left" readingOrder="0" shrinkToFit="0" vertical="top" wrapText="1"/>
    </xf>
    <xf borderId="45" fillId="70" fontId="179" numFmtId="0" xfId="0" applyAlignment="1" applyBorder="1" applyFont="1">
      <alignment horizontal="left" readingOrder="0" shrinkToFit="0" vertical="top" wrapText="1"/>
    </xf>
    <xf borderId="45" fillId="70" fontId="180" numFmtId="0" xfId="0" applyAlignment="1" applyBorder="1" applyFont="1">
      <alignment horizontal="center" readingOrder="0" shrinkToFit="0" vertical="center" wrapText="1"/>
    </xf>
    <xf borderId="11" fillId="4" fontId="181" numFmtId="0" xfId="0" applyAlignment="1" applyBorder="1" applyFont="1">
      <alignment horizontal="center" readingOrder="0" shrinkToFit="0" vertical="center" wrapText="1"/>
    </xf>
    <xf borderId="14" fillId="2" fontId="31" numFmtId="0" xfId="0" applyAlignment="1" applyBorder="1" applyFont="1">
      <alignment horizontal="center" readingOrder="0" shrinkToFit="0" vertical="center" wrapText="1"/>
    </xf>
    <xf borderId="11" fillId="4" fontId="182" numFmtId="0" xfId="0" applyAlignment="1" applyBorder="1" applyFont="1">
      <alignment horizontal="left" readingOrder="0" shrinkToFit="0" vertical="center" wrapText="1"/>
    </xf>
    <xf borderId="67" fillId="32" fontId="183" numFmtId="0" xfId="0" applyAlignment="1" applyBorder="1" applyFont="1">
      <alignment horizontal="center" readingOrder="0" shrinkToFit="0" vertical="center" wrapText="1"/>
    </xf>
    <xf borderId="45" fillId="3" fontId="163" numFmtId="0" xfId="0" applyAlignment="1" applyBorder="1" applyFont="1">
      <alignment horizontal="center" readingOrder="0" shrinkToFit="0" vertical="center" wrapText="1"/>
    </xf>
    <xf borderId="112" fillId="3" fontId="4" numFmtId="0" xfId="0" applyAlignment="1" applyBorder="1" applyFont="1">
      <alignment readingOrder="0" shrinkToFit="0" vertical="center" wrapText="1"/>
    </xf>
    <xf borderId="52" fillId="2" fontId="31" numFmtId="0" xfId="0" applyAlignment="1" applyBorder="1" applyFont="1">
      <alignment horizontal="center" shrinkToFit="0" vertical="bottom" wrapText="1"/>
    </xf>
    <xf borderId="11" fillId="3" fontId="31" numFmtId="0" xfId="0" applyAlignment="1" applyBorder="1" applyFont="1">
      <alignment horizontal="center" readingOrder="0" shrinkToFit="0" vertical="bottom" wrapText="1"/>
    </xf>
    <xf borderId="0" fillId="2" fontId="31" numFmtId="0" xfId="0" applyAlignment="1" applyFont="1">
      <alignment horizontal="center" shrinkToFit="0" vertical="bottom" wrapText="1"/>
    </xf>
    <xf borderId="133" fillId="2" fontId="31" numFmtId="0" xfId="0" applyAlignment="1" applyBorder="1" applyFont="1">
      <alignment horizontal="center" shrinkToFit="0" vertical="bottom" wrapText="1"/>
    </xf>
    <xf borderId="45" fillId="70" fontId="184" numFmtId="0" xfId="0" applyAlignment="1" applyBorder="1" applyFont="1">
      <alignment shrinkToFit="0" vertical="top" wrapText="1"/>
    </xf>
    <xf borderId="168" fillId="0" fontId="6" numFmtId="0" xfId="0" applyAlignment="1" applyBorder="1" applyFont="1">
      <alignment shrinkToFit="0" wrapText="1"/>
    </xf>
    <xf borderId="65" fillId="3" fontId="31" numFmtId="0" xfId="0" applyAlignment="1" applyBorder="1" applyFont="1">
      <alignment horizontal="center" readingOrder="0" shrinkToFit="0" vertical="bottom" wrapText="1"/>
    </xf>
    <xf borderId="113" fillId="2" fontId="55" numFmtId="0" xfId="0" applyAlignment="1" applyBorder="1" applyFont="1">
      <alignment horizontal="center" shrinkToFit="0" vertical="center" wrapText="1"/>
    </xf>
    <xf borderId="0" fillId="0" fontId="185" numFmtId="0" xfId="0" applyAlignment="1" applyFont="1">
      <alignment horizontal="center" shrinkToFit="0" vertical="center" wrapText="1"/>
    </xf>
    <xf borderId="0" fillId="0" fontId="186" numFmtId="0" xfId="0" applyAlignment="1" applyFont="1">
      <alignment horizontal="center" shrinkToFit="0" vertical="center" wrapText="1"/>
    </xf>
    <xf borderId="0" fillId="0" fontId="16" numFmtId="0" xfId="0" applyAlignment="1" applyFont="1">
      <alignment horizontal="center" shrinkToFit="0" vertical="center" wrapText="1"/>
    </xf>
    <xf borderId="0" fillId="0" fontId="187" numFmtId="0" xfId="0" applyAlignment="1" applyFont="1">
      <alignment horizontal="center" shrinkToFit="0" vertical="center" wrapText="1"/>
    </xf>
    <xf borderId="0" fillId="0" fontId="187" numFmtId="0" xfId="0" applyAlignment="1" applyFont="1">
      <alignment horizontal="center" readingOrder="0" shrinkToFit="0" vertical="center" wrapText="1"/>
    </xf>
    <xf borderId="0" fillId="0" fontId="186" numFmtId="0" xfId="0" applyAlignment="1" applyFont="1">
      <alignment horizontal="center" shrinkToFit="0" vertical="center" wrapText="1"/>
    </xf>
    <xf borderId="0" fillId="0" fontId="16" numFmtId="0" xfId="0" applyAlignment="1" applyFont="1">
      <alignment horizontal="center" shrinkToFit="0" vertical="center" wrapText="1"/>
    </xf>
    <xf borderId="0" fillId="0" fontId="16" numFmtId="0" xfId="0" applyAlignment="1" applyFont="1">
      <alignment horizontal="center" readingOrder="0" shrinkToFit="0" vertical="center" wrapText="1"/>
    </xf>
    <xf borderId="0" fillId="0" fontId="187" numFmtId="0" xfId="0" applyAlignment="1" applyFont="1">
      <alignment horizontal="center" shrinkToFit="0" vertical="center" wrapText="1"/>
    </xf>
    <xf borderId="0" fillId="0" fontId="20" numFmtId="0" xfId="0" applyAlignment="1" applyFont="1">
      <alignment shrinkToFit="0" vertical="center" wrapText="1"/>
    </xf>
    <xf borderId="0" fillId="0" fontId="186" numFmtId="0" xfId="0" applyAlignment="1" applyFont="1">
      <alignment horizontal="center" readingOrder="0" shrinkToFit="0" vertical="center" wrapText="1"/>
    </xf>
    <xf borderId="0" fillId="0" fontId="151" numFmtId="172" xfId="0" applyAlignment="1" applyFont="1" applyNumberFormat="1">
      <alignment horizontal="center" readingOrder="0" shrinkToFit="0" vertical="center" wrapText="1"/>
    </xf>
    <xf borderId="0" fillId="3" fontId="188" numFmtId="0" xfId="0" applyAlignment="1" applyFont="1">
      <alignment horizontal="center" readingOrder="0" shrinkToFit="0" wrapText="1"/>
    </xf>
    <xf borderId="145" fillId="0" fontId="138" numFmtId="0" xfId="0" applyAlignment="1" applyBorder="1" applyFont="1">
      <alignment horizontal="left" readingOrder="0" shrinkToFit="0" vertical="center" wrapText="1"/>
    </xf>
    <xf borderId="273" fillId="0" fontId="144" numFmtId="0" xfId="0" applyAlignment="1" applyBorder="1" applyFont="1">
      <alignment horizontal="center" readingOrder="0" shrinkToFit="0" vertical="center" wrapText="1"/>
    </xf>
    <xf borderId="273" fillId="3" fontId="160" numFmtId="0" xfId="0" applyAlignment="1" applyBorder="1" applyFont="1">
      <alignment horizontal="center" readingOrder="0" shrinkToFit="0" vertical="center" wrapText="1"/>
    </xf>
    <xf borderId="18" fillId="31" fontId="16" numFmtId="0" xfId="0" applyAlignment="1" applyBorder="1" applyFont="1">
      <alignment horizontal="center" readingOrder="0" shrinkToFit="0" vertical="center" wrapText="1"/>
    </xf>
    <xf borderId="0" fillId="24" fontId="59" numFmtId="0" xfId="0" applyAlignment="1" applyFont="1">
      <alignment horizontal="center" readingOrder="0" shrinkToFit="0" vertical="center" wrapText="1"/>
    </xf>
    <xf borderId="0" fillId="24" fontId="12" numFmtId="0" xfId="0" applyAlignment="1" applyFont="1">
      <alignment horizontal="center" shrinkToFit="0" vertical="bottom" wrapText="0"/>
    </xf>
    <xf borderId="0" fillId="24" fontId="12" numFmtId="0" xfId="0" applyAlignment="1" applyFont="1">
      <alignment horizontal="center" shrinkToFit="0" vertical="bottom" wrapText="1"/>
    </xf>
    <xf borderId="133" fillId="24" fontId="12" numFmtId="0" xfId="0" applyAlignment="1" applyBorder="1" applyFont="1">
      <alignment horizontal="center" shrinkToFit="0" vertical="center" wrapText="1"/>
    </xf>
    <xf borderId="11" fillId="5" fontId="12" numFmtId="0" xfId="0" applyAlignment="1" applyBorder="1" applyFont="1">
      <alignment horizontal="center" readingOrder="0" shrinkToFit="0" vertical="bottom" wrapText="0"/>
    </xf>
    <xf borderId="0" fillId="2" fontId="142" numFmtId="0" xfId="0" applyAlignment="1" applyFont="1">
      <alignment horizontal="center" shrinkToFit="0" vertical="center" wrapText="0"/>
    </xf>
    <xf borderId="0" fillId="2" fontId="1" numFmtId="0" xfId="0" applyAlignment="1" applyFont="1">
      <alignment shrinkToFit="0" wrapText="1"/>
    </xf>
    <xf borderId="0" fillId="2" fontId="169" numFmtId="0" xfId="0" applyAlignment="1" applyFont="1">
      <alignment horizontal="center" readingOrder="0" shrinkToFit="0" vertical="center" wrapText="1"/>
    </xf>
    <xf borderId="0" fillId="2" fontId="189" numFmtId="0" xfId="0" applyAlignment="1" applyFont="1">
      <alignment horizontal="center" shrinkToFit="0" vertical="center" wrapText="1"/>
    </xf>
    <xf borderId="0" fillId="2" fontId="189" numFmtId="173" xfId="0" applyAlignment="1" applyFont="1" applyNumberFormat="1">
      <alignment horizontal="center" shrinkToFit="0" vertical="center" wrapText="1"/>
    </xf>
    <xf borderId="12" fillId="7" fontId="31" numFmtId="0" xfId="0" applyAlignment="1" applyBorder="1" applyFont="1">
      <alignment horizontal="center" readingOrder="0" shrinkToFit="0" wrapText="1"/>
    </xf>
    <xf borderId="345" fillId="3" fontId="148" numFmtId="0" xfId="0" applyAlignment="1" applyBorder="1" applyFont="1">
      <alignment horizontal="left" readingOrder="0" shrinkToFit="0" vertical="center" wrapText="0"/>
    </xf>
    <xf borderId="346" fillId="6" fontId="65" numFmtId="0" xfId="0" applyAlignment="1" applyBorder="1" applyFont="1">
      <alignment horizontal="center" shrinkToFit="0" vertical="center" wrapText="1"/>
    </xf>
    <xf borderId="347" fillId="3" fontId="190" numFmtId="0" xfId="0" applyAlignment="1" applyBorder="1" applyFont="1">
      <alignment horizontal="center" readingOrder="0" shrinkToFit="0" vertical="center" wrapText="1"/>
    </xf>
    <xf borderId="260" fillId="4" fontId="189" numFmtId="0" xfId="0" applyAlignment="1" applyBorder="1" applyFont="1">
      <alignment horizontal="center" readingOrder="0" shrinkToFit="0" vertical="center" wrapText="1"/>
    </xf>
    <xf borderId="265" fillId="4" fontId="189" numFmtId="0" xfId="0" applyAlignment="1" applyBorder="1" applyFont="1">
      <alignment horizontal="center" readingOrder="0" shrinkToFit="0" vertical="center" wrapText="1"/>
    </xf>
    <xf borderId="261" fillId="4" fontId="189" numFmtId="0" xfId="0" applyAlignment="1" applyBorder="1" applyFont="1">
      <alignment horizontal="center" readingOrder="0" shrinkToFit="0" vertical="center" wrapText="1"/>
    </xf>
    <xf borderId="260" fillId="3" fontId="190" numFmtId="0" xfId="0" applyAlignment="1" applyBorder="1" applyFont="1">
      <alignment horizontal="center" readingOrder="0" shrinkToFit="0" vertical="center" wrapText="1"/>
    </xf>
    <xf borderId="261" fillId="4" fontId="189" numFmtId="0" xfId="0" applyAlignment="1" applyBorder="1" applyFont="1">
      <alignment horizontal="center" shrinkToFit="0" vertical="center" wrapText="1"/>
    </xf>
    <xf borderId="266" fillId="4" fontId="189" numFmtId="0" xfId="0" applyAlignment="1" applyBorder="1" applyFont="1">
      <alignment horizontal="center" shrinkToFit="0" vertical="center" wrapText="1"/>
    </xf>
    <xf borderId="348" fillId="3" fontId="190" numFmtId="0" xfId="0" applyAlignment="1" applyBorder="1" applyFont="1">
      <alignment horizontal="center" readingOrder="0" shrinkToFit="0" vertical="center" wrapText="1"/>
    </xf>
    <xf borderId="266" fillId="4" fontId="189" numFmtId="0" xfId="0" applyAlignment="1" applyBorder="1" applyFont="1">
      <alignment horizontal="center" readingOrder="0" shrinkToFit="0" vertical="center" wrapText="1"/>
    </xf>
    <xf borderId="265" fillId="4" fontId="189" numFmtId="0" xfId="0" applyAlignment="1" applyBorder="1" applyFont="1">
      <alignment horizontal="center" shrinkToFit="0" vertical="center" wrapText="1"/>
    </xf>
    <xf borderId="270" fillId="4" fontId="189" numFmtId="0" xfId="0" applyAlignment="1" applyBorder="1" applyFont="1">
      <alignment horizontal="center" shrinkToFit="0" vertical="center" wrapText="1"/>
    </xf>
    <xf borderId="133" fillId="2" fontId="191" numFmtId="0" xfId="0" applyAlignment="1" applyBorder="1" applyFont="1">
      <alignment horizontal="right" readingOrder="0" shrinkToFit="0" vertical="center" wrapText="1"/>
    </xf>
    <xf borderId="17" fillId="6" fontId="192" numFmtId="1" xfId="0" applyAlignment="1" applyBorder="1" applyFont="1" applyNumberFormat="1">
      <alignment horizontal="center" shrinkToFit="0" vertical="center" wrapText="1"/>
    </xf>
    <xf borderId="0" fillId="2" fontId="111" numFmtId="0" xfId="0" applyAlignment="1" applyFont="1">
      <alignment horizontal="right" readingOrder="0" shrinkToFit="0" vertical="center" wrapText="1"/>
    </xf>
    <xf borderId="17" fillId="6" fontId="165" numFmtId="169" xfId="0" applyAlignment="1" applyBorder="1" applyFont="1" applyNumberFormat="1">
      <alignment horizontal="center" shrinkToFit="0" vertical="center" wrapText="1"/>
    </xf>
    <xf borderId="0" fillId="2" fontId="78" numFmtId="0" xfId="0" applyAlignment="1" applyFont="1">
      <alignment horizontal="center" readingOrder="0" shrinkToFit="0" vertical="center" wrapText="1"/>
    </xf>
    <xf borderId="349" fillId="3" fontId="190" numFmtId="0" xfId="0" applyAlignment="1" applyBorder="1" applyFont="1">
      <alignment horizontal="center" readingOrder="0" shrinkToFit="0" vertical="center" wrapText="1"/>
    </xf>
    <xf borderId="270" fillId="4" fontId="189" numFmtId="0" xfId="0" applyAlignment="1" applyBorder="1" applyFont="1">
      <alignment horizontal="center" readingOrder="0" shrinkToFit="0" vertical="center" wrapText="1"/>
    </xf>
    <xf borderId="269" fillId="4" fontId="189" numFmtId="0" xfId="0" applyAlignment="1" applyBorder="1" applyFont="1">
      <alignment horizontal="center" shrinkToFit="0" vertical="center" wrapText="1"/>
    </xf>
    <xf borderId="0" fillId="2" fontId="1" numFmtId="173" xfId="0" applyAlignment="1" applyFont="1" applyNumberFormat="1">
      <alignment shrinkToFit="0" wrapText="1"/>
    </xf>
    <xf borderId="345" fillId="3" fontId="148" numFmtId="0" xfId="0" applyAlignment="1" applyBorder="1" applyFont="1">
      <alignment horizontal="center" readingOrder="0" shrinkToFit="0" vertical="center" wrapText="1"/>
    </xf>
    <xf borderId="0" fillId="2" fontId="189" numFmtId="0" xfId="0" applyAlignment="1" applyFont="1">
      <alignment horizontal="center" readingOrder="0" shrinkToFit="0" vertical="center" wrapText="1"/>
    </xf>
    <xf borderId="244" fillId="3" fontId="148" numFmtId="0" xfId="0" applyAlignment="1" applyBorder="1" applyFont="1">
      <alignment horizontal="center" readingOrder="0" shrinkToFit="0" vertical="center" wrapText="1"/>
    </xf>
    <xf borderId="12" fillId="7" fontId="32" numFmtId="0" xfId="0" applyAlignment="1" applyBorder="1" applyFont="1">
      <alignment horizontal="center" readingOrder="0" shrinkToFit="0" vertical="center" wrapText="1"/>
    </xf>
    <xf borderId="350" fillId="0" fontId="6" numFmtId="0" xfId="0" applyAlignment="1" applyBorder="1" applyFont="1">
      <alignment shrinkToFit="0" wrapText="1"/>
    </xf>
    <xf borderId="351" fillId="4" fontId="189" numFmtId="0" xfId="0" applyAlignment="1" applyBorder="1" applyFont="1">
      <alignment horizontal="center" readingOrder="0" shrinkToFit="0" vertical="center" wrapText="1"/>
    </xf>
    <xf borderId="352" fillId="4" fontId="189" numFmtId="0" xfId="0" applyAlignment="1" applyBorder="1" applyFont="1">
      <alignment horizontal="center" readingOrder="0" shrinkToFit="0" vertical="center" wrapText="1"/>
    </xf>
    <xf borderId="0" fillId="2" fontId="2" numFmtId="0" xfId="0" applyAlignment="1" applyFont="1">
      <alignment horizontal="center" shrinkToFit="0" vertical="center" wrapText="1"/>
    </xf>
    <xf borderId="0" fillId="2" fontId="1" numFmtId="0" xfId="0" applyAlignment="1" applyFont="1">
      <alignment horizontal="center" shrinkToFit="0" vertical="center" wrapText="1"/>
    </xf>
    <xf borderId="0" fillId="2" fontId="1" numFmtId="0" xfId="0" applyAlignment="1" applyFont="1">
      <alignment horizontal="center" shrinkToFit="0" wrapText="1"/>
    </xf>
    <xf borderId="0" fillId="2" fontId="70" numFmtId="49" xfId="0" applyAlignment="1" applyFont="1" applyNumberFormat="1">
      <alignment horizontal="center" readingOrder="0" shrinkToFit="0" vertical="center" wrapText="1"/>
    </xf>
    <xf borderId="0" fillId="2" fontId="12" numFmtId="0" xfId="0" applyAlignment="1" applyFont="1">
      <alignment horizontal="center" readingOrder="0" shrinkToFit="0" vertical="center" wrapText="0"/>
    </xf>
    <xf borderId="11" fillId="7" fontId="12" numFmtId="0" xfId="0" applyAlignment="1" applyBorder="1" applyFont="1">
      <alignment horizontal="center" readingOrder="0" shrinkToFit="0" vertical="center" wrapText="1"/>
    </xf>
    <xf borderId="0" fillId="2" fontId="32" numFmtId="0" xfId="0" applyAlignment="1" applyFont="1">
      <alignment horizontal="center" shrinkToFit="0" vertical="center" wrapText="1"/>
    </xf>
    <xf borderId="337" fillId="3" fontId="31" numFmtId="0" xfId="0" applyAlignment="1" applyBorder="1" applyFont="1">
      <alignment horizontal="center" readingOrder="0" shrinkToFit="0" vertical="center" wrapText="1"/>
    </xf>
    <xf borderId="67" fillId="3" fontId="31" numFmtId="0" xfId="0" applyAlignment="1" applyBorder="1" applyFont="1">
      <alignment horizontal="center" shrinkToFit="0" vertical="center" wrapText="1"/>
    </xf>
    <xf borderId="353" fillId="3" fontId="31" numFmtId="0" xfId="0" applyAlignment="1" applyBorder="1" applyFont="1">
      <alignment horizontal="center" shrinkToFit="0" vertical="center" wrapText="1"/>
    </xf>
    <xf borderId="354" fillId="0" fontId="6" numFmtId="0" xfId="0" applyAlignment="1" applyBorder="1" applyFont="1">
      <alignment shrinkToFit="0" wrapText="1"/>
    </xf>
    <xf borderId="355" fillId="3" fontId="31" numFmtId="0" xfId="0" applyAlignment="1" applyBorder="1" applyFont="1">
      <alignment horizontal="center" readingOrder="0" shrinkToFit="0" vertical="center" wrapText="1"/>
    </xf>
    <xf borderId="353" fillId="3" fontId="31" numFmtId="0" xfId="0" applyAlignment="1" applyBorder="1" applyFont="1">
      <alignment horizontal="center" readingOrder="0" shrinkToFit="0" vertical="center" wrapText="1"/>
    </xf>
    <xf borderId="356" fillId="3" fontId="31" numFmtId="0" xfId="0" applyAlignment="1" applyBorder="1" applyFont="1">
      <alignment horizontal="center" readingOrder="0" shrinkToFit="0" vertical="center" wrapText="1"/>
    </xf>
    <xf borderId="356" fillId="3" fontId="31" numFmtId="0" xfId="0" applyAlignment="1" applyBorder="1" applyFont="1">
      <alignment horizontal="center" shrinkToFit="0" vertical="center" wrapText="1"/>
    </xf>
    <xf borderId="357" fillId="3" fontId="31" numFmtId="0" xfId="0" applyAlignment="1" applyBorder="1" applyFont="1">
      <alignment horizontal="center" shrinkToFit="0" vertical="center" wrapText="1"/>
    </xf>
    <xf borderId="358" fillId="0" fontId="6" numFmtId="0" xfId="0" applyAlignment="1" applyBorder="1" applyFont="1">
      <alignment shrinkToFit="0" wrapText="1"/>
    </xf>
    <xf borderId="280" fillId="0" fontId="6" numFmtId="0" xfId="0" applyAlignment="1" applyBorder="1" applyFont="1">
      <alignment shrinkToFit="0" wrapText="1"/>
    </xf>
    <xf borderId="359" fillId="0" fontId="6" numFmtId="0" xfId="0" applyAlignment="1" applyBorder="1" applyFont="1">
      <alignment shrinkToFit="0" wrapText="1"/>
    </xf>
    <xf borderId="360" fillId="0" fontId="6" numFmtId="0" xfId="0" applyAlignment="1" applyBorder="1" applyFont="1">
      <alignment shrinkToFit="0" wrapText="1"/>
    </xf>
    <xf borderId="360" fillId="26" fontId="31" numFmtId="0" xfId="0" applyAlignment="1" applyBorder="1" applyFont="1">
      <alignment horizontal="center" readingOrder="0" shrinkToFit="0" vertical="center" wrapText="1"/>
    </xf>
    <xf borderId="359" fillId="26" fontId="31" numFmtId="0" xfId="0" applyAlignment="1" applyBorder="1" applyFont="1">
      <alignment horizontal="center" readingOrder="0" shrinkToFit="0" vertical="center" wrapText="1"/>
    </xf>
    <xf borderId="0" fillId="2" fontId="193" numFmtId="0" xfId="0" applyAlignment="1" applyFont="1">
      <alignment horizontal="center" shrinkToFit="0" vertical="center" wrapText="0"/>
    </xf>
    <xf borderId="361" fillId="4" fontId="193" numFmtId="0" xfId="0" applyAlignment="1" applyBorder="1" applyFont="1">
      <alignment horizontal="center" shrinkToFit="0" vertical="center" wrapText="1"/>
    </xf>
    <xf borderId="145" fillId="4" fontId="144" numFmtId="0" xfId="0" applyAlignment="1" applyBorder="1" applyFont="1">
      <alignment horizontal="center" readingOrder="0" shrinkToFit="0" vertical="center" wrapText="1"/>
    </xf>
    <xf borderId="362" fillId="4" fontId="194" numFmtId="0" xfId="0" applyAlignment="1" applyBorder="1" applyFont="1">
      <alignment horizontal="center" readingOrder="0" shrinkToFit="0" vertical="center" wrapText="1"/>
    </xf>
    <xf borderId="363" fillId="0" fontId="6" numFmtId="0" xfId="0" applyAlignment="1" applyBorder="1" applyFont="1">
      <alignment shrinkToFit="0" wrapText="1"/>
    </xf>
    <xf borderId="364" fillId="4" fontId="99" numFmtId="0" xfId="0" applyAlignment="1" applyBorder="1" applyFont="1">
      <alignment horizontal="center" shrinkToFit="0" vertical="center" wrapText="1"/>
    </xf>
    <xf borderId="362" fillId="4" fontId="99" numFmtId="0" xfId="0" applyAlignment="1" applyBorder="1" applyFont="1">
      <alignment horizontal="center" shrinkToFit="0" vertical="center" wrapText="1"/>
    </xf>
    <xf borderId="146" fillId="4" fontId="193" numFmtId="0" xfId="0" applyAlignment="1" applyBorder="1" applyFont="1">
      <alignment horizontal="center" shrinkToFit="0" vertical="center" wrapText="1"/>
    </xf>
    <xf borderId="335" fillId="4" fontId="99" numFmtId="0" xfId="0" applyAlignment="1" applyBorder="1" applyFont="1">
      <alignment horizontal="center" shrinkToFit="0" vertical="center" wrapText="1"/>
    </xf>
    <xf borderId="365" fillId="4" fontId="193" numFmtId="0" xfId="0" applyAlignment="1" applyBorder="1" applyFont="1">
      <alignment horizontal="center" shrinkToFit="0" vertical="center" wrapText="1"/>
    </xf>
    <xf borderId="365" fillId="4" fontId="90" numFmtId="0" xfId="0" applyAlignment="1" applyBorder="1" applyFont="1">
      <alignment horizontal="center" shrinkToFit="0" vertical="center" wrapText="1"/>
    </xf>
    <xf borderId="366" fillId="4" fontId="90" numFmtId="0" xfId="0" applyAlignment="1" applyBorder="1" applyFont="1">
      <alignment horizontal="center" shrinkToFit="0" vertical="center" wrapText="1"/>
    </xf>
    <xf borderId="366" fillId="4" fontId="99" numFmtId="0" xfId="0" applyAlignment="1" applyBorder="1" applyFont="1">
      <alignment horizontal="center" shrinkToFit="0" vertical="center" wrapText="1"/>
    </xf>
    <xf borderId="0" fillId="2" fontId="193" numFmtId="0" xfId="0" applyAlignment="1" applyFont="1">
      <alignment horizontal="center" shrinkToFit="0" vertical="center" wrapText="1"/>
    </xf>
    <xf borderId="361" fillId="31" fontId="193" numFmtId="0" xfId="0" applyAlignment="1" applyBorder="1" applyFont="1">
      <alignment horizontal="center" shrinkToFit="0" vertical="center" wrapText="1"/>
    </xf>
    <xf borderId="145" fillId="31" fontId="144" numFmtId="0" xfId="0" applyAlignment="1" applyBorder="1" applyFont="1">
      <alignment horizontal="center" readingOrder="0" shrinkToFit="0" vertical="center" wrapText="1"/>
    </xf>
    <xf borderId="362" fillId="31" fontId="194" numFmtId="0" xfId="0" applyAlignment="1" applyBorder="1" applyFont="1">
      <alignment horizontal="center" readingOrder="0" shrinkToFit="0" vertical="center" wrapText="1"/>
    </xf>
    <xf borderId="364" fillId="31" fontId="99" numFmtId="0" xfId="0" applyAlignment="1" applyBorder="1" applyFont="1">
      <alignment horizontal="center" shrinkToFit="0" vertical="center" wrapText="1"/>
    </xf>
    <xf borderId="362" fillId="31" fontId="99" numFmtId="0" xfId="0" applyAlignment="1" applyBorder="1" applyFont="1">
      <alignment horizontal="center" shrinkToFit="0" vertical="center" wrapText="1"/>
    </xf>
    <xf borderId="146" fillId="31" fontId="193" numFmtId="0" xfId="0" applyAlignment="1" applyBorder="1" applyFont="1">
      <alignment horizontal="center" shrinkToFit="0" vertical="center" wrapText="1"/>
    </xf>
    <xf borderId="335" fillId="31" fontId="99" numFmtId="0" xfId="0" applyAlignment="1" applyBorder="1" applyFont="1">
      <alignment horizontal="center" shrinkToFit="0" vertical="center" wrapText="1"/>
    </xf>
    <xf borderId="365" fillId="31" fontId="193" numFmtId="0" xfId="0" applyAlignment="1" applyBorder="1" applyFont="1">
      <alignment horizontal="center" shrinkToFit="0" vertical="center" wrapText="1"/>
    </xf>
    <xf borderId="365" fillId="31" fontId="90" numFmtId="0" xfId="0" applyAlignment="1" applyBorder="1" applyFont="1">
      <alignment horizontal="center" shrinkToFit="0" vertical="center" wrapText="1"/>
    </xf>
    <xf borderId="366" fillId="31" fontId="90" numFmtId="0" xfId="0" applyAlignment="1" applyBorder="1" applyFont="1">
      <alignment horizontal="center" shrinkToFit="0" vertical="center" wrapText="1"/>
    </xf>
    <xf borderId="366" fillId="31" fontId="99" numFmtId="0" xfId="0" applyAlignment="1" applyBorder="1" applyFont="1">
      <alignment horizontal="center" shrinkToFit="0" vertical="center" wrapText="1"/>
    </xf>
    <xf borderId="145" fillId="31" fontId="144" numFmtId="0" xfId="0" applyAlignment="1" applyBorder="1" applyFont="1">
      <alignment horizontal="center" shrinkToFit="0" vertical="center" wrapText="1"/>
    </xf>
    <xf borderId="145" fillId="4" fontId="144" numFmtId="0" xfId="0" applyAlignment="1" applyBorder="1" applyFont="1">
      <alignment horizontal="center" shrinkToFit="0" vertical="center" wrapText="1"/>
    </xf>
    <xf borderId="145" fillId="31" fontId="144" numFmtId="0" xfId="0" applyAlignment="1" applyBorder="1" applyFont="1">
      <alignment horizontal="center" shrinkToFit="0" vertical="center" wrapText="1"/>
    </xf>
    <xf borderId="362" fillId="4" fontId="194" numFmtId="0" xfId="0" applyAlignment="1" applyBorder="1" applyFont="1">
      <alignment horizontal="center" shrinkToFit="0" vertical="center" wrapText="1"/>
    </xf>
    <xf borderId="362" fillId="31" fontId="194" numFmtId="0" xfId="0" applyAlignment="1" applyBorder="1" applyFont="1">
      <alignment horizontal="center" shrinkToFit="0" vertical="center" wrapText="1"/>
    </xf>
    <xf borderId="367" fillId="31" fontId="193" numFmtId="0" xfId="0" applyAlignment="1" applyBorder="1" applyFont="1">
      <alignment horizontal="center" shrinkToFit="0" vertical="center" wrapText="1"/>
    </xf>
    <xf borderId="177" fillId="31" fontId="144" numFmtId="0" xfId="0" applyAlignment="1" applyBorder="1" applyFont="1">
      <alignment horizontal="center" shrinkToFit="0" vertical="center" wrapText="1"/>
    </xf>
    <xf borderId="368" fillId="31" fontId="194" numFmtId="0" xfId="0" applyAlignment="1" applyBorder="1" applyFont="1">
      <alignment horizontal="center" shrinkToFit="0" vertical="center" wrapText="1"/>
    </xf>
    <xf borderId="369" fillId="0" fontId="6" numFmtId="0" xfId="0" applyAlignment="1" applyBorder="1" applyFont="1">
      <alignment shrinkToFit="0" wrapText="1"/>
    </xf>
    <xf borderId="370" fillId="31" fontId="99" numFmtId="0" xfId="0" applyAlignment="1" applyBorder="1" applyFont="1">
      <alignment horizontal="center" shrinkToFit="0" vertical="center" wrapText="1"/>
    </xf>
    <xf borderId="368" fillId="31" fontId="99" numFmtId="0" xfId="0" applyAlignment="1" applyBorder="1" applyFont="1">
      <alignment horizontal="center" shrinkToFit="0" vertical="center" wrapText="1"/>
    </xf>
    <xf borderId="158" fillId="31" fontId="193" numFmtId="0" xfId="0" applyAlignment="1" applyBorder="1" applyFont="1">
      <alignment horizontal="center" shrinkToFit="0" vertical="center" wrapText="1"/>
    </xf>
    <xf borderId="338" fillId="31" fontId="99" numFmtId="0" xfId="0" applyAlignment="1" applyBorder="1" applyFont="1">
      <alignment horizontal="center" shrinkToFit="0" vertical="center" wrapText="1"/>
    </xf>
    <xf borderId="371" fillId="31" fontId="193" numFmtId="0" xfId="0" applyAlignment="1" applyBorder="1" applyFont="1">
      <alignment horizontal="center" shrinkToFit="0" vertical="center" wrapText="1"/>
    </xf>
    <xf borderId="371" fillId="31" fontId="90" numFmtId="0" xfId="0" applyAlignment="1" applyBorder="1" applyFont="1">
      <alignment horizontal="center" shrinkToFit="0" vertical="center" wrapText="1"/>
    </xf>
    <xf borderId="372" fillId="31" fontId="90" numFmtId="0" xfId="0" applyAlignment="1" applyBorder="1" applyFont="1">
      <alignment horizontal="center" shrinkToFit="0" vertical="center" wrapText="1"/>
    </xf>
    <xf borderId="372" fillId="31" fontId="99" numFmtId="0" xfId="0" applyAlignment="1" applyBorder="1" applyFont="1">
      <alignment horizontal="center" shrinkToFit="0" vertical="center" wrapText="1"/>
    </xf>
    <xf borderId="0" fillId="2" fontId="195" numFmtId="0" xfId="0" applyAlignment="1" applyFont="1">
      <alignment horizontal="center" shrinkToFit="0" vertical="center" wrapText="1"/>
    </xf>
    <xf borderId="0" fillId="2" fontId="12" numFmtId="0" xfId="0" applyAlignment="1" applyFont="1">
      <alignment horizontal="center" shrinkToFit="0" vertical="center" wrapText="0"/>
    </xf>
    <xf borderId="6" fillId="4" fontId="193" numFmtId="0" xfId="0" applyAlignment="1" applyBorder="1" applyFont="1">
      <alignment horizontal="center" readingOrder="0" shrinkToFit="0" vertical="center" wrapText="1"/>
    </xf>
    <xf borderId="136" fillId="4" fontId="144" numFmtId="0" xfId="0" applyAlignment="1" applyBorder="1" applyFont="1">
      <alignment horizontal="center" readingOrder="0" shrinkToFit="0" vertical="center" wrapText="1"/>
    </xf>
    <xf borderId="373" fillId="4" fontId="194" numFmtId="0" xfId="0" applyAlignment="1" applyBorder="1" applyFont="1">
      <alignment horizontal="center" readingOrder="0" shrinkToFit="0" vertical="center" wrapText="1"/>
    </xf>
    <xf borderId="374" fillId="0" fontId="6" numFmtId="0" xfId="0" applyAlignment="1" applyBorder="1" applyFont="1">
      <alignment shrinkToFit="0" wrapText="1"/>
    </xf>
    <xf borderId="0" fillId="2" fontId="196" numFmtId="0" xfId="0" applyAlignment="1" applyFont="1">
      <alignment horizontal="left" shrinkToFit="0" vertical="top" wrapText="0"/>
    </xf>
    <xf borderId="0" fillId="2" fontId="196" numFmtId="0" xfId="0" applyAlignment="1" applyFont="1">
      <alignment horizontal="left" shrinkToFit="0" vertical="top" wrapText="1"/>
    </xf>
    <xf borderId="0" fillId="2" fontId="142" numFmtId="0" xfId="0" applyAlignment="1" applyFont="1">
      <alignment horizontal="center" shrinkToFit="0" vertical="center" wrapText="1"/>
    </xf>
    <xf borderId="0" fillId="2" fontId="196" numFmtId="0" xfId="0" applyAlignment="1" applyFont="1">
      <alignment horizontal="center" shrinkToFit="0" vertical="center" wrapText="1"/>
    </xf>
    <xf borderId="0" fillId="2" fontId="196" numFmtId="0" xfId="0" applyAlignment="1" applyFont="1">
      <alignment horizontal="center" shrinkToFit="0" vertical="top" wrapText="1"/>
    </xf>
    <xf borderId="0" fillId="2" fontId="196" numFmtId="0" xfId="0" applyAlignment="1" applyFont="1">
      <alignment horizontal="center" shrinkToFit="0" vertical="top" wrapText="0"/>
    </xf>
    <xf borderId="112" fillId="24" fontId="147" numFmtId="0" xfId="0" applyAlignment="1" applyBorder="1" applyFont="1">
      <alignment horizontal="left" readingOrder="0" shrinkToFit="0" vertical="center" wrapText="0"/>
    </xf>
    <xf borderId="112" fillId="24" fontId="12" numFmtId="0" xfId="0" applyAlignment="1" applyBorder="1" applyFont="1">
      <alignment horizontal="center" shrinkToFit="0" vertical="center" wrapText="1"/>
    </xf>
    <xf borderId="98" fillId="3" fontId="94" numFmtId="0" xfId="0" applyAlignment="1" applyBorder="1" applyFont="1">
      <alignment horizontal="center" readingOrder="0" shrinkToFit="0" vertical="center" wrapText="1"/>
    </xf>
    <xf borderId="92" fillId="3" fontId="94" numFmtId="0" xfId="0" applyAlignment="1" applyBorder="1" applyFont="1">
      <alignment horizontal="center" readingOrder="0" shrinkToFit="0" vertical="center" wrapText="1"/>
    </xf>
    <xf borderId="0" fillId="61" fontId="2" numFmtId="0" xfId="0" applyAlignment="1" applyFont="1">
      <alignment horizontal="center" shrinkToFit="0" vertical="center" wrapText="1"/>
    </xf>
    <xf borderId="98" fillId="3" fontId="94" numFmtId="0" xfId="0" applyAlignment="1" applyBorder="1" applyFont="1">
      <alignment horizontal="center" shrinkToFit="0" vertical="center" wrapText="1"/>
    </xf>
    <xf borderId="375" fillId="29" fontId="94" numFmtId="0" xfId="0" applyAlignment="1" applyBorder="1" applyFont="1">
      <alignment horizontal="center" readingOrder="0" shrinkToFit="0" vertical="center" wrapText="1"/>
    </xf>
    <xf borderId="376" fillId="29" fontId="154" numFmtId="0" xfId="0" applyAlignment="1" applyBorder="1" applyFont="1">
      <alignment horizontal="center" readingOrder="0" shrinkToFit="0" vertical="center" wrapText="1"/>
    </xf>
    <xf borderId="104" fillId="29" fontId="94" numFmtId="0" xfId="0" applyAlignment="1" applyBorder="1" applyFont="1">
      <alignment horizontal="center" readingOrder="0" shrinkToFit="0" vertical="center" wrapText="1"/>
    </xf>
    <xf borderId="98" fillId="3" fontId="151" numFmtId="0" xfId="0" applyAlignment="1" applyBorder="1" applyFont="1">
      <alignment horizontal="center" shrinkToFit="0" vertical="center" wrapText="1"/>
    </xf>
    <xf borderId="375" fillId="4" fontId="197" numFmtId="0" xfId="0" applyAlignment="1" applyBorder="1" applyFont="1">
      <alignment horizontal="center" readingOrder="0" shrinkToFit="0" vertical="center" wrapText="1"/>
    </xf>
    <xf borderId="375" fillId="4" fontId="197" numFmtId="0" xfId="0" applyAlignment="1" applyBorder="1" applyFont="1">
      <alignment horizontal="center" shrinkToFit="0" vertical="center" wrapText="1"/>
    </xf>
    <xf borderId="375" fillId="4" fontId="198" numFmtId="0" xfId="0" applyAlignment="1" applyBorder="1" applyFont="1">
      <alignment horizontal="center" readingOrder="0" shrinkToFit="0" vertical="center" wrapText="1"/>
    </xf>
    <xf borderId="375" fillId="4" fontId="199" numFmtId="0" xfId="0" applyAlignment="1" applyBorder="1" applyFont="1">
      <alignment horizontal="center" readingOrder="0" shrinkToFit="0" vertical="center" wrapText="1"/>
    </xf>
    <xf borderId="375" fillId="4" fontId="39" numFmtId="0" xfId="0" applyAlignment="1" applyBorder="1" applyFont="1">
      <alignment horizontal="center" readingOrder="0" shrinkToFit="0" vertical="center" wrapText="1"/>
    </xf>
    <xf borderId="375" fillId="4" fontId="200" numFmtId="0" xfId="0" applyAlignment="1" applyBorder="1" applyFont="1">
      <alignment horizontal="center" shrinkToFit="0" vertical="center" wrapText="1"/>
    </xf>
    <xf borderId="375" fillId="4" fontId="98" numFmtId="0" xfId="0" applyAlignment="1" applyBorder="1" applyFont="1">
      <alignment horizontal="center" readingOrder="0" shrinkToFit="0" vertical="center" wrapText="1"/>
    </xf>
    <xf borderId="375" fillId="4" fontId="98" numFmtId="0" xfId="0" applyAlignment="1" applyBorder="1" applyFont="1">
      <alignment horizontal="center" shrinkToFit="0" vertical="center" wrapText="1"/>
    </xf>
    <xf borderId="375" fillId="12" fontId="197" numFmtId="0" xfId="0" applyAlignment="1" applyBorder="1" applyFont="1">
      <alignment horizontal="center" readingOrder="0" shrinkToFit="0" vertical="center" wrapText="1"/>
    </xf>
    <xf borderId="375" fillId="12" fontId="197" numFmtId="0" xfId="0" applyAlignment="1" applyBorder="1" applyFont="1">
      <alignment horizontal="center" shrinkToFit="0" vertical="center" wrapText="1"/>
    </xf>
    <xf borderId="375" fillId="12" fontId="198" numFmtId="0" xfId="0" applyAlignment="1" applyBorder="1" applyFont="1">
      <alignment horizontal="center" readingOrder="0" shrinkToFit="0" vertical="center" wrapText="1"/>
    </xf>
    <xf borderId="375" fillId="12" fontId="199" numFmtId="0" xfId="0" applyAlignment="1" applyBorder="1" applyFont="1">
      <alignment horizontal="center" readingOrder="0" shrinkToFit="0" vertical="center" wrapText="1"/>
    </xf>
    <xf borderId="375" fillId="12" fontId="39" numFmtId="0" xfId="0" applyAlignment="1" applyBorder="1" applyFont="1">
      <alignment horizontal="center" readingOrder="0" shrinkToFit="0" vertical="center" wrapText="1"/>
    </xf>
    <xf borderId="375" fillId="12" fontId="200" numFmtId="0" xfId="0" applyAlignment="1" applyBorder="1" applyFont="1">
      <alignment horizontal="center" shrinkToFit="0" vertical="center" wrapText="1"/>
    </xf>
    <xf borderId="375" fillId="12" fontId="98" numFmtId="0" xfId="0" applyAlignment="1" applyBorder="1" applyFont="1">
      <alignment horizontal="center" readingOrder="0" shrinkToFit="0" vertical="center" wrapText="1"/>
    </xf>
    <xf borderId="104" fillId="12" fontId="98" numFmtId="0" xfId="0" applyAlignment="1" applyBorder="1" applyFont="1">
      <alignment horizontal="center" readingOrder="0" shrinkToFit="0" vertical="center" wrapText="1"/>
    </xf>
    <xf borderId="375" fillId="4" fontId="200" numFmtId="0" xfId="0" applyAlignment="1" applyBorder="1" applyFont="1">
      <alignment horizontal="center" readingOrder="0" shrinkToFit="0" vertical="center" wrapText="1"/>
    </xf>
    <xf borderId="104" fillId="4" fontId="98" numFmtId="0" xfId="0" applyAlignment="1" applyBorder="1" applyFont="1">
      <alignment horizontal="center" readingOrder="0" shrinkToFit="0" vertical="center" wrapText="1"/>
    </xf>
    <xf borderId="375" fillId="12" fontId="200" numFmtId="0" xfId="0" applyAlignment="1" applyBorder="1" applyFont="1">
      <alignment horizontal="center" readingOrder="0" shrinkToFit="0" vertical="center" wrapText="1"/>
    </xf>
    <xf borderId="375" fillId="12" fontId="98" numFmtId="0" xfId="0" applyAlignment="1" applyBorder="1" applyFont="1">
      <alignment horizontal="center" shrinkToFit="0" vertical="center" wrapText="1"/>
    </xf>
    <xf borderId="98" fillId="3" fontId="201" numFmtId="0" xfId="0" applyAlignment="1" applyBorder="1" applyFont="1">
      <alignment horizontal="center" shrinkToFit="0" vertical="center" wrapText="1"/>
    </xf>
    <xf borderId="375" fillId="12" fontId="110" numFmtId="0" xfId="0" applyAlignment="1" applyBorder="1" applyFont="1">
      <alignment horizontal="center" readingOrder="0" shrinkToFit="0" vertical="center" wrapText="1"/>
    </xf>
    <xf borderId="375" fillId="4" fontId="110" numFmtId="0" xfId="0" applyAlignment="1" applyBorder="1" applyFont="1">
      <alignment horizontal="center" readingOrder="0" shrinkToFit="0" vertical="center" wrapText="1"/>
    </xf>
    <xf borderId="104" fillId="12" fontId="197" numFmtId="0" xfId="0" applyAlignment="1" applyBorder="1" applyFont="1">
      <alignment horizontal="center" shrinkToFit="0" vertical="center" wrapText="1"/>
    </xf>
    <xf borderId="104" fillId="12" fontId="39" numFmtId="0" xfId="0" applyAlignment="1" applyBorder="1" applyFont="1">
      <alignment horizontal="center" readingOrder="0" shrinkToFit="0" vertical="center" wrapText="1"/>
    </xf>
    <xf borderId="104" fillId="12" fontId="199" numFmtId="0" xfId="0" applyAlignment="1" applyBorder="1" applyFont="1">
      <alignment horizontal="center" readingOrder="0" shrinkToFit="0" vertical="center" wrapText="1"/>
    </xf>
    <xf borderId="104" fillId="12" fontId="39" numFmtId="0" xfId="0" applyAlignment="1" applyBorder="1" applyFont="1">
      <alignment horizontal="center" readingOrder="0" shrinkToFit="0" vertical="center" wrapText="1"/>
    </xf>
    <xf borderId="104" fillId="12" fontId="200" numFmtId="0" xfId="0" applyAlignment="1" applyBorder="1" applyFont="1">
      <alignment horizontal="center" shrinkToFit="0" vertical="center" wrapText="1"/>
    </xf>
    <xf borderId="104" fillId="4" fontId="197" numFmtId="0" xfId="0" applyAlignment="1" applyBorder="1" applyFont="1">
      <alignment horizontal="center" shrinkToFit="0" vertical="center" wrapText="1"/>
    </xf>
    <xf borderId="104" fillId="4" fontId="198" numFmtId="0" xfId="0" applyAlignment="1" applyBorder="1" applyFont="1">
      <alignment horizontal="center" readingOrder="0" shrinkToFit="0" vertical="center" wrapText="1"/>
    </xf>
    <xf borderId="104" fillId="4" fontId="199" numFmtId="0" xfId="0" applyAlignment="1" applyBorder="1" applyFont="1">
      <alignment horizontal="center" readingOrder="0" shrinkToFit="0" vertical="center" wrapText="1"/>
    </xf>
    <xf borderId="104" fillId="4" fontId="39" numFmtId="0" xfId="0" applyAlignment="1" applyBorder="1" applyFont="1">
      <alignment horizontal="center" readingOrder="0" shrinkToFit="0" vertical="center" wrapText="1"/>
    </xf>
    <xf borderId="104" fillId="4" fontId="200" numFmtId="0" xfId="0" applyAlignment="1" applyBorder="1" applyFont="1">
      <alignment horizontal="center" shrinkToFit="0" vertical="center" wrapText="1"/>
    </xf>
    <xf borderId="104" fillId="12" fontId="198" numFmtId="0" xfId="0" applyAlignment="1" applyBorder="1" applyFont="1">
      <alignment horizontal="center" readingOrder="0" shrinkToFit="0" vertical="center" wrapText="1"/>
    </xf>
    <xf borderId="104" fillId="4" fontId="200" numFmtId="0" xfId="0" applyAlignment="1" applyBorder="1" applyFont="1">
      <alignment horizontal="center" readingOrder="0" shrinkToFit="0" vertical="center" wrapText="1"/>
    </xf>
    <xf borderId="104" fillId="12" fontId="200" numFmtId="0" xfId="0" applyAlignment="1" applyBorder="1" applyFont="1">
      <alignment horizontal="center" readingOrder="0" shrinkToFit="0" vertical="center" wrapText="1"/>
    </xf>
    <xf borderId="104" fillId="12" fontId="98" numFmtId="0" xfId="0" applyAlignment="1" applyBorder="1" applyFont="1">
      <alignment horizontal="center" shrinkToFit="0" vertical="center" wrapText="1"/>
    </xf>
    <xf borderId="104" fillId="4" fontId="98" numFmtId="0" xfId="0" applyAlignment="1" applyBorder="1" applyFont="1">
      <alignment horizontal="center" shrinkToFit="0" vertical="center" wrapText="1"/>
    </xf>
    <xf borderId="104" fillId="4" fontId="39" numFmtId="0" xfId="0" applyAlignment="1" applyBorder="1" applyFont="1">
      <alignment horizontal="center" readingOrder="0" shrinkToFit="0" vertical="center" wrapText="1"/>
    </xf>
    <xf borderId="376" fillId="12" fontId="200" numFmtId="0" xfId="0" applyAlignment="1" applyBorder="1" applyFont="1">
      <alignment horizontal="center" readingOrder="0" shrinkToFit="0" vertical="center" wrapText="1"/>
    </xf>
    <xf borderId="376" fillId="12" fontId="110" numFmtId="0" xfId="0" applyAlignment="1" applyBorder="1" applyFont="1">
      <alignment horizontal="center" readingOrder="0" shrinkToFit="0" vertical="center" wrapText="1"/>
    </xf>
    <xf borderId="0" fillId="3" fontId="202" numFmtId="0" xfId="0" applyAlignment="1" applyFont="1">
      <alignment horizontal="center" shrinkToFit="0" vertical="center" wrapText="1"/>
    </xf>
    <xf borderId="376" fillId="4" fontId="203" numFmtId="0" xfId="0" applyAlignment="1" applyBorder="1" applyFont="1">
      <alignment horizontal="center" readingOrder="0" shrinkToFit="0" vertical="center" wrapText="1"/>
    </xf>
    <xf borderId="376" fillId="4" fontId="39" numFmtId="0" xfId="0" applyAlignment="1" applyBorder="1" applyFont="1">
      <alignment horizontal="center" readingOrder="0" shrinkToFit="0" vertical="center" wrapText="1"/>
    </xf>
    <xf borderId="376" fillId="4" fontId="204" numFmtId="0" xfId="0" applyAlignment="1" applyBorder="1" applyFont="1">
      <alignment horizontal="center" readingOrder="0" shrinkToFit="0" vertical="center" wrapText="1"/>
    </xf>
    <xf borderId="376" fillId="4" fontId="169" numFmtId="0" xfId="0" applyAlignment="1" applyBorder="1" applyFont="1">
      <alignment horizontal="center" readingOrder="0" shrinkToFit="0" vertical="center" wrapText="1"/>
    </xf>
    <xf borderId="376" fillId="4" fontId="200" numFmtId="0" xfId="0" applyAlignment="1" applyBorder="1" applyFont="1">
      <alignment horizontal="center" readingOrder="0" shrinkToFit="0" vertical="center" wrapText="1"/>
    </xf>
    <xf borderId="376" fillId="4" fontId="110" numFmtId="0" xfId="0" applyAlignment="1" applyBorder="1" applyFont="1">
      <alignment horizontal="center" readingOrder="0" shrinkToFit="0" vertical="center" wrapText="1"/>
    </xf>
    <xf borderId="376" fillId="12" fontId="203" numFmtId="0" xfId="0" applyAlignment="1" applyBorder="1" applyFont="1">
      <alignment horizontal="center" readingOrder="0" shrinkToFit="0" vertical="center" wrapText="1"/>
    </xf>
    <xf borderId="376" fillId="12" fontId="39" numFmtId="0" xfId="0" applyAlignment="1" applyBorder="1" applyFont="1">
      <alignment horizontal="center" readingOrder="0" shrinkToFit="0" vertical="center" wrapText="1"/>
    </xf>
    <xf borderId="376" fillId="12" fontId="204" numFmtId="0" xfId="0" applyAlignment="1" applyBorder="1" applyFont="1">
      <alignment horizontal="center" readingOrder="0" shrinkToFit="0" vertical="center" wrapText="1"/>
    </xf>
    <xf borderId="376" fillId="12" fontId="169" numFmtId="0" xfId="0" applyAlignment="1" applyBorder="1" applyFont="1">
      <alignment horizontal="center" readingOrder="0" shrinkToFit="0" vertical="center" wrapText="1"/>
    </xf>
    <xf borderId="377" fillId="12" fontId="169" numFmtId="0" xfId="0" applyAlignment="1" applyBorder="1" applyFont="1">
      <alignment horizontal="center" readingOrder="0" shrinkToFit="0" vertical="center" wrapText="1"/>
    </xf>
    <xf borderId="377" fillId="4" fontId="169" numFmtId="0" xfId="0" applyAlignment="1" applyBorder="1" applyFont="1">
      <alignment horizontal="center" readingOrder="0" shrinkToFit="0" vertical="center" wrapText="1"/>
    </xf>
    <xf borderId="0" fillId="3" fontId="205" numFmtId="0" xfId="0" applyAlignment="1" applyFont="1">
      <alignment horizontal="center" readingOrder="0" shrinkToFit="0" vertical="center" wrapText="1"/>
    </xf>
    <xf borderId="376" fillId="4" fontId="39" numFmtId="0" xfId="0" applyAlignment="1" applyBorder="1" applyFont="1">
      <alignment horizontal="center" shrinkToFit="0" vertical="center" wrapText="1"/>
    </xf>
    <xf borderId="376" fillId="12" fontId="39" numFmtId="0" xfId="0" applyAlignment="1" applyBorder="1" applyFont="1">
      <alignment horizontal="center" shrinkToFit="0" vertical="center" wrapText="1"/>
    </xf>
    <xf borderId="377" fillId="4" fontId="169" numFmtId="0" xfId="0" applyAlignment="1" applyBorder="1" applyFont="1">
      <alignment horizontal="center" shrinkToFit="0" vertical="center" wrapText="1"/>
    </xf>
    <xf borderId="376" fillId="4" fontId="169" numFmtId="0" xfId="0" applyAlignment="1" applyBorder="1" applyFont="1">
      <alignment horizontal="center" shrinkToFit="0" vertical="center" wrapText="1"/>
    </xf>
    <xf borderId="377" fillId="12" fontId="169" numFmtId="0" xfId="0" applyAlignment="1" applyBorder="1" applyFont="1">
      <alignment horizontal="center" shrinkToFit="0" vertical="center" wrapText="1"/>
    </xf>
    <xf borderId="376" fillId="12" fontId="169" numFmtId="0" xfId="0" applyAlignment="1" applyBorder="1" applyFont="1">
      <alignment horizontal="center" shrinkToFit="0" vertical="center" wrapText="1"/>
    </xf>
    <xf borderId="92" fillId="4" fontId="110" numFmtId="0" xfId="0" applyAlignment="1" applyBorder="1" applyFont="1">
      <alignment horizontal="center" readingOrder="0" shrinkToFit="0" vertical="center" wrapText="1"/>
    </xf>
    <xf borderId="281" fillId="4" fontId="6" numFmtId="0" xfId="0" applyAlignment="1" applyBorder="1" applyFont="1">
      <alignment shrinkToFit="0" wrapText="1"/>
    </xf>
    <xf borderId="0" fillId="3" fontId="152" numFmtId="0" xfId="0" applyAlignment="1" applyFont="1">
      <alignment horizontal="center" readingOrder="0" shrinkToFit="0" vertical="center" wrapText="1"/>
    </xf>
    <xf borderId="0" fillId="3" fontId="12" numFmtId="0" xfId="0" applyAlignment="1" applyFont="1">
      <alignment horizontal="center" readingOrder="0" shrinkToFit="0" vertical="bottom" wrapText="0"/>
    </xf>
    <xf borderId="0" fillId="3" fontId="12" numFmtId="0" xfId="0" applyAlignment="1" applyFont="1">
      <alignment horizontal="center" readingOrder="0" shrinkToFit="0" vertical="center" wrapText="1"/>
    </xf>
    <xf borderId="0" fillId="3" fontId="12" numFmtId="0" xfId="0" applyAlignment="1" applyFont="1">
      <alignment horizontal="center" shrinkToFit="0" vertical="center" wrapText="1"/>
    </xf>
    <xf borderId="0" fillId="2" fontId="206" numFmtId="0" xfId="0" applyAlignment="1" applyFont="1">
      <alignment horizontal="center" readingOrder="0" shrinkToFit="0" vertical="center" wrapText="0"/>
    </xf>
    <xf borderId="11" fillId="7" fontId="12" numFmtId="0" xfId="0" applyAlignment="1" applyBorder="1" applyFont="1">
      <alignment horizontal="center" readingOrder="0" shrinkToFit="0" vertical="center" wrapText="0"/>
    </xf>
    <xf borderId="354" fillId="3" fontId="31" numFmtId="0" xfId="0" applyAlignment="1" applyBorder="1" applyFont="1">
      <alignment horizontal="center" shrinkToFit="0" vertical="center" wrapText="1"/>
    </xf>
    <xf borderId="355" fillId="3" fontId="31" numFmtId="0" xfId="0" applyAlignment="1" applyBorder="1" applyFont="1">
      <alignment horizontal="center" shrinkToFit="0" vertical="center" wrapText="1"/>
    </xf>
    <xf borderId="378" fillId="0" fontId="6" numFmtId="0" xfId="0" applyAlignment="1" applyBorder="1" applyFont="1">
      <alignment shrinkToFit="0" wrapText="1"/>
    </xf>
    <xf borderId="6" fillId="4" fontId="99" numFmtId="0" xfId="0" applyAlignment="1" applyBorder="1" applyFont="1">
      <alignment horizontal="center" shrinkToFit="0" vertical="center" wrapText="0"/>
    </xf>
    <xf borderId="379" fillId="4" fontId="194" numFmtId="0" xfId="0" applyAlignment="1" applyBorder="1" applyFont="1">
      <alignment horizontal="center" readingOrder="0" shrinkToFit="0" vertical="center" wrapText="1"/>
    </xf>
    <xf borderId="380" fillId="4" fontId="193" numFmtId="0" xfId="0" applyAlignment="1" applyBorder="1" applyFont="1">
      <alignment horizontal="center" shrinkToFit="0" vertical="center" wrapText="0"/>
    </xf>
    <xf borderId="381" fillId="4" fontId="193" numFmtId="0" xfId="0" applyAlignment="1" applyBorder="1" applyFont="1">
      <alignment horizontal="center" shrinkToFit="0" vertical="center" wrapText="1"/>
    </xf>
    <xf borderId="382" fillId="4" fontId="193" numFmtId="0" xfId="0" applyAlignment="1" applyBorder="1" applyFont="1">
      <alignment horizontal="center" readingOrder="0" shrinkToFit="0" vertical="center" wrapText="1"/>
    </xf>
    <xf borderId="382" fillId="4" fontId="90" numFmtId="0" xfId="0" applyAlignment="1" applyBorder="1" applyFont="1">
      <alignment horizontal="center" readingOrder="0" shrinkToFit="0" vertical="center" wrapText="1"/>
    </xf>
    <xf borderId="381" fillId="4" fontId="90" numFmtId="0" xfId="0" applyAlignment="1" applyBorder="1" applyFont="1">
      <alignment horizontal="center" shrinkToFit="0" vertical="center" wrapText="1"/>
    </xf>
    <xf borderId="364" fillId="4" fontId="194" numFmtId="0" xfId="0" applyAlignment="1" applyBorder="1" applyFont="1">
      <alignment horizontal="center" readingOrder="0" shrinkToFit="0" vertical="center" wrapText="1"/>
    </xf>
    <xf borderId="380" fillId="4" fontId="193" numFmtId="0" xfId="0" applyAlignment="1" applyBorder="1" applyFont="1">
      <alignment horizontal="left" shrinkToFit="0" vertical="center" wrapText="0"/>
    </xf>
    <xf borderId="382" fillId="4" fontId="193" numFmtId="0" xfId="0" applyAlignment="1" applyBorder="1" applyFont="1">
      <alignment horizontal="center" shrinkToFit="0" vertical="center" wrapText="1"/>
    </xf>
    <xf borderId="364" fillId="4" fontId="194" numFmtId="0" xfId="0" applyAlignment="1" applyBorder="1" applyFont="1">
      <alignment horizontal="center" shrinkToFit="0" vertical="center" wrapText="1"/>
    </xf>
    <xf borderId="361" fillId="31" fontId="99" numFmtId="0" xfId="0" applyAlignment="1" applyBorder="1" applyFont="1">
      <alignment horizontal="center" shrinkToFit="0" vertical="center" wrapText="1"/>
    </xf>
    <xf borderId="364" fillId="31" fontId="194" numFmtId="0" xfId="0" applyAlignment="1" applyBorder="1" applyFont="1">
      <alignment horizontal="center" readingOrder="0" shrinkToFit="0" vertical="center" wrapText="1"/>
    </xf>
    <xf borderId="365" fillId="31" fontId="193" numFmtId="0" xfId="0" applyAlignment="1" applyBorder="1" applyFont="1">
      <alignment horizontal="center" shrinkToFit="0" vertical="center" wrapText="0"/>
    </xf>
    <xf borderId="366" fillId="31" fontId="193" numFmtId="0" xfId="0" applyAlignment="1" applyBorder="1" applyFont="1">
      <alignment horizontal="center" shrinkToFit="0" vertical="center" wrapText="1"/>
    </xf>
    <xf borderId="365" fillId="31" fontId="193" numFmtId="0" xfId="0" applyAlignment="1" applyBorder="1" applyFont="1">
      <alignment horizontal="left" shrinkToFit="0" vertical="center" wrapText="0"/>
    </xf>
    <xf borderId="364" fillId="31" fontId="194" numFmtId="0" xfId="0" applyAlignment="1" applyBorder="1" applyFont="1">
      <alignment horizontal="center" shrinkToFit="0" vertical="center" wrapText="1"/>
    </xf>
    <xf borderId="361" fillId="4" fontId="99" numFmtId="0" xfId="0" applyAlignment="1" applyBorder="1" applyFont="1">
      <alignment horizontal="center" shrinkToFit="0" vertical="center" wrapText="1"/>
    </xf>
    <xf borderId="365" fillId="4" fontId="193" numFmtId="0" xfId="0" applyAlignment="1" applyBorder="1" applyFont="1">
      <alignment horizontal="center" shrinkToFit="0" vertical="center" wrapText="0"/>
    </xf>
    <xf borderId="366" fillId="4" fontId="193" numFmtId="0" xfId="0" applyAlignment="1" applyBorder="1" applyFont="1">
      <alignment horizontal="center" shrinkToFit="0" vertical="center" wrapText="1"/>
    </xf>
    <xf borderId="365" fillId="4" fontId="193" numFmtId="0" xfId="0" applyAlignment="1" applyBorder="1" applyFont="1">
      <alignment horizontal="left" shrinkToFit="0" vertical="center" wrapText="0"/>
    </xf>
    <xf borderId="361" fillId="31" fontId="99" numFmtId="0" xfId="0" applyAlignment="1" applyBorder="1" applyFont="1">
      <alignment horizontal="center" readingOrder="0" shrinkToFit="0" vertical="center" wrapText="1"/>
    </xf>
    <xf borderId="364" fillId="4" fontId="20" numFmtId="0" xfId="0" applyAlignment="1" applyBorder="1" applyFont="1">
      <alignment shrinkToFit="0" wrapText="1"/>
    </xf>
    <xf borderId="364" fillId="31" fontId="20" numFmtId="0" xfId="0" applyAlignment="1" applyBorder="1" applyFont="1">
      <alignment shrinkToFit="0" wrapText="1"/>
    </xf>
    <xf borderId="0" fillId="2" fontId="87" numFmtId="0" xfId="0" applyAlignment="1" applyFont="1">
      <alignment horizontal="center" shrinkToFit="0" vertical="center" wrapText="1"/>
    </xf>
    <xf borderId="370" fillId="31" fontId="194" numFmtId="0" xfId="0" applyAlignment="1" applyBorder="1" applyFont="1">
      <alignment horizontal="center" shrinkToFit="0" vertical="center" wrapText="1"/>
    </xf>
    <xf borderId="371" fillId="31" fontId="193" numFmtId="0" xfId="0" applyAlignment="1" applyBorder="1" applyFont="1">
      <alignment horizontal="center" shrinkToFit="0" vertical="center" wrapText="0"/>
    </xf>
    <xf borderId="372" fillId="31" fontId="193" numFmtId="0" xfId="0" applyAlignment="1" applyBorder="1" applyFont="1">
      <alignment horizontal="center" shrinkToFit="0" vertical="center" wrapText="1"/>
    </xf>
    <xf borderId="371" fillId="31" fontId="193" numFmtId="0" xfId="0" applyAlignment="1" applyBorder="1" applyFont="1">
      <alignment horizontal="left" shrinkToFit="0" vertical="center" wrapText="0"/>
    </xf>
    <xf borderId="370" fillId="31" fontId="20" numFmtId="0" xfId="0" applyAlignment="1" applyBorder="1" applyFont="1">
      <alignment shrinkToFit="0" wrapText="1"/>
    </xf>
    <xf borderId="0" fillId="24" fontId="147" numFmtId="0" xfId="0" applyAlignment="1" applyFont="1">
      <alignment horizontal="center" readingOrder="0" shrinkToFit="0" vertical="center" wrapText="1"/>
    </xf>
    <xf borderId="0" fillId="0" fontId="207" numFmtId="0" xfId="0" applyAlignment="1" applyFont="1">
      <alignment shrinkToFit="0" vertical="bottom" wrapText="1"/>
    </xf>
    <xf borderId="383" fillId="5" fontId="12" numFmtId="0" xfId="0" applyAlignment="1" applyBorder="1" applyFont="1">
      <alignment horizontal="center" readingOrder="0" shrinkToFit="0" vertical="center" wrapText="1"/>
    </xf>
    <xf borderId="384" fillId="2" fontId="1" numFmtId="0" xfId="0" applyAlignment="1" applyBorder="1" applyFont="1">
      <alignment shrinkToFit="0" wrapText="1"/>
    </xf>
    <xf borderId="0" fillId="2" fontId="208" numFmtId="0" xfId="0" applyAlignment="1" applyFont="1">
      <alignment horizontal="center" readingOrder="0" shrinkToFit="0" vertical="bottom" wrapText="1"/>
    </xf>
    <xf borderId="385" fillId="2" fontId="1" numFmtId="0" xfId="0" applyAlignment="1" applyBorder="1" applyFont="1">
      <alignment shrinkToFit="0" wrapText="1"/>
    </xf>
    <xf borderId="386" fillId="4" fontId="207" numFmtId="0" xfId="0" applyAlignment="1" applyBorder="1" applyFont="1">
      <alignment shrinkToFit="0" vertical="bottom" wrapText="1"/>
    </xf>
    <xf borderId="0" fillId="2" fontId="209" numFmtId="0" xfId="0" applyAlignment="1" applyFont="1">
      <alignment horizontal="center" readingOrder="0" shrinkToFit="0" vertical="bottom" wrapText="1"/>
    </xf>
    <xf borderId="68" fillId="2" fontId="209" numFmtId="0" xfId="0" applyAlignment="1" applyBorder="1" applyFont="1">
      <alignment horizontal="center" readingOrder="0" shrinkToFit="0" vertical="bottom" wrapText="1"/>
    </xf>
    <xf borderId="67" fillId="7" fontId="7" numFmtId="0" xfId="0" applyAlignment="1" applyBorder="1" applyFont="1">
      <alignment horizontal="center" readingOrder="0" shrinkToFit="0" wrapText="1"/>
    </xf>
    <xf borderId="12" fillId="7" fontId="7" numFmtId="0" xfId="0" applyAlignment="1" applyBorder="1" applyFont="1">
      <alignment horizontal="center" readingOrder="0" shrinkToFit="0" wrapText="1"/>
    </xf>
    <xf borderId="45" fillId="7" fontId="163" numFmtId="0" xfId="0" applyAlignment="1" applyBorder="1" applyFont="1">
      <alignment horizontal="center" shrinkToFit="0" vertical="center" wrapText="1"/>
    </xf>
    <xf borderId="0" fillId="2" fontId="20" numFmtId="0" xfId="0" applyAlignment="1" applyFont="1">
      <alignment shrinkToFit="0" vertical="bottom" wrapText="1"/>
    </xf>
    <xf borderId="0" fillId="2" fontId="29" numFmtId="0" xfId="0" applyAlignment="1" applyFont="1">
      <alignment horizontal="center" shrinkToFit="0" wrapText="1"/>
    </xf>
    <xf borderId="0" fillId="2" fontId="29" numFmtId="0" xfId="0" applyAlignment="1" applyFont="1">
      <alignment horizontal="center" readingOrder="0" shrinkToFit="0" wrapText="1"/>
    </xf>
    <xf borderId="340" fillId="26" fontId="210" numFmtId="0" xfId="0" applyAlignment="1" applyBorder="1" applyFont="1">
      <alignment horizontal="left" readingOrder="0" shrinkToFit="0" vertical="center" wrapText="1"/>
    </xf>
    <xf borderId="112" fillId="4" fontId="65" numFmtId="49" xfId="0" applyAlignment="1" applyBorder="1" applyFont="1" applyNumberFormat="1">
      <alignment horizontal="center" readingOrder="0" shrinkToFit="0" vertical="center" wrapText="1"/>
    </xf>
    <xf borderId="11" fillId="3" fontId="163" numFmtId="0" xfId="0" applyAlignment="1" applyBorder="1" applyFont="1">
      <alignment horizontal="center" readingOrder="0" shrinkToFit="0" wrapText="1"/>
    </xf>
    <xf borderId="387" fillId="3" fontId="154" numFmtId="0" xfId="0" applyAlignment="1" applyBorder="1" applyFont="1">
      <alignment shrinkToFit="0" vertical="center" wrapText="0"/>
    </xf>
    <xf borderId="388" fillId="0" fontId="6" numFmtId="0" xfId="0" applyAlignment="1" applyBorder="1" applyFont="1">
      <alignment shrinkToFit="0" wrapText="1"/>
    </xf>
    <xf borderId="389" fillId="0" fontId="6" numFmtId="0" xfId="0" applyAlignment="1" applyBorder="1" applyFont="1">
      <alignment shrinkToFit="0" wrapText="1"/>
    </xf>
    <xf borderId="11" fillId="12" fontId="195" numFmtId="0" xfId="0" applyAlignment="1" applyBorder="1" applyFont="1">
      <alignment horizontal="center" readingOrder="0" shrinkToFit="0" vertical="center" wrapText="1"/>
    </xf>
    <xf borderId="390" fillId="0" fontId="6" numFmtId="0" xfId="0" applyAlignment="1" applyBorder="1" applyFont="1">
      <alignment shrinkToFit="0" wrapText="1"/>
    </xf>
    <xf borderId="11" fillId="16" fontId="109" numFmtId="1" xfId="0" applyAlignment="1" applyBorder="1" applyFont="1" applyNumberFormat="1">
      <alignment horizontal="center" shrinkToFit="0" vertical="center" wrapText="1"/>
    </xf>
    <xf borderId="11" fillId="6" fontId="109" numFmtId="1" xfId="0" applyAlignment="1" applyBorder="1" applyFont="1" applyNumberFormat="1">
      <alignment horizontal="center" shrinkToFit="0" vertical="center" wrapText="1"/>
    </xf>
    <xf borderId="112" fillId="4" fontId="65" numFmtId="174" xfId="0" applyAlignment="1" applyBorder="1" applyFont="1" applyNumberFormat="1">
      <alignment horizontal="center" readingOrder="0" shrinkToFit="0" vertical="center" wrapText="1"/>
    </xf>
    <xf borderId="45" fillId="30" fontId="28" numFmtId="0" xfId="0" applyAlignment="1" applyBorder="1" applyFont="1">
      <alignment horizontal="center" shrinkToFit="0" vertical="center" wrapText="1"/>
    </xf>
    <xf borderId="145" fillId="0" fontId="211" numFmtId="0" xfId="0" applyAlignment="1" applyBorder="1" applyFont="1">
      <alignment shrinkToFit="0" vertical="center" wrapText="1"/>
    </xf>
    <xf borderId="11" fillId="39" fontId="109" numFmtId="0" xfId="0" applyAlignment="1" applyBorder="1" applyFont="1">
      <alignment horizontal="center" shrinkToFit="0" vertical="center" wrapText="1"/>
    </xf>
    <xf borderId="11" fillId="16" fontId="109" numFmtId="49" xfId="0" applyAlignment="1" applyBorder="1" applyFont="1" applyNumberFormat="1">
      <alignment horizontal="center" shrinkToFit="0" vertical="center" wrapText="1"/>
    </xf>
    <xf borderId="11" fillId="6" fontId="109" numFmtId="0" xfId="0" applyAlignment="1" applyBorder="1" applyFont="1">
      <alignment horizontal="center" shrinkToFit="0" vertical="center" wrapText="1"/>
    </xf>
    <xf borderId="0" fillId="2" fontId="212" numFmtId="0" xfId="0" applyAlignment="1" applyFont="1">
      <alignment horizontal="center" readingOrder="0" shrinkToFit="0" vertical="bottom" wrapText="1"/>
    </xf>
    <xf borderId="145" fillId="0" fontId="110" numFmtId="0" xfId="0" applyAlignment="1" applyBorder="1" applyFont="1">
      <alignment readingOrder="0" shrinkToFit="0" vertical="center" wrapText="0"/>
    </xf>
    <xf borderId="11" fillId="39" fontId="213" numFmtId="0" xfId="0" applyAlignment="1" applyBorder="1" applyFont="1">
      <alignment horizontal="center" shrinkToFit="0" vertical="center" wrapText="1"/>
    </xf>
    <xf borderId="0" fillId="2" fontId="214" numFmtId="0" xfId="0" applyAlignment="1" applyFont="1">
      <alignment horizontal="left" readingOrder="0" shrinkToFit="0" vertical="bottom" wrapText="0"/>
    </xf>
    <xf borderId="177" fillId="0" fontId="211" numFmtId="0" xfId="0" applyAlignment="1" applyBorder="1" applyFont="1">
      <alignment shrinkToFit="0" vertical="center" wrapText="1"/>
    </xf>
    <xf borderId="11" fillId="39" fontId="213" numFmtId="0" xfId="0" applyAlignment="1" applyBorder="1" applyFont="1">
      <alignment horizontal="center" readingOrder="0" shrinkToFit="0" vertical="center" wrapText="1"/>
    </xf>
    <xf borderId="11" fillId="6" fontId="109" numFmtId="171" xfId="0" applyAlignment="1" applyBorder="1" applyFont="1" applyNumberFormat="1">
      <alignment horizontal="center" shrinkToFit="0" vertical="center" wrapText="1"/>
    </xf>
    <xf borderId="391" fillId="2" fontId="1" numFmtId="0" xfId="0" applyAlignment="1" applyBorder="1" applyFont="1">
      <alignment shrinkToFit="0" wrapText="1"/>
    </xf>
    <xf borderId="391" fillId="2" fontId="215" numFmtId="0" xfId="0" applyAlignment="1" applyBorder="1" applyFont="1">
      <alignment horizontal="right" readingOrder="0" shrinkToFit="0" vertical="bottom" wrapText="1"/>
    </xf>
    <xf borderId="115" fillId="26" fontId="210" numFmtId="0" xfId="0" applyAlignment="1" applyBorder="1" applyFont="1">
      <alignment horizontal="left" readingOrder="0" shrinkToFit="0" vertical="center" wrapText="1"/>
    </xf>
    <xf borderId="45" fillId="13" fontId="163" numFmtId="0" xfId="0" applyAlignment="1" applyBorder="1" applyFont="1">
      <alignment horizontal="center" readingOrder="0" shrinkToFit="0" vertical="center" wrapText="1"/>
    </xf>
    <xf borderId="11" fillId="71" fontId="216" numFmtId="0" xfId="0" applyAlignment="1" applyBorder="1" applyFill="1" applyFont="1">
      <alignment horizontal="center" readingOrder="0" shrinkToFit="0" vertical="center" wrapText="1"/>
    </xf>
    <xf borderId="392" fillId="2" fontId="217" numFmtId="0" xfId="0" applyAlignment="1" applyBorder="1" applyFont="1">
      <alignment horizontal="center" readingOrder="0" shrinkToFit="0" vertical="center" wrapText="1"/>
    </xf>
    <xf borderId="393" fillId="0" fontId="6" numFmtId="0" xfId="0" applyAlignment="1" applyBorder="1" applyFont="1">
      <alignment shrinkToFit="0" wrapText="1"/>
    </xf>
    <xf borderId="394" fillId="0" fontId="6" numFmtId="0" xfId="0" applyAlignment="1" applyBorder="1" applyFont="1">
      <alignment shrinkToFit="0" wrapText="1"/>
    </xf>
    <xf borderId="12" fillId="3" fontId="31" numFmtId="0" xfId="0" applyAlignment="1" applyBorder="1" applyFont="1">
      <alignment horizontal="left" shrinkToFit="0" vertical="center" wrapText="1"/>
    </xf>
    <xf borderId="12" fillId="3" fontId="32" numFmtId="0" xfId="0" applyAlignment="1" applyBorder="1" applyFont="1">
      <alignment horizontal="center" shrinkToFit="0" vertical="center" wrapText="0"/>
    </xf>
    <xf borderId="136" fillId="25" fontId="77" numFmtId="166" xfId="0" applyAlignment="1" applyBorder="1" applyFont="1" applyNumberFormat="1">
      <alignment horizontal="center" shrinkToFit="0" vertical="center" wrapText="1"/>
    </xf>
    <xf borderId="45" fillId="0" fontId="155" numFmtId="0" xfId="0" applyAlignment="1" applyBorder="1" applyFont="1">
      <alignment readingOrder="0" shrinkToFit="0" wrapText="1"/>
    </xf>
    <xf borderId="45" fillId="4" fontId="218" numFmtId="0" xfId="0" applyAlignment="1" applyBorder="1" applyFont="1">
      <alignment horizontal="center" readingOrder="0" shrinkToFit="0" vertical="center" wrapText="1"/>
    </xf>
    <xf borderId="67" fillId="2" fontId="219" numFmtId="0" xfId="0" applyAlignment="1" applyBorder="1" applyFont="1">
      <alignment horizontal="center" readingOrder="0" shrinkToFit="0" vertical="center" wrapText="1"/>
    </xf>
    <xf borderId="45" fillId="4" fontId="220" numFmtId="0" xfId="0" applyAlignment="1" applyBorder="1" applyFont="1">
      <alignment horizontal="center" readingOrder="0" shrinkToFit="0" vertical="center" wrapText="1"/>
    </xf>
    <xf borderId="395" fillId="0" fontId="6" numFmtId="0" xfId="0" applyAlignment="1" applyBorder="1" applyFont="1">
      <alignment shrinkToFit="0" wrapText="1"/>
    </xf>
    <xf borderId="396" fillId="0" fontId="6" numFmtId="0" xfId="0" applyAlignment="1" applyBorder="1" applyFont="1">
      <alignment shrinkToFit="0" wrapText="1"/>
    </xf>
    <xf borderId="12" fillId="7" fontId="7" numFmtId="0" xfId="0" applyAlignment="1" applyBorder="1" applyFont="1">
      <alignment horizontal="center" readingOrder="0" shrinkToFit="0" vertical="center" wrapText="1"/>
    </xf>
    <xf borderId="11" fillId="3" fontId="163" numFmtId="0" xfId="0" applyAlignment="1" applyBorder="1" applyFont="1">
      <alignment horizontal="center" shrinkToFit="0" wrapText="1"/>
    </xf>
    <xf borderId="11" fillId="0" fontId="221" numFmtId="0" xfId="0" applyAlignment="1" applyBorder="1" applyFont="1">
      <alignment horizontal="left" readingOrder="0" shrinkToFit="0" vertical="center" wrapText="1"/>
    </xf>
    <xf borderId="11" fillId="0" fontId="119" numFmtId="0" xfId="0" applyAlignment="1" applyBorder="1" applyFont="1">
      <alignment horizontal="center" readingOrder="0" shrinkToFit="0" vertical="center" wrapText="0"/>
    </xf>
    <xf borderId="11" fillId="0" fontId="65" numFmtId="0" xfId="0" applyAlignment="1" applyBorder="1" applyFont="1">
      <alignment horizontal="center" readingOrder="0" shrinkToFit="0" vertical="center" wrapText="1"/>
    </xf>
    <xf borderId="11" fillId="6" fontId="65" numFmtId="166" xfId="0" applyAlignment="1" applyBorder="1" applyFont="1" applyNumberFormat="1">
      <alignment horizontal="center" shrinkToFit="0" vertical="center" wrapText="0"/>
    </xf>
    <xf borderId="145" fillId="6" fontId="79" numFmtId="166" xfId="0" applyAlignment="1" applyBorder="1" applyFont="1" applyNumberFormat="1">
      <alignment horizontal="center" shrinkToFit="0" vertical="center" wrapText="1"/>
    </xf>
    <xf borderId="67" fillId="8" fontId="155" numFmtId="0" xfId="0" applyAlignment="1" applyBorder="1" applyFont="1">
      <alignment readingOrder="0" shrinkToFit="0" wrapText="1"/>
    </xf>
    <xf borderId="11" fillId="3" fontId="163" numFmtId="0" xfId="0" applyAlignment="1" applyBorder="1" applyFont="1">
      <alignment horizontal="center" shrinkToFit="0" vertical="center" wrapText="1"/>
    </xf>
    <xf borderId="397" fillId="3" fontId="163" numFmtId="0" xfId="0" applyAlignment="1" applyBorder="1" applyFont="1">
      <alignment horizontal="center" shrinkToFit="0" vertical="center" wrapText="1"/>
    </xf>
    <xf borderId="145" fillId="6" fontId="77" numFmtId="166" xfId="0" applyAlignment="1" applyBorder="1" applyFont="1" applyNumberFormat="1">
      <alignment horizontal="center" shrinkToFit="0" vertical="center" wrapText="1"/>
    </xf>
    <xf borderId="0" fillId="2" fontId="117" numFmtId="0" xfId="0" applyAlignment="1" applyFont="1">
      <alignment horizontal="center" readingOrder="0" shrinkToFit="0" vertical="top" wrapText="1"/>
    </xf>
    <xf borderId="11" fillId="4" fontId="77" numFmtId="0" xfId="0" applyAlignment="1" applyBorder="1" applyFont="1">
      <alignment horizontal="center" readingOrder="0" shrinkToFit="0" vertical="center" wrapText="1"/>
    </xf>
    <xf borderId="11" fillId="7" fontId="31" numFmtId="0" xfId="0" applyAlignment="1" applyBorder="1" applyFont="1">
      <alignment horizontal="center" shrinkToFit="0" vertical="center" wrapText="1"/>
    </xf>
    <xf borderId="329" fillId="7" fontId="132" numFmtId="0" xfId="0" applyAlignment="1" applyBorder="1" applyFont="1">
      <alignment horizontal="center" shrinkToFit="0" vertical="center" wrapText="1"/>
    </xf>
    <xf borderId="329" fillId="7" fontId="31" numFmtId="0" xfId="0" applyAlignment="1" applyBorder="1" applyFont="1">
      <alignment horizontal="center" shrinkToFit="0" vertical="center" wrapText="1"/>
    </xf>
    <xf borderId="12" fillId="7" fontId="31" numFmtId="0" xfId="0" applyAlignment="1" applyBorder="1" applyFont="1">
      <alignment horizontal="center" shrinkToFit="0" vertical="center" wrapText="0"/>
    </xf>
    <xf borderId="11" fillId="10" fontId="10" numFmtId="0" xfId="0" applyAlignment="1" applyBorder="1" applyFont="1">
      <alignment horizontal="center" readingOrder="0" shrinkToFit="0" vertical="center" wrapText="1"/>
    </xf>
    <xf borderId="45" fillId="7" fontId="163" numFmtId="0" xfId="0" applyAlignment="1" applyBorder="1" applyFont="1">
      <alignment horizontal="center" readingOrder="0" shrinkToFit="0" vertical="center" wrapText="1"/>
    </xf>
    <xf borderId="397" fillId="3" fontId="163" numFmtId="0" xfId="0" applyAlignment="1" applyBorder="1" applyFont="1">
      <alignment horizontal="center" readingOrder="0" shrinkToFit="0" vertical="center" wrapText="1"/>
    </xf>
    <xf borderId="45" fillId="3" fontId="31" numFmtId="0" xfId="0" applyAlignment="1" applyBorder="1" applyFont="1">
      <alignment shrinkToFit="0" vertical="center" wrapText="1"/>
    </xf>
    <xf borderId="11" fillId="39" fontId="222" numFmtId="0" xfId="0" applyAlignment="1" applyBorder="1" applyFont="1">
      <alignment horizontal="center" readingOrder="0" shrinkToFit="0" vertical="center" wrapText="1"/>
    </xf>
    <xf borderId="12" fillId="16" fontId="109" numFmtId="1" xfId="0" applyAlignment="1" applyBorder="1" applyFont="1" applyNumberFormat="1">
      <alignment horizontal="center" shrinkToFit="0" vertical="center" wrapText="1"/>
    </xf>
    <xf borderId="45" fillId="2" fontId="223" numFmtId="166" xfId="0" applyAlignment="1" applyBorder="1" applyFont="1" applyNumberFormat="1">
      <alignment horizontal="center" readingOrder="0" shrinkToFit="0" vertical="center" wrapText="1"/>
    </xf>
    <xf borderId="45" fillId="2" fontId="224" numFmtId="0" xfId="0" applyAlignment="1" applyBorder="1" applyFont="1">
      <alignment horizontal="center" readingOrder="0" shrinkToFit="0" vertical="center" wrapText="1"/>
    </xf>
    <xf borderId="224" fillId="8" fontId="20" numFmtId="0" xfId="0" applyAlignment="1" applyBorder="1" applyFont="1">
      <alignment shrinkToFit="0" vertical="center" wrapText="1"/>
    </xf>
    <xf borderId="224" fillId="8" fontId="20" numFmtId="0" xfId="0" applyAlignment="1" applyBorder="1" applyFont="1">
      <alignment shrinkToFit="0" vertical="center" wrapText="1"/>
    </xf>
    <xf borderId="224" fillId="8" fontId="20" numFmtId="49" xfId="0" applyAlignment="1" applyBorder="1" applyFont="1" applyNumberFormat="1">
      <alignment shrinkToFit="0" vertical="center" wrapText="1"/>
    </xf>
    <xf borderId="240" fillId="6" fontId="109" numFmtId="0" xfId="0" applyAlignment="1" applyBorder="1" applyFont="1">
      <alignment horizontal="center" shrinkToFit="0" vertical="center" wrapText="1"/>
    </xf>
    <xf borderId="177" fillId="8" fontId="77" numFmtId="0" xfId="0" applyAlignment="1" applyBorder="1" applyFont="1">
      <alignment horizontal="center" readingOrder="0" shrinkToFit="0" vertical="center" wrapText="0"/>
    </xf>
    <xf borderId="177" fillId="6" fontId="77" numFmtId="166" xfId="0" applyAlignment="1" applyBorder="1" applyFont="1" applyNumberFormat="1">
      <alignment horizontal="center" shrinkToFit="0" vertical="center" wrapText="1"/>
    </xf>
    <xf borderId="12" fillId="8" fontId="155" numFmtId="0" xfId="0" applyAlignment="1" applyBorder="1" applyFont="1">
      <alignment readingOrder="0" shrinkToFit="0" wrapText="1"/>
    </xf>
    <xf borderId="398" fillId="0" fontId="6" numFmtId="0" xfId="0" applyAlignment="1" applyBorder="1" applyFont="1">
      <alignment shrinkToFit="0" wrapText="1"/>
    </xf>
    <xf borderId="399" fillId="0" fontId="6" numFmtId="0" xfId="0" applyAlignment="1" applyBorder="1" applyFont="1">
      <alignment shrinkToFit="0" wrapText="1"/>
    </xf>
    <xf borderId="400" fillId="0" fontId="6" numFmtId="0" xfId="0" applyAlignment="1" applyBorder="1" applyFont="1">
      <alignment shrinkToFit="0" wrapText="1"/>
    </xf>
    <xf borderId="401" fillId="0" fontId="6" numFmtId="0" xfId="0" applyAlignment="1" applyBorder="1" applyFont="1">
      <alignment shrinkToFit="0" wrapText="1"/>
    </xf>
    <xf borderId="48" fillId="0" fontId="20" numFmtId="3" xfId="0" applyAlignment="1" applyBorder="1" applyFont="1" applyNumberFormat="1">
      <alignment shrinkToFit="0" vertical="center" wrapText="1"/>
    </xf>
    <xf borderId="53" fillId="0" fontId="20" numFmtId="0" xfId="0" applyAlignment="1" applyBorder="1" applyFont="1">
      <alignment shrinkToFit="0" vertical="center" wrapText="1"/>
    </xf>
    <xf borderId="53" fillId="0" fontId="20" numFmtId="49" xfId="0" applyAlignment="1" applyBorder="1" applyFont="1" applyNumberFormat="1">
      <alignment shrinkToFit="0" vertical="center" wrapText="1"/>
    </xf>
    <xf borderId="48" fillId="6" fontId="109" numFmtId="0" xfId="0" applyAlignment="1" applyBorder="1" applyFont="1">
      <alignment horizontal="center" shrinkToFit="0" vertical="center" wrapText="1"/>
    </xf>
    <xf borderId="48" fillId="8" fontId="20" numFmtId="3" xfId="0" applyAlignment="1" applyBorder="1" applyFont="1" applyNumberFormat="1">
      <alignment shrinkToFit="0" vertical="center" wrapText="1"/>
    </xf>
    <xf borderId="48" fillId="8" fontId="20" numFmtId="0" xfId="0" applyAlignment="1" applyBorder="1" applyFont="1">
      <alignment shrinkToFit="0" vertical="center" wrapText="1"/>
    </xf>
    <xf borderId="48" fillId="8" fontId="20" numFmtId="49" xfId="0" applyAlignment="1" applyBorder="1" applyFont="1" applyNumberFormat="1">
      <alignment shrinkToFit="0" vertical="center" wrapText="1"/>
    </xf>
    <xf borderId="79" fillId="15" fontId="98" numFmtId="0" xfId="0" applyAlignment="1" applyBorder="1" applyFont="1">
      <alignment readingOrder="0" shrinkToFit="0" vertical="center" wrapText="1"/>
    </xf>
    <xf borderId="105" fillId="16" fontId="98" numFmtId="0" xfId="0" applyAlignment="1" applyBorder="1" applyFont="1">
      <alignment readingOrder="0" shrinkToFit="0" vertical="center" wrapText="1"/>
    </xf>
    <xf borderId="11" fillId="7" fontId="31" numFmtId="0" xfId="0" applyAlignment="1" applyBorder="1" applyFont="1">
      <alignment horizontal="center" shrinkToFit="0" wrapText="1"/>
    </xf>
    <xf borderId="48" fillId="0" fontId="20" numFmtId="0" xfId="0" applyAlignment="1" applyBorder="1" applyFont="1">
      <alignment shrinkToFit="0" vertical="center" wrapText="1"/>
    </xf>
    <xf borderId="53" fillId="0" fontId="20" numFmtId="0" xfId="0" applyAlignment="1" applyBorder="1" applyFont="1">
      <alignment shrinkToFit="0" vertical="center" wrapText="1"/>
    </xf>
    <xf borderId="48" fillId="6" fontId="109" numFmtId="0" xfId="0" applyAlignment="1" applyBorder="1" applyFont="1">
      <alignment horizontal="center" shrinkToFit="0" vertical="center" wrapText="1"/>
    </xf>
    <xf borderId="100" fillId="17" fontId="98" numFmtId="0" xfId="0" applyAlignment="1" applyBorder="1" applyFont="1">
      <alignment readingOrder="0" shrinkToFit="0" vertical="center" wrapText="1"/>
    </xf>
    <xf borderId="101" fillId="16" fontId="98" numFmtId="0" xfId="0" applyAlignment="1" applyBorder="1" applyFont="1">
      <alignment readingOrder="0" shrinkToFit="0" vertical="center" wrapText="1"/>
    </xf>
    <xf borderId="41" fillId="4" fontId="20" numFmtId="0" xfId="0" applyAlignment="1" applyBorder="1" applyFont="1">
      <alignment shrinkToFit="0" vertical="bottom" wrapText="1"/>
    </xf>
    <xf borderId="48" fillId="8" fontId="20" numFmtId="0" xfId="0" applyAlignment="1" applyBorder="1" applyFont="1">
      <alignment shrinkToFit="0" vertical="center" wrapText="1"/>
    </xf>
    <xf borderId="0" fillId="2" fontId="20" numFmtId="0" xfId="0" applyAlignment="1" applyFont="1">
      <alignment shrinkToFit="0" vertical="bottom" wrapText="1"/>
    </xf>
    <xf borderId="48" fillId="8" fontId="20" numFmtId="0" xfId="0" applyAlignment="1" applyBorder="1" applyFont="1">
      <alignment shrinkToFit="0" vertical="bottom" wrapText="1"/>
    </xf>
    <xf borderId="53" fillId="0" fontId="20" numFmtId="3" xfId="0" applyAlignment="1" applyBorder="1" applyFont="1" applyNumberFormat="1">
      <alignment shrinkToFit="0" vertical="center" wrapText="1"/>
    </xf>
    <xf borderId="402" fillId="2" fontId="225" numFmtId="0" xfId="0" applyAlignment="1" applyBorder="1" applyFont="1">
      <alignment horizontal="left" readingOrder="0" shrinkToFit="0" vertical="bottom" wrapText="1"/>
    </xf>
    <xf borderId="111" fillId="17" fontId="98" numFmtId="0" xfId="0" applyAlignment="1" applyBorder="1" applyFont="1">
      <alignment readingOrder="0" shrinkToFit="0" vertical="center" wrapText="1"/>
    </xf>
    <xf borderId="48" fillId="4" fontId="20" numFmtId="0" xfId="0" applyAlignment="1" applyBorder="1" applyFont="1">
      <alignment shrinkToFit="0" vertical="bottom" wrapText="1"/>
    </xf>
    <xf borderId="100" fillId="18" fontId="98" numFmtId="0" xfId="0" applyAlignment="1" applyBorder="1" applyFont="1">
      <alignment readingOrder="0" shrinkToFit="0" vertical="center" wrapText="1"/>
    </xf>
    <xf borderId="112" fillId="16" fontId="98" numFmtId="0" xfId="0" applyAlignment="1" applyBorder="1" applyFont="1">
      <alignment readingOrder="0" shrinkToFit="0" vertical="center" wrapText="1"/>
    </xf>
    <xf borderId="0" fillId="24" fontId="170" numFmtId="171" xfId="0" applyAlignment="1" applyFont="1" applyNumberFormat="1">
      <alignment horizontal="center" shrinkToFit="0" vertical="center" wrapText="1"/>
    </xf>
    <xf borderId="101" fillId="19" fontId="98" numFmtId="0" xfId="0" applyAlignment="1" applyBorder="1" applyFont="1">
      <alignment readingOrder="0" shrinkToFit="0" vertical="center" wrapText="1"/>
    </xf>
    <xf borderId="48" fillId="8" fontId="20" numFmtId="4" xfId="0" applyAlignment="1" applyBorder="1" applyFont="1" applyNumberFormat="1">
      <alignment shrinkToFit="0" vertical="center" wrapText="1"/>
    </xf>
    <xf borderId="0" fillId="24" fontId="163" numFmtId="0" xfId="0" applyAlignment="1" applyFont="1">
      <alignment horizontal="center" readingOrder="0" shrinkToFit="0" vertical="center" wrapText="1"/>
    </xf>
    <xf borderId="48" fillId="8" fontId="20" numFmtId="0" xfId="0" applyAlignment="1" applyBorder="1" applyFont="1">
      <alignment shrinkToFit="0" vertical="center" wrapText="1"/>
    </xf>
    <xf borderId="103" fillId="18" fontId="98" numFmtId="0" xfId="0" applyAlignment="1" applyBorder="1" applyFont="1">
      <alignment readingOrder="0" shrinkToFit="0" vertical="center" wrapText="1"/>
    </xf>
    <xf borderId="68" fillId="19" fontId="98" numFmtId="0" xfId="0" applyAlignment="1" applyBorder="1" applyFont="1">
      <alignment readingOrder="0" shrinkToFit="0" vertical="center" wrapText="1"/>
    </xf>
    <xf borderId="55" fillId="8" fontId="20" numFmtId="0" xfId="0" applyAlignment="1" applyBorder="1" applyFont="1">
      <alignment shrinkToFit="0" vertical="bottom" wrapText="1"/>
    </xf>
    <xf borderId="48" fillId="0" fontId="20" numFmtId="0" xfId="0" applyAlignment="1" applyBorder="1" applyFont="1">
      <alignment shrinkToFit="0" vertical="center" wrapText="1"/>
    </xf>
    <xf borderId="53" fillId="0" fontId="20" numFmtId="0" xfId="0" applyAlignment="1" applyBorder="1" applyFont="1">
      <alignment shrinkToFit="0" vertical="center" wrapText="1"/>
    </xf>
    <xf borderId="0" fillId="2" fontId="99" numFmtId="0" xfId="0" applyAlignment="1" applyFont="1">
      <alignment horizontal="center" readingOrder="0" shrinkToFit="0" vertical="center" wrapText="1"/>
    </xf>
    <xf borderId="48" fillId="0" fontId="20" numFmtId="0" xfId="0" applyAlignment="1" applyBorder="1" applyFont="1">
      <alignment shrinkToFit="0" vertical="center" wrapText="1"/>
    </xf>
    <xf borderId="48" fillId="6" fontId="109" numFmtId="0" xfId="0" applyAlignment="1" applyBorder="1" applyFont="1">
      <alignment horizontal="center" shrinkToFit="0" vertical="center" wrapText="1"/>
    </xf>
    <xf borderId="403" fillId="4" fontId="12" numFmtId="0" xfId="0" applyAlignment="1" applyBorder="1" applyFont="1">
      <alignment horizontal="center" readingOrder="0" shrinkToFit="0" vertical="center" wrapText="1"/>
    </xf>
    <xf borderId="0" fillId="24" fontId="225" numFmtId="0" xfId="0" applyAlignment="1" applyFont="1">
      <alignment horizontal="left" readingOrder="0" shrinkToFit="0" vertical="bottom" wrapText="1"/>
    </xf>
    <xf borderId="0" fillId="2" fontId="225" numFmtId="0" xfId="0" applyAlignment="1" applyFont="1">
      <alignment horizontal="left" readingOrder="0" shrinkToFit="0" vertical="bottom" wrapText="1"/>
    </xf>
    <xf borderId="403" fillId="4" fontId="1" numFmtId="0" xfId="0" applyAlignment="1" applyBorder="1" applyFont="1">
      <alignment shrinkToFit="0" wrapText="1"/>
    </xf>
    <xf borderId="402" fillId="0" fontId="6" numFmtId="0" xfId="0" applyAlignment="1" applyBorder="1" applyFont="1">
      <alignment shrinkToFit="0" wrapText="1"/>
    </xf>
    <xf borderId="404" fillId="4" fontId="1" numFmtId="0" xfId="0" applyAlignment="1" applyBorder="1" applyFont="1">
      <alignment shrinkToFit="0" wrapText="1"/>
    </xf>
    <xf borderId="0" fillId="24" fontId="226" numFmtId="0" xfId="0" applyAlignment="1" applyFont="1">
      <alignment horizontal="left" readingOrder="0" shrinkToFit="0" vertical="center" wrapText="1"/>
    </xf>
    <xf borderId="399" fillId="2" fontId="226" numFmtId="0" xfId="0" applyAlignment="1" applyBorder="1" applyFont="1">
      <alignment horizontal="left" readingOrder="0" shrinkToFit="0" vertical="center" wrapText="1"/>
    </xf>
    <xf borderId="0" fillId="4" fontId="1" numFmtId="0" xfId="0" applyAlignment="1" applyFont="1">
      <alignment shrinkToFit="0" wrapText="1"/>
    </xf>
    <xf borderId="386" fillId="24" fontId="226" numFmtId="0" xfId="0" applyAlignment="1" applyBorder="1" applyFont="1">
      <alignment horizontal="left" readingOrder="0" shrinkToFit="0" vertical="center" wrapText="1"/>
    </xf>
    <xf borderId="404" fillId="24" fontId="226" numFmtId="0" xfId="0" applyAlignment="1" applyBorder="1" applyFont="1">
      <alignment horizontal="left" readingOrder="0" shrinkToFit="0" vertical="center" wrapText="1"/>
    </xf>
    <xf borderId="55" fillId="0" fontId="20" numFmtId="0" xfId="0" applyAlignment="1" applyBorder="1" applyFont="1">
      <alignment shrinkToFit="0" vertical="center" wrapText="1"/>
    </xf>
    <xf borderId="66" fillId="0" fontId="20" numFmtId="0" xfId="0" applyAlignment="1" applyBorder="1" applyFont="1">
      <alignment shrinkToFit="0" vertical="center" wrapText="1"/>
    </xf>
    <xf borderId="55" fillId="6" fontId="109" numFmtId="0" xfId="0" applyAlignment="1" applyBorder="1" applyFont="1">
      <alignment horizontal="center" shrinkToFit="0" vertical="center" wrapText="1"/>
    </xf>
    <xf borderId="0" fillId="2" fontId="169" numFmtId="0" xfId="0" applyAlignment="1" applyFont="1">
      <alignment horizontal="right" shrinkToFit="0" vertical="center" wrapText="1"/>
    </xf>
    <xf borderId="65" fillId="45" fontId="170" numFmtId="171" xfId="0" applyAlignment="1" applyBorder="1" applyFont="1" applyNumberFormat="1">
      <alignment horizontal="center" shrinkToFit="0" vertical="center" wrapText="1"/>
    </xf>
    <xf borderId="0" fillId="2" fontId="227" numFmtId="0" xfId="0" applyAlignment="1" applyFont="1">
      <alignment horizontal="right" shrinkToFit="0" vertical="center" wrapText="1"/>
    </xf>
    <xf borderId="68" fillId="24" fontId="175" numFmtId="0" xfId="0" applyAlignment="1" applyBorder="1" applyFont="1">
      <alignment readingOrder="0" shrinkToFit="0" wrapText="0"/>
    </xf>
    <xf borderId="0" fillId="24" fontId="1" numFmtId="0" xfId="0" applyAlignment="1" applyFont="1">
      <alignment shrinkToFit="0" vertical="center" wrapText="1"/>
    </xf>
    <xf borderId="340" fillId="26" fontId="228" numFmtId="0" xfId="0" applyAlignment="1" applyBorder="1" applyFont="1">
      <alignment horizontal="left" readingOrder="0" shrinkToFit="0" vertical="center" wrapText="1"/>
    </xf>
    <xf borderId="45" fillId="4" fontId="223" numFmtId="0" xfId="0" applyAlignment="1" applyBorder="1" applyFont="1">
      <alignment horizontal="center" readingOrder="0" shrinkToFit="0" vertical="center" wrapText="1"/>
    </xf>
    <xf borderId="45" fillId="4" fontId="224" numFmtId="0" xfId="0" applyAlignment="1" applyBorder="1" applyFont="1">
      <alignment horizontal="center" readingOrder="0" shrinkToFit="0" vertical="center" wrapText="1"/>
    </xf>
    <xf borderId="90" fillId="0" fontId="155" numFmtId="0" xfId="0" applyAlignment="1" applyBorder="1" applyFont="1">
      <alignment readingOrder="0" shrinkToFit="0" wrapText="1"/>
    </xf>
    <xf borderId="405" fillId="0" fontId="6" numFmtId="0" xfId="0" applyAlignment="1" applyBorder="1" applyFont="1">
      <alignment shrinkToFit="0" wrapText="1"/>
    </xf>
    <xf borderId="90" fillId="14" fontId="33" numFmtId="166" xfId="0" applyAlignment="1" applyBorder="1" applyFont="1" applyNumberFormat="1">
      <alignment horizontal="center" readingOrder="0" shrinkToFit="0" vertical="center" wrapText="1"/>
    </xf>
    <xf borderId="83" fillId="8" fontId="155" numFmtId="0" xfId="0" applyAlignment="1" applyBorder="1" applyFont="1">
      <alignment readingOrder="0" shrinkToFit="0" wrapText="1"/>
    </xf>
    <xf borderId="110" fillId="0" fontId="155" numFmtId="0" xfId="0" applyAlignment="1" applyBorder="1" applyFont="1">
      <alignment readingOrder="0" shrinkToFit="0" wrapText="1"/>
    </xf>
    <xf borderId="406" fillId="0" fontId="6" numFmtId="0" xfId="0" applyAlignment="1" applyBorder="1" applyFont="1">
      <alignment shrinkToFit="0" wrapText="1"/>
    </xf>
    <xf borderId="94" fillId="8" fontId="155" numFmtId="0" xfId="0" applyAlignment="1" applyBorder="1" applyFont="1">
      <alignment readingOrder="0" shrinkToFit="0" wrapText="1"/>
    </xf>
    <xf borderId="98" fillId="3" fontId="94" numFmtId="0" xfId="0" applyAlignment="1" applyBorder="1" applyFont="1">
      <alignment horizontal="center" shrinkToFit="0" vertical="center" wrapText="1"/>
    </xf>
    <xf borderId="376" fillId="3" fontId="154" numFmtId="0" xfId="0" applyAlignment="1" applyBorder="1" applyFont="1">
      <alignment horizontal="center" readingOrder="0" shrinkToFit="0" vertical="center" wrapText="1"/>
    </xf>
    <xf borderId="375" fillId="3" fontId="94" numFmtId="0" xfId="0" applyAlignment="1" applyBorder="1" applyFont="1">
      <alignment horizontal="center" readingOrder="0" shrinkToFit="0" vertical="center" wrapText="1"/>
    </xf>
    <xf borderId="375" fillId="70" fontId="94" numFmtId="0" xfId="0" applyAlignment="1" applyBorder="1" applyFont="1">
      <alignment horizontal="center" readingOrder="0" shrinkToFit="0" vertical="center" wrapText="1"/>
    </xf>
    <xf borderId="375" fillId="4" fontId="229" numFmtId="0" xfId="0" applyAlignment="1" applyBorder="1" applyFont="1">
      <alignment horizontal="center" readingOrder="0" shrinkToFit="0" vertical="center" wrapText="1"/>
    </xf>
    <xf borderId="375" fillId="0" fontId="229" numFmtId="0" xfId="0" applyAlignment="1" applyBorder="1" applyFont="1">
      <alignment horizontal="center" readingOrder="0" shrinkToFit="0" vertical="center" wrapText="1"/>
    </xf>
    <xf borderId="375" fillId="0" fontId="230" numFmtId="0" xfId="0" applyAlignment="1" applyBorder="1" applyFont="1">
      <alignment horizontal="center" readingOrder="0" shrinkToFit="0" vertical="center" wrapText="1"/>
    </xf>
    <xf borderId="375" fillId="32" fontId="229" numFmtId="0" xfId="0" applyAlignment="1" applyBorder="1" applyFont="1">
      <alignment horizontal="center" readingOrder="0" shrinkToFit="0" vertical="center" wrapText="1"/>
    </xf>
    <xf borderId="375" fillId="32" fontId="229" numFmtId="0" xfId="0" applyAlignment="1" applyBorder="1" applyFont="1">
      <alignment horizontal="center" readingOrder="0" shrinkToFit="0" vertical="center" wrapText="1"/>
    </xf>
    <xf borderId="375" fillId="32" fontId="230" numFmtId="0" xfId="0" applyAlignment="1" applyBorder="1" applyFont="1">
      <alignment horizontal="center" shrinkToFit="0" vertical="center" wrapText="1"/>
    </xf>
    <xf borderId="375" fillId="32" fontId="230" numFmtId="0" xfId="0" applyAlignment="1" applyBorder="1" applyFont="1">
      <alignment horizontal="center" readingOrder="0" shrinkToFit="0" vertical="center" wrapText="1"/>
    </xf>
    <xf borderId="375" fillId="0" fontId="230" numFmtId="0" xfId="0" applyAlignment="1" applyBorder="1" applyFont="1">
      <alignment horizontal="center" shrinkToFit="0" vertical="center" wrapText="1"/>
    </xf>
    <xf borderId="375" fillId="32" fontId="230" numFmtId="166" xfId="0" applyAlignment="1" applyBorder="1" applyFont="1" applyNumberFormat="1">
      <alignment horizontal="center" readingOrder="0" shrinkToFit="0" vertical="center" wrapText="1"/>
    </xf>
    <xf borderId="375" fillId="0" fontId="230" numFmtId="3" xfId="0" applyAlignment="1" applyBorder="1" applyFont="1" applyNumberFormat="1">
      <alignment horizontal="center" readingOrder="0" shrinkToFit="0" vertical="center" wrapText="1"/>
    </xf>
    <xf borderId="375" fillId="32" fontId="230" numFmtId="3" xfId="0" applyAlignment="1" applyBorder="1" applyFont="1" applyNumberFormat="1">
      <alignment horizontal="center" shrinkToFit="0" vertical="center" wrapText="1"/>
    </xf>
    <xf borderId="375" fillId="0" fontId="230" numFmtId="3" xfId="0" applyAlignment="1" applyBorder="1" applyFont="1" applyNumberFormat="1">
      <alignment horizontal="center" shrinkToFit="0" vertical="center" wrapText="1"/>
    </xf>
    <xf borderId="375" fillId="30" fontId="230" numFmtId="3" xfId="0" applyAlignment="1" applyBorder="1" applyFont="1" applyNumberFormat="1">
      <alignment horizontal="center" shrinkToFit="0" vertical="center" wrapText="1"/>
    </xf>
    <xf borderId="375" fillId="32" fontId="229" numFmtId="0" xfId="0" applyAlignment="1" applyBorder="1" applyFont="1">
      <alignment horizontal="center" shrinkToFit="0" vertical="center" wrapText="1"/>
    </xf>
    <xf borderId="375" fillId="32" fontId="229" numFmtId="0" xfId="0" applyAlignment="1" applyBorder="1" applyFont="1">
      <alignment horizontal="center" shrinkToFit="0" vertical="center" wrapText="1"/>
    </xf>
    <xf borderId="375" fillId="4" fontId="229" numFmtId="0" xfId="0" applyAlignment="1" applyBorder="1" applyFont="1">
      <alignment horizontal="center" shrinkToFit="0" vertical="center" wrapText="1"/>
    </xf>
    <xf borderId="375" fillId="0" fontId="229" numFmtId="0" xfId="0" applyAlignment="1" applyBorder="1" applyFont="1">
      <alignment horizontal="center" shrinkToFit="0" vertical="center" wrapText="1"/>
    </xf>
    <xf borderId="104" fillId="4" fontId="230" numFmtId="0" xfId="0" applyAlignment="1" applyBorder="1" applyFont="1">
      <alignment horizontal="center" shrinkToFit="0" vertical="center" wrapText="1"/>
    </xf>
    <xf borderId="104" fillId="0" fontId="229" numFmtId="0" xfId="0" applyAlignment="1" applyBorder="1" applyFont="1">
      <alignment horizontal="center" shrinkToFit="0" vertical="center" wrapText="1"/>
    </xf>
    <xf borderId="104" fillId="0" fontId="230" numFmtId="0" xfId="0" applyAlignment="1" applyBorder="1" applyFont="1">
      <alignment horizontal="center" shrinkToFit="0" vertical="center" wrapText="1"/>
    </xf>
    <xf borderId="104" fillId="4" fontId="230" numFmtId="0" xfId="0" applyAlignment="1" applyBorder="1" applyFont="1">
      <alignment horizontal="center" readingOrder="0" shrinkToFit="0" vertical="center" wrapText="1"/>
    </xf>
    <xf borderId="104" fillId="4" fontId="229" numFmtId="0" xfId="0" applyAlignment="1" applyBorder="1" applyFont="1">
      <alignment horizontal="center" shrinkToFit="0" vertical="center" wrapText="1"/>
    </xf>
    <xf borderId="104" fillId="4" fontId="229" numFmtId="0" xfId="0" applyAlignment="1" applyBorder="1" applyFont="1">
      <alignment horizontal="center" readingOrder="0" shrinkToFit="0" vertical="center" wrapText="1"/>
    </xf>
    <xf borderId="104" fillId="0" fontId="230" numFmtId="0" xfId="0" applyAlignment="1" applyBorder="1" applyFont="1">
      <alignment horizontal="center" readingOrder="0" shrinkToFit="0" vertical="center" wrapText="1"/>
    </xf>
    <xf borderId="376" fillId="4" fontId="230" numFmtId="0" xfId="0" applyAlignment="1" applyBorder="1" applyFont="1">
      <alignment horizontal="center" readingOrder="0" shrinkToFit="0" vertical="center" wrapText="1"/>
    </xf>
    <xf borderId="376" fillId="0" fontId="139" numFmtId="0" xfId="0" applyAlignment="1" applyBorder="1" applyFont="1">
      <alignment horizontal="center" readingOrder="0" shrinkToFit="0" vertical="center" wrapText="1"/>
    </xf>
    <xf borderId="376" fillId="0" fontId="138" numFmtId="0" xfId="0" applyAlignment="1" applyBorder="1" applyFont="1">
      <alignment horizontal="center" readingOrder="0" shrinkToFit="0" vertical="center" wrapText="1"/>
    </xf>
    <xf borderId="377" fillId="0" fontId="138" numFmtId="0" xfId="0" applyAlignment="1" applyBorder="1" applyFont="1">
      <alignment horizontal="center" readingOrder="0" shrinkToFit="0" vertical="center" wrapText="1"/>
    </xf>
    <xf borderId="377" fillId="0" fontId="138" numFmtId="0" xfId="0" applyAlignment="1" applyBorder="1" applyFont="1">
      <alignment horizontal="center" shrinkToFit="0" vertical="center" wrapText="1"/>
    </xf>
    <xf borderId="98" fillId="3" fontId="151" numFmtId="0" xfId="0" applyAlignment="1" applyBorder="1" applyFont="1">
      <alignment horizontal="center" shrinkToFit="0" vertical="center" wrapText="1"/>
    </xf>
    <xf borderId="375" fillId="3" fontId="230" numFmtId="0" xfId="0" applyAlignment="1" applyBorder="1" applyFont="1">
      <alignment horizontal="center" readingOrder="0" shrinkToFit="0" vertical="center" wrapText="1"/>
    </xf>
    <xf borderId="375" fillId="0" fontId="230" numFmtId="49" xfId="0" applyAlignment="1" applyBorder="1" applyFont="1" applyNumberFormat="1">
      <alignment horizontal="center" readingOrder="0" shrinkToFit="0" vertical="center" wrapText="1"/>
    </xf>
    <xf borderId="0" fillId="24" fontId="1" numFmtId="0" xfId="0" applyAlignment="1" applyFont="1">
      <alignment horizontal="center" shrinkToFit="0" vertical="center" wrapText="1"/>
    </xf>
    <xf borderId="0" fillId="0" fontId="1" numFmtId="0" xfId="0" applyAlignment="1" applyFont="1">
      <alignment readingOrder="0" shrinkToFit="0" wrapText="0"/>
    </xf>
    <xf borderId="2" fillId="2" fontId="1"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16" fillId="2" fontId="1" numFmtId="0" xfId="0" applyAlignment="1" applyBorder="1" applyFont="1">
      <alignment horizontal="center" shrinkToFit="0" vertical="center" wrapText="1"/>
    </xf>
    <xf borderId="407" fillId="2" fontId="1" numFmtId="0" xfId="0" applyAlignment="1" applyBorder="1" applyFont="1">
      <alignment horizontal="center" shrinkToFit="0" vertical="center" wrapText="1"/>
    </xf>
    <xf borderId="17" fillId="72" fontId="4" numFmtId="0" xfId="0" applyAlignment="1" applyBorder="1" applyFill="1" applyFont="1">
      <alignment horizontal="center" readingOrder="0" shrinkToFit="0" vertical="center" wrapText="0"/>
    </xf>
    <xf borderId="1"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17" fillId="72" fontId="4" numFmtId="0" xfId="0" applyAlignment="1" applyBorder="1" applyFont="1">
      <alignment horizontal="center" readingOrder="0" shrinkToFit="0" wrapText="1"/>
    </xf>
    <xf borderId="17" fillId="21" fontId="165" numFmtId="3" xfId="0" applyAlignment="1" applyBorder="1" applyFont="1" applyNumberFormat="1">
      <alignment horizontal="center" readingOrder="0" shrinkToFit="0" vertical="center" wrapText="0"/>
    </xf>
    <xf borderId="17" fillId="22" fontId="165" numFmtId="3" xfId="0" applyAlignment="1" applyBorder="1" applyFont="1" applyNumberFormat="1">
      <alignment horizontal="center" readingOrder="0" shrinkToFit="0" vertical="center" wrapText="0"/>
    </xf>
    <xf borderId="17" fillId="23" fontId="165" numFmtId="3" xfId="0" applyAlignment="1" applyBorder="1" applyFont="1" applyNumberFormat="1">
      <alignment horizontal="center" readingOrder="0" shrinkToFit="0" vertical="center" wrapText="0"/>
    </xf>
    <xf borderId="408" fillId="3" fontId="84" numFmtId="0" xfId="0" applyAlignment="1" applyBorder="1" applyFont="1">
      <alignment horizontal="center" readingOrder="0" shrinkToFit="0" vertical="center" wrapText="1"/>
    </xf>
    <xf borderId="409" fillId="3" fontId="84" numFmtId="0" xfId="0" applyAlignment="1" applyBorder="1" applyFont="1">
      <alignment horizontal="center" readingOrder="0" shrinkToFit="0" vertical="center" wrapText="1"/>
    </xf>
    <xf borderId="410" fillId="3" fontId="84" numFmtId="0" xfId="0" applyAlignment="1" applyBorder="1" applyFont="1">
      <alignment horizontal="center" readingOrder="0" shrinkToFit="0" vertical="center" wrapText="1"/>
    </xf>
    <xf borderId="411" fillId="3" fontId="84" numFmtId="0" xfId="0" applyAlignment="1" applyBorder="1" applyFont="1">
      <alignment horizontal="center" readingOrder="0" shrinkToFit="0" vertical="center" wrapText="1"/>
    </xf>
    <xf borderId="17" fillId="3" fontId="190" numFmtId="0" xfId="0" applyAlignment="1" applyBorder="1" applyFont="1">
      <alignment horizontal="center" readingOrder="0" shrinkToFit="0" vertical="center" wrapText="1"/>
    </xf>
    <xf borderId="412" fillId="3" fontId="190" numFmtId="0" xfId="0" applyAlignment="1" applyBorder="1" applyFont="1">
      <alignment horizontal="center" readingOrder="0" shrinkToFit="0" vertical="center" wrapText="1"/>
    </xf>
    <xf borderId="329" fillId="3" fontId="190" numFmtId="0" xfId="0" applyAlignment="1" applyBorder="1" applyFont="1">
      <alignment horizontal="center" readingOrder="0" shrinkToFit="0" vertical="center" wrapText="1"/>
    </xf>
    <xf borderId="17" fillId="21" fontId="165" numFmtId="175" xfId="0" applyAlignment="1" applyBorder="1" applyFont="1" applyNumberFormat="1">
      <alignment horizontal="center" readingOrder="0" shrinkToFit="0" vertical="center" wrapText="0"/>
    </xf>
    <xf borderId="17" fillId="22" fontId="165" numFmtId="175" xfId="0" applyAlignment="1" applyBorder="1" applyFont="1" applyNumberFormat="1">
      <alignment horizontal="center" readingOrder="0" shrinkToFit="0" vertical="center" wrapText="0"/>
    </xf>
    <xf borderId="17" fillId="23" fontId="165" numFmtId="175" xfId="0" applyAlignment="1" applyBorder="1" applyFont="1" applyNumberFormat="1">
      <alignment horizontal="center" readingOrder="0" shrinkToFit="0" vertical="center" wrapText="0"/>
    </xf>
    <xf borderId="17" fillId="68" fontId="165" numFmtId="175" xfId="0" applyAlignment="1" applyBorder="1" applyFont="1" applyNumberFormat="1">
      <alignment horizontal="center" readingOrder="0" shrinkToFit="0" vertical="center" wrapText="0"/>
    </xf>
    <xf borderId="17" fillId="69" fontId="165" numFmtId="175" xfId="0" applyAlignment="1" applyBorder="1" applyFont="1" applyNumberFormat="1">
      <alignment horizontal="center" readingOrder="0" shrinkToFit="0" vertical="center" wrapText="0"/>
    </xf>
    <xf borderId="413" fillId="26" fontId="190" numFmtId="0" xfId="0" applyAlignment="1" applyBorder="1" applyFont="1">
      <alignment horizontal="center" readingOrder="0" shrinkToFit="0" vertical="center" wrapText="1"/>
    </xf>
    <xf borderId="414" fillId="3" fontId="190" numFmtId="0" xfId="0" applyAlignment="1" applyBorder="1" applyFont="1">
      <alignment horizontal="center" readingOrder="0" shrinkToFit="0" vertical="center" wrapText="1"/>
    </xf>
    <xf borderId="415" fillId="26" fontId="190" numFmtId="0" xfId="0" applyAlignment="1" applyBorder="1" applyFont="1">
      <alignment horizontal="center" readingOrder="0" shrinkToFit="0" vertical="center" wrapText="1"/>
    </xf>
    <xf borderId="414" fillId="3" fontId="231" numFmtId="0" xfId="0" applyAlignment="1" applyBorder="1" applyFont="1">
      <alignment horizontal="center" readingOrder="0" shrinkToFit="0" vertical="center" wrapText="1"/>
    </xf>
    <xf borderId="415" fillId="26" fontId="190" numFmtId="0" xfId="0" applyAlignment="1" applyBorder="1" applyFont="1">
      <alignment horizontal="center" shrinkToFit="0" vertical="center" wrapText="1"/>
    </xf>
    <xf borderId="416" fillId="26" fontId="190" numFmtId="0" xfId="0" applyAlignment="1" applyBorder="1" applyFont="1">
      <alignment horizontal="center" readingOrder="0" shrinkToFit="0" vertical="center" wrapText="1"/>
    </xf>
    <xf borderId="413" fillId="32" fontId="195" numFmtId="0" xfId="0" applyAlignment="1" applyBorder="1" applyFont="1">
      <alignment horizontal="center" readingOrder="0" shrinkToFit="0" vertical="center" wrapText="1"/>
    </xf>
    <xf borderId="417" fillId="32" fontId="195" numFmtId="0" xfId="0" applyAlignment="1" applyBorder="1" applyFont="1">
      <alignment horizontal="center" readingOrder="0" shrinkToFit="0" vertical="center" wrapText="1"/>
    </xf>
    <xf borderId="418" fillId="32" fontId="195" numFmtId="0" xfId="0" applyAlignment="1" applyBorder="1" applyFont="1">
      <alignment horizontal="center" readingOrder="0" shrinkToFit="0" vertical="center" wrapText="1"/>
    </xf>
    <xf borderId="152" fillId="26" fontId="190" numFmtId="0" xfId="0" applyAlignment="1" applyBorder="1" applyFont="1">
      <alignment horizontal="center" readingOrder="0" shrinkToFit="0" vertical="center" wrapText="1"/>
    </xf>
    <xf borderId="419" fillId="32" fontId="195" numFmtId="0" xfId="0" applyAlignment="1" applyBorder="1" applyFont="1">
      <alignment horizontal="center" readingOrder="0" shrinkToFit="0" vertical="center" wrapText="1"/>
    </xf>
    <xf borderId="420" fillId="32" fontId="195" numFmtId="0" xfId="0" applyAlignment="1" applyBorder="1" applyFont="1">
      <alignment horizontal="center" readingOrder="0" shrinkToFit="0" vertical="center" wrapText="1"/>
    </xf>
    <xf borderId="133" fillId="26" fontId="232" numFmtId="0" xfId="0" applyAlignment="1" applyBorder="1" applyFont="1">
      <alignment horizontal="center" readingOrder="0" shrinkToFit="0" wrapText="1"/>
    </xf>
    <xf borderId="17" fillId="68" fontId="165" numFmtId="3" xfId="0" applyAlignment="1" applyBorder="1" applyFont="1" applyNumberFormat="1">
      <alignment horizontal="center" readingOrder="0" shrinkToFit="0" vertical="center" wrapText="0"/>
    </xf>
    <xf borderId="17" fillId="69" fontId="165" numFmtId="3" xfId="0" applyAlignment="1" applyBorder="1" applyFont="1" applyNumberFormat="1">
      <alignment horizontal="center" readingOrder="0" shrinkToFit="0" vertical="center" wrapText="0"/>
    </xf>
    <xf borderId="17" fillId="4" fontId="192" numFmtId="4" xfId="0" applyAlignment="1" applyBorder="1" applyFont="1" applyNumberFormat="1">
      <alignment horizontal="center" readingOrder="0" shrinkToFit="0" vertical="center" wrapText="0"/>
    </xf>
    <xf borderId="421" fillId="26" fontId="190" numFmtId="0" xfId="0" applyAlignment="1" applyBorder="1" applyFont="1">
      <alignment horizontal="center" readingOrder="0" shrinkToFit="0" vertical="center" wrapText="1"/>
    </xf>
    <xf borderId="414" fillId="3" fontId="190" numFmtId="0" xfId="0" applyAlignment="1" applyBorder="1" applyFont="1">
      <alignment horizontal="center" readingOrder="0" shrinkToFit="0" vertical="center" wrapText="1"/>
    </xf>
    <xf borderId="422" fillId="26" fontId="190" numFmtId="0" xfId="0" applyAlignment="1" applyBorder="1" applyFont="1">
      <alignment horizontal="center" readingOrder="0" shrinkToFit="0" vertical="center" wrapText="1"/>
    </xf>
    <xf borderId="422" fillId="26" fontId="190" numFmtId="0" xfId="0" applyAlignment="1" applyBorder="1" applyFont="1">
      <alignment horizontal="center" shrinkToFit="0" vertical="center" wrapText="1"/>
    </xf>
    <xf borderId="423" fillId="26" fontId="190" numFmtId="0" xfId="0" applyAlignment="1" applyBorder="1" applyFont="1">
      <alignment horizontal="center" shrinkToFit="0" vertical="center" wrapText="1"/>
    </xf>
    <xf borderId="421" fillId="31" fontId="195" numFmtId="0" xfId="0" applyAlignment="1" applyBorder="1" applyFont="1">
      <alignment horizontal="center" readingOrder="0" shrinkToFit="0" vertical="center" wrapText="1"/>
    </xf>
    <xf borderId="424" fillId="31" fontId="195" numFmtId="0" xfId="0" applyAlignment="1" applyBorder="1" applyFont="1">
      <alignment horizontal="center" readingOrder="0" shrinkToFit="0" vertical="center" wrapText="1"/>
    </xf>
    <xf borderId="425" fillId="31" fontId="195" numFmtId="0" xfId="0" applyAlignment="1" applyBorder="1" applyFont="1">
      <alignment horizontal="center" readingOrder="0" shrinkToFit="0" vertical="center" wrapText="1"/>
    </xf>
    <xf borderId="426" fillId="31" fontId="195" numFmtId="0" xfId="0" applyAlignment="1" applyBorder="1" applyFont="1">
      <alignment horizontal="center" readingOrder="0" shrinkToFit="0" vertical="center" wrapText="1"/>
    </xf>
    <xf borderId="427" fillId="31" fontId="195" numFmtId="0" xfId="0" applyAlignment="1" applyBorder="1" applyFont="1">
      <alignment horizontal="center" readingOrder="0" shrinkToFit="0" vertical="center" wrapText="1"/>
    </xf>
    <xf borderId="0" fillId="0" fontId="1" numFmtId="0" xfId="0" applyAlignment="1" applyFont="1">
      <alignment shrinkToFit="0" wrapText="0"/>
    </xf>
    <xf borderId="415" fillId="3" fontId="190" numFmtId="0" xfId="0" applyAlignment="1" applyBorder="1" applyFont="1">
      <alignment horizontal="center" shrinkToFit="0" vertical="center" wrapText="1"/>
    </xf>
    <xf borderId="422" fillId="26" fontId="190" numFmtId="2" xfId="0" applyAlignment="1" applyBorder="1" applyFont="1" applyNumberFormat="1">
      <alignment horizontal="center" readingOrder="0" shrinkToFit="0" vertical="center" wrapText="1"/>
    </xf>
    <xf borderId="415" fillId="3" fontId="231" numFmtId="0" xfId="0" applyAlignment="1" applyBorder="1" applyFont="1">
      <alignment horizontal="center" readingOrder="0" shrinkToFit="0" vertical="center" wrapText="1"/>
    </xf>
    <xf borderId="423" fillId="26" fontId="190" numFmtId="0" xfId="0" applyAlignment="1" applyBorder="1" applyFont="1">
      <alignment horizontal="center" readingOrder="0" shrinkToFit="0" vertical="center" wrapText="1"/>
    </xf>
    <xf borderId="421" fillId="32" fontId="195" numFmtId="0" xfId="0" applyAlignment="1" applyBorder="1" applyFont="1">
      <alignment horizontal="center" readingOrder="0" shrinkToFit="0" vertical="center" wrapText="1"/>
    </xf>
    <xf borderId="424" fillId="32" fontId="195" numFmtId="0" xfId="0" applyAlignment="1" applyBorder="1" applyFont="1">
      <alignment horizontal="center" readingOrder="0" shrinkToFit="0" vertical="center" wrapText="1"/>
    </xf>
    <xf borderId="425" fillId="32" fontId="195" numFmtId="0" xfId="0" applyAlignment="1" applyBorder="1" applyFont="1">
      <alignment horizontal="center" readingOrder="0" shrinkToFit="0" vertical="center" wrapText="1"/>
    </xf>
    <xf borderId="428" fillId="32" fontId="195" numFmtId="0" xfId="0" applyAlignment="1" applyBorder="1" applyFont="1">
      <alignment horizontal="center" readingOrder="0" shrinkToFit="0" vertical="center" wrapText="1"/>
    </xf>
    <xf borderId="429" fillId="32" fontId="195" numFmtId="0" xfId="0" applyAlignment="1" applyBorder="1" applyFont="1">
      <alignment horizontal="center" readingOrder="0" shrinkToFit="0" vertical="center" wrapText="1"/>
    </xf>
    <xf borderId="421" fillId="31" fontId="195" numFmtId="0" xfId="0" applyAlignment="1" applyBorder="1" applyFont="1">
      <alignment horizontal="center" readingOrder="0" shrinkToFit="0" vertical="center" wrapText="1"/>
    </xf>
    <xf borderId="422" fillId="31" fontId="195" numFmtId="0" xfId="0" applyAlignment="1" applyBorder="1" applyFont="1">
      <alignment horizontal="center" readingOrder="0" shrinkToFit="0" vertical="center" wrapText="1"/>
    </xf>
    <xf borderId="422" fillId="31" fontId="195" numFmtId="0" xfId="0" applyAlignment="1" applyBorder="1" applyFont="1">
      <alignment horizontal="center" shrinkToFit="0" vertical="center" wrapText="1"/>
    </xf>
    <xf borderId="423" fillId="31" fontId="195" numFmtId="0" xfId="0" applyAlignment="1" applyBorder="1" applyFont="1">
      <alignment horizontal="center" shrinkToFit="0" vertical="center" wrapText="1"/>
    </xf>
    <xf borderId="3" fillId="2" fontId="3" numFmtId="0" xfId="0" applyAlignment="1" applyBorder="1" applyFont="1">
      <alignment horizontal="center" shrinkToFit="0" vertical="center" wrapText="0"/>
    </xf>
    <xf borderId="133" fillId="32" fontId="1" numFmtId="0" xfId="0" applyAlignment="1" applyBorder="1" applyFont="1">
      <alignment horizontal="center" readingOrder="0" shrinkToFit="0" wrapText="1"/>
    </xf>
    <xf borderId="421" fillId="0" fontId="195" numFmtId="0" xfId="0" applyAlignment="1" applyBorder="1" applyFont="1">
      <alignment horizontal="center" readingOrder="0" shrinkToFit="0" vertical="center" wrapText="1"/>
    </xf>
    <xf borderId="422" fillId="0" fontId="195" numFmtId="0" xfId="0" applyAlignment="1" applyBorder="1" applyFont="1">
      <alignment horizontal="center" readingOrder="0" shrinkToFit="0" vertical="center" wrapText="1"/>
    </xf>
    <xf borderId="422" fillId="0" fontId="195" numFmtId="0" xfId="0" applyAlignment="1" applyBorder="1" applyFont="1">
      <alignment horizontal="center" shrinkToFit="0" vertical="center" wrapText="1"/>
    </xf>
    <xf borderId="423" fillId="0" fontId="195" numFmtId="0" xfId="0" applyAlignment="1" applyBorder="1" applyFont="1">
      <alignment horizontal="center" readingOrder="0" shrinkToFit="0" vertical="center" wrapText="1"/>
    </xf>
    <xf borderId="133" fillId="31" fontId="1" numFmtId="0" xfId="0" applyAlignment="1" applyBorder="1" applyFont="1">
      <alignment horizontal="center" readingOrder="0" shrinkToFit="0" wrapText="1"/>
    </xf>
    <xf borderId="0" fillId="0" fontId="1" numFmtId="0" xfId="0" applyAlignment="1" applyFont="1">
      <alignment horizontal="center" shrinkToFit="0" vertical="center" wrapText="1"/>
    </xf>
    <xf borderId="11" fillId="32" fontId="1" numFmtId="0" xfId="0" applyAlignment="1" applyBorder="1" applyFont="1">
      <alignment horizontal="center" readingOrder="0" shrinkToFit="0" wrapText="0"/>
    </xf>
    <xf borderId="17" fillId="0" fontId="1" numFmtId="0" xfId="0" applyAlignment="1" applyBorder="1" applyFont="1">
      <alignment readingOrder="0" shrinkToFit="0" wrapText="0"/>
    </xf>
    <xf borderId="421" fillId="31" fontId="195" numFmtId="0" xfId="0" applyAlignment="1" applyBorder="1" applyFont="1">
      <alignment horizontal="center" shrinkToFit="0" vertical="center" wrapText="1"/>
    </xf>
    <xf borderId="430" fillId="0" fontId="195" numFmtId="0" xfId="0" applyAlignment="1" applyBorder="1" applyFont="1">
      <alignment horizontal="center" shrinkToFit="0" vertical="center" wrapText="1"/>
    </xf>
    <xf borderId="431" fillId="0" fontId="195" numFmtId="0" xfId="0" applyAlignment="1" applyBorder="1" applyFont="1">
      <alignment horizontal="center" shrinkToFit="0" vertical="center" wrapText="1"/>
    </xf>
    <xf borderId="432" fillId="0" fontId="195" numFmtId="0" xfId="0" applyAlignment="1" applyBorder="1" applyFont="1">
      <alignment horizontal="center" shrinkToFit="0" vertical="center" wrapText="1"/>
    </xf>
    <xf borderId="430" fillId="32" fontId="195" numFmtId="0" xfId="0" applyAlignment="1" applyBorder="1" applyFont="1">
      <alignment horizontal="center" readingOrder="0" shrinkToFit="0" vertical="center" wrapText="1"/>
    </xf>
    <xf borderId="433" fillId="32" fontId="195" numFmtId="0" xfId="0" applyAlignment="1" applyBorder="1" applyFont="1">
      <alignment horizontal="center" readingOrder="0" shrinkToFit="0" vertical="center" wrapText="1"/>
    </xf>
    <xf borderId="434" fillId="32" fontId="195" numFmtId="0" xfId="0" applyAlignment="1" applyBorder="1" applyFont="1">
      <alignment horizontal="center" readingOrder="0" shrinkToFit="0" vertical="center" wrapText="1"/>
    </xf>
    <xf borderId="112" fillId="26" fontId="190" numFmtId="0" xfId="0" applyAlignment="1" applyBorder="1" applyFont="1">
      <alignment horizontal="center" readingOrder="0" shrinkToFit="0" vertical="center" wrapText="1"/>
    </xf>
    <xf borderId="435" fillId="32" fontId="195" numFmtId="0" xfId="0" applyAlignment="1" applyBorder="1" applyFont="1">
      <alignment horizontal="center" readingOrder="0" shrinkToFit="0" vertical="center" wrapText="1"/>
    </xf>
    <xf borderId="436" fillId="32" fontId="195" numFmtId="0" xfId="0" applyAlignment="1" applyBorder="1" applyFont="1">
      <alignment horizontal="center" readingOrder="0" shrinkToFit="0" vertical="center" wrapText="1"/>
    </xf>
    <xf borderId="40" fillId="2" fontId="1" numFmtId="0" xfId="0" applyAlignment="1" applyBorder="1" applyFont="1">
      <alignment horizontal="center" shrinkToFit="0" vertical="center" wrapText="1"/>
    </xf>
    <xf borderId="11" fillId="5" fontId="233" numFmtId="0" xfId="0" applyAlignment="1" applyBorder="1" applyFont="1">
      <alignment horizontal="center" readingOrder="0" shrinkToFit="0" vertical="center" wrapText="1"/>
    </xf>
    <xf borderId="0" fillId="2" fontId="234" numFmtId="0" xfId="0" applyAlignment="1" applyFont="1">
      <alignment horizontal="center" readingOrder="0" shrinkToFit="0" vertical="center" wrapText="1"/>
    </xf>
    <xf borderId="12" fillId="2" fontId="61" numFmtId="0" xfId="0" applyAlignment="1" applyBorder="1" applyFont="1">
      <alignment horizontal="center" readingOrder="0" shrinkToFit="0" vertical="center" wrapText="1"/>
    </xf>
    <xf borderId="0" fillId="2" fontId="61" numFmtId="0" xfId="0" applyAlignment="1" applyFont="1">
      <alignment horizontal="center" readingOrder="0" shrinkToFit="0" vertical="center" wrapText="1"/>
    </xf>
    <xf borderId="18" fillId="7" fontId="163" numFmtId="0" xfId="0" applyAlignment="1" applyBorder="1" applyFont="1">
      <alignment horizontal="center" readingOrder="0" shrinkToFit="0" vertical="center" wrapText="1"/>
    </xf>
    <xf borderId="65" fillId="7" fontId="163" numFmtId="0" xfId="0" applyAlignment="1" applyBorder="1" applyFont="1">
      <alignment horizontal="center" readingOrder="0" shrinkToFit="0" vertical="center" wrapText="1"/>
    </xf>
    <xf borderId="6" fillId="6" fontId="235" numFmtId="0" xfId="0" applyAlignment="1" applyBorder="1" applyFont="1">
      <alignment horizontal="center" shrinkToFit="0" vertical="center" wrapText="1"/>
    </xf>
    <xf borderId="6" fillId="6" fontId="236" numFmtId="0" xfId="0" applyAlignment="1" applyBorder="1" applyFont="1">
      <alignment horizontal="center" shrinkToFit="0" vertical="center" wrapText="1"/>
    </xf>
    <xf borderId="45" fillId="6" fontId="236" numFmtId="0" xfId="0" applyAlignment="1" applyBorder="1" applyFont="1">
      <alignment horizontal="center" shrinkToFit="0" vertical="center" wrapText="1"/>
    </xf>
    <xf borderId="6" fillId="6" fontId="237" numFmtId="0" xfId="0" applyAlignment="1" applyBorder="1" applyFont="1">
      <alignment horizontal="center" shrinkToFit="0" vertical="center" wrapText="1"/>
    </xf>
    <xf borderId="6" fillId="6" fontId="237" numFmtId="4" xfId="0" applyAlignment="1" applyBorder="1" applyFont="1" applyNumberFormat="1">
      <alignment horizontal="center" shrinkToFit="0" vertical="center" wrapText="1"/>
    </xf>
    <xf borderId="0" fillId="29" fontId="133" numFmtId="0" xfId="0" applyAlignment="1" applyFont="1">
      <alignment horizontal="center" readingOrder="0" shrinkToFit="0" vertical="center" wrapText="1"/>
    </xf>
    <xf borderId="409" fillId="3" fontId="163" numFmtId="0" xfId="0" applyAlignment="1" applyBorder="1" applyFont="1">
      <alignment horizontal="center" readingOrder="0" shrinkToFit="0" vertical="center" wrapText="1"/>
    </xf>
    <xf borderId="155" fillId="3" fontId="163" numFmtId="0" xfId="0" applyAlignment="1" applyBorder="1" applyFont="1">
      <alignment horizontal="center" readingOrder="0" shrinkToFit="0" vertical="center" wrapText="1"/>
    </xf>
    <xf borderId="155" fillId="3" fontId="132" numFmtId="0" xfId="0" applyAlignment="1" applyBorder="1" applyFont="1">
      <alignment horizontal="center" readingOrder="0" shrinkToFit="0" vertical="center" wrapText="1"/>
    </xf>
    <xf borderId="12" fillId="3" fontId="163" numFmtId="0" xfId="0" applyAlignment="1" applyBorder="1" applyFont="1">
      <alignment horizontal="center" readingOrder="0" shrinkToFit="0" vertical="center" wrapText="1"/>
    </xf>
    <xf borderId="12" fillId="3" fontId="163" numFmtId="0" xfId="0" applyAlignment="1" applyBorder="1" applyFont="1">
      <alignment horizontal="center" shrinkToFit="0" vertical="center" wrapText="1"/>
    </xf>
    <xf borderId="112" fillId="3" fontId="163" numFmtId="0" xfId="0" applyAlignment="1" applyBorder="1" applyFont="1">
      <alignment horizontal="center" shrinkToFit="0" vertical="center" wrapText="1"/>
    </xf>
    <xf borderId="437" fillId="0" fontId="6" numFmtId="0" xfId="0" applyAlignment="1" applyBorder="1" applyFont="1">
      <alignment shrinkToFit="0" wrapText="1"/>
    </xf>
    <xf borderId="13" fillId="3" fontId="163" numFmtId="0" xfId="0" applyAlignment="1" applyBorder="1" applyFont="1">
      <alignment horizontal="center" shrinkToFit="0" vertical="center" wrapText="1"/>
    </xf>
    <xf borderId="0" fillId="2" fontId="238" numFmtId="0" xfId="0" applyAlignment="1" applyFont="1">
      <alignment horizontal="center" shrinkToFit="0" vertical="center" wrapText="1"/>
    </xf>
    <xf borderId="438" fillId="3" fontId="239" numFmtId="0" xfId="0" applyAlignment="1" applyBorder="1" applyFont="1">
      <alignment horizontal="center" readingOrder="0" shrinkToFit="0" vertical="center" wrapText="1"/>
    </xf>
    <xf borderId="133" fillId="0" fontId="240" numFmtId="0" xfId="0" applyAlignment="1" applyBorder="1" applyFont="1">
      <alignment horizontal="center" readingOrder="0" shrinkToFit="0" vertical="center" wrapText="1"/>
    </xf>
    <xf borderId="133" fillId="4" fontId="194" numFmtId="0" xfId="0" applyAlignment="1" applyBorder="1" applyFont="1">
      <alignment horizontal="center" readingOrder="0" shrinkToFit="0" vertical="center" wrapText="1"/>
    </xf>
    <xf borderId="133" fillId="0" fontId="240" numFmtId="0" xfId="0" applyAlignment="1" applyBorder="1" applyFont="1">
      <alignment horizontal="center" shrinkToFit="0" vertical="center" wrapText="1"/>
    </xf>
    <xf borderId="133" fillId="0" fontId="194" numFmtId="0" xfId="0" applyAlignment="1" applyBorder="1" applyFont="1">
      <alignment horizontal="center" readingOrder="0" shrinkToFit="0" vertical="center" wrapText="1"/>
    </xf>
    <xf borderId="439" fillId="0" fontId="16" numFmtId="0" xfId="0" applyAlignment="1" applyBorder="1" applyFont="1">
      <alignment horizontal="right" readingOrder="0" shrinkToFit="0" vertical="bottom" wrapText="1"/>
    </xf>
    <xf borderId="440" fillId="0" fontId="241" numFmtId="0" xfId="0" applyAlignment="1" applyBorder="1" applyFont="1">
      <alignment horizontal="center" shrinkToFit="0" wrapText="1"/>
    </xf>
    <xf borderId="439" fillId="0" fontId="16" numFmtId="0" xfId="0" applyAlignment="1" applyBorder="1" applyFont="1">
      <alignment horizontal="right" shrinkToFit="0" vertical="bottom" wrapText="1"/>
    </xf>
    <xf borderId="440" fillId="0" fontId="242" numFmtId="0" xfId="0" applyAlignment="1" applyBorder="1" applyFont="1">
      <alignment horizontal="center" shrinkToFit="0" wrapText="1"/>
    </xf>
    <xf borderId="440" fillId="0" fontId="243" numFmtId="0" xfId="0" applyAlignment="1" applyBorder="1" applyFont="1">
      <alignment horizontal="center" shrinkToFit="0" wrapText="1"/>
    </xf>
    <xf borderId="0" fillId="0" fontId="240" numFmtId="0" xfId="0" applyAlignment="1" applyFont="1">
      <alignment horizontal="center" shrinkToFit="0" vertical="center" wrapText="1"/>
    </xf>
    <xf borderId="0" fillId="0" fontId="240" numFmtId="0" xfId="0" applyAlignment="1" applyFont="1">
      <alignment horizontal="center" readingOrder="0" shrinkToFit="0" vertical="center" wrapText="1"/>
    </xf>
    <xf borderId="441" fillId="8" fontId="240" numFmtId="0" xfId="0" applyAlignment="1" applyBorder="1" applyFont="1">
      <alignment horizontal="center" readingOrder="0" shrinkToFit="0" vertical="center" wrapText="1"/>
    </xf>
    <xf borderId="147" fillId="8" fontId="194" numFmtId="0" xfId="0" applyAlignment="1" applyBorder="1" applyFont="1">
      <alignment horizontal="center" readingOrder="0" shrinkToFit="0" vertical="center" wrapText="1"/>
    </xf>
    <xf borderId="147" fillId="8" fontId="240" numFmtId="0" xfId="0" applyAlignment="1" applyBorder="1" applyFont="1">
      <alignment horizontal="center" shrinkToFit="0" vertical="center" wrapText="1"/>
    </xf>
    <xf borderId="147" fillId="8" fontId="194" numFmtId="0" xfId="0" applyAlignment="1" applyBorder="1" applyFont="1">
      <alignment horizontal="center" shrinkToFit="0" vertical="center" wrapText="1"/>
    </xf>
    <xf borderId="442" fillId="8" fontId="16" numFmtId="0" xfId="0" applyAlignment="1" applyBorder="1" applyFont="1">
      <alignment horizontal="right" shrinkToFit="0" vertical="bottom" wrapText="1"/>
    </xf>
    <xf borderId="443" fillId="8" fontId="241" numFmtId="0" xfId="0" applyAlignment="1" applyBorder="1" applyFont="1">
      <alignment horizontal="center" shrinkToFit="0" wrapText="1"/>
    </xf>
    <xf borderId="443" fillId="8" fontId="242" numFmtId="0" xfId="0" applyAlignment="1" applyBorder="1" applyFont="1">
      <alignment horizontal="center" shrinkToFit="0" wrapText="1"/>
    </xf>
    <xf borderId="443" fillId="8" fontId="243" numFmtId="0" xfId="0" applyAlignment="1" applyBorder="1" applyFont="1">
      <alignment horizontal="center" shrinkToFit="0" wrapText="1"/>
    </xf>
    <xf borderId="146" fillId="8" fontId="240" numFmtId="0" xfId="0" applyAlignment="1" applyBorder="1" applyFont="1">
      <alignment horizontal="center" shrinkToFit="0" vertical="center" wrapText="1"/>
    </xf>
    <xf borderId="146" fillId="8" fontId="240" numFmtId="0" xfId="0" applyAlignment="1" applyBorder="1" applyFont="1">
      <alignment horizontal="center" readingOrder="0" shrinkToFit="0" vertical="center" wrapText="1"/>
    </xf>
    <xf borderId="133" fillId="0" fontId="194" numFmtId="0" xfId="0" applyAlignment="1" applyBorder="1" applyFont="1">
      <alignment horizontal="center" shrinkToFit="0" vertical="center" wrapText="1"/>
    </xf>
    <xf borderId="444" fillId="8" fontId="16" numFmtId="0" xfId="0" applyAlignment="1" applyBorder="1" applyFont="1">
      <alignment horizontal="right" shrinkToFit="0" vertical="bottom" wrapText="1"/>
    </xf>
    <xf borderId="445" fillId="8" fontId="241" numFmtId="0" xfId="0" applyAlignment="1" applyBorder="1" applyFont="1">
      <alignment horizontal="center" shrinkToFit="0" wrapText="1"/>
    </xf>
    <xf borderId="445" fillId="8" fontId="242" numFmtId="0" xfId="0" applyAlignment="1" applyBorder="1" applyFont="1">
      <alignment horizontal="center" shrinkToFit="0" wrapText="1"/>
    </xf>
    <xf borderId="445" fillId="8" fontId="243" numFmtId="0" xfId="0" applyAlignment="1" applyBorder="1" applyFont="1">
      <alignment horizontal="center" shrinkToFit="0" wrapText="1"/>
    </xf>
    <xf borderId="52" fillId="2" fontId="1" numFmtId="0" xfId="0" applyAlignment="1" applyBorder="1" applyFont="1">
      <alignment shrinkToFit="0" wrapText="1"/>
    </xf>
    <xf borderId="0" fillId="2" fontId="244" numFmtId="0" xfId="0" applyAlignment="1" applyFont="1">
      <alignment horizontal="center" readingOrder="0" shrinkToFit="0" vertical="bottom" wrapText="1"/>
    </xf>
    <xf borderId="0" fillId="2" fontId="65" numFmtId="0" xfId="0" applyAlignment="1" applyFont="1">
      <alignment horizontal="center" readingOrder="0" shrinkToFit="0" vertical="bottom" wrapText="1"/>
    </xf>
    <xf borderId="396" fillId="2" fontId="1" numFmtId="0" xfId="0" applyAlignment="1" applyBorder="1" applyFont="1">
      <alignment shrinkToFit="0" wrapText="1"/>
    </xf>
    <xf borderId="0" fillId="2" fontId="245" numFmtId="0" xfId="0" applyAlignment="1" applyFont="1">
      <alignment horizontal="left" readingOrder="0" shrinkToFit="0" vertical="bottom" wrapText="1"/>
    </xf>
    <xf borderId="0" fillId="2" fontId="246" numFmtId="0" xfId="0" applyAlignment="1" applyFont="1">
      <alignment horizontal="left" readingOrder="0" shrinkToFit="0" vertical="bottom" wrapText="1"/>
    </xf>
    <xf borderId="0" fillId="4" fontId="207" numFmtId="0" xfId="0" applyAlignment="1" applyFont="1">
      <alignment shrinkToFit="0" vertical="bottom" wrapText="1"/>
    </xf>
    <xf borderId="65" fillId="8" fontId="226" numFmtId="0" xfId="0" applyAlignment="1" applyBorder="1" applyFont="1">
      <alignment horizontal="left" readingOrder="0" shrinkToFit="0" vertical="center" wrapText="1"/>
    </xf>
    <xf borderId="112" fillId="8" fontId="226" numFmtId="0" xfId="0" applyAlignment="1" applyBorder="1" applyFont="1">
      <alignment horizontal="left" readingOrder="0" shrinkToFit="0" vertical="center" wrapText="1"/>
    </xf>
    <xf borderId="65" fillId="4" fontId="226" numFmtId="0" xfId="0" applyAlignment="1" applyBorder="1" applyFont="1">
      <alignment horizontal="left" readingOrder="0" shrinkToFit="0" vertical="center" wrapText="1"/>
    </xf>
    <xf borderId="112" fillId="4" fontId="226" numFmtId="0" xfId="0" applyAlignment="1" applyBorder="1" applyFont="1">
      <alignment horizontal="left" readingOrder="0" shrinkToFit="0" vertical="center" wrapText="1"/>
    </xf>
    <xf borderId="112" fillId="2" fontId="226" numFmtId="0" xfId="0" applyAlignment="1" applyBorder="1" applyFont="1">
      <alignment horizontal="left" readingOrder="0" shrinkToFit="0" vertical="center" wrapText="1"/>
    </xf>
    <xf borderId="52" fillId="4" fontId="226" numFmtId="0" xfId="0" applyAlignment="1" applyBorder="1" applyFont="1">
      <alignment horizontal="left" readingOrder="0" shrinkToFit="0" vertical="top" wrapText="1"/>
    </xf>
    <xf borderId="0" fillId="4" fontId="226" numFmtId="0" xfId="0" applyAlignment="1" applyFont="1">
      <alignment horizontal="left" readingOrder="0" shrinkToFit="0" vertical="top" wrapText="1"/>
    </xf>
    <xf borderId="12" fillId="2" fontId="226" numFmtId="0" xfId="0" applyAlignment="1" applyBorder="1" applyFont="1">
      <alignment horizontal="left" readingOrder="0" shrinkToFit="0" vertical="center" wrapText="1"/>
    </xf>
    <xf borderId="0" fillId="2" fontId="75" numFmtId="0" xfId="0" applyAlignment="1" applyFont="1">
      <alignment horizontal="center" readingOrder="0" shrinkToFit="0" vertical="center" wrapText="1"/>
    </xf>
    <xf borderId="112" fillId="2" fontId="75" numFmtId="0" xfId="0" applyAlignment="1" applyBorder="1" applyFont="1">
      <alignment horizontal="center" readingOrder="0" shrinkToFit="0" vertical="center" wrapText="1"/>
    </xf>
    <xf borderId="112" fillId="2" fontId="247" numFmtId="0" xfId="0" applyAlignment="1" applyBorder="1" applyFont="1">
      <alignment horizontal="center" readingOrder="0" shrinkToFit="0" wrapText="1"/>
    </xf>
    <xf borderId="0" fillId="2" fontId="247" numFmtId="0" xfId="0" applyAlignment="1" applyFont="1">
      <alignment horizontal="center" readingOrder="0" shrinkToFit="0" wrapText="1"/>
    </xf>
    <xf borderId="446" fillId="4" fontId="226" numFmtId="0" xfId="0" applyAlignment="1" applyBorder="1" applyFont="1">
      <alignment horizontal="left" readingOrder="0" shrinkToFit="0" vertical="center" wrapText="1"/>
    </xf>
    <xf borderId="447" fillId="0" fontId="6" numFmtId="0" xfId="0" applyAlignment="1" applyBorder="1" applyFont="1">
      <alignment shrinkToFit="0" wrapText="1"/>
    </xf>
    <xf borderId="448" fillId="0" fontId="6" numFmtId="0" xfId="0" applyAlignment="1" applyBorder="1" applyFont="1">
      <alignment shrinkToFit="0" wrapText="1"/>
    </xf>
    <xf borderId="449" fillId="34" fontId="226" numFmtId="0" xfId="0" applyAlignment="1" applyBorder="1" applyFont="1">
      <alignment horizontal="left" readingOrder="0" shrinkToFit="0" vertical="center" wrapText="1"/>
    </xf>
    <xf borderId="450" fillId="0" fontId="6" numFmtId="0" xfId="0" applyAlignment="1" applyBorder="1" applyFont="1">
      <alignment shrinkToFit="0" wrapText="1"/>
    </xf>
    <xf borderId="451" fillId="0" fontId="6" numFmtId="0" xfId="0" applyAlignment="1" applyBorder="1" applyFont="1">
      <alignment shrinkToFit="0" wrapText="1"/>
    </xf>
    <xf borderId="449" fillId="4" fontId="226" numFmtId="0" xfId="0" applyAlignment="1" applyBorder="1" applyFont="1">
      <alignment horizontal="left" readingOrder="0" shrinkToFit="0" vertical="center" wrapText="1"/>
    </xf>
    <xf borderId="452" fillId="34" fontId="226" numFmtId="0" xfId="0" applyAlignment="1" applyBorder="1" applyFont="1">
      <alignment horizontal="left" readingOrder="0" shrinkToFit="0" vertical="center" wrapText="1"/>
    </xf>
    <xf borderId="453" fillId="0" fontId="6" numFmtId="0" xfId="0" applyAlignment="1" applyBorder="1" applyFont="1">
      <alignment shrinkToFit="0" wrapText="1"/>
    </xf>
    <xf borderId="454" fillId="0" fontId="6" numFmtId="0" xfId="0" applyAlignment="1" applyBorder="1" applyFont="1">
      <alignment shrinkToFit="0" wrapText="1"/>
    </xf>
    <xf borderId="0" fillId="2" fontId="226" numFmtId="0" xfId="0" applyAlignment="1" applyFont="1">
      <alignment horizontal="left" readingOrder="0" shrinkToFit="0" vertical="top" wrapText="1"/>
    </xf>
    <xf borderId="133" fillId="2" fontId="227" numFmtId="0" xfId="0" applyAlignment="1" applyBorder="1" applyFont="1">
      <alignment horizontal="right" shrinkToFit="0" wrapText="1"/>
    </xf>
    <xf borderId="455" fillId="4" fontId="225" numFmtId="0" xfId="0" applyAlignment="1" applyBorder="1" applyFont="1">
      <alignment horizontal="left" readingOrder="0" shrinkToFit="0" vertical="bottom" wrapText="1"/>
    </xf>
    <xf borderId="456" fillId="4" fontId="225" numFmtId="0" xfId="0" applyAlignment="1" applyBorder="1" applyFont="1">
      <alignment horizontal="left" readingOrder="0" shrinkToFit="0" vertical="bottom" wrapText="1"/>
    </xf>
    <xf borderId="456" fillId="4" fontId="1" numFmtId="0" xfId="0" applyAlignment="1" applyBorder="1" applyFont="1">
      <alignment shrinkToFit="0" wrapText="1"/>
    </xf>
    <xf borderId="456" fillId="4" fontId="226" numFmtId="0" xfId="0" applyAlignment="1" applyBorder="1" applyFont="1">
      <alignment horizontal="left" readingOrder="0" shrinkToFit="0" vertical="top" wrapText="1"/>
    </xf>
    <xf borderId="457" fillId="4" fontId="226" numFmtId="0" xfId="0" applyAlignment="1" applyBorder="1" applyFont="1">
      <alignment horizontal="left" readingOrder="0" shrinkToFit="0" vertical="top" wrapText="1"/>
    </xf>
    <xf borderId="458" fillId="4" fontId="225" numFmtId="0" xfId="0" applyAlignment="1" applyBorder="1" applyFont="1">
      <alignment horizontal="left" readingOrder="0" shrinkToFit="0" vertical="bottom" wrapText="1"/>
    </xf>
    <xf borderId="459" fillId="4" fontId="225" numFmtId="0" xfId="0" applyAlignment="1" applyBorder="1" applyFont="1">
      <alignment horizontal="left" readingOrder="0" shrinkToFit="0" vertical="bottom" wrapText="1"/>
    </xf>
    <xf borderId="459" fillId="4" fontId="1" numFmtId="0" xfId="0" applyAlignment="1" applyBorder="1" applyFont="1">
      <alignment shrinkToFit="0" wrapText="1"/>
    </xf>
    <xf borderId="459" fillId="4" fontId="226" numFmtId="0" xfId="0" applyAlignment="1" applyBorder="1" applyFont="1">
      <alignment horizontal="left" readingOrder="0" shrinkToFit="0" vertical="top" wrapText="1"/>
    </xf>
    <xf borderId="460" fillId="4" fontId="226" numFmtId="0" xfId="0" applyAlignment="1" applyBorder="1" applyFont="1">
      <alignment horizontal="left" readingOrder="0" shrinkToFit="0" vertical="top" wrapText="1"/>
    </xf>
    <xf borderId="65" fillId="2" fontId="1" numFmtId="0" xfId="0" applyAlignment="1" applyBorder="1" applyFont="1">
      <alignment shrinkToFit="0" wrapText="1"/>
    </xf>
    <xf borderId="112" fillId="2" fontId="225" numFmtId="0" xfId="0" applyAlignment="1" applyBorder="1" applyFont="1">
      <alignment horizontal="left" readingOrder="0" shrinkToFit="0" vertical="bottom" wrapText="1"/>
    </xf>
    <xf borderId="112" fillId="2" fontId="226" numFmtId="0" xfId="0" applyAlignment="1" applyBorder="1" applyFont="1">
      <alignment horizontal="left" readingOrder="0" shrinkToFit="0" vertical="top" wrapText="1"/>
    </xf>
    <xf borderId="112" fillId="2" fontId="227" numFmtId="0" xfId="0" applyAlignment="1" applyBorder="1" applyFont="1">
      <alignment horizontal="right" shrinkToFit="0" wrapText="1"/>
    </xf>
    <xf borderId="278" fillId="3" fontId="94" numFmtId="0" xfId="0" applyAlignment="1" applyBorder="1" applyFont="1">
      <alignment horizontal="center" readingOrder="0" shrinkToFit="0" vertical="center" wrapText="1"/>
    </xf>
    <xf borderId="92" fillId="3" fontId="94" numFmtId="0" xfId="0" applyAlignment="1" applyBorder="1" applyFont="1">
      <alignment horizontal="center" readingOrder="0" shrinkToFit="0" vertical="center" wrapText="1"/>
    </xf>
    <xf borderId="0" fillId="0" fontId="151" numFmtId="0" xfId="0" applyAlignment="1" applyFont="1">
      <alignment horizontal="center" readingOrder="0" shrinkToFit="0" vertical="center" wrapText="1"/>
    </xf>
    <xf borderId="0" fillId="0" fontId="151" numFmtId="0" xfId="0" applyAlignment="1" applyFont="1">
      <alignment horizontal="left" readingOrder="0" shrinkToFit="0" vertical="center" wrapText="1"/>
    </xf>
    <xf borderId="0" fillId="49" fontId="151" numFmtId="0" xfId="0" applyAlignment="1" applyFont="1">
      <alignment horizontal="center" readingOrder="0" shrinkToFit="0" vertical="center" wrapText="1"/>
    </xf>
    <xf borderId="0" fillId="49" fontId="151" numFmtId="0" xfId="0" applyAlignment="1" applyFont="1">
      <alignment horizontal="left" readingOrder="0" shrinkToFit="0" vertical="center" wrapText="1"/>
    </xf>
    <xf borderId="0" fillId="14" fontId="151" numFmtId="0" xfId="0" applyAlignment="1" applyFont="1">
      <alignment horizontal="center" readingOrder="0" shrinkToFit="0" vertical="center" wrapText="1"/>
    </xf>
    <xf borderId="0" fillId="14" fontId="151" numFmtId="0" xfId="0" applyAlignment="1" applyFont="1">
      <alignment horizontal="left" readingOrder="0" shrinkToFit="0" vertical="center" wrapText="1"/>
    </xf>
    <xf borderId="0" fillId="38" fontId="151" numFmtId="176" xfId="0" applyAlignment="1" applyFont="1" applyNumberFormat="1">
      <alignment horizontal="center" readingOrder="0" shrinkToFit="0" vertical="center" wrapText="1"/>
    </xf>
    <xf borderId="83" fillId="3" fontId="94" numFmtId="0" xfId="0" applyAlignment="1" applyBorder="1" applyFont="1">
      <alignment horizontal="center" readingOrder="0" shrinkToFit="0" vertical="center" wrapText="1"/>
    </xf>
    <xf borderId="92" fillId="3" fontId="6" numFmtId="0" xfId="0" applyAlignment="1" applyBorder="1" applyFont="1">
      <alignment shrinkToFit="0" wrapText="1"/>
    </xf>
    <xf borderId="0" fillId="4" fontId="151" numFmtId="0" xfId="0" applyAlignment="1" applyFont="1">
      <alignment horizontal="left" readingOrder="0" shrinkToFit="0" vertical="center" wrapText="1"/>
    </xf>
    <xf borderId="0" fillId="31" fontId="151" numFmtId="0" xfId="0" applyAlignment="1" applyFont="1">
      <alignment horizontal="left" readingOrder="0" shrinkToFit="0" vertical="center" wrapText="1"/>
    </xf>
  </cellXfs>
  <cellStyles count="1">
    <cellStyle xfId="0" name="Normal" builtinId="0"/>
  </cellStyles>
  <dxfs count="84">
    <dxf>
      <font/>
      <fill>
        <patternFill patternType="none"/>
      </fill>
      <border/>
    </dxf>
    <dxf>
      <font>
        <color rgb="FFFFFFFF"/>
      </font>
      <fill>
        <patternFill patternType="solid">
          <fgColor rgb="FFFF0000"/>
          <bgColor rgb="FFFF0000"/>
        </patternFill>
      </fill>
      <border/>
    </dxf>
    <dxf>
      <font>
        <color rgb="FFFF0000"/>
      </font>
      <fill>
        <patternFill patternType="none"/>
      </fill>
      <border/>
    </dxf>
    <dxf>
      <font>
        <color rgb="FFCC0000"/>
      </font>
      <fill>
        <patternFill patternType="none"/>
      </fill>
      <border/>
    </dxf>
    <dxf>
      <font/>
      <fill>
        <patternFill patternType="solid">
          <fgColor rgb="FFB7E1CD"/>
          <bgColor rgb="FFB7E1CD"/>
        </patternFill>
      </fill>
      <border/>
    </dxf>
    <dxf>
      <font>
        <color theme="1"/>
      </font>
      <fill>
        <patternFill patternType="solid">
          <fgColor theme="1"/>
          <bgColor theme="1"/>
        </patternFill>
      </fill>
      <border/>
    </dxf>
    <dxf>
      <font>
        <color rgb="FF000000"/>
      </font>
      <fill>
        <patternFill patternType="solid">
          <fgColor rgb="FF000000"/>
          <bgColor rgb="FF000000"/>
        </patternFill>
      </fill>
      <border/>
    </dxf>
    <dxf>
      <font/>
      <fill>
        <patternFill patternType="solid">
          <fgColor rgb="FF000000"/>
          <bgColor rgb="FF000000"/>
        </patternFill>
      </fill>
      <border/>
    </dxf>
    <dxf>
      <font/>
      <fill>
        <patternFill patternType="solid">
          <fgColor theme="1"/>
          <bgColor theme="1"/>
        </patternFill>
      </fill>
      <border/>
    </dxf>
    <dxf>
      <font>
        <b/>
        <color rgb="FFFFFFFF"/>
      </font>
      <fill>
        <patternFill patternType="solid">
          <fgColor rgb="FF000000"/>
          <bgColor rgb="FF000000"/>
        </patternFill>
      </fill>
      <border/>
    </dxf>
    <dxf>
      <font>
        <b/>
        <color rgb="FFFFFFFF"/>
      </font>
      <fill>
        <patternFill patternType="solid">
          <fgColor rgb="FF272727"/>
          <bgColor rgb="FF272727"/>
        </patternFill>
      </fill>
      <border/>
    </dxf>
    <dxf>
      <font>
        <color rgb="FFFFFFFF"/>
      </font>
      <fill>
        <patternFill patternType="solid">
          <fgColor rgb="FF434343"/>
          <bgColor rgb="FF434343"/>
        </patternFill>
      </fill>
      <border/>
    </dxf>
    <dxf>
      <font/>
      <fill>
        <patternFill patternType="solid">
          <fgColor rgb="FF93C47D"/>
          <bgColor rgb="FF93C47D"/>
        </patternFill>
      </fill>
      <border/>
    </dxf>
    <dxf>
      <font/>
      <fill>
        <patternFill patternType="solid">
          <fgColor rgb="FFE06666"/>
          <bgColor rgb="FFE06666"/>
        </patternFill>
      </fill>
      <border/>
    </dxf>
    <dxf>
      <font/>
      <fill>
        <patternFill patternType="solid">
          <fgColor rgb="FF9FC5E8"/>
          <bgColor rgb="FF9FC5E8"/>
        </patternFill>
      </fill>
      <border/>
    </dxf>
    <dxf>
      <font/>
      <fill>
        <patternFill patternType="solid">
          <fgColor rgb="FFF6B26B"/>
          <bgColor rgb="FFF6B26B"/>
        </patternFill>
      </fill>
      <border/>
    </dxf>
    <dxf>
      <font/>
      <fill>
        <patternFill patternType="solid">
          <fgColor rgb="FFC27BA0"/>
          <bgColor rgb="FFC27BA0"/>
        </patternFill>
      </fill>
      <border/>
    </dxf>
    <dxf>
      <font>
        <color rgb="FFFFFFFF"/>
      </font>
      <fill>
        <patternFill patternType="solid">
          <fgColor rgb="FF000000"/>
          <bgColor rgb="FF000000"/>
        </patternFill>
      </fill>
      <border/>
    </dxf>
    <dxf>
      <font>
        <strike/>
        <color rgb="FF1F497D"/>
      </font>
      <fill>
        <patternFill patternType="solid">
          <fgColor rgb="FFDDD9C4"/>
          <bgColor rgb="FFDDD9C4"/>
        </patternFill>
      </fill>
      <border/>
    </dxf>
    <dxf>
      <font>
        <b/>
        <color rgb="FFE69138"/>
      </font>
      <fill>
        <patternFill patternType="none"/>
      </fill>
      <border/>
    </dxf>
    <dxf>
      <font>
        <color rgb="FFBBBBBB"/>
      </font>
      <fill>
        <patternFill patternType="solid">
          <fgColor rgb="FFBBBBBB"/>
          <bgColor rgb="FFBBBBBB"/>
        </patternFill>
      </fill>
      <border/>
    </dxf>
    <dxf>
      <font>
        <color rgb="FFFFFFFF"/>
      </font>
      <fill>
        <patternFill patternType="solid">
          <fgColor rgb="FF272727"/>
          <bgColor rgb="FF272727"/>
        </patternFill>
      </fill>
      <border/>
    </dxf>
    <dxf>
      <font>
        <b/>
        <color rgb="FFFF0000"/>
      </font>
      <fill>
        <patternFill patternType="none"/>
      </fill>
      <border/>
    </dxf>
    <dxf>
      <font>
        <b/>
        <color rgb="FFCC0000"/>
      </font>
      <fill>
        <patternFill patternType="none"/>
      </fill>
      <border/>
    </dxf>
    <dxf>
      <font>
        <b/>
        <color rgb="FF9BBB59"/>
      </font>
      <fill>
        <patternFill patternType="none"/>
      </fill>
      <border/>
    </dxf>
    <dxf>
      <font>
        <b/>
        <color rgb="FF980000"/>
      </font>
      <fill>
        <patternFill patternType="none"/>
      </fill>
      <border/>
    </dxf>
    <dxf>
      <font>
        <b/>
        <color rgb="FFBF9000"/>
      </font>
      <fill>
        <patternFill patternType="none"/>
      </fill>
      <border/>
    </dxf>
    <dxf>
      <font>
        <b/>
        <color rgb="FF7F6000"/>
      </font>
      <fill>
        <patternFill patternType="none"/>
      </fill>
      <border/>
    </dxf>
    <dxf>
      <font>
        <b/>
        <color rgb="FFBC00BC"/>
      </font>
      <fill>
        <patternFill patternType="none"/>
      </fill>
      <border/>
    </dxf>
    <dxf>
      <font>
        <b/>
        <color rgb="FF1F497D"/>
      </font>
      <fill>
        <patternFill patternType="none"/>
      </fill>
      <border/>
    </dxf>
    <dxf>
      <font>
        <b/>
        <color theme="9"/>
      </font>
      <fill>
        <patternFill patternType="none"/>
      </fill>
      <border/>
    </dxf>
    <dxf>
      <font>
        <b/>
        <color rgb="FF38761D"/>
      </font>
      <fill>
        <patternFill patternType="none"/>
      </fill>
      <border/>
    </dxf>
    <dxf>
      <font>
        <b/>
        <color rgb="FF9BA8A7"/>
      </font>
      <fill>
        <patternFill patternType="none"/>
      </fill>
      <border/>
    </dxf>
    <dxf>
      <font>
        <b/>
        <color rgb="FFEDB54D"/>
      </font>
      <fill>
        <patternFill patternType="none"/>
      </fill>
      <border/>
    </dxf>
    <dxf>
      <font>
        <b/>
        <color rgb="FF800000"/>
      </font>
      <fill>
        <patternFill patternType="none"/>
      </fill>
      <border/>
    </dxf>
    <dxf>
      <font/>
      <fill>
        <patternFill patternType="none"/>
      </fill>
      <border/>
    </dxf>
    <dxf>
      <font/>
      <fill>
        <patternFill patternType="solid">
          <fgColor rgb="FF000000"/>
          <bgColor rgb="FF000000"/>
        </patternFill>
      </fill>
      <border/>
    </dxf>
    <dxf>
      <font/>
      <fill>
        <patternFill patternType="solid">
          <fgColor rgb="FFFFFFFF"/>
          <bgColor rgb="FFFFFFFF"/>
        </patternFill>
      </fill>
      <border/>
    </dxf>
    <dxf>
      <font/>
      <fill>
        <patternFill patternType="solid">
          <fgColor rgb="FFD9D9D9"/>
          <bgColor rgb="FFD9D9D9"/>
        </patternFill>
      </fill>
      <border/>
    </dxf>
    <dxf>
      <font/>
      <fill>
        <patternFill patternType="solid">
          <fgColor rgb="FFE06666"/>
          <bgColor rgb="FFE06666"/>
        </patternFill>
      </fill>
      <border/>
    </dxf>
    <dxf>
      <font/>
      <fill>
        <patternFill patternType="solid">
          <fgColor rgb="FFEA9999"/>
          <bgColor rgb="FFEA9999"/>
        </patternFill>
      </fill>
      <border/>
    </dxf>
    <dxf>
      <font/>
      <fill>
        <patternFill patternType="solid">
          <fgColor rgb="FFC27BA0"/>
          <bgColor rgb="FFC27BA0"/>
        </patternFill>
      </fill>
      <border/>
    </dxf>
    <dxf>
      <font/>
      <fill>
        <patternFill patternType="solid">
          <fgColor rgb="FFD5A6BD"/>
          <bgColor rgb="FFD5A6BD"/>
        </patternFill>
      </fill>
      <border/>
    </dxf>
    <dxf>
      <font/>
      <fill>
        <patternFill patternType="solid">
          <fgColor rgb="FFCCCCCC"/>
          <bgColor rgb="FFCCCCCC"/>
        </patternFill>
      </fill>
      <border/>
    </dxf>
    <dxf>
      <font/>
      <fill>
        <patternFill patternType="solid">
          <fgColor rgb="FFEFEFEF"/>
          <bgColor rgb="FFEFEFEF"/>
        </patternFill>
      </fill>
      <border/>
    </dxf>
    <dxf>
      <font/>
      <fill>
        <patternFill patternType="solid">
          <fgColor rgb="FF6AA84F"/>
          <bgColor rgb="FF6AA84F"/>
        </patternFill>
      </fill>
      <border/>
    </dxf>
    <dxf>
      <font/>
      <fill>
        <patternFill patternType="solid">
          <fgColor rgb="FF93C47D"/>
          <bgColor rgb="FF93C47D"/>
        </patternFill>
      </fill>
      <border/>
    </dxf>
    <dxf>
      <font/>
      <fill>
        <patternFill patternType="solid">
          <fgColor rgb="FFCC4125"/>
          <bgColor rgb="FFCC4125"/>
        </patternFill>
      </fill>
      <border/>
    </dxf>
    <dxf>
      <font/>
      <fill>
        <patternFill patternType="solid">
          <fgColor rgb="FFDD7E6B"/>
          <bgColor rgb="FFDD7E6B"/>
        </patternFill>
      </fill>
      <border/>
    </dxf>
    <dxf>
      <font/>
      <fill>
        <patternFill patternType="solid">
          <fgColor rgb="FF76A5AF"/>
          <bgColor rgb="FF76A5AF"/>
        </patternFill>
      </fill>
      <border/>
    </dxf>
    <dxf>
      <font/>
      <fill>
        <patternFill patternType="solid">
          <fgColor rgb="FFA2C4C9"/>
          <bgColor rgb="FFA2C4C9"/>
        </patternFill>
      </fill>
      <border/>
    </dxf>
    <dxf>
      <font/>
      <fill>
        <patternFill patternType="solid">
          <fgColor rgb="FFF6B26B"/>
          <bgColor rgb="FFF6B26B"/>
        </patternFill>
      </fill>
      <border/>
    </dxf>
    <dxf>
      <font/>
      <fill>
        <patternFill patternType="solid">
          <fgColor rgb="FFF9CB9C"/>
          <bgColor rgb="FFF9CB9C"/>
        </patternFill>
      </fill>
      <border/>
    </dxf>
    <dxf>
      <font/>
      <fill>
        <patternFill patternType="solid">
          <fgColor rgb="FF9BBB59"/>
          <bgColor rgb="FF9BBB59"/>
        </patternFill>
      </fill>
      <border/>
    </dxf>
    <dxf>
      <font/>
      <fill>
        <patternFill patternType="solid">
          <fgColor rgb="FFC4D79B"/>
          <bgColor rgb="FFC4D79B"/>
        </patternFill>
      </fill>
      <border/>
    </dxf>
    <dxf>
      <font/>
      <fill>
        <patternFill patternType="solid">
          <fgColor rgb="FF91A1B2"/>
          <bgColor rgb="FF91A1B2"/>
        </patternFill>
      </fill>
      <border/>
    </dxf>
    <dxf>
      <font/>
      <fill>
        <patternFill patternType="solid">
          <fgColor rgb="FFD8D8D8"/>
          <bgColor rgb="FFD8D8D8"/>
        </patternFill>
      </fill>
      <border/>
    </dxf>
    <dxf>
      <font/>
      <fill>
        <patternFill patternType="solid">
          <fgColor rgb="FF8E7CC3"/>
          <bgColor rgb="FF8E7CC3"/>
        </patternFill>
      </fill>
      <border/>
    </dxf>
    <dxf>
      <font/>
      <fill>
        <patternFill patternType="solid">
          <fgColor rgb="FFB4A7D6"/>
          <bgColor rgb="FFB4A7D6"/>
        </patternFill>
      </fill>
      <border/>
    </dxf>
    <dxf>
      <font/>
      <fill>
        <patternFill patternType="solid">
          <fgColor rgb="FF6FA8DC"/>
          <bgColor rgb="FF6FA8DC"/>
        </patternFill>
      </fill>
      <border/>
    </dxf>
    <dxf>
      <font/>
      <fill>
        <patternFill patternType="solid">
          <fgColor rgb="FF9FC5E8"/>
          <bgColor rgb="FF9FC5E8"/>
        </patternFill>
      </fill>
      <border/>
    </dxf>
    <dxf>
      <font>
        <b/>
        <color rgb="FF274E13"/>
      </font>
      <fill>
        <patternFill patternType="none"/>
      </fill>
      <border/>
    </dxf>
    <dxf>
      <font>
        <b/>
        <u/>
        <color rgb="FFCC0000"/>
      </font>
      <fill>
        <patternFill patternType="none"/>
      </fill>
      <border/>
    </dxf>
    <dxf>
      <font>
        <color rgb="FF6AA84F"/>
      </font>
      <fill>
        <patternFill patternType="none"/>
      </fill>
      <border/>
    </dxf>
    <dxf>
      <font>
        <b/>
        <i/>
        <color rgb="FF3D85C6"/>
      </font>
      <fill>
        <patternFill patternType="none"/>
      </fill>
      <border/>
    </dxf>
    <dxf>
      <font>
        <b/>
        <i/>
        <color rgb="FFA64D79"/>
      </font>
      <fill>
        <patternFill patternType="none"/>
      </fill>
      <border/>
    </dxf>
    <dxf>
      <font>
        <b/>
        <i/>
        <color rgb="FFFEA227"/>
      </font>
      <fill>
        <patternFill patternType="none"/>
      </fill>
      <border/>
    </dxf>
    <dxf>
      <font>
        <b/>
        <i/>
        <color rgb="FF783F04"/>
      </font>
      <fill>
        <patternFill patternType="none"/>
      </fill>
      <border/>
    </dxf>
    <dxf>
      <font>
        <color rgb="FFDDD9C4"/>
      </font>
      <fill>
        <patternFill patternType="solid">
          <fgColor rgb="FFDDD9C4"/>
          <bgColor rgb="FFDDD9C4"/>
        </patternFill>
      </fill>
      <border/>
    </dxf>
    <dxf>
      <font/>
      <fill>
        <patternFill patternType="solid">
          <fgColor rgb="FFDDD9C4"/>
          <bgColor rgb="FFDDD9C4"/>
        </patternFill>
      </fill>
      <border/>
    </dxf>
    <dxf>
      <font>
        <b/>
        <u/>
        <color rgb="FFC53929"/>
      </font>
      <fill>
        <patternFill patternType="none"/>
      </fill>
      <border/>
    </dxf>
    <dxf>
      <font>
        <strike/>
        <color rgb="FFCC0000"/>
      </font>
      <fill>
        <patternFill patternType="none"/>
      </fill>
      <border/>
    </dxf>
    <dxf>
      <font>
        <color rgb="FF000000"/>
      </font>
      <fill>
        <patternFill patternType="solid">
          <fgColor theme="1"/>
          <bgColor theme="1"/>
        </patternFill>
      </fill>
      <border/>
    </dxf>
    <dxf>
      <font>
        <color theme="1"/>
      </font>
      <fill>
        <patternFill patternType="solid">
          <fgColor rgb="FF07152B"/>
          <bgColor rgb="FF07152B"/>
        </patternFill>
      </fill>
      <border/>
    </dxf>
    <dxf>
      <font/>
      <fill>
        <patternFill patternType="solid">
          <fgColor theme="1"/>
          <bgColor theme="1"/>
        </patternFill>
      </fill>
      <border/>
    </dxf>
    <dxf>
      <font/>
      <fill>
        <patternFill patternType="solid">
          <fgColor rgb="FFF3F3F3"/>
          <bgColor rgb="FFF3F3F3"/>
        </patternFill>
      </fill>
      <border/>
    </dxf>
    <dxf>
      <font>
        <color rgb="FF434343"/>
      </font>
      <fill>
        <patternFill patternType="solid">
          <fgColor rgb="FF434343"/>
          <bgColor rgb="FF434343"/>
        </patternFill>
      </fill>
      <border/>
    </dxf>
    <dxf>
      <font>
        <color rgb="FFD9D9D9"/>
      </font>
      <fill>
        <patternFill patternType="solid">
          <fgColor rgb="FFD9D9D9"/>
          <bgColor rgb="FFD9D9D9"/>
        </patternFill>
      </fill>
      <border/>
    </dxf>
    <dxf>
      <font>
        <color rgb="FFFFFFFF"/>
      </font>
      <fill>
        <patternFill patternType="solid">
          <fgColor rgb="FFFFFFFF"/>
          <bgColor rgb="FFFFFFFF"/>
        </patternFill>
      </fill>
      <border/>
    </dxf>
    <dxf>
      <font>
        <color rgb="FFEDB54D"/>
      </font>
      <fill>
        <patternFill patternType="none"/>
      </fill>
      <border/>
    </dxf>
    <dxf>
      <font>
        <color rgb="FFBBBBBB"/>
      </font>
      <fill>
        <patternFill patternType="none"/>
      </fill>
      <border/>
    </dxf>
    <dxf>
      <font>
        <color rgb="FFC53929"/>
      </font>
      <fill>
        <patternFill patternType="none"/>
      </fill>
      <border/>
    </dxf>
    <dxf>
      <font>
        <color rgb="FF91A1B2"/>
      </font>
      <fill>
        <patternFill patternType="none"/>
      </fill>
      <border/>
    </dxf>
    <dxf>
      <font>
        <color rgb="FFF79646"/>
      </font>
      <fill>
        <patternFill patternType="none"/>
      </fill>
      <border/>
    </dxf>
  </dxfs>
  <tableStyles count="19">
    <tableStyle count="3" pivot="0" name="物種-style">
      <tableStyleElement dxfId="36" type="headerRow"/>
      <tableStyleElement dxfId="37" type="firstRowStripe"/>
      <tableStyleElement dxfId="38" type="secondRowStripe"/>
    </tableStyle>
    <tableStyle count="2" pivot="0" name="子職業能力-style">
      <tableStyleElement dxfId="39" type="firstRowStripe"/>
      <tableStyleElement dxfId="40" type="secondRowStripe"/>
    </tableStyle>
    <tableStyle count="2" pivot="0" name="子職業能力-style 2">
      <tableStyleElement dxfId="41" type="firstRowStripe"/>
      <tableStyleElement dxfId="42" type="secondRowStripe"/>
    </tableStyle>
    <tableStyle count="2" pivot="0" name="子職業能力-style 3">
      <tableStyleElement dxfId="43" type="firstRowStripe"/>
      <tableStyleElement dxfId="44" type="secondRowStripe"/>
    </tableStyle>
    <tableStyle count="2" pivot="0" name="子職業能力-style 4">
      <tableStyleElement dxfId="45" type="firstRowStripe"/>
      <tableStyleElement dxfId="46" type="secondRowStripe"/>
    </tableStyle>
    <tableStyle count="2" pivot="0" name="子職業能力-style 5">
      <tableStyleElement dxfId="47" type="firstRowStripe"/>
      <tableStyleElement dxfId="48" type="secondRowStripe"/>
    </tableStyle>
    <tableStyle count="2" pivot="0" name="子職業能力-style 6">
      <tableStyleElement dxfId="49" type="firstRowStripe"/>
      <tableStyleElement dxfId="50" type="secondRowStripe"/>
    </tableStyle>
    <tableStyle count="2" pivot="0" name="子職業能力-style 7">
      <tableStyleElement dxfId="51" type="firstRowStripe"/>
      <tableStyleElement dxfId="52" type="secondRowStripe"/>
    </tableStyle>
    <tableStyle count="2" pivot="0" name="子職業能力-style 8">
      <tableStyleElement dxfId="53" type="firstRowStripe"/>
      <tableStyleElement dxfId="54" type="secondRowStripe"/>
    </tableStyle>
    <tableStyle count="2" pivot="0" name="子職業能力-style 9">
      <tableStyleElement dxfId="55" type="firstRowStripe"/>
      <tableStyleElement dxfId="56" type="secondRowStripe"/>
    </tableStyle>
    <tableStyle count="2" pivot="0" name="子職業能力-style 10">
      <tableStyleElement dxfId="51" type="firstRowStripe"/>
      <tableStyleElement dxfId="52" type="secondRowStripe"/>
    </tableStyle>
    <tableStyle count="2" pivot="0" name="子職業能力-style 11">
      <tableStyleElement dxfId="57" type="firstRowStripe"/>
      <tableStyleElement dxfId="58" type="secondRowStripe"/>
    </tableStyle>
    <tableStyle count="2" pivot="0" name="子職業能力-style 12">
      <tableStyleElement dxfId="59" type="firstRowStripe"/>
      <tableStyleElement dxfId="60" type="secondRowStripe"/>
    </tableStyle>
    <tableStyle count="3" pivot="0" name="職業能力-style">
      <tableStyleElement dxfId="36" type="headerRow"/>
      <tableStyleElement dxfId="37" type="firstRowStripe"/>
      <tableStyleElement dxfId="38" type="secondRowStripe"/>
    </tableStyle>
    <tableStyle count="3" pivot="0" name="專長-style">
      <tableStyleElement dxfId="36" type="headerRow"/>
      <tableStyleElement dxfId="37" type="firstRowStripe"/>
      <tableStyleElement dxfId="38" type="secondRowStripe"/>
    </tableStyle>
    <tableStyle count="3" pivot="0" name="武器&amp;護甲-style">
      <tableStyleElement dxfId="36" type="headerRow"/>
      <tableStyleElement dxfId="37" type="firstRowStripe"/>
      <tableStyleElement dxfId="38" type="secondRowStripe"/>
    </tableStyle>
    <tableStyle count="3" pivot="0" name="法術篩選-style">
      <tableStyleElement dxfId="36" type="headerRow"/>
      <tableStyleElement dxfId="37" type="firstRowStripe"/>
      <tableStyleElement dxfId="38" type="secondRowStripe"/>
    </tableStyle>
    <tableStyle count="3" pivot="0" name="法術資料-style">
      <tableStyleElement dxfId="74" type="headerRow"/>
      <tableStyleElement dxfId="37" type="firstRowStripe"/>
      <tableStyleElement dxfId="75" type="secondRowStripe"/>
    </tableStyle>
    <tableStyle count="3" pivot="0" name="據點特色設施表-style">
      <tableStyleElement dxfId="36" type="headerRow"/>
      <tableStyleElement dxfId="37" type="firstRowStripe"/>
      <tableStyleElement dxfId="38"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35</xdr:col>
      <xdr:colOff>0</xdr:colOff>
      <xdr:row>24</xdr:row>
      <xdr:rowOff>0</xdr:rowOff>
    </xdr:from>
    <xdr:ext cx="200025" cy="85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52400" cy="190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73</xdr:col>
      <xdr:colOff>0</xdr:colOff>
      <xdr:row>6</xdr:row>
      <xdr:rowOff>0</xdr:rowOff>
    </xdr:from>
    <xdr:ext cx="1524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0</xdr:colOff>
      <xdr:row>0</xdr:row>
      <xdr:rowOff>0</xdr:rowOff>
    </xdr:from>
    <xdr:ext cx="476250" cy="2286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0</xdr:colOff>
      <xdr:row>57</xdr:row>
      <xdr:rowOff>0</xdr:rowOff>
    </xdr:from>
    <xdr:ext cx="40005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38</xdr:col>
      <xdr:colOff>0</xdr:colOff>
      <xdr:row>57</xdr:row>
      <xdr:rowOff>0</xdr:rowOff>
    </xdr:from>
    <xdr:ext cx="40005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59</xdr:col>
      <xdr:colOff>0</xdr:colOff>
      <xdr:row>57</xdr:row>
      <xdr:rowOff>0</xdr:rowOff>
    </xdr:from>
    <xdr:ext cx="40005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79</xdr:col>
      <xdr:colOff>0</xdr:colOff>
      <xdr:row>57</xdr:row>
      <xdr:rowOff>0</xdr:rowOff>
    </xdr:from>
    <xdr:ext cx="40005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99</xdr:col>
      <xdr:colOff>0</xdr:colOff>
      <xdr:row>57</xdr:row>
      <xdr:rowOff>0</xdr:rowOff>
    </xdr:from>
    <xdr:ext cx="40005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119</xdr:col>
      <xdr:colOff>0</xdr:colOff>
      <xdr:row>57</xdr:row>
      <xdr:rowOff>0</xdr:rowOff>
    </xdr:from>
    <xdr:ext cx="40005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139</xdr:col>
      <xdr:colOff>0</xdr:colOff>
      <xdr:row>57</xdr:row>
      <xdr:rowOff>0</xdr:rowOff>
    </xdr:from>
    <xdr:ext cx="40005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159</xdr:col>
      <xdr:colOff>0</xdr:colOff>
      <xdr:row>57</xdr:row>
      <xdr:rowOff>0</xdr:rowOff>
    </xdr:from>
    <xdr:ext cx="40005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179</xdr:col>
      <xdr:colOff>0</xdr:colOff>
      <xdr:row>57</xdr:row>
      <xdr:rowOff>0</xdr:rowOff>
    </xdr:from>
    <xdr:ext cx="40005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56</xdr:col>
      <xdr:colOff>0</xdr:colOff>
      <xdr:row>53</xdr:row>
      <xdr:rowOff>0</xdr:rowOff>
    </xdr:from>
    <xdr:ext cx="152400" cy="66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56</xdr:col>
      <xdr:colOff>0</xdr:colOff>
      <xdr:row>53</xdr:row>
      <xdr:rowOff>0</xdr:rowOff>
    </xdr:from>
    <xdr:ext cx="152400" cy="66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54</xdr:col>
      <xdr:colOff>0</xdr:colOff>
      <xdr:row>52</xdr:row>
      <xdr:rowOff>0</xdr:rowOff>
    </xdr:from>
    <xdr:ext cx="152400" cy="66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1013" displayName="Table_1" name="Table_1" id="1">
  <tableColumns count="12">
    <tableColumn name="物種" id="1"/>
    <tableColumn name="出處" id="2"/>
    <tableColumn name="體型" id="3"/>
    <tableColumn name="生物類型" id="4"/>
    <tableColumn name="能力A" id="5"/>
    <tableColumn name="能力B" id="6"/>
    <tableColumn name="能力C" id="7"/>
    <tableColumn name="能力D" id="8"/>
    <tableColumn name="能力E" id="9"/>
    <tableColumn name="能力F" id="10"/>
    <tableColumn name="能力G" id="11"/>
    <tableColumn name="能力H" id="12"/>
  </tableColumns>
  <tableStyleInfo name="物種-style" showColumnStripes="0" showFirstColumn="1" showLastColumn="1" showRowStripes="1"/>
</table>
</file>

<file path=xl/tables/table2.xml><?xml version="1.0" encoding="utf-8"?>
<table xmlns="http://schemas.openxmlformats.org/spreadsheetml/2006/main" headerRowCount="0" ref="B2:J23"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子職業能力-style" showColumnStripes="0" showFirstColumn="1" showLastColumn="1" showRowStripes="1"/>
</table>
</file>

<file path=xl/tables/table3.xml><?xml version="1.0" encoding="utf-8"?>
<table xmlns="http://schemas.openxmlformats.org/spreadsheetml/2006/main" headerRowCount="0" ref="B24:J45" displayName="Table_3" name="Table_3"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子職業能力-style 2" showColumnStripes="0" showFirstColumn="1" showLastColumn="1" showRowStripes="1"/>
</table>
</file>

<file path=xl/tables/table4.xml><?xml version="1.0" encoding="utf-8"?>
<table xmlns="http://schemas.openxmlformats.org/spreadsheetml/2006/main" headerRowCount="0" ref="B46:J67" displayName="Table_4" name="Table_4" id="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子職業能力-style 3" showColumnStripes="0" showFirstColumn="1" showLastColumn="1" showRowStripes="1"/>
</table>
</file>

<file path=xl/tables/table5.xml><?xml version="1.0" encoding="utf-8"?>
<table xmlns="http://schemas.openxmlformats.org/spreadsheetml/2006/main" headerRowCount="0" ref="B68:J90" displayName="Table_5" name="Table_5" id="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子職業能力-style 4" showColumnStripes="0" showFirstColumn="1" showLastColumn="1" showRowStripes="1"/>
</table>
</file>

<file path=xl/tables/table6.xml><?xml version="1.0" encoding="utf-8"?>
<table xmlns="http://schemas.openxmlformats.org/spreadsheetml/2006/main" headerRowCount="0" ref="B91:J112" displayName="Table_6" name="Table_6" id="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子職業能力-style 5" showColumnStripes="0" showFirstColumn="1" showLastColumn="1" showRowStripes="1"/>
</table>
</file>

<file path=xl/tables/table7.xml><?xml version="1.0" encoding="utf-8"?>
<table xmlns="http://schemas.openxmlformats.org/spreadsheetml/2006/main" headerRowCount="0" ref="B113:J134" displayName="Table_7" name="Table_7" id="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子職業能力-style 6" showColumnStripes="0" showFirstColumn="1" showLastColumn="1" showRowStripes="1"/>
</table>
</file>

<file path=xl/tables/table8.xml><?xml version="1.0" encoding="utf-8"?>
<table xmlns="http://schemas.openxmlformats.org/spreadsheetml/2006/main" headerRowCount="0" ref="B135:J156" displayName="Table_8" name="Table_8" id="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子職業能力-style 7" showColumnStripes="0" showFirstColumn="1" showLastColumn="1" showRowStripes="1"/>
</table>
</file>

<file path=xl/tables/table9.xml><?xml version="1.0" encoding="utf-8"?>
<table xmlns="http://schemas.openxmlformats.org/spreadsheetml/2006/main" headerRowCount="0" ref="B157:J178" displayName="Table_9" name="Table_9" id="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子職業能力-style 8" showColumnStripes="0" showFirstColumn="1" showLastColumn="1" showRowStripes="1"/>
</table>
</file>

<file path=xl/tables/table10.xml><?xml version="1.0" encoding="utf-8"?>
<table xmlns="http://schemas.openxmlformats.org/spreadsheetml/2006/main" headerRowCount="0" ref="B179:J200" displayName="Table_10" name="Table_10" id="1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子職業能力-style 9" showColumnStripes="0" showFirstColumn="1" showLastColumn="1" showRowStripes="1"/>
</table>
</file>

<file path=xl/tables/table11.xml><?xml version="1.0" encoding="utf-8"?>
<table xmlns="http://schemas.openxmlformats.org/spreadsheetml/2006/main" headerRowCount="0" ref="B201:J222" displayName="Table_11" name="Table_11" id="1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子職業能力-style 10" showColumnStripes="0" showFirstColumn="1" showLastColumn="1" showRowStripes="1"/>
</table>
</file>

<file path=xl/tables/table12.xml><?xml version="1.0" encoding="utf-8"?>
<table xmlns="http://schemas.openxmlformats.org/spreadsheetml/2006/main" headerRowCount="0" ref="B223:J245" displayName="Table_12" name="Table_12" id="1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子職業能力-style 11" showColumnStripes="0" showFirstColumn="1" showLastColumn="1" showRowStripes="1"/>
</table>
</file>

<file path=xl/tables/table13.xml><?xml version="1.0" encoding="utf-8"?>
<table xmlns="http://schemas.openxmlformats.org/spreadsheetml/2006/main" headerRowCount="0" ref="B246:J291" displayName="Table_13" name="Table_13" id="1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子職業能力-style 12" showColumnStripes="0" showFirstColumn="1" showLastColumn="1" showRowStripes="1"/>
</table>
</file>

<file path=xl/tables/table14.xml><?xml version="1.0" encoding="utf-8"?>
<table xmlns="http://schemas.openxmlformats.org/spreadsheetml/2006/main" ref="A1:P50" displayName="Table_14" name="Table_14" id="14">
  <tableColumns count="16">
    <tableColumn name="奇械師-Artificer" id="1"/>
    <tableColumn name="野蠻人-Barbarian" id="2"/>
    <tableColumn name="吟遊詩人-Bard" id="3"/>
    <tableColumn name="牧師-Cleric" id="4"/>
    <tableColumn name="德魯伊-Druid" id="5"/>
    <tableColumn name="戰士-Fighter" id="6"/>
    <tableColumn name="" id="7"/>
    <tableColumn name="武僧-Monk" id="8"/>
    <tableColumn name=" 2" id="9"/>
    <tableColumn name="聖騎士-Paladin" id="10"/>
    <tableColumn name=" 3" id="11"/>
    <tableColumn name="遊俠-Ranger" id="12"/>
    <tableColumn name="盜賊-Rogue" id="13"/>
    <tableColumn name="術士-Sorcerer" id="14"/>
    <tableColumn name="契術師-Warlock" id="15"/>
    <tableColumn name="法師-Wizard" id="16"/>
  </tableColumns>
  <tableStyleInfo name="職業能力-style" showColumnStripes="0" showFirstColumn="1" showLastColumn="1" showRowStripes="1"/>
</table>
</file>

<file path=xl/tables/table15.xml><?xml version="1.0" encoding="utf-8"?>
<table xmlns="http://schemas.openxmlformats.org/spreadsheetml/2006/main" ref="A1:B359" displayName="Table_15" name="Table_15" id="15">
  <tableColumns count="2">
    <tableColumn name="~~~~起源專長 Origin Feat~~~~" id="1"/>
    <tableColumn name="傳奇恩惠 Epic Boon Feat " id="2"/>
  </tableColumns>
  <tableStyleInfo name="專長-style" showColumnStripes="0" showFirstColumn="1" showLastColumn="1" showRowStripes="1"/>
</table>
</file>

<file path=xl/tables/table16.xml><?xml version="1.0" encoding="utf-8"?>
<table xmlns="http://schemas.openxmlformats.org/spreadsheetml/2006/main" headerRowCount="0" ref="A1:L1017" displayName="Table_16" name="Table_16" id="1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武器&amp;護甲-style"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ref="A1:J1000" displayName="Table_17" name="Table_17" id="17">
  <tableColumns count="10">
    <tableColumn name="0環" id="1"/>
    <tableColumn name="1環" id="2"/>
    <tableColumn name="2環" id="3"/>
    <tableColumn name="3環" id="4"/>
    <tableColumn name="4環" id="5"/>
    <tableColumn name="5環" id="6"/>
    <tableColumn name="6環" id="7"/>
    <tableColumn name="7環" id="8"/>
    <tableColumn name="8環" id="9"/>
    <tableColumn name="9環" id="10"/>
  </tableColumns>
  <tableStyleInfo name="法術篩選-style" showColumnStripes="0" showFirstColumn="1" showLastColumn="1" showRowStripes="1"/>
</table>
</file>

<file path=xl/tables/table18.xml><?xml version="1.0" encoding="utf-8"?>
<table xmlns="http://schemas.openxmlformats.org/spreadsheetml/2006/main" headerRowCount="0" ref="A1" displayName="Table_18" name="Table_18" id="18">
  <tableColumns count="1">
    <tableColumn name="Column1" id="1"/>
  </tableColumns>
  <tableStyleInfo name="法術資料-style"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ref="A1:H48" displayName="Table_19" name="Table_19" id="19">
  <tableColumns count="8">
    <tableColumn name="設施名稱" id="1"/>
    <tableColumn name="英文名稱" id="2"/>
    <tableColumn name="等級" id="3"/>
    <tableColumn name="先決條件" id="4"/>
    <tableColumn name="設施大小" id="5"/>
    <tableColumn name="雇員" id="6"/>
    <tableColumn name="指令" id="7"/>
    <tableColumn name="指令內容" id="8"/>
  </tableColumns>
  <tableStyleInfo name="據點特色設施表-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dndbeyond.com/changelo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0" Type="http://schemas.openxmlformats.org/officeDocument/2006/relationships/table" Target="../tables/table8.xml"/><Relationship Id="rId22" Type="http://schemas.openxmlformats.org/officeDocument/2006/relationships/table" Target="../tables/table10.xml"/><Relationship Id="rId21" Type="http://schemas.openxmlformats.org/officeDocument/2006/relationships/table" Target="../tables/table9.xml"/><Relationship Id="rId24" Type="http://schemas.openxmlformats.org/officeDocument/2006/relationships/table" Target="../tables/table12.xml"/><Relationship Id="rId23" Type="http://schemas.openxmlformats.org/officeDocument/2006/relationships/table" Target="../tables/table11.xml"/><Relationship Id="rId1" Type="http://schemas.openxmlformats.org/officeDocument/2006/relationships/drawing" Target="../drawings/drawing7.xml"/><Relationship Id="rId15" Type="http://schemas.openxmlformats.org/officeDocument/2006/relationships/table" Target="../tables/table3.xml"/><Relationship Id="rId14" Type="http://schemas.openxmlformats.org/officeDocument/2006/relationships/table" Target="../tables/table2.xml"/><Relationship Id="rId25" Type="http://schemas.openxmlformats.org/officeDocument/2006/relationships/table" Target="../tables/table13.xml"/><Relationship Id="rId17" Type="http://schemas.openxmlformats.org/officeDocument/2006/relationships/table" Target="../tables/table5.xml"/><Relationship Id="rId16" Type="http://schemas.openxmlformats.org/officeDocument/2006/relationships/table" Target="../tables/table4.xml"/><Relationship Id="rId19" Type="http://schemas.openxmlformats.org/officeDocument/2006/relationships/table" Target="../tables/table7.xml"/><Relationship Id="rId18"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3.xml"/><Relationship Id="rId3"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8.xml"/><Relationship Id="rId3" Type="http://schemas.openxmlformats.org/officeDocument/2006/relationships/vmlDrawing" Target="../drawings/vmlDrawing4.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3.xml"/><Relationship Id="rId3" Type="http://schemas.openxmlformats.org/officeDocument/2006/relationships/vmlDrawing" Target="../drawings/vmlDrawing5.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4.xml"/><Relationship Id="rId3" Type="http://schemas.openxmlformats.org/officeDocument/2006/relationships/vmlDrawing" Target="../drawings/vmlDrawing6.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3" Type="http://schemas.openxmlformats.org/officeDocument/2006/relationships/table" Target="../tables/table1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4.43" defaultRowHeight="15.0" outlineLevelCol="1"/>
  <cols>
    <col customWidth="1" min="1" max="1" width="3.0"/>
    <col customWidth="1" min="2" max="5" width="14.43"/>
    <col customWidth="1" min="6" max="6" width="3.71"/>
    <col customWidth="1" min="7" max="9" width="14.43"/>
    <col customWidth="1" min="10" max="10" width="3.0"/>
    <col customWidth="1" min="11" max="14" width="7.29"/>
    <col customWidth="1" min="15" max="16" width="3.0"/>
    <col collapsed="1" customWidth="1" min="17" max="17" width="3.0"/>
    <col customWidth="1" hidden="1" min="18" max="18" width="10.57" outlineLevel="1"/>
    <col customWidth="1" hidden="1" min="19" max="19" width="5.86" outlineLevel="1"/>
    <col customWidth="1" hidden="1" min="20" max="20" width="43.0" outlineLevel="1"/>
    <col customWidth="1" hidden="1" min="21" max="21" width="1.57" outlineLevel="1"/>
    <col customWidth="1" hidden="1" min="22" max="22" width="10.57" outlineLevel="1"/>
    <col customWidth="1" hidden="1" min="23" max="23" width="5.86" outlineLevel="1"/>
    <col customWidth="1" hidden="1" min="24" max="24" width="43.0" outlineLevel="1"/>
  </cols>
  <sheetData>
    <row r="1">
      <c r="A1" s="1"/>
      <c r="B1" s="2"/>
      <c r="C1" s="2"/>
      <c r="D1" s="2"/>
      <c r="E1" s="2"/>
      <c r="F1" s="2"/>
      <c r="G1" s="2"/>
      <c r="H1" s="2"/>
      <c r="I1" s="2"/>
      <c r="J1" s="3"/>
      <c r="K1" s="4"/>
      <c r="L1" s="4"/>
      <c r="M1" s="4"/>
      <c r="N1" s="4"/>
      <c r="O1" s="5"/>
      <c r="P1" s="6"/>
      <c r="Q1" s="7" t="s">
        <v>0</v>
      </c>
      <c r="R1" s="8">
        <v>45562.0</v>
      </c>
      <c r="S1" s="9" t="s">
        <v>1</v>
      </c>
      <c r="T1" s="10" t="s">
        <v>2</v>
      </c>
      <c r="U1" s="8"/>
      <c r="V1" s="11">
        <v>45994.0</v>
      </c>
      <c r="W1" s="12" t="s">
        <v>3</v>
      </c>
      <c r="X1" s="13" t="s">
        <v>4</v>
      </c>
    </row>
    <row r="2">
      <c r="A2" s="1"/>
      <c r="B2" s="14" t="s">
        <v>5</v>
      </c>
      <c r="C2" s="15"/>
      <c r="D2" s="15"/>
      <c r="E2" s="15"/>
      <c r="F2" s="15"/>
      <c r="G2" s="15"/>
      <c r="H2" s="15"/>
      <c r="I2" s="16"/>
      <c r="J2" s="17"/>
      <c r="K2" s="18" t="s">
        <v>6</v>
      </c>
      <c r="L2" s="19"/>
      <c r="M2" s="19"/>
      <c r="N2" s="20"/>
      <c r="O2" s="21"/>
      <c r="P2" s="6"/>
      <c r="Q2" s="22"/>
      <c r="R2" s="8">
        <v>45564.0</v>
      </c>
      <c r="S2" s="23">
        <v>1.1</v>
      </c>
      <c r="T2" s="10" t="s">
        <v>7</v>
      </c>
      <c r="U2" s="8"/>
      <c r="V2" s="11">
        <v>45996.0</v>
      </c>
      <c r="W2" s="12" t="s">
        <v>8</v>
      </c>
      <c r="X2" s="13" t="s">
        <v>9</v>
      </c>
    </row>
    <row r="3">
      <c r="A3" s="1"/>
      <c r="B3" s="24"/>
      <c r="C3" s="25"/>
      <c r="D3" s="25"/>
      <c r="E3" s="25"/>
      <c r="F3" s="25"/>
      <c r="G3" s="25"/>
      <c r="H3" s="25"/>
      <c r="I3" s="26"/>
      <c r="J3" s="17"/>
      <c r="K3" s="27"/>
      <c r="L3" s="28" t="s">
        <v>10</v>
      </c>
      <c r="M3" s="29">
        <f>ROUNDDOWN(K3/(2.54*12),0)</f>
        <v>0</v>
      </c>
      <c r="N3" s="30" t="s">
        <v>11</v>
      </c>
      <c r="O3" s="21"/>
      <c r="P3" s="6"/>
      <c r="Q3" s="22"/>
      <c r="R3" s="8">
        <v>45568.0</v>
      </c>
      <c r="S3" s="23">
        <v>1.2</v>
      </c>
      <c r="T3" s="31" t="s">
        <v>12</v>
      </c>
      <c r="U3" s="8"/>
      <c r="V3" s="11">
        <v>45998.0</v>
      </c>
      <c r="W3" s="12">
        <v>3.1</v>
      </c>
      <c r="X3" s="13" t="s">
        <v>13</v>
      </c>
    </row>
    <row r="4">
      <c r="A4" s="1"/>
      <c r="B4" s="32" t="s">
        <v>14</v>
      </c>
      <c r="C4" s="33"/>
      <c r="D4" s="33"/>
      <c r="E4" s="33"/>
      <c r="F4" s="33"/>
      <c r="G4" s="33"/>
      <c r="H4" s="33"/>
      <c r="I4" s="34"/>
      <c r="J4" s="17"/>
      <c r="K4" s="35"/>
      <c r="L4" s="35"/>
      <c r="M4" s="29">
        <f>ROUND((K3-M3*2.54*12)/2.54,1)</f>
        <v>0</v>
      </c>
      <c r="N4" s="30" t="s">
        <v>15</v>
      </c>
      <c r="O4" s="36"/>
      <c r="P4" s="37"/>
      <c r="Q4" s="22"/>
      <c r="R4" s="8">
        <v>45570.0</v>
      </c>
      <c r="S4" s="23">
        <v>1.3</v>
      </c>
      <c r="T4" s="10" t="s">
        <v>16</v>
      </c>
      <c r="U4" s="8"/>
      <c r="V4" s="8">
        <v>46000.0</v>
      </c>
      <c r="W4" s="23" t="s">
        <v>17</v>
      </c>
      <c r="X4" s="10" t="s">
        <v>18</v>
      </c>
    </row>
    <row r="5">
      <c r="A5" s="1"/>
      <c r="B5" s="38" t="s">
        <v>19</v>
      </c>
      <c r="C5" s="15"/>
      <c r="D5" s="15"/>
      <c r="E5" s="15"/>
      <c r="F5" s="15"/>
      <c r="G5" s="15"/>
      <c r="H5" s="15"/>
      <c r="I5" s="16"/>
      <c r="J5" s="17"/>
      <c r="K5" s="39"/>
      <c r="L5" s="30" t="s">
        <v>11</v>
      </c>
      <c r="M5" s="40">
        <f>ROUND((K5*12+K6)*2.54,1)</f>
        <v>0</v>
      </c>
      <c r="N5" s="28" t="s">
        <v>10</v>
      </c>
      <c r="O5" s="36"/>
      <c r="P5" s="37"/>
      <c r="Q5" s="22"/>
      <c r="R5" s="8">
        <v>45576.0</v>
      </c>
      <c r="S5" s="23">
        <v>1.4</v>
      </c>
      <c r="T5" s="10" t="s">
        <v>20</v>
      </c>
      <c r="U5" s="8"/>
      <c r="V5" s="8">
        <v>46024.0</v>
      </c>
      <c r="W5" s="23">
        <v>3.2</v>
      </c>
      <c r="X5" s="10" t="s">
        <v>21</v>
      </c>
    </row>
    <row r="6">
      <c r="A6" s="1"/>
      <c r="B6" s="41" t="s">
        <v>22</v>
      </c>
      <c r="C6" s="15"/>
      <c r="D6" s="15"/>
      <c r="E6" s="15"/>
      <c r="F6" s="15"/>
      <c r="G6" s="15"/>
      <c r="H6" s="15"/>
      <c r="I6" s="16"/>
      <c r="J6" s="17"/>
      <c r="K6" s="39"/>
      <c r="L6" s="30" t="s">
        <v>15</v>
      </c>
      <c r="M6" s="35"/>
      <c r="N6" s="35"/>
      <c r="O6" s="36"/>
      <c r="P6" s="37"/>
      <c r="Q6" s="22"/>
      <c r="R6" s="8">
        <v>45577.0</v>
      </c>
      <c r="S6" s="23" t="s">
        <v>23</v>
      </c>
      <c r="T6" s="10" t="s">
        <v>24</v>
      </c>
      <c r="U6" s="8"/>
      <c r="V6" s="8">
        <v>46026.0</v>
      </c>
      <c r="W6" s="23">
        <v>3.3</v>
      </c>
      <c r="X6" s="10" t="s">
        <v>25</v>
      </c>
    </row>
    <row r="7">
      <c r="A7" s="1"/>
      <c r="B7" s="42"/>
      <c r="I7" s="43"/>
      <c r="J7" s="17"/>
      <c r="K7" s="18" t="s">
        <v>26</v>
      </c>
      <c r="L7" s="19"/>
      <c r="M7" s="19"/>
      <c r="N7" s="20"/>
      <c r="O7" s="36"/>
      <c r="P7" s="37"/>
      <c r="Q7" s="22"/>
      <c r="R7" s="8">
        <v>45581.0</v>
      </c>
      <c r="S7" s="23" t="s">
        <v>27</v>
      </c>
      <c r="T7" s="10" t="s">
        <v>28</v>
      </c>
      <c r="U7" s="8"/>
      <c r="V7" s="8">
        <v>46027.0</v>
      </c>
      <c r="W7" s="23" t="s">
        <v>29</v>
      </c>
      <c r="X7" s="10" t="s">
        <v>30</v>
      </c>
    </row>
    <row r="8">
      <c r="A8" s="1"/>
      <c r="B8" s="42"/>
      <c r="I8" s="43"/>
      <c r="J8" s="17"/>
      <c r="K8" s="27"/>
      <c r="L8" s="28" t="s">
        <v>31</v>
      </c>
      <c r="M8" s="44">
        <f>ROUND(K8*2.20462262,1)</f>
        <v>0</v>
      </c>
      <c r="N8" s="28" t="s">
        <v>32</v>
      </c>
      <c r="O8" s="36"/>
      <c r="P8" s="37"/>
      <c r="Q8" s="22"/>
      <c r="R8" s="8">
        <v>45590.0</v>
      </c>
      <c r="S8" s="23" t="s">
        <v>33</v>
      </c>
      <c r="T8" s="10" t="s">
        <v>34</v>
      </c>
      <c r="U8" s="8"/>
      <c r="V8" s="8">
        <v>46028.0</v>
      </c>
      <c r="W8" s="23" t="s">
        <v>35</v>
      </c>
      <c r="X8" s="10" t="s">
        <v>36</v>
      </c>
    </row>
    <row r="9">
      <c r="A9" s="45"/>
      <c r="B9" s="42"/>
      <c r="I9" s="43"/>
      <c r="J9" s="17"/>
      <c r="K9" s="35"/>
      <c r="L9" s="35"/>
      <c r="M9" s="35"/>
      <c r="N9" s="35"/>
      <c r="O9" s="36"/>
      <c r="P9" s="37"/>
      <c r="Q9" s="22"/>
      <c r="R9" s="8">
        <v>45619.0</v>
      </c>
      <c r="S9" s="23">
        <v>1.5</v>
      </c>
      <c r="T9" s="10" t="s">
        <v>37</v>
      </c>
      <c r="U9" s="8"/>
      <c r="V9" s="8">
        <v>46029.0</v>
      </c>
      <c r="W9" s="23" t="s">
        <v>38</v>
      </c>
      <c r="X9" s="10" t="s">
        <v>39</v>
      </c>
    </row>
    <row r="10">
      <c r="A10" s="45"/>
      <c r="B10" s="42"/>
      <c r="I10" s="43"/>
      <c r="J10" s="17"/>
      <c r="K10" s="27"/>
      <c r="L10" s="28" t="s">
        <v>32</v>
      </c>
      <c r="M10" s="40">
        <f>ROUND(K10*0.45359237,1)</f>
        <v>0</v>
      </c>
      <c r="N10" s="28" t="s">
        <v>31</v>
      </c>
      <c r="O10" s="36"/>
      <c r="P10" s="37"/>
      <c r="Q10" s="22"/>
      <c r="R10" s="8">
        <v>45627.0</v>
      </c>
      <c r="S10" s="23" t="s">
        <v>40</v>
      </c>
      <c r="T10" s="10" t="s">
        <v>41</v>
      </c>
      <c r="U10" s="8"/>
      <c r="V10" s="8">
        <v>46030.0</v>
      </c>
      <c r="W10" s="23" t="s">
        <v>42</v>
      </c>
      <c r="X10" s="10" t="s">
        <v>43</v>
      </c>
    </row>
    <row r="11">
      <c r="A11" s="45"/>
      <c r="B11" s="42"/>
      <c r="I11" s="43"/>
      <c r="J11" s="17"/>
      <c r="K11" s="35"/>
      <c r="L11" s="35"/>
      <c r="M11" s="35"/>
      <c r="N11" s="35"/>
      <c r="O11" s="21"/>
      <c r="P11" s="6"/>
      <c r="Q11" s="22"/>
      <c r="R11" s="8">
        <v>45637.0</v>
      </c>
      <c r="S11" s="23">
        <v>1.6</v>
      </c>
      <c r="T11" s="10" t="s">
        <v>44</v>
      </c>
      <c r="U11" s="8"/>
      <c r="V11" s="8">
        <v>46031.0</v>
      </c>
      <c r="W11" s="23" t="s">
        <v>45</v>
      </c>
      <c r="X11" s="10" t="s">
        <v>46</v>
      </c>
    </row>
    <row r="12">
      <c r="A12" s="45"/>
      <c r="B12" s="24"/>
      <c r="C12" s="25"/>
      <c r="D12" s="25"/>
      <c r="E12" s="25"/>
      <c r="F12" s="25"/>
      <c r="G12" s="25"/>
      <c r="H12" s="25"/>
      <c r="I12" s="26"/>
      <c r="J12" s="17"/>
      <c r="K12" s="46"/>
      <c r="L12" s="46"/>
      <c r="M12" s="47"/>
      <c r="N12" s="47"/>
      <c r="O12" s="21"/>
      <c r="P12" s="6"/>
      <c r="Q12" s="22"/>
      <c r="R12" s="8">
        <v>45677.0</v>
      </c>
      <c r="S12" s="23" t="s">
        <v>47</v>
      </c>
      <c r="T12" s="10" t="s">
        <v>48</v>
      </c>
      <c r="U12" s="8"/>
      <c r="V12" s="8">
        <v>46032.0</v>
      </c>
      <c r="W12" s="23">
        <v>3.4</v>
      </c>
      <c r="X12" s="10" t="s">
        <v>49</v>
      </c>
    </row>
    <row r="13">
      <c r="A13" s="45"/>
      <c r="B13" s="48" t="s">
        <v>50</v>
      </c>
      <c r="C13" s="19"/>
      <c r="D13" s="19"/>
      <c r="E13" s="19"/>
      <c r="F13" s="19"/>
      <c r="G13" s="19"/>
      <c r="H13" s="19"/>
      <c r="I13" s="20"/>
      <c r="J13" s="17"/>
      <c r="K13" s="49" t="s">
        <v>51</v>
      </c>
      <c r="L13" s="19"/>
      <c r="M13" s="19"/>
      <c r="N13" s="20"/>
      <c r="O13" s="50"/>
      <c r="P13" s="51"/>
      <c r="Q13" s="22"/>
      <c r="R13" s="8">
        <v>45726.0</v>
      </c>
      <c r="S13" s="23">
        <v>1.7</v>
      </c>
      <c r="T13" s="10" t="s">
        <v>52</v>
      </c>
      <c r="U13" s="8"/>
      <c r="V13" s="8">
        <v>46034.0</v>
      </c>
      <c r="W13" s="23" t="s">
        <v>53</v>
      </c>
      <c r="X13" s="10" t="s">
        <v>54</v>
      </c>
    </row>
    <row r="14">
      <c r="A14" s="45"/>
      <c r="B14" s="52" t="s">
        <v>55</v>
      </c>
      <c r="C14" s="52" t="s">
        <v>56</v>
      </c>
      <c r="D14" s="52" t="s">
        <v>57</v>
      </c>
      <c r="E14" s="52" t="s">
        <v>58</v>
      </c>
      <c r="F14" s="53" t="s">
        <v>59</v>
      </c>
      <c r="G14" s="54" t="s">
        <v>60</v>
      </c>
      <c r="H14" s="52" t="s">
        <v>61</v>
      </c>
      <c r="I14" s="52" t="s">
        <v>62</v>
      </c>
      <c r="J14" s="17"/>
      <c r="K14" s="55" t="s">
        <v>56</v>
      </c>
      <c r="L14" s="20"/>
      <c r="M14" s="55" t="s">
        <v>62</v>
      </c>
      <c r="N14" s="20"/>
      <c r="O14" s="21"/>
      <c r="P14" s="6"/>
      <c r="Q14" s="22"/>
      <c r="R14" s="8">
        <v>45732.0</v>
      </c>
      <c r="S14" s="23" t="s">
        <v>63</v>
      </c>
      <c r="T14" s="10" t="s">
        <v>64</v>
      </c>
      <c r="U14" s="8"/>
      <c r="V14" s="8">
        <v>46038.0</v>
      </c>
      <c r="W14" s="23" t="s">
        <v>65</v>
      </c>
      <c r="X14" s="10" t="s">
        <v>66</v>
      </c>
    </row>
    <row r="15">
      <c r="A15" s="45"/>
      <c r="B15" s="56" t="s">
        <v>67</v>
      </c>
      <c r="C15" s="57">
        <v>10.0</v>
      </c>
      <c r="D15" s="58"/>
      <c r="E15" s="58"/>
      <c r="F15" s="59" t="s">
        <v>59</v>
      </c>
      <c r="G15" s="60">
        <f t="shared" ref="G15:G20" si="1">SUM(C15:E15)</f>
        <v>10</v>
      </c>
      <c r="H15" s="58">
        <f t="shared" ref="H15:H20" si="2">ROUNDDOWN(G15/2,0)-5</f>
        <v>0</v>
      </c>
      <c r="I15" s="61">
        <f t="shared" ref="I15:I20" si="3">IFNA(IF(OR(C15="",AND(C15&lt;16,C15&gt;7)),VLOOKUP(C15,$K$15:$M$22,3,FALSE),"ERROR"),"")</f>
        <v>2</v>
      </c>
      <c r="J15" s="17"/>
      <c r="K15" s="62">
        <v>8.0</v>
      </c>
      <c r="L15" s="63"/>
      <c r="M15" s="64">
        <v>0.0</v>
      </c>
      <c r="N15" s="65"/>
      <c r="O15" s="21"/>
      <c r="P15" s="6"/>
      <c r="Q15" s="22"/>
      <c r="R15" s="8">
        <v>45742.0</v>
      </c>
      <c r="S15" s="23" t="s">
        <v>68</v>
      </c>
      <c r="T15" s="10" t="s">
        <v>69</v>
      </c>
      <c r="U15" s="8"/>
      <c r="V15" s="8">
        <v>46039.0</v>
      </c>
      <c r="W15" s="23">
        <v>3.5</v>
      </c>
      <c r="X15" s="10" t="s">
        <v>70</v>
      </c>
    </row>
    <row r="16">
      <c r="A16" s="45"/>
      <c r="B16" s="66" t="s">
        <v>71</v>
      </c>
      <c r="C16" s="67">
        <v>12.0</v>
      </c>
      <c r="D16" s="67"/>
      <c r="E16" s="68"/>
      <c r="F16" s="69" t="s">
        <v>59</v>
      </c>
      <c r="G16" s="70">
        <f t="shared" si="1"/>
        <v>12</v>
      </c>
      <c r="H16" s="68">
        <f t="shared" si="2"/>
        <v>1</v>
      </c>
      <c r="I16" s="71">
        <f t="shared" si="3"/>
        <v>4</v>
      </c>
      <c r="J16" s="17"/>
      <c r="K16" s="72">
        <v>9.0</v>
      </c>
      <c r="L16" s="63"/>
      <c r="M16" s="73">
        <v>1.0</v>
      </c>
      <c r="N16" s="65"/>
      <c r="O16" s="21"/>
      <c r="P16" s="6"/>
      <c r="Q16" s="22"/>
      <c r="R16" s="8">
        <v>45745.0</v>
      </c>
      <c r="S16" s="23" t="s">
        <v>72</v>
      </c>
      <c r="T16" s="10" t="s">
        <v>73</v>
      </c>
      <c r="U16" s="8"/>
      <c r="V16" s="8">
        <v>46051.0</v>
      </c>
      <c r="W16" s="23" t="s">
        <v>74</v>
      </c>
      <c r="X16" s="10" t="s">
        <v>75</v>
      </c>
    </row>
    <row r="17">
      <c r="A17" s="45"/>
      <c r="B17" s="74" t="s">
        <v>76</v>
      </c>
      <c r="C17" s="75">
        <v>12.0</v>
      </c>
      <c r="D17" s="76"/>
      <c r="E17" s="76"/>
      <c r="F17" s="77" t="s">
        <v>59</v>
      </c>
      <c r="G17" s="78">
        <f t="shared" si="1"/>
        <v>12</v>
      </c>
      <c r="H17" s="76">
        <f t="shared" si="2"/>
        <v>1</v>
      </c>
      <c r="I17" s="79">
        <f t="shared" si="3"/>
        <v>4</v>
      </c>
      <c r="J17" s="17"/>
      <c r="K17" s="62">
        <v>10.0</v>
      </c>
      <c r="L17" s="63"/>
      <c r="M17" s="64">
        <v>2.0</v>
      </c>
      <c r="N17" s="65"/>
      <c r="O17" s="21"/>
      <c r="P17" s="6"/>
      <c r="Q17" s="22"/>
      <c r="R17" s="8">
        <v>45753.0</v>
      </c>
      <c r="S17" s="23" t="s">
        <v>77</v>
      </c>
      <c r="T17" s="10" t="s">
        <v>78</v>
      </c>
      <c r="U17" s="8"/>
      <c r="V17" s="8">
        <v>46058.0</v>
      </c>
      <c r="W17" s="23">
        <v>3.6</v>
      </c>
      <c r="X17" s="10" t="s">
        <v>79</v>
      </c>
    </row>
    <row r="18">
      <c r="A18" s="45"/>
      <c r="B18" s="80" t="s">
        <v>80</v>
      </c>
      <c r="C18" s="67">
        <v>15.0</v>
      </c>
      <c r="D18" s="68"/>
      <c r="E18" s="68"/>
      <c r="F18" s="69" t="s">
        <v>59</v>
      </c>
      <c r="G18" s="70">
        <f t="shared" si="1"/>
        <v>15</v>
      </c>
      <c r="H18" s="68">
        <f t="shared" si="2"/>
        <v>2</v>
      </c>
      <c r="I18" s="71">
        <f t="shared" si="3"/>
        <v>9</v>
      </c>
      <c r="J18" s="17"/>
      <c r="K18" s="72">
        <v>11.0</v>
      </c>
      <c r="L18" s="63"/>
      <c r="M18" s="73">
        <v>3.0</v>
      </c>
      <c r="N18" s="65"/>
      <c r="O18" s="21"/>
      <c r="P18" s="6"/>
      <c r="Q18" s="22"/>
      <c r="R18" s="8">
        <v>45754.0</v>
      </c>
      <c r="S18" s="23">
        <v>1.8</v>
      </c>
      <c r="T18" s="10" t="s">
        <v>81</v>
      </c>
      <c r="U18" s="8"/>
      <c r="V18" s="8">
        <v>46070.0</v>
      </c>
      <c r="W18" s="23">
        <v>3.7</v>
      </c>
      <c r="X18" s="10" t="s">
        <v>82</v>
      </c>
    </row>
    <row r="19">
      <c r="A19" s="45"/>
      <c r="B19" s="81" t="s">
        <v>83</v>
      </c>
      <c r="C19" s="75">
        <v>12.0</v>
      </c>
      <c r="D19" s="82"/>
      <c r="E19" s="82"/>
      <c r="F19" s="77" t="s">
        <v>59</v>
      </c>
      <c r="G19" s="83">
        <f t="shared" si="1"/>
        <v>12</v>
      </c>
      <c r="H19" s="82">
        <f t="shared" si="2"/>
        <v>1</v>
      </c>
      <c r="I19" s="84">
        <f t="shared" si="3"/>
        <v>4</v>
      </c>
      <c r="J19" s="17"/>
      <c r="K19" s="62">
        <v>12.0</v>
      </c>
      <c r="L19" s="63"/>
      <c r="M19" s="64">
        <v>4.0</v>
      </c>
      <c r="N19" s="65"/>
      <c r="O19" s="36"/>
      <c r="P19" s="37"/>
      <c r="Q19" s="22"/>
      <c r="R19" s="8">
        <v>45764.0</v>
      </c>
      <c r="S19" s="23" t="s">
        <v>84</v>
      </c>
      <c r="T19" s="85" t="s">
        <v>85</v>
      </c>
      <c r="U19" s="8"/>
      <c r="V19" s="8">
        <v>46102.0</v>
      </c>
      <c r="W19" s="23" t="s">
        <v>86</v>
      </c>
      <c r="X19" s="86" t="s">
        <v>87</v>
      </c>
    </row>
    <row r="20">
      <c r="A20" s="45"/>
      <c r="B20" s="87" t="s">
        <v>88</v>
      </c>
      <c r="C20" s="88">
        <v>12.0</v>
      </c>
      <c r="D20" s="88"/>
      <c r="E20" s="89"/>
      <c r="F20" s="90" t="s">
        <v>59</v>
      </c>
      <c r="G20" s="91">
        <f t="shared" si="1"/>
        <v>12</v>
      </c>
      <c r="H20" s="89">
        <f t="shared" si="2"/>
        <v>1</v>
      </c>
      <c r="I20" s="92">
        <f t="shared" si="3"/>
        <v>4</v>
      </c>
      <c r="J20" s="17"/>
      <c r="K20" s="72">
        <v>13.0</v>
      </c>
      <c r="L20" s="63"/>
      <c r="M20" s="73">
        <v>5.0</v>
      </c>
      <c r="N20" s="65"/>
      <c r="O20" s="36"/>
      <c r="P20" s="37"/>
      <c r="Q20" s="22"/>
      <c r="R20" s="8">
        <v>45788.0</v>
      </c>
      <c r="S20" s="23" t="s">
        <v>89</v>
      </c>
      <c r="T20" s="10" t="s">
        <v>90</v>
      </c>
      <c r="U20" s="8"/>
      <c r="V20" s="8">
        <v>46133.0</v>
      </c>
      <c r="W20" s="23" t="s">
        <v>91</v>
      </c>
      <c r="X20" s="10" t="s">
        <v>92</v>
      </c>
    </row>
    <row r="21">
      <c r="A21" s="45"/>
      <c r="B21" s="93"/>
      <c r="C21" s="93"/>
      <c r="D21" s="94" t="s">
        <v>93</v>
      </c>
      <c r="E21" s="95">
        <f>SUM(I15:I20)</f>
        <v>27</v>
      </c>
      <c r="F21" s="96" t="s">
        <v>94</v>
      </c>
      <c r="G21" s="97">
        <v>27.0</v>
      </c>
      <c r="H21" s="98"/>
      <c r="I21" s="99"/>
      <c r="J21" s="17"/>
      <c r="K21" s="62">
        <v>14.0</v>
      </c>
      <c r="L21" s="63"/>
      <c r="M21" s="64">
        <v>7.0</v>
      </c>
      <c r="N21" s="65"/>
      <c r="O21" s="36"/>
      <c r="P21" s="37"/>
      <c r="Q21" s="22"/>
      <c r="R21" s="8">
        <v>45794.0</v>
      </c>
      <c r="S21" s="23">
        <v>1.9</v>
      </c>
      <c r="T21" s="10" t="s">
        <v>95</v>
      </c>
      <c r="U21" s="8"/>
      <c r="V21" s="8">
        <v>46137.0</v>
      </c>
      <c r="W21" s="23">
        <v>3.8</v>
      </c>
      <c r="X21" s="10" t="s">
        <v>96</v>
      </c>
    </row>
    <row r="22">
      <c r="A22" s="45"/>
      <c r="B22" s="100" t="s">
        <v>97</v>
      </c>
      <c r="C22" s="15"/>
      <c r="D22" s="16"/>
      <c r="E22" s="93"/>
      <c r="F22" s="93"/>
      <c r="G22" s="93"/>
      <c r="H22" s="101" t="s">
        <v>98</v>
      </c>
      <c r="I22" s="43"/>
      <c r="J22" s="17"/>
      <c r="K22" s="72">
        <v>15.0</v>
      </c>
      <c r="L22" s="63"/>
      <c r="M22" s="73">
        <v>9.0</v>
      </c>
      <c r="N22" s="65"/>
      <c r="O22" s="36"/>
      <c r="P22" s="37"/>
      <c r="Q22" s="22"/>
      <c r="R22" s="8">
        <v>45803.0</v>
      </c>
      <c r="S22" s="9" t="s">
        <v>99</v>
      </c>
      <c r="T22" s="10" t="s">
        <v>100</v>
      </c>
      <c r="U22" s="8"/>
      <c r="V22" s="8">
        <v>46151.0</v>
      </c>
      <c r="W22" s="23">
        <v>3.9</v>
      </c>
      <c r="X22" s="10" t="s">
        <v>101</v>
      </c>
    </row>
    <row r="23">
      <c r="A23" s="45"/>
      <c r="B23" s="42"/>
      <c r="D23" s="43"/>
      <c r="E23" s="93"/>
      <c r="F23" s="93"/>
      <c r="G23" s="93"/>
      <c r="H23" s="24"/>
      <c r="I23" s="26"/>
      <c r="J23" s="17"/>
      <c r="K23" s="102"/>
      <c r="L23" s="102"/>
      <c r="M23" s="3"/>
      <c r="N23" s="3"/>
      <c r="O23" s="36"/>
      <c r="P23" s="37"/>
      <c r="Q23" s="22"/>
      <c r="R23" s="8">
        <v>45812.0</v>
      </c>
      <c r="S23" s="23" t="s">
        <v>102</v>
      </c>
      <c r="T23" s="10" t="s">
        <v>103</v>
      </c>
      <c r="U23" s="8"/>
      <c r="V23" s="8"/>
      <c r="W23" s="23"/>
      <c r="X23" s="10"/>
    </row>
    <row r="24">
      <c r="A24" s="102"/>
      <c r="B24" s="24"/>
      <c r="C24" s="25"/>
      <c r="D24" s="26"/>
      <c r="E24" s="93"/>
      <c r="F24" s="93"/>
      <c r="G24" s="93"/>
      <c r="H24" s="93"/>
      <c r="I24" s="93"/>
      <c r="J24" s="102"/>
      <c r="K24" s="103"/>
      <c r="L24" s="104" t="s">
        <v>104</v>
      </c>
      <c r="M24" s="25"/>
      <c r="N24" s="25"/>
      <c r="O24" s="25"/>
      <c r="P24" s="26"/>
      <c r="Q24" s="22"/>
      <c r="R24" s="8">
        <v>45815.0</v>
      </c>
      <c r="S24" s="23" t="s">
        <v>105</v>
      </c>
      <c r="T24" s="10" t="s">
        <v>106</v>
      </c>
      <c r="U24" s="8"/>
      <c r="V24" s="8"/>
      <c r="W24" s="23"/>
      <c r="X24" s="10"/>
    </row>
    <row r="25">
      <c r="A25" s="105" t="s">
        <v>107</v>
      </c>
      <c r="Q25" s="22"/>
      <c r="R25" s="8">
        <v>45843.0</v>
      </c>
      <c r="S25" s="23">
        <v>1.11</v>
      </c>
      <c r="T25" s="10" t="s">
        <v>108</v>
      </c>
      <c r="U25" s="8"/>
      <c r="V25" s="8"/>
      <c r="W25" s="23"/>
      <c r="X25" s="10"/>
    </row>
    <row r="26">
      <c r="A26" s="1"/>
      <c r="B26" s="106"/>
      <c r="C26" s="106"/>
      <c r="D26" s="106"/>
      <c r="E26" s="106"/>
      <c r="F26" s="106"/>
      <c r="G26" s="106"/>
      <c r="H26" s="106"/>
      <c r="I26" s="106"/>
      <c r="J26" s="106"/>
      <c r="K26" s="106"/>
      <c r="L26" s="106"/>
      <c r="M26" s="106"/>
      <c r="N26" s="106"/>
      <c r="O26" s="106"/>
      <c r="P26" s="1"/>
      <c r="Q26" s="22"/>
      <c r="R26" s="8">
        <v>45859.0</v>
      </c>
      <c r="S26" s="23" t="s">
        <v>109</v>
      </c>
      <c r="T26" s="31" t="s">
        <v>110</v>
      </c>
      <c r="U26" s="8"/>
      <c r="V26" s="8"/>
      <c r="W26" s="23"/>
      <c r="X26" s="10"/>
    </row>
    <row r="27">
      <c r="A27" s="1"/>
      <c r="B27" s="107" t="s">
        <v>111</v>
      </c>
      <c r="C27" s="108" t="s">
        <v>112</v>
      </c>
      <c r="D27" s="109"/>
      <c r="E27" s="110" t="s">
        <v>113</v>
      </c>
      <c r="F27" s="111"/>
      <c r="G27" s="106"/>
      <c r="H27" s="112" t="s">
        <v>114</v>
      </c>
      <c r="I27" s="108" t="s">
        <v>115</v>
      </c>
      <c r="J27" s="113"/>
      <c r="K27" s="113"/>
      <c r="L27" s="109"/>
      <c r="M27" s="114" t="s">
        <v>116</v>
      </c>
      <c r="N27" s="113"/>
      <c r="O27" s="115" t="b">
        <v>0</v>
      </c>
      <c r="P27" s="116"/>
      <c r="Q27" s="22"/>
      <c r="R27" s="8">
        <v>45926.0</v>
      </c>
      <c r="S27" s="23" t="s">
        <v>117</v>
      </c>
      <c r="T27" s="10" t="s">
        <v>118</v>
      </c>
      <c r="U27" s="8"/>
      <c r="V27" s="8"/>
      <c r="W27" s="23"/>
      <c r="X27" s="10"/>
    </row>
    <row r="28">
      <c r="A28" s="1"/>
      <c r="B28" s="22"/>
      <c r="C28" s="117" t="s">
        <v>119</v>
      </c>
      <c r="D28" s="118"/>
      <c r="E28" s="119" t="s">
        <v>120</v>
      </c>
      <c r="F28" s="120"/>
      <c r="G28" s="106"/>
      <c r="H28" s="121"/>
      <c r="I28" s="117" t="s">
        <v>121</v>
      </c>
      <c r="J28" s="122"/>
      <c r="K28" s="122"/>
      <c r="L28" s="118"/>
      <c r="M28" s="123" t="s">
        <v>122</v>
      </c>
      <c r="N28" s="122"/>
      <c r="O28" s="124" t="b">
        <v>0</v>
      </c>
      <c r="P28" s="116"/>
      <c r="Q28" s="22"/>
      <c r="R28" s="8">
        <v>45961.0</v>
      </c>
      <c r="S28" s="9" t="s">
        <v>123</v>
      </c>
      <c r="T28" s="10" t="s">
        <v>124</v>
      </c>
      <c r="U28" s="8"/>
      <c r="V28" s="8"/>
      <c r="W28" s="23"/>
      <c r="X28" s="10"/>
    </row>
    <row r="29">
      <c r="A29" s="1"/>
      <c r="B29" s="35"/>
      <c r="C29" s="125" t="s">
        <v>125</v>
      </c>
      <c r="D29" s="126"/>
      <c r="E29" s="127" t="s">
        <v>126</v>
      </c>
      <c r="F29" s="128"/>
      <c r="G29" s="106"/>
      <c r="H29" s="121"/>
      <c r="I29" s="129" t="s">
        <v>127</v>
      </c>
      <c r="J29" s="122"/>
      <c r="K29" s="122"/>
      <c r="L29" s="118"/>
      <c r="M29" s="130" t="s">
        <v>128</v>
      </c>
      <c r="N29" s="122"/>
      <c r="O29" s="131" t="b">
        <v>0</v>
      </c>
      <c r="P29" s="116"/>
      <c r="Q29" s="22"/>
      <c r="R29" s="8">
        <v>45970.0</v>
      </c>
      <c r="S29" s="23">
        <v>2.01</v>
      </c>
      <c r="T29" s="10" t="s">
        <v>129</v>
      </c>
      <c r="U29" s="8"/>
      <c r="V29" s="8"/>
      <c r="W29" s="23"/>
      <c r="X29" s="10"/>
    </row>
    <row r="30">
      <c r="A30" s="1"/>
      <c r="B30" s="132"/>
      <c r="C30" s="132"/>
      <c r="D30" s="132"/>
      <c r="E30" s="132"/>
      <c r="F30" s="132"/>
      <c r="G30" s="106"/>
      <c r="H30" s="121"/>
      <c r="I30" s="117" t="s">
        <v>130</v>
      </c>
      <c r="J30" s="122"/>
      <c r="K30" s="122"/>
      <c r="L30" s="118"/>
      <c r="M30" s="123" t="s">
        <v>131</v>
      </c>
      <c r="N30" s="122"/>
      <c r="O30" s="124" t="b">
        <v>0</v>
      </c>
      <c r="P30" s="116"/>
      <c r="Q30" s="22"/>
      <c r="R30" s="8">
        <v>45971.0</v>
      </c>
      <c r="S30" s="23">
        <v>2.1</v>
      </c>
      <c r="T30" s="10" t="s">
        <v>132</v>
      </c>
      <c r="U30" s="8"/>
      <c r="V30" s="8"/>
      <c r="W30" s="23"/>
      <c r="X30" s="10"/>
    </row>
    <row r="31">
      <c r="A31" s="1"/>
      <c r="B31" s="133" t="s">
        <v>133</v>
      </c>
      <c r="C31" s="108" t="s">
        <v>134</v>
      </c>
      <c r="D31" s="109"/>
      <c r="E31" s="134" t="s">
        <v>135</v>
      </c>
      <c r="F31" s="115" t="b">
        <v>1</v>
      </c>
      <c r="G31" s="106"/>
      <c r="H31" s="121"/>
      <c r="I31" s="129" t="s">
        <v>136</v>
      </c>
      <c r="J31" s="122"/>
      <c r="K31" s="122"/>
      <c r="L31" s="118"/>
      <c r="M31" s="130" t="s">
        <v>137</v>
      </c>
      <c r="N31" s="122"/>
      <c r="O31" s="131" t="b">
        <v>0</v>
      </c>
      <c r="P31" s="116"/>
      <c r="Q31" s="22"/>
      <c r="R31" s="8">
        <v>45977.0</v>
      </c>
      <c r="S31" s="23">
        <v>2.2</v>
      </c>
      <c r="T31" s="10" t="s">
        <v>138</v>
      </c>
      <c r="U31" s="8"/>
      <c r="V31" s="8"/>
      <c r="W31" s="23"/>
      <c r="X31" s="10"/>
    </row>
    <row r="32">
      <c r="A32" s="1"/>
      <c r="B32" s="22"/>
      <c r="C32" s="117" t="s">
        <v>139</v>
      </c>
      <c r="D32" s="118"/>
      <c r="E32" s="135" t="s">
        <v>140</v>
      </c>
      <c r="F32" s="124" t="b">
        <v>1</v>
      </c>
      <c r="G32" s="106"/>
      <c r="H32" s="121"/>
      <c r="I32" s="117" t="s">
        <v>141</v>
      </c>
      <c r="J32" s="122"/>
      <c r="K32" s="122"/>
      <c r="L32" s="118"/>
      <c r="M32" s="123" t="s">
        <v>142</v>
      </c>
      <c r="N32" s="122"/>
      <c r="O32" s="124" t="b">
        <v>0</v>
      </c>
      <c r="P32" s="116"/>
      <c r="Q32" s="22"/>
      <c r="R32" s="8">
        <v>45980.0</v>
      </c>
      <c r="S32" s="23">
        <v>2.3</v>
      </c>
      <c r="T32" s="10" t="s">
        <v>143</v>
      </c>
      <c r="U32" s="8"/>
      <c r="V32" s="8"/>
      <c r="W32" s="23"/>
      <c r="X32" s="10"/>
    </row>
    <row r="33">
      <c r="A33" s="1"/>
      <c r="B33" s="22"/>
      <c r="C33" s="129" t="s">
        <v>144</v>
      </c>
      <c r="D33" s="118"/>
      <c r="E33" s="136" t="s">
        <v>145</v>
      </c>
      <c r="F33" s="131" t="b">
        <v>1</v>
      </c>
      <c r="G33" s="106"/>
      <c r="H33" s="121"/>
      <c r="I33" s="129" t="s">
        <v>146</v>
      </c>
      <c r="J33" s="122"/>
      <c r="K33" s="122"/>
      <c r="L33" s="118"/>
      <c r="M33" s="130" t="s">
        <v>147</v>
      </c>
      <c r="N33" s="122"/>
      <c r="O33" s="131" t="b">
        <v>0</v>
      </c>
      <c r="P33" s="116"/>
      <c r="Q33" s="22"/>
      <c r="R33" s="8">
        <v>45987.0</v>
      </c>
      <c r="S33" s="23" t="s">
        <v>148</v>
      </c>
      <c r="T33" s="10" t="s">
        <v>149</v>
      </c>
      <c r="U33" s="8"/>
      <c r="V33" s="8"/>
      <c r="W33" s="23"/>
      <c r="X33" s="10"/>
    </row>
    <row r="34">
      <c r="A34" s="1"/>
      <c r="B34" s="35"/>
      <c r="C34" s="137" t="s">
        <v>150</v>
      </c>
      <c r="D34" s="126"/>
      <c r="E34" s="138" t="s">
        <v>151</v>
      </c>
      <c r="F34" s="139" t="b">
        <v>1</v>
      </c>
      <c r="G34" s="106"/>
      <c r="H34" s="121"/>
      <c r="I34" s="117" t="s">
        <v>152</v>
      </c>
      <c r="J34" s="122"/>
      <c r="K34" s="122"/>
      <c r="L34" s="118"/>
      <c r="M34" s="123" t="s">
        <v>153</v>
      </c>
      <c r="N34" s="122"/>
      <c r="O34" s="124" t="b">
        <v>0</v>
      </c>
      <c r="P34" s="116"/>
      <c r="Q34" s="22"/>
      <c r="R34" s="8">
        <v>45988.0</v>
      </c>
      <c r="S34" s="23" t="s">
        <v>154</v>
      </c>
      <c r="T34" s="10" t="s">
        <v>155</v>
      </c>
      <c r="U34" s="8"/>
      <c r="V34" s="8"/>
      <c r="W34" s="23"/>
      <c r="X34" s="10"/>
    </row>
    <row r="35">
      <c r="A35" s="1"/>
      <c r="B35" s="132"/>
      <c r="C35" s="132"/>
      <c r="D35" s="132"/>
      <c r="E35" s="132"/>
      <c r="F35" s="132"/>
      <c r="G35" s="106"/>
      <c r="H35" s="121"/>
      <c r="I35" s="129" t="s">
        <v>156</v>
      </c>
      <c r="J35" s="122"/>
      <c r="K35" s="122"/>
      <c r="L35" s="118"/>
      <c r="M35" s="130" t="s">
        <v>157</v>
      </c>
      <c r="N35" s="122"/>
      <c r="O35" s="131" t="b">
        <v>0</v>
      </c>
      <c r="P35" s="116"/>
      <c r="Q35" s="22"/>
      <c r="R35" s="11">
        <v>45991.0</v>
      </c>
      <c r="S35" s="12" t="s">
        <v>158</v>
      </c>
      <c r="T35" s="13" t="s">
        <v>159</v>
      </c>
      <c r="U35" s="8"/>
      <c r="V35" s="8"/>
      <c r="W35" s="23"/>
      <c r="X35" s="10"/>
    </row>
    <row r="36">
      <c r="A36" s="1"/>
      <c r="B36" s="140" t="s">
        <v>160</v>
      </c>
      <c r="C36" s="19"/>
      <c r="D36" s="20"/>
      <c r="E36" s="141">
        <v>46150.0</v>
      </c>
      <c r="F36" s="142" t="b">
        <v>0</v>
      </c>
      <c r="G36" s="106"/>
      <c r="H36" s="143"/>
      <c r="I36" s="137" t="s">
        <v>161</v>
      </c>
      <c r="J36" s="144"/>
      <c r="K36" s="144"/>
      <c r="L36" s="126"/>
      <c r="M36" s="145" t="s">
        <v>162</v>
      </c>
      <c r="N36" s="144"/>
      <c r="O36" s="139" t="b">
        <v>0</v>
      </c>
      <c r="P36" s="116"/>
      <c r="Q36" s="22"/>
      <c r="R36" s="8"/>
      <c r="S36" s="23"/>
      <c r="T36" s="10"/>
      <c r="U36" s="8"/>
      <c r="V36" s="8"/>
      <c r="W36" s="23"/>
      <c r="X36" s="10"/>
    </row>
    <row r="37">
      <c r="A37" s="1"/>
      <c r="B37" s="146"/>
      <c r="C37" s="146"/>
      <c r="D37" s="146"/>
      <c r="E37" s="146"/>
      <c r="F37" s="146"/>
      <c r="G37" s="1"/>
      <c r="H37" s="146"/>
      <c r="I37" s="146"/>
      <c r="J37" s="146"/>
      <c r="K37" s="146"/>
      <c r="L37" s="146"/>
      <c r="M37" s="146"/>
      <c r="N37" s="146"/>
      <c r="O37" s="146"/>
      <c r="P37" s="1"/>
      <c r="Q37" s="35"/>
      <c r="U37" s="8"/>
      <c r="V37" s="8"/>
      <c r="W37" s="23"/>
      <c r="X37" s="10"/>
    </row>
  </sheetData>
  <mergeCells count="77">
    <mergeCell ref="M5:M6"/>
    <mergeCell ref="N5:N6"/>
    <mergeCell ref="K8:K9"/>
    <mergeCell ref="L8:L9"/>
    <mergeCell ref="M8:M9"/>
    <mergeCell ref="N8:N9"/>
    <mergeCell ref="K10:K11"/>
    <mergeCell ref="L10:L11"/>
    <mergeCell ref="M10:M11"/>
    <mergeCell ref="N10:N11"/>
    <mergeCell ref="B13:I13"/>
    <mergeCell ref="K13:N13"/>
    <mergeCell ref="K14:L14"/>
    <mergeCell ref="M14:N14"/>
    <mergeCell ref="K15:L15"/>
    <mergeCell ref="M15:N15"/>
    <mergeCell ref="K16:L16"/>
    <mergeCell ref="M16:N16"/>
    <mergeCell ref="K17:L17"/>
    <mergeCell ref="M17:N17"/>
    <mergeCell ref="K18:L18"/>
    <mergeCell ref="M18:N18"/>
    <mergeCell ref="K19:L19"/>
    <mergeCell ref="M19:N19"/>
    <mergeCell ref="K20:L20"/>
    <mergeCell ref="M20:N20"/>
    <mergeCell ref="K21:L21"/>
    <mergeCell ref="M21:N21"/>
    <mergeCell ref="L3:L4"/>
    <mergeCell ref="K7:N7"/>
    <mergeCell ref="B22:D24"/>
    <mergeCell ref="H22:I23"/>
    <mergeCell ref="K22:L22"/>
    <mergeCell ref="M22:N22"/>
    <mergeCell ref="L24:P24"/>
    <mergeCell ref="A25:P25"/>
    <mergeCell ref="B27:B29"/>
    <mergeCell ref="C27:D27"/>
    <mergeCell ref="C28:D28"/>
    <mergeCell ref="I27:L27"/>
    <mergeCell ref="M27:N27"/>
    <mergeCell ref="I28:L28"/>
    <mergeCell ref="M28:N28"/>
    <mergeCell ref="E27:F27"/>
    <mergeCell ref="H27:H36"/>
    <mergeCell ref="E28:F28"/>
    <mergeCell ref="E29:F29"/>
    <mergeCell ref="I35:L35"/>
    <mergeCell ref="M35:N35"/>
    <mergeCell ref="B36:D36"/>
    <mergeCell ref="I36:L36"/>
    <mergeCell ref="Q1:Q37"/>
    <mergeCell ref="B2:I3"/>
    <mergeCell ref="K2:N2"/>
    <mergeCell ref="K3:K4"/>
    <mergeCell ref="B4:I4"/>
    <mergeCell ref="B5:I5"/>
    <mergeCell ref="B6:I12"/>
    <mergeCell ref="M36:N36"/>
    <mergeCell ref="C29:D29"/>
    <mergeCell ref="I29:L29"/>
    <mergeCell ref="M29:N29"/>
    <mergeCell ref="I30:L30"/>
    <mergeCell ref="M30:N30"/>
    <mergeCell ref="B31:B34"/>
    <mergeCell ref="C31:D31"/>
    <mergeCell ref="C32:D32"/>
    <mergeCell ref="C33:D33"/>
    <mergeCell ref="C34:D34"/>
    <mergeCell ref="I31:L31"/>
    <mergeCell ref="M31:N31"/>
    <mergeCell ref="I32:L32"/>
    <mergeCell ref="M32:N32"/>
    <mergeCell ref="I33:L33"/>
    <mergeCell ref="M33:N33"/>
    <mergeCell ref="I34:L34"/>
    <mergeCell ref="M34:N34"/>
  </mergeCells>
  <conditionalFormatting sqref="M14:N14 M15:N15 M16:N16 M17:N17 M18:N18 M19:N19 M20:N20 M21:N21 M22:N22">
    <cfRule type="cellIs" dxfId="0" priority="1" operator="lessThan">
      <formula>0</formula>
    </cfRule>
  </conditionalFormatting>
  <conditionalFormatting sqref="E21">
    <cfRule type="cellIs" dxfId="1" priority="2" operator="greaterThan">
      <formula>G21</formula>
    </cfRule>
  </conditionalFormatting>
  <conditionalFormatting sqref="I15:I20 O27:O36 F31:F34 F36">
    <cfRule type="containsText" dxfId="2" priority="3" operator="containsText" text="ERROR">
      <formula>NOT(ISERROR(SEARCH(("ERROR"),(I15))))</formula>
    </cfRule>
  </conditionalFormatting>
  <hyperlinks>
    <hyperlink r:id="rId1" location="2024CoreRulesErrata" ref="T1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showGridLines="0" workbookViewId="0"/>
  </sheetViews>
  <sheetFormatPr customHeight="1" defaultColWidth="14.43" defaultRowHeight="15.0"/>
  <cols>
    <col customWidth="1" min="1" max="37" width="3.0"/>
    <col customWidth="1" min="38" max="39" width="3.29"/>
    <col customWidth="1" min="40" max="43" width="6.43"/>
    <col customWidth="1" min="44" max="44" width="3.0"/>
  </cols>
  <sheetData>
    <row r="1" ht="15.0" customHeight="1">
      <c r="A1" s="147" t="s">
        <v>163</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20"/>
    </row>
    <row r="2" ht="15.0" customHeight="1">
      <c r="A2" s="148"/>
      <c r="B2" s="149" t="s">
        <v>164</v>
      </c>
      <c r="I2" s="150"/>
      <c r="J2" s="151" t="str">
        <f>'角色卡'!P7</f>
        <v>阿不</v>
      </c>
      <c r="K2" s="152"/>
      <c r="L2" s="152"/>
      <c r="M2" s="153"/>
      <c r="N2" s="153" t="str">
        <f>'角色卡'!Y7</f>
        <v>人類 Human</v>
      </c>
      <c r="U2" s="153"/>
      <c r="V2" s="153" t="str">
        <f>'角色卡'!AZ7</f>
        <v/>
      </c>
      <c r="Z2" s="153"/>
      <c r="AA2" s="153" t="str">
        <f>'角色卡'!AY9</f>
        <v>學者 Sage</v>
      </c>
      <c r="AE2" s="153"/>
      <c r="AF2" s="153" t="str">
        <f>'角色卡'!C9</f>
        <v>中型or小型</v>
      </c>
      <c r="AH2" s="154"/>
      <c r="AI2" s="153" t="str">
        <f>'角色卡'!AT9</f>
        <v/>
      </c>
      <c r="AK2" s="148"/>
      <c r="AL2" s="155"/>
      <c r="AM2" s="155"/>
      <c r="AN2" s="155"/>
      <c r="AO2" s="155"/>
      <c r="AP2" s="155"/>
      <c r="AQ2" s="155"/>
      <c r="AR2" s="155"/>
    </row>
    <row r="3" ht="16.5" customHeight="1">
      <c r="A3" s="148"/>
      <c r="B3" s="156"/>
      <c r="C3" s="156"/>
      <c r="D3" s="156"/>
      <c r="E3" s="156"/>
      <c r="F3" s="156"/>
      <c r="G3" s="156"/>
      <c r="H3" s="156"/>
      <c r="I3" s="150"/>
      <c r="J3" s="156"/>
      <c r="K3" s="156"/>
      <c r="L3" s="156"/>
      <c r="M3" s="153"/>
      <c r="N3" s="156"/>
      <c r="O3" s="156"/>
      <c r="P3" s="156"/>
      <c r="Q3" s="156"/>
      <c r="R3" s="156"/>
      <c r="S3" s="156"/>
      <c r="T3" s="156"/>
      <c r="U3" s="153"/>
      <c r="V3" s="156"/>
      <c r="W3" s="156"/>
      <c r="X3" s="156"/>
      <c r="Y3" s="156"/>
      <c r="Z3" s="153"/>
      <c r="AA3" s="156"/>
      <c r="AB3" s="156"/>
      <c r="AC3" s="156"/>
      <c r="AD3" s="156"/>
      <c r="AE3" s="154"/>
      <c r="AF3" s="156"/>
      <c r="AG3" s="156"/>
      <c r="AH3" s="154"/>
      <c r="AI3" s="156"/>
      <c r="AJ3" s="156"/>
      <c r="AK3" s="148"/>
      <c r="AL3" s="157" t="s">
        <v>165</v>
      </c>
      <c r="AM3" s="19"/>
      <c r="AN3" s="19"/>
      <c r="AO3" s="19"/>
      <c r="AP3" s="19"/>
      <c r="AQ3" s="20"/>
      <c r="AR3" s="155"/>
    </row>
    <row r="4" ht="16.5" customHeight="1">
      <c r="A4" s="148"/>
      <c r="B4" s="158" t="s">
        <v>166</v>
      </c>
      <c r="I4" s="158"/>
      <c r="J4" s="159" t="s">
        <v>167</v>
      </c>
      <c r="M4" s="148"/>
      <c r="N4" s="160" t="s">
        <v>168</v>
      </c>
      <c r="U4" s="148"/>
      <c r="V4" s="161" t="s">
        <v>169</v>
      </c>
      <c r="Z4" s="148"/>
      <c r="AA4" s="160" t="s">
        <v>170</v>
      </c>
      <c r="AE4" s="161"/>
      <c r="AF4" s="160" t="s">
        <v>171</v>
      </c>
      <c r="AH4" s="148"/>
      <c r="AI4" s="160" t="s">
        <v>172</v>
      </c>
      <c r="AK4" s="148"/>
      <c r="AL4" s="162" t="s">
        <v>173</v>
      </c>
      <c r="AM4" s="163"/>
      <c r="AN4" s="164" t="b">
        <f>'法術表'!G7</f>
        <v>0</v>
      </c>
      <c r="AO4" s="165" t="b">
        <f>'法術表'!H7</f>
        <v>0</v>
      </c>
      <c r="AP4" s="166" t="b">
        <f>'法術表'!I7</f>
        <v>0</v>
      </c>
      <c r="AQ4" s="167" t="b">
        <f>'法術表'!J7</f>
        <v>0</v>
      </c>
      <c r="AR4" s="155"/>
    </row>
    <row r="5" ht="16.5" customHeight="1">
      <c r="A5" s="148"/>
      <c r="B5" s="148"/>
      <c r="C5" s="148"/>
      <c r="D5" s="148"/>
      <c r="E5" s="148"/>
      <c r="F5" s="148"/>
      <c r="G5" s="148"/>
      <c r="H5" s="148"/>
      <c r="I5" s="148"/>
      <c r="J5" s="148"/>
      <c r="K5" s="148"/>
      <c r="L5" s="148"/>
      <c r="M5" s="148"/>
      <c r="N5" s="148"/>
      <c r="O5" s="148"/>
      <c r="P5" s="148"/>
      <c r="Q5" s="148"/>
      <c r="R5" s="148"/>
      <c r="S5" s="148"/>
      <c r="T5" s="148"/>
      <c r="U5" s="148"/>
      <c r="V5" s="148"/>
      <c r="W5" s="148"/>
      <c r="X5" s="148"/>
      <c r="Y5" s="148"/>
      <c r="Z5" s="148"/>
      <c r="AA5" s="148"/>
      <c r="AB5" s="148"/>
      <c r="AC5" s="148"/>
      <c r="AD5" s="148"/>
      <c r="AE5" s="148"/>
      <c r="AF5" s="148"/>
      <c r="AG5" s="148"/>
      <c r="AH5" s="148"/>
      <c r="AI5" s="148"/>
      <c r="AJ5" s="148"/>
      <c r="AK5" s="148"/>
      <c r="AL5" s="168"/>
      <c r="AM5" s="169"/>
      <c r="AN5" s="169"/>
      <c r="AO5" s="170"/>
      <c r="AP5" s="171"/>
      <c r="AQ5" s="172"/>
      <c r="AR5" s="155"/>
    </row>
    <row r="6" ht="16.5" customHeight="1">
      <c r="A6" s="148"/>
      <c r="B6" s="148"/>
      <c r="C6" s="173"/>
      <c r="D6" s="173"/>
      <c r="E6" s="173"/>
      <c r="F6" s="174" t="s">
        <v>55</v>
      </c>
      <c r="G6" s="175"/>
      <c r="H6" s="176"/>
      <c r="I6" s="177" t="s">
        <v>174</v>
      </c>
      <c r="J6" s="20"/>
      <c r="K6" s="148" t="str">
        <f>'角色卡'!V27</f>
        <v/>
      </c>
      <c r="L6" s="178" t="s">
        <v>175</v>
      </c>
      <c r="M6" s="179"/>
      <c r="N6" s="180"/>
      <c r="O6" s="148"/>
      <c r="P6" s="181" t="s">
        <v>176</v>
      </c>
      <c r="Q6" s="180"/>
      <c r="R6" s="148"/>
      <c r="S6" s="182" t="s">
        <v>177</v>
      </c>
      <c r="T6" s="179"/>
      <c r="U6" s="180"/>
      <c r="V6" s="148"/>
      <c r="W6" s="183" t="s">
        <v>178</v>
      </c>
      <c r="X6" s="184"/>
      <c r="Y6" s="184"/>
      <c r="Z6" s="184"/>
      <c r="AA6" s="185"/>
      <c r="AB6" s="173"/>
      <c r="AC6" s="183" t="s">
        <v>178</v>
      </c>
      <c r="AD6" s="184"/>
      <c r="AE6" s="184"/>
      <c r="AF6" s="184"/>
      <c r="AG6" s="185"/>
      <c r="AH6" s="148"/>
      <c r="AI6" s="186" t="s">
        <v>179</v>
      </c>
      <c r="AJ6" s="180"/>
      <c r="AK6" s="148"/>
      <c r="AL6" s="187" t="s">
        <v>180</v>
      </c>
      <c r="AM6" s="188"/>
      <c r="AN6" s="189" t="b">
        <f>'法術表'!G8</f>
        <v>0</v>
      </c>
      <c r="AO6" s="190" t="b">
        <f>'法術表'!H8</f>
        <v>0</v>
      </c>
      <c r="AP6" s="191" t="b">
        <f>'法術表'!I8</f>
        <v>0</v>
      </c>
      <c r="AQ6" s="192"/>
      <c r="AR6" s="155"/>
    </row>
    <row r="7" ht="16.5" customHeight="1">
      <c r="A7" s="148"/>
      <c r="B7" s="193" t="s">
        <v>67</v>
      </c>
      <c r="C7" s="184"/>
      <c r="D7" s="194">
        <f>'角色卡'!G15</f>
        <v>10</v>
      </c>
      <c r="E7" s="195"/>
      <c r="F7" s="196">
        <f>'角色卡'!J15</f>
        <v>0</v>
      </c>
      <c r="G7" s="197"/>
      <c r="H7" s="198" t="str">
        <f>'角色卡'!P15</f>
        <v/>
      </c>
      <c r="I7" s="199">
        <f>'角色卡'!W15</f>
        <v>0</v>
      </c>
      <c r="J7" s="200"/>
      <c r="L7" s="201">
        <f>'角色卡'!AA27</f>
        <v>17</v>
      </c>
      <c r="M7" s="202"/>
      <c r="N7" s="203"/>
      <c r="O7" s="148"/>
      <c r="P7" s="204">
        <f>'角色卡'!AF27</f>
        <v>0</v>
      </c>
      <c r="Q7" s="203"/>
      <c r="R7" s="148"/>
      <c r="S7" s="205">
        <f>'角色卡'!AN27</f>
        <v>12</v>
      </c>
      <c r="T7" s="202"/>
      <c r="U7" s="203"/>
      <c r="V7" s="148"/>
      <c r="W7" s="206" t="str">
        <f>'角色卡'!CC33</f>
        <v>13 / +5  / +3 </v>
      </c>
      <c r="X7" s="202"/>
      <c r="Y7" s="202"/>
      <c r="Z7" s="202"/>
      <c r="AA7" s="207"/>
      <c r="AC7" s="208" t="str">
        <f>'角色卡'!CC34</f>
        <v/>
      </c>
      <c r="AD7" s="202"/>
      <c r="AE7" s="202"/>
      <c r="AF7" s="202"/>
      <c r="AG7" s="207"/>
      <c r="AH7" s="148"/>
      <c r="AI7" s="209">
        <f>'角色卡'!CA3</f>
        <v>3</v>
      </c>
      <c r="AJ7" s="210"/>
      <c r="AK7" s="148"/>
      <c r="AL7" s="168"/>
      <c r="AM7" s="169"/>
      <c r="AN7" s="169"/>
      <c r="AO7" s="170"/>
      <c r="AP7" s="211"/>
      <c r="AQ7" s="192"/>
      <c r="AR7" s="155"/>
    </row>
    <row r="8" ht="16.5" customHeight="1">
      <c r="A8" s="148"/>
      <c r="B8" s="212" t="s">
        <v>71</v>
      </c>
      <c r="C8" s="213"/>
      <c r="D8" s="214">
        <f>'角色卡'!G16</f>
        <v>12</v>
      </c>
      <c r="E8" s="20"/>
      <c r="F8" s="215">
        <f>'角色卡'!J16</f>
        <v>1</v>
      </c>
      <c r="G8" s="175"/>
      <c r="H8" s="216" t="str">
        <f>'角色卡'!P16</f>
        <v/>
      </c>
      <c r="I8" s="217">
        <f>'角色卡'!W16</f>
        <v>1</v>
      </c>
      <c r="J8" s="21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219"/>
      <c r="AJ8" s="220"/>
      <c r="AK8" s="148"/>
      <c r="AL8" s="187" t="s">
        <v>181</v>
      </c>
      <c r="AM8" s="188"/>
      <c r="AN8" s="189" t="b">
        <f>'法術表'!G9</f>
        <v>0</v>
      </c>
      <c r="AO8" s="190" t="b">
        <f>'法術表'!H9</f>
        <v>0</v>
      </c>
      <c r="AP8" s="191" t="b">
        <f>'法術表'!I9</f>
        <v>0</v>
      </c>
      <c r="AQ8" s="192"/>
      <c r="AR8" s="155"/>
    </row>
    <row r="9" ht="16.5" customHeight="1">
      <c r="A9" s="148"/>
      <c r="B9" s="212" t="s">
        <v>76</v>
      </c>
      <c r="C9" s="213"/>
      <c r="D9" s="221">
        <f>'角色卡'!G17</f>
        <v>12</v>
      </c>
      <c r="E9" s="20"/>
      <c r="F9" s="217">
        <f>'角色卡'!J17</f>
        <v>1</v>
      </c>
      <c r="G9" s="175"/>
      <c r="H9" s="216" t="str">
        <f>'角色卡'!P17</f>
        <v/>
      </c>
      <c r="I9" s="215">
        <f>'角色卡'!W17</f>
        <v>1</v>
      </c>
      <c r="J9" s="218"/>
      <c r="K9" s="148"/>
      <c r="L9" s="222" t="s">
        <v>182</v>
      </c>
      <c r="M9" s="179"/>
      <c r="N9" s="179"/>
      <c r="O9" s="195"/>
      <c r="P9" s="196">
        <f>'角色卡'!C27</f>
        <v>0</v>
      </c>
      <c r="Q9" s="197"/>
      <c r="R9" s="223" t="s">
        <v>183</v>
      </c>
      <c r="S9" s="224"/>
      <c r="T9" s="224"/>
      <c r="U9" s="225"/>
      <c r="V9" s="199">
        <f>'角色卡'!C36</f>
        <v>1</v>
      </c>
      <c r="W9" s="200"/>
      <c r="X9" s="148"/>
      <c r="Y9" s="226" t="s">
        <v>184</v>
      </c>
      <c r="Z9" s="184"/>
      <c r="AA9" s="184"/>
      <c r="AB9" s="184"/>
      <c r="AC9" s="184"/>
      <c r="AD9" s="184"/>
      <c r="AE9" s="184"/>
      <c r="AF9" s="184"/>
      <c r="AG9" s="184"/>
      <c r="AH9" s="184"/>
      <c r="AI9" s="184"/>
      <c r="AJ9" s="200"/>
      <c r="AK9" s="148"/>
      <c r="AL9" s="168"/>
      <c r="AM9" s="169"/>
      <c r="AN9" s="169"/>
      <c r="AO9" s="170"/>
      <c r="AP9" s="211"/>
      <c r="AQ9" s="192"/>
      <c r="AR9" s="155"/>
    </row>
    <row r="10" ht="16.5" customHeight="1">
      <c r="A10" s="148"/>
      <c r="B10" s="227" t="s">
        <v>80</v>
      </c>
      <c r="C10" s="213"/>
      <c r="D10" s="214">
        <f>'角色卡'!G18</f>
        <v>17</v>
      </c>
      <c r="E10" s="20"/>
      <c r="F10" s="215">
        <f>'角色卡'!J18</f>
        <v>3</v>
      </c>
      <c r="G10" s="175"/>
      <c r="H10" s="216" t="str">
        <f>'角色卡'!P18</f>
        <v/>
      </c>
      <c r="I10" s="217">
        <f>'角色卡'!W18</f>
        <v>5</v>
      </c>
      <c r="J10" s="218"/>
      <c r="K10" s="148"/>
      <c r="L10" s="228" t="s">
        <v>185</v>
      </c>
      <c r="M10" s="213"/>
      <c r="N10" s="213"/>
      <c r="O10" s="229"/>
      <c r="P10" s="215">
        <f>'角色卡'!C28</f>
        <v>1</v>
      </c>
      <c r="Q10" s="175"/>
      <c r="R10" s="230" t="s">
        <v>186</v>
      </c>
      <c r="S10" s="213"/>
      <c r="T10" s="213"/>
      <c r="U10" s="229"/>
      <c r="V10" s="217">
        <f>'角色卡'!C37</f>
        <v>1</v>
      </c>
      <c r="W10" s="218"/>
      <c r="X10" s="148"/>
      <c r="Y10" s="231" t="str">
        <f>'角色卡'!BV7</f>
        <v/>
      </c>
      <c r="Z10" s="152"/>
      <c r="AA10" s="152"/>
      <c r="AB10" s="152"/>
      <c r="AC10" s="152"/>
      <c r="AD10" s="152"/>
      <c r="AE10" s="152"/>
      <c r="AF10" s="152"/>
      <c r="AG10" s="152"/>
      <c r="AH10" s="152"/>
      <c r="AI10" s="152"/>
      <c r="AJ10" s="218"/>
      <c r="AK10" s="148"/>
      <c r="AL10" s="187" t="s">
        <v>187</v>
      </c>
      <c r="AM10" s="188"/>
      <c r="AN10" s="189" t="b">
        <f>'法術表'!G10</f>
        <v>0</v>
      </c>
      <c r="AO10" s="190" t="b">
        <f>'法術表'!H10</f>
        <v>0</v>
      </c>
      <c r="AP10" s="191" t="b">
        <f>'法術表'!I10</f>
        <v>0</v>
      </c>
      <c r="AQ10" s="192"/>
      <c r="AR10" s="155"/>
    </row>
    <row r="11" ht="16.5" customHeight="1">
      <c r="A11" s="148"/>
      <c r="B11" s="212" t="s">
        <v>83</v>
      </c>
      <c r="C11" s="213"/>
      <c r="D11" s="221">
        <f>'角色卡'!G19</f>
        <v>13</v>
      </c>
      <c r="E11" s="20"/>
      <c r="F11" s="217">
        <f>'角色卡'!J19</f>
        <v>1</v>
      </c>
      <c r="G11" s="175"/>
      <c r="H11" s="216" t="str">
        <f>'角色卡'!P19</f>
        <v/>
      </c>
      <c r="I11" s="215">
        <f>'角色卡'!W19</f>
        <v>3</v>
      </c>
      <c r="J11" s="218"/>
      <c r="K11" s="148"/>
      <c r="L11" s="228" t="s">
        <v>188</v>
      </c>
      <c r="M11" s="213"/>
      <c r="N11" s="213"/>
      <c r="O11" s="229"/>
      <c r="P11" s="217">
        <f>'角色卡'!C29</f>
        <v>1</v>
      </c>
      <c r="Q11" s="175"/>
      <c r="R11" s="230" t="s">
        <v>189</v>
      </c>
      <c r="S11" s="213"/>
      <c r="T11" s="213"/>
      <c r="U11" s="229"/>
      <c r="V11" s="215">
        <f>'角色卡'!C38</f>
        <v>1</v>
      </c>
      <c r="W11" s="218"/>
      <c r="X11" s="148"/>
      <c r="Y11" s="232"/>
      <c r="AJ11" s="210"/>
      <c r="AK11" s="148"/>
      <c r="AL11" s="168"/>
      <c r="AM11" s="169"/>
      <c r="AN11" s="169"/>
      <c r="AO11" s="170"/>
      <c r="AP11" s="211"/>
      <c r="AQ11" s="192"/>
      <c r="AR11" s="155"/>
    </row>
    <row r="12" ht="16.5" customHeight="1">
      <c r="A12" s="148"/>
      <c r="B12" s="233" t="s">
        <v>88</v>
      </c>
      <c r="C12" s="156"/>
      <c r="D12" s="234">
        <f>'角色卡'!G20</f>
        <v>12</v>
      </c>
      <c r="E12" s="235"/>
      <c r="F12" s="236">
        <f>'角色卡'!J20</f>
        <v>1</v>
      </c>
      <c r="G12" s="235"/>
      <c r="H12" s="237" t="str">
        <f>'角色卡'!P20</f>
        <v/>
      </c>
      <c r="I12" s="238">
        <f>'角色卡'!W20</f>
        <v>1</v>
      </c>
      <c r="J12" s="203"/>
      <c r="K12" s="148"/>
      <c r="L12" s="239" t="s">
        <v>190</v>
      </c>
      <c r="M12" s="240"/>
      <c r="N12" s="240"/>
      <c r="O12" s="241"/>
      <c r="P12" s="215">
        <f>'角色卡'!C30</f>
        <v>1</v>
      </c>
      <c r="Q12" s="175"/>
      <c r="R12" s="230" t="s">
        <v>191</v>
      </c>
      <c r="S12" s="213"/>
      <c r="T12" s="213"/>
      <c r="U12" s="229"/>
      <c r="V12" s="217">
        <f>'角色卡'!C39</f>
        <v>3</v>
      </c>
      <c r="W12" s="218"/>
      <c r="X12" s="148"/>
      <c r="Y12" s="232"/>
      <c r="AJ12" s="210"/>
      <c r="AK12" s="148"/>
      <c r="AL12" s="187" t="s">
        <v>192</v>
      </c>
      <c r="AM12" s="188"/>
      <c r="AN12" s="189" t="b">
        <f>'法術表'!G11</f>
        <v>0</v>
      </c>
      <c r="AO12" s="190" t="b">
        <f>'法術表'!H11</f>
        <v>0</v>
      </c>
      <c r="AP12" s="191" t="b">
        <f>'法術表'!I11</f>
        <v>0</v>
      </c>
      <c r="AQ12" s="192"/>
      <c r="AR12" s="155"/>
    </row>
    <row r="13" ht="16.5" customHeight="1">
      <c r="A13" s="148"/>
      <c r="B13" s="148"/>
      <c r="C13" s="148"/>
      <c r="D13" s="148"/>
      <c r="E13" s="148"/>
      <c r="F13" s="148"/>
      <c r="G13" s="148"/>
      <c r="H13" s="148"/>
      <c r="I13" s="148"/>
      <c r="J13" s="148"/>
      <c r="K13" s="148"/>
      <c r="L13" s="242" t="s">
        <v>193</v>
      </c>
      <c r="M13" s="213"/>
      <c r="N13" s="213"/>
      <c r="O13" s="229"/>
      <c r="P13" s="217">
        <f>'角色卡'!C31</f>
        <v>7</v>
      </c>
      <c r="Q13" s="175"/>
      <c r="R13" s="243" t="s">
        <v>194</v>
      </c>
      <c r="S13" s="240"/>
      <c r="T13" s="240"/>
      <c r="U13" s="241"/>
      <c r="V13" s="215">
        <f>'角色卡'!C40</f>
        <v>1</v>
      </c>
      <c r="W13" s="218"/>
      <c r="X13" s="148"/>
      <c r="Y13" s="232"/>
      <c r="AJ13" s="210"/>
      <c r="AK13" s="148"/>
      <c r="AL13" s="168"/>
      <c r="AM13" s="169"/>
      <c r="AN13" s="169"/>
      <c r="AO13" s="170"/>
      <c r="AP13" s="172"/>
      <c r="AQ13" s="192"/>
      <c r="AR13" s="155"/>
    </row>
    <row r="14" ht="16.5" customHeight="1">
      <c r="A14" s="148"/>
      <c r="B14" s="244">
        <f>'角色卡'!C46</f>
        <v>13</v>
      </c>
      <c r="C14" s="20"/>
      <c r="D14" s="245" t="s">
        <v>195</v>
      </c>
      <c r="E14" s="152"/>
      <c r="F14" s="152"/>
      <c r="G14" s="152"/>
      <c r="H14" s="152"/>
      <c r="I14" s="152"/>
      <c r="J14" s="175"/>
      <c r="K14" s="148"/>
      <c r="L14" s="242" t="s">
        <v>196</v>
      </c>
      <c r="M14" s="213"/>
      <c r="N14" s="213"/>
      <c r="O14" s="229"/>
      <c r="P14" s="215">
        <f>'角色卡'!C32</f>
        <v>5</v>
      </c>
      <c r="Q14" s="175"/>
      <c r="R14" s="246" t="s">
        <v>197</v>
      </c>
      <c r="S14" s="213"/>
      <c r="T14" s="213"/>
      <c r="U14" s="229"/>
      <c r="V14" s="217">
        <f>'角色卡'!C41</f>
        <v>1</v>
      </c>
      <c r="W14" s="218"/>
      <c r="X14" s="148"/>
      <c r="Y14" s="232"/>
      <c r="AJ14" s="210"/>
      <c r="AK14" s="148"/>
      <c r="AL14" s="187" t="s">
        <v>198</v>
      </c>
      <c r="AM14" s="188"/>
      <c r="AN14" s="189" t="b">
        <f>'法術表'!L7</f>
        <v>0</v>
      </c>
      <c r="AO14" s="191" t="b">
        <f>'法術表'!M7</f>
        <v>0</v>
      </c>
      <c r="AP14" s="192"/>
      <c r="AQ14" s="192"/>
      <c r="AR14" s="155"/>
    </row>
    <row r="15" ht="16.5" customHeight="1">
      <c r="A15" s="148"/>
      <c r="B15" s="247">
        <f>'角色卡'!C47</f>
        <v>2</v>
      </c>
      <c r="C15" s="20"/>
      <c r="D15" s="248" t="s">
        <v>199</v>
      </c>
      <c r="E15" s="249"/>
      <c r="F15" s="249"/>
      <c r="G15" s="249"/>
      <c r="H15" s="249"/>
      <c r="I15" s="249"/>
      <c r="J15" s="250"/>
      <c r="K15" s="148"/>
      <c r="L15" s="242" t="s">
        <v>200</v>
      </c>
      <c r="M15" s="213"/>
      <c r="N15" s="213"/>
      <c r="O15" s="229"/>
      <c r="P15" s="217">
        <f>'角色卡'!C33</f>
        <v>3</v>
      </c>
      <c r="Q15" s="175"/>
      <c r="R15" s="246" t="s">
        <v>201</v>
      </c>
      <c r="S15" s="213"/>
      <c r="T15" s="213"/>
      <c r="U15" s="229"/>
      <c r="V15" s="215">
        <f>'角色卡'!C42</f>
        <v>1</v>
      </c>
      <c r="W15" s="218"/>
      <c r="X15" s="148"/>
      <c r="Y15" s="232"/>
      <c r="AJ15" s="210"/>
      <c r="AK15" s="148"/>
      <c r="AL15" s="168"/>
      <c r="AM15" s="169"/>
      <c r="AN15" s="169"/>
      <c r="AO15" s="211"/>
      <c r="AP15" s="192"/>
      <c r="AQ15" s="192"/>
      <c r="AR15" s="155"/>
    </row>
    <row r="16" ht="16.5" customHeight="1">
      <c r="A16" s="148"/>
      <c r="B16" s="148"/>
      <c r="C16" s="148"/>
      <c r="D16" s="148"/>
      <c r="E16" s="148"/>
      <c r="F16" s="148"/>
      <c r="G16" s="148"/>
      <c r="H16" s="148"/>
      <c r="I16" s="148"/>
      <c r="J16" s="148"/>
      <c r="K16" s="148"/>
      <c r="L16" s="242" t="s">
        <v>202</v>
      </c>
      <c r="M16" s="213"/>
      <c r="N16" s="213"/>
      <c r="O16" s="229"/>
      <c r="P16" s="215">
        <f>'角色卡'!C34</f>
        <v>3</v>
      </c>
      <c r="Q16" s="175"/>
      <c r="R16" s="246" t="s">
        <v>203</v>
      </c>
      <c r="S16" s="213"/>
      <c r="T16" s="213"/>
      <c r="U16" s="229"/>
      <c r="V16" s="217">
        <f>'角色卡'!C43</f>
        <v>1</v>
      </c>
      <c r="W16" s="218"/>
      <c r="X16" s="148"/>
      <c r="Y16" s="232"/>
      <c r="AJ16" s="210"/>
      <c r="AK16" s="148"/>
      <c r="AL16" s="187" t="s">
        <v>204</v>
      </c>
      <c r="AM16" s="188"/>
      <c r="AN16" s="189" t="b">
        <f>'法術表'!L8</f>
        <v>0</v>
      </c>
      <c r="AO16" s="191" t="b">
        <f>'法術表'!M8</f>
        <v>0</v>
      </c>
      <c r="AP16" s="192"/>
      <c r="AQ16" s="192"/>
      <c r="AR16" s="155"/>
    </row>
    <row r="17" ht="16.5" customHeight="1">
      <c r="A17" s="148"/>
      <c r="B17" s="251" t="s">
        <v>205</v>
      </c>
      <c r="C17" s="184"/>
      <c r="D17" s="184"/>
      <c r="E17" s="184"/>
      <c r="F17" s="184"/>
      <c r="G17" s="184"/>
      <c r="H17" s="184"/>
      <c r="I17" s="184"/>
      <c r="J17" s="200"/>
      <c r="K17" s="148"/>
      <c r="L17" s="252" t="s">
        <v>206</v>
      </c>
      <c r="M17" s="156"/>
      <c r="N17" s="156"/>
      <c r="O17" s="253"/>
      <c r="P17" s="238">
        <f>'角色卡'!C35</f>
        <v>3</v>
      </c>
      <c r="Q17" s="235"/>
      <c r="R17" s="254" t="s">
        <v>207</v>
      </c>
      <c r="S17" s="156"/>
      <c r="T17" s="156"/>
      <c r="U17" s="253"/>
      <c r="V17" s="236">
        <f>'角色卡'!C44</f>
        <v>3</v>
      </c>
      <c r="W17" s="203"/>
      <c r="X17" s="148"/>
      <c r="Y17" s="232"/>
      <c r="AJ17" s="210"/>
      <c r="AK17" s="148"/>
      <c r="AL17" s="168"/>
      <c r="AM17" s="169"/>
      <c r="AN17" s="169"/>
      <c r="AO17" s="172"/>
      <c r="AP17" s="192"/>
      <c r="AQ17" s="192"/>
      <c r="AR17" s="155"/>
    </row>
    <row r="18" ht="16.5" customHeight="1">
      <c r="A18" s="255" t="s">
        <v>208</v>
      </c>
      <c r="B18" s="256" t="str">
        <f>'角色卡'!AB16</f>
        <v>法師-Wizard</v>
      </c>
      <c r="C18" s="257"/>
      <c r="D18" s="257"/>
      <c r="E18" s="257"/>
      <c r="F18" s="257"/>
      <c r="G18" s="258" t="str">
        <f>'角色卡'!AK57</f>
        <v>劍詠師</v>
      </c>
      <c r="H18" s="257"/>
      <c r="I18" s="257"/>
      <c r="J18" s="259"/>
      <c r="K18" s="148"/>
      <c r="L18" s="148"/>
      <c r="M18" s="148"/>
      <c r="N18" s="148"/>
      <c r="O18" s="148"/>
      <c r="P18" s="148"/>
      <c r="Q18" s="148"/>
      <c r="R18" s="148"/>
      <c r="S18" s="148"/>
      <c r="T18" s="148"/>
      <c r="U18" s="148"/>
      <c r="V18" s="148"/>
      <c r="W18" s="148"/>
      <c r="X18" s="148"/>
      <c r="Y18" s="232"/>
      <c r="AJ18" s="210"/>
      <c r="AK18" s="148"/>
      <c r="AL18" s="187" t="s">
        <v>209</v>
      </c>
      <c r="AM18" s="188"/>
      <c r="AN18" s="260" t="b">
        <f>'法術表'!L9</f>
        <v>0</v>
      </c>
      <c r="AO18" s="192"/>
      <c r="AP18" s="192"/>
      <c r="AQ18" s="192"/>
      <c r="AR18" s="155"/>
    </row>
    <row r="19" ht="16.5" customHeight="1">
      <c r="A19" s="261" t="s">
        <v>210</v>
      </c>
      <c r="B19" s="256" t="str">
        <f>'角色卡'!AB17</f>
        <v/>
      </c>
      <c r="C19" s="257"/>
      <c r="D19" s="257"/>
      <c r="E19" s="257"/>
      <c r="F19" s="257"/>
      <c r="G19" s="258" t="str">
        <f>'角色卡'!BH57</f>
        <v/>
      </c>
      <c r="H19" s="257"/>
      <c r="I19" s="257"/>
      <c r="J19" s="259"/>
      <c r="K19" s="148"/>
      <c r="L19" s="262" t="s">
        <v>211</v>
      </c>
      <c r="M19" s="179"/>
      <c r="N19" s="263" t="s">
        <v>212</v>
      </c>
      <c r="O19" s="180"/>
      <c r="P19" s="264" t="s">
        <v>213</v>
      </c>
      <c r="Q19" s="179"/>
      <c r="R19" s="263" t="s">
        <v>214</v>
      </c>
      <c r="S19" s="180"/>
      <c r="T19" s="148"/>
      <c r="U19" s="265" t="s">
        <v>215</v>
      </c>
      <c r="V19" s="179"/>
      <c r="W19" s="180"/>
      <c r="X19" s="148"/>
      <c r="Y19" s="232"/>
      <c r="AJ19" s="210"/>
      <c r="AK19" s="148"/>
      <c r="AL19" s="168"/>
      <c r="AM19" s="169"/>
      <c r="AN19" s="266"/>
      <c r="AO19" s="267"/>
      <c r="AP19" s="192"/>
      <c r="AQ19" s="192"/>
      <c r="AR19" s="155"/>
    </row>
    <row r="20" ht="16.5" customHeight="1">
      <c r="A20" s="261" t="s">
        <v>216</v>
      </c>
      <c r="B20" s="268" t="str">
        <f>'角色卡'!AB18</f>
        <v/>
      </c>
      <c r="C20" s="269"/>
      <c r="D20" s="269"/>
      <c r="E20" s="269"/>
      <c r="F20" s="269"/>
      <c r="G20" s="270" t="str">
        <f>'角色卡'!CE57</f>
        <v/>
      </c>
      <c r="H20" s="269"/>
      <c r="I20" s="269"/>
      <c r="J20" s="271"/>
      <c r="K20" s="148"/>
      <c r="L20" s="272">
        <f>'角色卡'!AY18</f>
        <v>40</v>
      </c>
      <c r="M20" s="152"/>
      <c r="N20" s="273">
        <f>'角色卡'!BB18</f>
        <v>0</v>
      </c>
      <c r="O20" s="175"/>
      <c r="P20" s="274">
        <f>'角色卡'!AY20</f>
        <v>0</v>
      </c>
      <c r="Q20" s="152"/>
      <c r="R20" s="273">
        <f>'角色卡'!BB20</f>
        <v>0</v>
      </c>
      <c r="S20" s="218"/>
      <c r="T20" s="148"/>
      <c r="U20" s="275" t="b">
        <f>'角色卡'!AN30</f>
        <v>0</v>
      </c>
      <c r="V20" s="152"/>
      <c r="W20" s="218"/>
      <c r="X20" s="148"/>
      <c r="Y20" s="232"/>
      <c r="AJ20" s="210"/>
      <c r="AK20" s="148"/>
      <c r="AL20" s="276" t="s">
        <v>217</v>
      </c>
      <c r="AM20" s="188"/>
      <c r="AN20" s="260" t="b">
        <f>'法術表'!L10</f>
        <v>0</v>
      </c>
      <c r="AO20" s="192"/>
      <c r="AP20" s="192"/>
      <c r="AQ20" s="192"/>
      <c r="AR20" s="155"/>
    </row>
    <row r="21" ht="16.5" customHeight="1">
      <c r="A21" s="277"/>
      <c r="B21" s="278" t="str">
        <f>'裝備與物品'!AG32</f>
        <v>負重上限=150磅
現在負重=0磅
拖/抬/推上限=300磅</v>
      </c>
      <c r="J21" s="210"/>
      <c r="K21" s="148"/>
      <c r="L21" s="219"/>
      <c r="M21" s="156"/>
      <c r="N21" s="279"/>
      <c r="O21" s="253"/>
      <c r="P21" s="156"/>
      <c r="Q21" s="156"/>
      <c r="R21" s="279"/>
      <c r="S21" s="220"/>
      <c r="T21" s="148"/>
      <c r="U21" s="219"/>
      <c r="V21" s="156"/>
      <c r="W21" s="220"/>
      <c r="X21" s="148"/>
      <c r="Y21" s="232"/>
      <c r="AJ21" s="210"/>
      <c r="AK21" s="148"/>
      <c r="AL21" s="143"/>
      <c r="AM21" s="280"/>
      <c r="AN21" s="241"/>
      <c r="AO21" s="267"/>
      <c r="AP21" s="281">
        <f>'法術表'!D12</f>
        <v>3</v>
      </c>
      <c r="AQ21" s="281">
        <f>'法術表'!D13</f>
        <v>0</v>
      </c>
      <c r="AR21" s="155"/>
    </row>
    <row r="22" ht="16.5" customHeight="1">
      <c r="A22" s="277"/>
      <c r="B22" s="232"/>
      <c r="J22" s="210"/>
      <c r="K22" s="148"/>
      <c r="L22" s="148"/>
      <c r="M22" s="148"/>
      <c r="N22" s="148"/>
      <c r="O22" s="148"/>
      <c r="P22" s="148"/>
      <c r="Q22" s="148"/>
      <c r="R22" s="148"/>
      <c r="S22" s="148"/>
      <c r="T22" s="148"/>
      <c r="U22" s="148"/>
      <c r="V22" s="148"/>
      <c r="W22" s="148"/>
      <c r="X22" s="148"/>
      <c r="Y22" s="232"/>
      <c r="AJ22" s="210"/>
      <c r="AK22" s="148"/>
      <c r="AL22" s="157" t="s">
        <v>218</v>
      </c>
      <c r="AM22" s="19"/>
      <c r="AN22" s="19"/>
      <c r="AO22" s="19"/>
      <c r="AP22" s="19"/>
      <c r="AQ22" s="20"/>
      <c r="AR22" s="155"/>
    </row>
    <row r="23" ht="16.5" customHeight="1">
      <c r="A23" s="277"/>
      <c r="B23" s="232"/>
      <c r="J23" s="210"/>
      <c r="K23" s="148"/>
      <c r="L23" s="282" t="s">
        <v>219</v>
      </c>
      <c r="M23" s="184"/>
      <c r="N23" s="184"/>
      <c r="O23" s="283"/>
      <c r="P23" s="284" t="s">
        <v>220</v>
      </c>
      <c r="Q23" s="184"/>
      <c r="R23" s="184"/>
      <c r="S23" s="283"/>
      <c r="T23" s="284" t="s">
        <v>221</v>
      </c>
      <c r="U23" s="184"/>
      <c r="V23" s="184"/>
      <c r="W23" s="200"/>
      <c r="X23" s="148"/>
      <c r="Y23" s="232"/>
      <c r="AJ23" s="210"/>
      <c r="AK23" s="148"/>
      <c r="AL23" s="162" t="str">
        <f>'法術表'!H13</f>
        <v>一環</v>
      </c>
      <c r="AM23" s="163"/>
      <c r="AN23" s="164" t="b">
        <f>'法術表'!J13</f>
        <v>0</v>
      </c>
      <c r="AO23" s="165" t="b">
        <f>'法術表'!K13</f>
        <v>0</v>
      </c>
      <c r="AP23" s="165" t="b">
        <f>'法術表'!L13</f>
        <v>0</v>
      </c>
      <c r="AQ23" s="167" t="b">
        <f>'法術表'!M13</f>
        <v>0</v>
      </c>
      <c r="AR23" s="155"/>
    </row>
    <row r="24" ht="16.5" customHeight="1">
      <c r="A24" s="277"/>
      <c r="B24" s="219"/>
      <c r="C24" s="156"/>
      <c r="D24" s="156"/>
      <c r="E24" s="156"/>
      <c r="F24" s="156"/>
      <c r="G24" s="156"/>
      <c r="H24" s="156"/>
      <c r="I24" s="156"/>
      <c r="J24" s="220"/>
      <c r="K24" s="148"/>
      <c r="L24" s="285">
        <f>'裝備與物品'!AG6</f>
        <v>490</v>
      </c>
      <c r="M24" s="202"/>
      <c r="N24" s="202"/>
      <c r="O24" s="286"/>
      <c r="P24" s="287">
        <f>'裝備與物品'!AK6</f>
        <v>0</v>
      </c>
      <c r="Q24" s="202"/>
      <c r="R24" s="202"/>
      <c r="S24" s="286"/>
      <c r="T24" s="288" t="str">
        <f>'裝備與物品'!AO6</f>
        <v>0</v>
      </c>
      <c r="U24" s="202"/>
      <c r="V24" s="202"/>
      <c r="W24" s="203"/>
      <c r="X24" s="148"/>
      <c r="Y24" s="219"/>
      <c r="Z24" s="156"/>
      <c r="AA24" s="156"/>
      <c r="AB24" s="156"/>
      <c r="AC24" s="156"/>
      <c r="AD24" s="156"/>
      <c r="AE24" s="156"/>
      <c r="AF24" s="156"/>
      <c r="AG24" s="156"/>
      <c r="AH24" s="156"/>
      <c r="AI24" s="156"/>
      <c r="AJ24" s="220"/>
      <c r="AK24" s="148"/>
      <c r="AL24" s="143"/>
      <c r="AM24" s="280"/>
      <c r="AN24" s="280"/>
      <c r="AO24" s="289"/>
      <c r="AP24" s="289"/>
      <c r="AQ24" s="172"/>
      <c r="AR24" s="155"/>
    </row>
    <row r="25" ht="15.0" customHeight="1">
      <c r="A25" s="290" t="s">
        <v>222</v>
      </c>
      <c r="G25" s="290"/>
      <c r="H25" s="290"/>
      <c r="I25" s="291"/>
      <c r="J25" s="291"/>
      <c r="K25" s="291"/>
      <c r="L25" s="291"/>
      <c r="M25" s="291"/>
      <c r="N25" s="291"/>
      <c r="O25" s="291"/>
      <c r="P25" s="291"/>
      <c r="Q25" s="291"/>
      <c r="R25" s="291"/>
      <c r="S25" s="291"/>
      <c r="T25" s="291"/>
      <c r="U25" s="291"/>
      <c r="V25" s="291"/>
      <c r="W25" s="291"/>
      <c r="X25" s="291"/>
      <c r="Y25" s="291"/>
      <c r="Z25" s="291"/>
      <c r="AA25" s="291"/>
      <c r="AB25" s="291"/>
      <c r="AC25" s="291"/>
      <c r="AD25" s="291"/>
      <c r="AE25" s="291"/>
      <c r="AF25" s="291"/>
      <c r="AG25" s="291"/>
      <c r="AH25" s="291"/>
      <c r="AI25" s="291"/>
      <c r="AJ25" s="292"/>
    </row>
  </sheetData>
  <mergeCells count="161">
    <mergeCell ref="I6:J6"/>
    <mergeCell ref="I7:J7"/>
    <mergeCell ref="J2:L3"/>
    <mergeCell ref="J4:L4"/>
    <mergeCell ref="F6:G6"/>
    <mergeCell ref="K6:K7"/>
    <mergeCell ref="L6:N6"/>
    <mergeCell ref="F7:G7"/>
    <mergeCell ref="L7:N7"/>
    <mergeCell ref="V2:Y3"/>
    <mergeCell ref="V4:Y4"/>
    <mergeCell ref="S6:U6"/>
    <mergeCell ref="W6:AA6"/>
    <mergeCell ref="AB6:AB7"/>
    <mergeCell ref="S7:U7"/>
    <mergeCell ref="W7:AA7"/>
    <mergeCell ref="AF2:AG3"/>
    <mergeCell ref="AF4:AG4"/>
    <mergeCell ref="AC6:AG6"/>
    <mergeCell ref="AC7:AG7"/>
    <mergeCell ref="A1:AR1"/>
    <mergeCell ref="B2:H3"/>
    <mergeCell ref="N2:T3"/>
    <mergeCell ref="AA2:AD3"/>
    <mergeCell ref="B4:H4"/>
    <mergeCell ref="N4:T4"/>
    <mergeCell ref="AA4:AD4"/>
    <mergeCell ref="AI4:AJ4"/>
    <mergeCell ref="AL4:AM5"/>
    <mergeCell ref="AL6:AM7"/>
    <mergeCell ref="AN6:AN7"/>
    <mergeCell ref="AO6:AO7"/>
    <mergeCell ref="AP6:AP7"/>
    <mergeCell ref="P6:Q6"/>
    <mergeCell ref="P7:Q7"/>
    <mergeCell ref="L9:O9"/>
    <mergeCell ref="P9:Q9"/>
    <mergeCell ref="R9:U9"/>
    <mergeCell ref="V9:W9"/>
    <mergeCell ref="AI7:AJ8"/>
    <mergeCell ref="AL8:AM9"/>
    <mergeCell ref="AN8:AN9"/>
    <mergeCell ref="AO8:AO9"/>
    <mergeCell ref="AP8:AP9"/>
    <mergeCell ref="Y9:AJ9"/>
    <mergeCell ref="AI2:AJ3"/>
    <mergeCell ref="AL3:AQ3"/>
    <mergeCell ref="AN4:AN5"/>
    <mergeCell ref="AO4:AO5"/>
    <mergeCell ref="AP4:AP5"/>
    <mergeCell ref="AQ4:AQ5"/>
    <mergeCell ref="AI6:AJ6"/>
    <mergeCell ref="I11:J11"/>
    <mergeCell ref="I12:J12"/>
    <mergeCell ref="B11:C11"/>
    <mergeCell ref="D11:E11"/>
    <mergeCell ref="F11:G11"/>
    <mergeCell ref="L11:O11"/>
    <mergeCell ref="B12:C12"/>
    <mergeCell ref="D12:E12"/>
    <mergeCell ref="F12:G12"/>
    <mergeCell ref="AL16:AM17"/>
    <mergeCell ref="AN16:AN17"/>
    <mergeCell ref="AO16:AO17"/>
    <mergeCell ref="AL18:AM19"/>
    <mergeCell ref="AN18:AN19"/>
    <mergeCell ref="AL10:AM11"/>
    <mergeCell ref="AL20:AM21"/>
    <mergeCell ref="AN20:AN21"/>
    <mergeCell ref="AL22:AQ22"/>
    <mergeCell ref="T23:W23"/>
    <mergeCell ref="AL23:AM24"/>
    <mergeCell ref="T24:W24"/>
    <mergeCell ref="AN23:AN24"/>
    <mergeCell ref="AO23:AO24"/>
    <mergeCell ref="AQ23:AQ24"/>
    <mergeCell ref="AJ25:AR25"/>
    <mergeCell ref="V10:W10"/>
    <mergeCell ref="Y10:AJ24"/>
    <mergeCell ref="AN10:AN11"/>
    <mergeCell ref="AO10:AO11"/>
    <mergeCell ref="AP10:AP11"/>
    <mergeCell ref="AO14:AO15"/>
    <mergeCell ref="U20:W21"/>
    <mergeCell ref="AP23:AP24"/>
    <mergeCell ref="AL12:AM13"/>
    <mergeCell ref="AN12:AN13"/>
    <mergeCell ref="AO12:AO13"/>
    <mergeCell ref="AP12:AP13"/>
    <mergeCell ref="R13:U13"/>
    <mergeCell ref="V13:W13"/>
    <mergeCell ref="R14:U14"/>
    <mergeCell ref="V14:W14"/>
    <mergeCell ref="AL14:AM15"/>
    <mergeCell ref="AN14:AN15"/>
    <mergeCell ref="R10:U10"/>
    <mergeCell ref="R15:U15"/>
    <mergeCell ref="R16:U16"/>
    <mergeCell ref="V15:W15"/>
    <mergeCell ref="V16:W16"/>
    <mergeCell ref="L23:O23"/>
    <mergeCell ref="L24:O24"/>
    <mergeCell ref="P24:S24"/>
    <mergeCell ref="B20:F20"/>
    <mergeCell ref="G20:J20"/>
    <mergeCell ref="L20:M21"/>
    <mergeCell ref="N20:O21"/>
    <mergeCell ref="P20:Q21"/>
    <mergeCell ref="R20:S21"/>
    <mergeCell ref="P23:S23"/>
    <mergeCell ref="B21:J24"/>
    <mergeCell ref="A25:F25"/>
    <mergeCell ref="B14:C14"/>
    <mergeCell ref="D14:J14"/>
    <mergeCell ref="B15:C15"/>
    <mergeCell ref="D15:J15"/>
    <mergeCell ref="B17:J17"/>
    <mergeCell ref="B18:F18"/>
    <mergeCell ref="G18:J18"/>
    <mergeCell ref="B7:C7"/>
    <mergeCell ref="D7:E7"/>
    <mergeCell ref="B8:C8"/>
    <mergeCell ref="D8:E8"/>
    <mergeCell ref="F8:G8"/>
    <mergeCell ref="I8:J8"/>
    <mergeCell ref="B9:C9"/>
    <mergeCell ref="I9:J9"/>
    <mergeCell ref="D9:E9"/>
    <mergeCell ref="F9:G9"/>
    <mergeCell ref="B10:C10"/>
    <mergeCell ref="D10:E10"/>
    <mergeCell ref="F10:G10"/>
    <mergeCell ref="I10:J10"/>
    <mergeCell ref="L10:O10"/>
    <mergeCell ref="P10:Q10"/>
    <mergeCell ref="P11:Q11"/>
    <mergeCell ref="P12:Q12"/>
    <mergeCell ref="P13:Q13"/>
    <mergeCell ref="P14:Q14"/>
    <mergeCell ref="P15:Q15"/>
    <mergeCell ref="P16:Q16"/>
    <mergeCell ref="P17:Q17"/>
    <mergeCell ref="R11:U11"/>
    <mergeCell ref="V11:W11"/>
    <mergeCell ref="R12:U12"/>
    <mergeCell ref="V12:W12"/>
    <mergeCell ref="R17:U17"/>
    <mergeCell ref="V17:W17"/>
    <mergeCell ref="L12:O12"/>
    <mergeCell ref="L13:O13"/>
    <mergeCell ref="L14:O14"/>
    <mergeCell ref="L15:O15"/>
    <mergeCell ref="L16:O16"/>
    <mergeCell ref="L17:O17"/>
    <mergeCell ref="B19:F19"/>
    <mergeCell ref="G19:J19"/>
    <mergeCell ref="L19:M19"/>
    <mergeCell ref="N19:O19"/>
    <mergeCell ref="P19:Q19"/>
    <mergeCell ref="R19:S19"/>
    <mergeCell ref="U19:W19"/>
  </mergeCells>
  <conditionalFormatting sqref="F7:F12 I7:I12 P9:P17 V9:V17 B14:B15">
    <cfRule type="cellIs" dxfId="3" priority="1" operator="lessThan">
      <formula>0</formula>
    </cfRule>
  </conditionalFormatting>
  <conditionalFormatting sqref="L7 S7">
    <cfRule type="expression" dxfId="4" priority="2">
      <formula>"[&lt;0]"0";0"</formula>
    </cfRule>
  </conditionalFormatting>
  <conditionalFormatting sqref="AQ23:AQ24">
    <cfRule type="expression" dxfId="5" priority="3">
      <formula>$AQ$21&lt;17</formula>
    </cfRule>
  </conditionalFormatting>
  <conditionalFormatting sqref="AP23:AP24">
    <cfRule type="expression" dxfId="5" priority="4">
      <formula>$AQ$21&lt;11</formula>
    </cfRule>
  </conditionalFormatting>
  <conditionalFormatting sqref="AO23:AO24">
    <cfRule type="expression" dxfId="5" priority="5">
      <formula>$AQ$21&lt;2</formula>
    </cfRule>
  </conditionalFormatting>
  <conditionalFormatting sqref="AN23:AN24">
    <cfRule type="expression" dxfId="5" priority="6">
      <formula>$AQ$21&lt;1</formula>
    </cfRule>
  </conditionalFormatting>
  <conditionalFormatting sqref="AN20:AN21">
    <cfRule type="expression" dxfId="5" priority="7">
      <formula>$AP$21&lt;17</formula>
    </cfRule>
  </conditionalFormatting>
  <conditionalFormatting sqref="AN18:AN19">
    <cfRule type="expression" dxfId="6" priority="8">
      <formula>$AP$21&lt;15</formula>
    </cfRule>
  </conditionalFormatting>
  <conditionalFormatting sqref="AN16:AN17">
    <cfRule type="expression" dxfId="7" priority="9">
      <formula>$AP$21&lt;13</formula>
    </cfRule>
  </conditionalFormatting>
  <conditionalFormatting sqref="AN14:AN15">
    <cfRule type="expression" dxfId="7" priority="10">
      <formula>$AP$21&lt;11</formula>
    </cfRule>
  </conditionalFormatting>
  <conditionalFormatting sqref="AN12:AN13 AP10:AP11">
    <cfRule type="expression" dxfId="7" priority="11">
      <formula>$AP$21&lt;9</formula>
    </cfRule>
  </conditionalFormatting>
  <conditionalFormatting sqref="AN10:AN11">
    <cfRule type="expression" dxfId="7" priority="12">
      <formula>$AP$21&lt;7</formula>
    </cfRule>
  </conditionalFormatting>
  <conditionalFormatting sqref="AN8:AO9">
    <cfRule type="expression" dxfId="7" priority="13">
      <formula>$AP$21&lt;5</formula>
    </cfRule>
  </conditionalFormatting>
  <conditionalFormatting sqref="AN6:AO7 AQ4:AQ5">
    <cfRule type="expression" dxfId="7" priority="14">
      <formula>$AP$21&lt;3</formula>
    </cfRule>
  </conditionalFormatting>
  <conditionalFormatting sqref="AN4:AO5">
    <cfRule type="expression" dxfId="7" priority="15">
      <formula>$AP$21&lt;1</formula>
    </cfRule>
  </conditionalFormatting>
  <conditionalFormatting sqref="AO16:AO17">
    <cfRule type="expression" dxfId="7" priority="16">
      <formula>$AP$21&lt;20</formula>
    </cfRule>
  </conditionalFormatting>
  <conditionalFormatting sqref="AO14:AO15">
    <cfRule type="expression" dxfId="7" priority="17">
      <formula>$AP$21&lt;19</formula>
    </cfRule>
  </conditionalFormatting>
  <conditionalFormatting sqref="AP12:AP13">
    <cfRule type="expression" dxfId="8" priority="18">
      <formula>$AP$21&lt;18</formula>
    </cfRule>
  </conditionalFormatting>
  <conditionalFormatting sqref="AO12:AO13">
    <cfRule type="expression" dxfId="7" priority="19">
      <formula>$AP$21&lt;10</formula>
    </cfRule>
  </conditionalFormatting>
  <conditionalFormatting sqref="AO10:AO11">
    <cfRule type="expression" dxfId="7" priority="20">
      <formula>$AP$21&lt;8</formula>
    </cfRule>
  </conditionalFormatting>
  <conditionalFormatting sqref="AP8:AP9">
    <cfRule type="expression" dxfId="7" priority="21">
      <formula>$AP$21&lt;6</formula>
    </cfRule>
  </conditionalFormatting>
  <conditionalFormatting sqref="AP4:AP5">
    <cfRule type="expression" dxfId="7" priority="22">
      <formula>$AP$21&lt;2</formula>
    </cfRule>
  </conditionalFormatting>
  <conditionalFormatting sqref="AP6:AP7">
    <cfRule type="expression" dxfId="6" priority="23">
      <formula>$AP$21&lt;4</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sheetViews>
  <sheetFormatPr customHeight="1" defaultColWidth="14.43" defaultRowHeight="15.0"/>
  <cols>
    <col customWidth="1" min="1" max="92" width="2.29"/>
  </cols>
  <sheetData>
    <row r="1" ht="15.75" customHeight="1">
      <c r="A1" s="293"/>
      <c r="AS1" s="293"/>
      <c r="AT1" s="293"/>
      <c r="AU1" s="293"/>
      <c r="AV1" s="293"/>
      <c r="AW1" s="293"/>
      <c r="AX1" s="293"/>
      <c r="AY1" s="293"/>
      <c r="AZ1" s="293"/>
      <c r="BA1" s="293"/>
      <c r="BB1" s="293"/>
      <c r="BC1" s="293"/>
      <c r="BD1" s="293"/>
      <c r="BE1" s="293"/>
      <c r="BF1" s="293"/>
      <c r="BG1" s="293"/>
      <c r="BH1" s="293"/>
      <c r="BI1" s="293"/>
      <c r="BJ1" s="293"/>
      <c r="BK1" s="293"/>
      <c r="BL1" s="293"/>
      <c r="BM1" s="293"/>
      <c r="BN1" s="293"/>
      <c r="BO1" s="293"/>
      <c r="BP1" s="293"/>
      <c r="BQ1" s="293"/>
      <c r="BR1" s="293"/>
      <c r="BS1" s="293"/>
      <c r="BT1" s="293"/>
      <c r="BU1" s="294"/>
      <c r="BV1" s="294"/>
      <c r="BW1" s="294"/>
      <c r="BX1" s="294"/>
      <c r="BY1" s="294"/>
      <c r="BZ1" s="294"/>
      <c r="CA1" s="294"/>
      <c r="CB1" s="294"/>
      <c r="CC1" s="294"/>
      <c r="CD1" s="294"/>
      <c r="CE1" s="294"/>
      <c r="CF1" s="294"/>
      <c r="CG1" s="294"/>
      <c r="CH1" s="294"/>
      <c r="CI1" s="294"/>
      <c r="CJ1" s="294"/>
      <c r="CK1" s="294"/>
      <c r="CL1" s="294"/>
      <c r="CM1" s="294"/>
      <c r="CN1" s="294"/>
    </row>
    <row r="2" ht="15.75" customHeight="1">
      <c r="AS2" s="293"/>
      <c r="AT2" s="293"/>
      <c r="AU2" s="293"/>
      <c r="AV2" s="293"/>
      <c r="AW2" s="293"/>
      <c r="AX2" s="293"/>
      <c r="AY2" s="293"/>
      <c r="AZ2" s="293"/>
      <c r="BA2" s="293"/>
      <c r="BB2" s="293"/>
      <c r="BC2" s="293"/>
      <c r="BD2" s="293"/>
      <c r="BE2" s="293"/>
      <c r="BF2" s="293"/>
      <c r="BG2" s="293"/>
      <c r="BH2" s="293"/>
      <c r="BI2" s="293"/>
      <c r="BJ2" s="293"/>
      <c r="BK2" s="293"/>
      <c r="BL2" s="293"/>
      <c r="BM2" s="293"/>
      <c r="BN2" s="293"/>
      <c r="BO2" s="293"/>
      <c r="BP2" s="293"/>
      <c r="BQ2" s="293"/>
      <c r="BR2" s="293"/>
      <c r="BS2" s="293"/>
      <c r="BT2" s="293"/>
      <c r="BU2" s="294"/>
      <c r="BV2" s="294"/>
      <c r="BW2" s="294"/>
      <c r="BX2" s="294"/>
      <c r="BY2" s="294"/>
      <c r="BZ2" s="294"/>
      <c r="CA2" s="295" t="s">
        <v>179</v>
      </c>
      <c r="CB2" s="19"/>
      <c r="CC2" s="19"/>
      <c r="CD2" s="19"/>
      <c r="CE2" s="19"/>
      <c r="CF2" s="19"/>
      <c r="CG2" s="296"/>
      <c r="CH2" s="297"/>
      <c r="CI2" s="294"/>
      <c r="CJ2" s="294"/>
      <c r="CK2" s="294"/>
      <c r="CL2" s="294"/>
      <c r="CM2" s="294"/>
      <c r="CN2" s="294"/>
    </row>
    <row r="3" ht="15.0" customHeight="1">
      <c r="AS3" s="293"/>
      <c r="AT3" s="293"/>
      <c r="AU3" s="293"/>
      <c r="AV3" s="293"/>
      <c r="AW3" s="293"/>
      <c r="AX3" s="293"/>
      <c r="AY3" s="293"/>
      <c r="AZ3" s="293"/>
      <c r="BA3" s="293"/>
      <c r="BB3" s="293"/>
      <c r="BC3" s="293"/>
      <c r="BD3" s="293"/>
      <c r="BE3" s="293"/>
      <c r="BF3" s="293"/>
      <c r="BG3" s="293"/>
      <c r="BH3" s="293"/>
      <c r="BI3" s="293"/>
      <c r="BJ3" s="293"/>
      <c r="BK3" s="293"/>
      <c r="BL3" s="293"/>
      <c r="BM3" s="293"/>
      <c r="BN3" s="293"/>
      <c r="BO3" s="293"/>
      <c r="BP3" s="293"/>
      <c r="BQ3" s="293"/>
      <c r="BR3" s="293"/>
      <c r="BS3" s="293"/>
      <c r="BT3" s="293"/>
      <c r="BU3" s="294"/>
      <c r="BV3" s="294"/>
      <c r="BW3" s="294"/>
      <c r="BX3" s="294"/>
      <c r="BY3" s="294"/>
      <c r="BZ3" s="294"/>
      <c r="CA3" s="298">
        <f>AL20</f>
        <v>3</v>
      </c>
      <c r="CG3" s="299"/>
      <c r="CH3" s="300"/>
      <c r="CI3" s="294"/>
      <c r="CJ3" s="294"/>
      <c r="CK3" s="294"/>
      <c r="CL3" s="294"/>
      <c r="CM3" s="294"/>
      <c r="CN3" s="294"/>
    </row>
    <row r="4">
      <c r="AS4" s="293"/>
      <c r="AT4" s="293"/>
      <c r="AU4" s="293"/>
      <c r="AV4" s="293"/>
      <c r="AW4" s="293"/>
      <c r="AX4" s="293"/>
      <c r="AY4" s="293"/>
      <c r="AZ4" s="293"/>
      <c r="BA4" s="293"/>
      <c r="BB4" s="293"/>
      <c r="BC4" s="293"/>
      <c r="BD4" s="293"/>
      <c r="BE4" s="293"/>
      <c r="BF4" s="293"/>
      <c r="BG4" s="293"/>
      <c r="BH4" s="293"/>
      <c r="BI4" s="293"/>
      <c r="BJ4" s="293"/>
      <c r="BK4" s="293"/>
      <c r="BL4" s="293"/>
      <c r="BM4" s="293"/>
      <c r="BN4" s="293"/>
      <c r="BO4" s="293"/>
      <c r="BP4" s="293"/>
      <c r="BQ4" s="293"/>
      <c r="BR4" s="293"/>
      <c r="BS4" s="293"/>
      <c r="BT4" s="293"/>
      <c r="BU4" s="294"/>
      <c r="BV4" s="294"/>
      <c r="BW4" s="294"/>
      <c r="BX4" s="294"/>
      <c r="BY4" s="294"/>
      <c r="BZ4" s="294"/>
      <c r="CA4" s="143"/>
      <c r="CB4" s="240"/>
      <c r="CC4" s="240"/>
      <c r="CD4" s="240"/>
      <c r="CE4" s="240"/>
      <c r="CF4" s="240"/>
      <c r="CG4" s="301"/>
      <c r="CH4" s="302"/>
      <c r="CI4" s="294"/>
      <c r="CJ4" s="294"/>
      <c r="CK4" s="294"/>
      <c r="CL4" s="294"/>
      <c r="CM4" s="294"/>
      <c r="CN4" s="294"/>
    </row>
    <row r="5" ht="18.0" customHeight="1">
      <c r="AS5" s="293"/>
      <c r="AT5" s="293"/>
      <c r="AU5" s="293"/>
      <c r="AV5" s="293"/>
      <c r="AW5" s="293"/>
      <c r="AX5" s="293"/>
      <c r="AY5" s="293"/>
      <c r="AZ5" s="293"/>
      <c r="BA5" s="293"/>
      <c r="BB5" s="293"/>
      <c r="BC5" s="293"/>
      <c r="BD5" s="293"/>
      <c r="BE5" s="293"/>
      <c r="BF5" s="293"/>
      <c r="BG5" s="293"/>
      <c r="BH5" s="293"/>
      <c r="BI5" s="293"/>
      <c r="BJ5" s="293"/>
      <c r="BK5" s="293"/>
      <c r="BL5" s="293"/>
      <c r="BM5" s="293"/>
      <c r="BN5" s="293"/>
      <c r="BO5" s="293"/>
      <c r="BP5" s="293"/>
      <c r="BQ5" s="293"/>
      <c r="BR5" s="293"/>
      <c r="BS5" s="293"/>
      <c r="BT5" s="293"/>
      <c r="BU5" s="303"/>
      <c r="BV5" s="303"/>
      <c r="BW5" s="303"/>
      <c r="BX5" s="303"/>
      <c r="BY5" s="303"/>
      <c r="BZ5" s="303"/>
      <c r="CA5" s="304"/>
      <c r="CG5" s="294"/>
      <c r="CH5" s="294"/>
      <c r="CI5" s="294"/>
      <c r="CJ5" s="294"/>
      <c r="CK5" s="294"/>
      <c r="CL5" s="294"/>
      <c r="CM5" s="294"/>
      <c r="CN5" s="294"/>
    </row>
    <row r="6" ht="18.0" customHeight="1">
      <c r="A6" s="305"/>
      <c r="B6" s="295" t="s">
        <v>223</v>
      </c>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303"/>
      <c r="BV6" s="306" t="s">
        <v>184</v>
      </c>
      <c r="BW6" s="152"/>
      <c r="BX6" s="152"/>
      <c r="BY6" s="152"/>
      <c r="BZ6" s="152"/>
      <c r="CA6" s="152"/>
      <c r="CB6" s="152"/>
      <c r="CC6" s="152"/>
      <c r="CD6" s="152"/>
      <c r="CE6" s="152"/>
      <c r="CF6" s="152"/>
      <c r="CG6" s="152"/>
      <c r="CH6" s="152"/>
      <c r="CI6" s="152"/>
      <c r="CJ6" s="152"/>
      <c r="CK6" s="152"/>
      <c r="CL6" s="152"/>
      <c r="CM6" s="175"/>
      <c r="CN6" s="294"/>
    </row>
    <row r="7" ht="31.5" customHeight="1">
      <c r="A7" s="294"/>
      <c r="B7" s="307"/>
      <c r="C7" s="308" t="s">
        <v>164</v>
      </c>
      <c r="D7" s="156"/>
      <c r="E7" s="156"/>
      <c r="F7" s="156"/>
      <c r="G7" s="156"/>
      <c r="H7" s="156"/>
      <c r="I7" s="156"/>
      <c r="J7" s="156"/>
      <c r="K7" s="156"/>
      <c r="L7" s="156"/>
      <c r="M7" s="156"/>
      <c r="N7" s="156"/>
      <c r="O7" s="309"/>
      <c r="P7" s="310" t="s">
        <v>224</v>
      </c>
      <c r="Q7" s="156"/>
      <c r="R7" s="156"/>
      <c r="S7" s="156"/>
      <c r="T7" s="156"/>
      <c r="U7" s="156"/>
      <c r="V7" s="156"/>
      <c r="W7" s="156"/>
      <c r="X7" s="309"/>
      <c r="Y7" s="311" t="s">
        <v>225</v>
      </c>
      <c r="Z7" s="156"/>
      <c r="AA7" s="156"/>
      <c r="AB7" s="156"/>
      <c r="AC7" s="156"/>
      <c r="AD7" s="156"/>
      <c r="AE7" s="156"/>
      <c r="AF7" s="156"/>
      <c r="AG7" s="156"/>
      <c r="AH7" s="156"/>
      <c r="AI7" s="156"/>
      <c r="AJ7" s="156"/>
      <c r="AK7" s="156"/>
      <c r="AL7" s="156"/>
      <c r="AM7" s="156"/>
      <c r="AN7" s="156"/>
      <c r="AO7" s="312"/>
      <c r="AP7" s="313"/>
      <c r="AQ7" s="156"/>
      <c r="AR7" s="156"/>
      <c r="AS7" s="156"/>
      <c r="AT7" s="156"/>
      <c r="AU7" s="156"/>
      <c r="AV7" s="156"/>
      <c r="AW7" s="156"/>
      <c r="AX7" s="156"/>
      <c r="AY7" s="309"/>
      <c r="AZ7" s="314"/>
      <c r="BA7" s="156"/>
      <c r="BB7" s="156"/>
      <c r="BC7" s="156"/>
      <c r="BD7" s="156"/>
      <c r="BE7" s="156"/>
      <c r="BF7" s="156"/>
      <c r="BG7" s="156"/>
      <c r="BH7" s="309"/>
      <c r="BI7" s="310"/>
      <c r="BJ7" s="156"/>
      <c r="BK7" s="156"/>
      <c r="BL7" s="156"/>
      <c r="BM7" s="156"/>
      <c r="BN7" s="156"/>
      <c r="BO7" s="156"/>
      <c r="BP7" s="156"/>
      <c r="BQ7" s="156"/>
      <c r="BR7" s="156"/>
      <c r="BS7" s="156"/>
      <c r="BT7" s="315"/>
      <c r="BU7" s="316"/>
      <c r="BV7" s="317"/>
      <c r="CM7" s="318"/>
      <c r="CN7" s="294"/>
    </row>
    <row r="8" ht="18.0" customHeight="1">
      <c r="A8" s="294"/>
      <c r="B8" s="307"/>
      <c r="C8" s="158" t="s">
        <v>166</v>
      </c>
      <c r="O8" s="319"/>
      <c r="P8" s="319" t="s">
        <v>226</v>
      </c>
      <c r="X8" s="319"/>
      <c r="Y8" s="161"/>
      <c r="AC8" s="160"/>
      <c r="AD8" s="160"/>
      <c r="AE8" s="160" t="s">
        <v>168</v>
      </c>
      <c r="AH8" s="160"/>
      <c r="AI8" s="160"/>
      <c r="AJ8" s="320" t="str">
        <f>IFNA(VLOOKUP(Y7,'物種'!A2:B113,2,False),"")</f>
        <v>PHB</v>
      </c>
      <c r="AO8" s="319"/>
      <c r="AP8" s="321" t="s">
        <v>227</v>
      </c>
      <c r="AY8" s="319"/>
      <c r="AZ8" s="161" t="s">
        <v>169</v>
      </c>
      <c r="BH8" s="319"/>
      <c r="BI8" s="160" t="s">
        <v>228</v>
      </c>
      <c r="BT8" s="291"/>
      <c r="BU8" s="322"/>
      <c r="CM8" s="318"/>
      <c r="CN8" s="294"/>
    </row>
    <row r="9" ht="31.5" customHeight="1">
      <c r="A9" s="294"/>
      <c r="B9" s="307"/>
      <c r="C9" s="323" t="str">
        <f>Ifna(VLOOKUP(Y7,'物種'!A2:L213,3,FALSE),"")</f>
        <v>中型or小型</v>
      </c>
      <c r="D9" s="156"/>
      <c r="E9" s="156"/>
      <c r="F9" s="156"/>
      <c r="G9" s="156"/>
      <c r="H9" s="324"/>
      <c r="I9" s="313" t="str">
        <f>Ifna(VLOOKUP(Y7,'物種'!A2:L213,4,FALSE),"")</f>
        <v>類人生物</v>
      </c>
      <c r="J9" s="156"/>
      <c r="K9" s="156"/>
      <c r="L9" s="156"/>
      <c r="M9" s="156"/>
      <c r="N9" s="156"/>
      <c r="O9" s="325"/>
      <c r="P9" s="313"/>
      <c r="Q9" s="156"/>
      <c r="R9" s="156"/>
      <c r="S9" s="156"/>
      <c r="T9" s="324"/>
      <c r="U9" s="326"/>
      <c r="V9" s="156"/>
      <c r="W9" s="156"/>
      <c r="X9" s="156"/>
      <c r="Y9" s="324"/>
      <c r="Z9" s="313"/>
      <c r="AA9" s="156"/>
      <c r="AB9" s="156"/>
      <c r="AC9" s="156"/>
      <c r="AD9" s="324"/>
      <c r="AE9" s="313"/>
      <c r="AF9" s="156"/>
      <c r="AG9" s="156"/>
      <c r="AH9" s="156"/>
      <c r="AI9" s="327"/>
      <c r="AJ9" s="328"/>
      <c r="AK9" s="156"/>
      <c r="AL9" s="156"/>
      <c r="AM9" s="156"/>
      <c r="AN9" s="329"/>
      <c r="AO9" s="313"/>
      <c r="AP9" s="156"/>
      <c r="AQ9" s="156"/>
      <c r="AR9" s="156"/>
      <c r="AS9" s="330"/>
      <c r="AT9" s="331"/>
      <c r="AU9" s="156"/>
      <c r="AV9" s="156"/>
      <c r="AW9" s="156"/>
      <c r="AX9" s="173"/>
      <c r="AY9" s="313" t="s">
        <v>229</v>
      </c>
      <c r="AZ9" s="156"/>
      <c r="BA9" s="156"/>
      <c r="BB9" s="156"/>
      <c r="BC9" s="156"/>
      <c r="BD9" s="156"/>
      <c r="BE9" s="156"/>
      <c r="BF9" s="156"/>
      <c r="BG9" s="156"/>
      <c r="BH9" s="156"/>
      <c r="BI9" s="156"/>
      <c r="BJ9" s="156"/>
      <c r="BK9" s="156"/>
      <c r="BL9" s="156"/>
      <c r="BM9" s="156"/>
      <c r="BN9" s="156"/>
      <c r="BO9" s="156"/>
      <c r="BP9" s="156"/>
      <c r="BQ9" s="156"/>
      <c r="BR9" s="156"/>
      <c r="BS9" s="156"/>
      <c r="BT9" s="332"/>
      <c r="BU9" s="333"/>
      <c r="CM9" s="318"/>
      <c r="CN9" s="294"/>
    </row>
    <row r="10" ht="18.0" customHeight="1">
      <c r="A10" s="294"/>
      <c r="B10" s="307"/>
      <c r="C10" s="158" t="s">
        <v>171</v>
      </c>
      <c r="H10" s="158"/>
      <c r="I10" s="319" t="s">
        <v>230</v>
      </c>
      <c r="O10" s="158"/>
      <c r="P10" s="158" t="s">
        <v>231</v>
      </c>
      <c r="T10" s="319"/>
      <c r="U10" s="319" t="s">
        <v>232</v>
      </c>
      <c r="Y10" s="158"/>
      <c r="Z10" s="319" t="s">
        <v>233</v>
      </c>
      <c r="AD10" s="158"/>
      <c r="AE10" s="334" t="s">
        <v>234</v>
      </c>
      <c r="AI10" s="334"/>
      <c r="AJ10" s="161" t="s">
        <v>235</v>
      </c>
      <c r="AN10" s="319"/>
      <c r="AO10" s="161" t="s">
        <v>236</v>
      </c>
      <c r="AS10" s="173"/>
      <c r="AT10" s="161" t="s">
        <v>172</v>
      </c>
      <c r="AX10" s="173"/>
      <c r="AY10" s="160"/>
      <c r="AZ10" s="160"/>
      <c r="BA10" s="160"/>
      <c r="BB10" s="160"/>
      <c r="BC10" s="160"/>
      <c r="BD10" s="160" t="s">
        <v>170</v>
      </c>
      <c r="BO10" s="320" t="str">
        <f>IFNA(VLOOKUP(AY9,'背景'!A:B,2,False),"")</f>
        <v>PHB</v>
      </c>
      <c r="BT10" s="335"/>
      <c r="BU10" s="322"/>
      <c r="CM10" s="318"/>
      <c r="CN10" s="294"/>
    </row>
    <row r="11" ht="14.25" customHeight="1">
      <c r="A11" s="336"/>
      <c r="B11" s="336"/>
      <c r="C11" s="336"/>
      <c r="D11" s="336"/>
      <c r="E11" s="336"/>
      <c r="F11" s="336"/>
      <c r="G11" s="336"/>
      <c r="H11" s="336"/>
      <c r="I11" s="336"/>
      <c r="J11" s="336"/>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03"/>
      <c r="BG11" s="303"/>
      <c r="BH11" s="303"/>
      <c r="BI11" s="303"/>
      <c r="BJ11" s="303"/>
      <c r="BK11" s="303"/>
      <c r="BL11" s="303"/>
      <c r="BM11" s="303"/>
      <c r="BN11" s="303"/>
      <c r="BO11" s="303"/>
      <c r="BP11" s="303"/>
      <c r="BQ11" s="303"/>
      <c r="BR11" s="303"/>
      <c r="BS11" s="303"/>
      <c r="BT11" s="303"/>
      <c r="BU11" s="303"/>
      <c r="CM11" s="318"/>
      <c r="CN11" s="294"/>
    </row>
    <row r="12" ht="18.0" customHeight="1">
      <c r="A12" s="337"/>
      <c r="B12" s="338" t="s">
        <v>237</v>
      </c>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20"/>
      <c r="BU12" s="303"/>
      <c r="CM12" s="318"/>
      <c r="CN12" s="294"/>
    </row>
    <row r="13" ht="15.0" customHeight="1">
      <c r="A13" s="339"/>
      <c r="B13" s="340"/>
      <c r="C13" s="341"/>
      <c r="D13" s="341"/>
      <c r="E13" s="341"/>
      <c r="F13" s="341"/>
      <c r="G13" s="341"/>
      <c r="H13" s="341"/>
      <c r="I13" s="341"/>
      <c r="J13" s="341"/>
      <c r="K13" s="341"/>
      <c r="L13" s="341"/>
      <c r="M13" s="342"/>
      <c r="N13" s="342"/>
      <c r="O13" s="341"/>
      <c r="P13" s="341"/>
      <c r="Q13" s="341"/>
      <c r="R13" s="341"/>
      <c r="S13" s="341"/>
      <c r="T13" s="341"/>
      <c r="U13" s="341"/>
      <c r="V13" s="341"/>
      <c r="W13" s="341"/>
      <c r="X13" s="341"/>
      <c r="Y13" s="341"/>
      <c r="Z13" s="342"/>
      <c r="AA13" s="342"/>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2"/>
      <c r="AX13" s="342"/>
      <c r="AY13" s="341"/>
      <c r="AZ13" s="341"/>
      <c r="BA13" s="341"/>
      <c r="BB13" s="341"/>
      <c r="BC13" s="341"/>
      <c r="BD13" s="341"/>
      <c r="BE13" s="342"/>
      <c r="BF13" s="291"/>
      <c r="BG13" s="343" t="str">
        <f>SWITCH(AB16,
  "野蠻人-Barbarian", IMAGE("https://i.imgur.com/0EYltrl.png"),
  "法師-Wizard", IMAGE("https://i.imgur.com/B5X4tLg.png"),
  "術士-Sorcerer", IMAGE("https://i.imgur.com/v7SFUJL.png"),
  "聖騎士-Paladin", IMAGE("https://i.imgur.com/Lw78TxR.png"),
  "吟遊詩人-Bard", IMAGE("https://i.imgur.com/wxf5Px2.png"),
  "契術師-Warlock", IMAGE("https://i.imgur.com/C9HruiS.png"),
  "武僧-Monk", IMAGE("https://i.imgur.com/5sbMf18.png"),
  "牧師-Cleric", IMAGE("https://i.imgur.com/JbGHYPQ.png"),
  "德魯伊-Druid", IMAGE("https://i.imgur.com/Xws8X1s.png"),
  "遊俠-Ranger", IMAGE("https://i.imgur.com/owoN7t4.png"),
  "戰士-Fighter", IMAGE("https://i.imgur.com/XGIdtMF.png"),
  "盜賊-Rogue", IMAGE("https://imgur.com/Hvk5a27.png"),
  "奇械師-Artificer", IMAGE("https://i.imgur.com/BOrkMQ9.png"),
  "銃士-Gunslinger", IMAGE("https://duk.tw/Dq0X79.png"),
  "怪物獵人-Monster Hunter", IMAGE("https://duk.tw/9Zxjiv.png"),
  "拳鬥士-Pugilist", IMAGE("https://duk.tw/sAcpDy.jpg"),
  "", IMAGE("https://i.imgur.com/Ebaz1xz.png")
)</f>
        <v/>
      </c>
      <c r="BT13" s="344"/>
      <c r="BU13" s="303"/>
      <c r="CM13" s="318"/>
      <c r="CN13" s="294"/>
    </row>
    <row r="14" ht="18.0" customHeight="1">
      <c r="A14" s="294"/>
      <c r="B14" s="345"/>
      <c r="C14" s="346" t="s">
        <v>56</v>
      </c>
      <c r="D14" s="19"/>
      <c r="E14" s="19"/>
      <c r="F14" s="19"/>
      <c r="G14" s="19"/>
      <c r="H14" s="19"/>
      <c r="I14" s="19"/>
      <c r="J14" s="19"/>
      <c r="K14" s="19"/>
      <c r="L14" s="20"/>
      <c r="M14" s="347"/>
      <c r="N14" s="342"/>
      <c r="O14" s="346" t="s">
        <v>238</v>
      </c>
      <c r="P14" s="19"/>
      <c r="Q14" s="19"/>
      <c r="R14" s="19"/>
      <c r="S14" s="19"/>
      <c r="T14" s="19"/>
      <c r="U14" s="19"/>
      <c r="V14" s="19"/>
      <c r="W14" s="19"/>
      <c r="X14" s="19"/>
      <c r="Y14" s="20"/>
      <c r="Z14" s="347"/>
      <c r="AA14" s="348"/>
      <c r="AB14" s="349" t="s">
        <v>239</v>
      </c>
      <c r="AC14" s="152"/>
      <c r="AD14" s="152"/>
      <c r="AE14" s="152"/>
      <c r="AF14" s="152"/>
      <c r="AG14" s="152"/>
      <c r="AH14" s="152"/>
      <c r="AI14" s="152"/>
      <c r="AJ14" s="152"/>
      <c r="AK14" s="152"/>
      <c r="AL14" s="152"/>
      <c r="AM14" s="152"/>
      <c r="AN14" s="152"/>
      <c r="AO14" s="152"/>
      <c r="AP14" s="152"/>
      <c r="AQ14" s="152"/>
      <c r="AR14" s="152"/>
      <c r="AS14" s="152"/>
      <c r="AT14" s="152"/>
      <c r="AU14" s="152"/>
      <c r="AV14" s="175"/>
      <c r="AW14" s="350"/>
      <c r="AX14" s="351"/>
      <c r="AY14" s="352" t="s">
        <v>240</v>
      </c>
      <c r="AZ14" s="19"/>
      <c r="BA14" s="19"/>
      <c r="BB14" s="19"/>
      <c r="BC14" s="19"/>
      <c r="BD14" s="20"/>
      <c r="BE14" s="350"/>
      <c r="BF14" s="291"/>
      <c r="BT14" s="344"/>
      <c r="BU14" s="303"/>
      <c r="CM14" s="318"/>
      <c r="CN14" s="294"/>
    </row>
    <row r="15" ht="18.0" customHeight="1">
      <c r="A15" s="294"/>
      <c r="B15" s="345"/>
      <c r="C15" s="353" t="s">
        <v>67</v>
      </c>
      <c r="D15" s="354"/>
      <c r="E15" s="354"/>
      <c r="F15" s="354"/>
      <c r="G15" s="355">
        <v>10.0</v>
      </c>
      <c r="H15" s="356"/>
      <c r="I15" s="357"/>
      <c r="J15" s="358">
        <f>ROUNDDOWN(Str/2,0)-5</f>
        <v>0</v>
      </c>
      <c r="K15" s="356"/>
      <c r="L15" s="356"/>
      <c r="M15" s="347"/>
      <c r="N15" s="342" t="str">
        <f t="shared" ref="N15:N20" si="1">if(O15="✓",IMAGE("https://i.imgur.com/APyehpS.png"),
IF(O15="🗴",IMAGE("https://i.imgur.com/wXw7xUR.png"),""))</f>
        <v/>
      </c>
      <c r="O15" s="359"/>
      <c r="P15" s="360"/>
      <c r="Q15" s="361" t="b">
        <v>0</v>
      </c>
      <c r="R15" s="362"/>
      <c r="S15" s="363" t="s">
        <v>67</v>
      </c>
      <c r="T15" s="364"/>
      <c r="U15" s="364"/>
      <c r="V15" s="364"/>
      <c r="W15" s="365">
        <f>StrMod+IF('角色卡'!Q15=TRUE,Prof,0)</f>
        <v>0</v>
      </c>
      <c r="X15" s="364"/>
      <c r="Y15" s="364"/>
      <c r="Z15" s="366"/>
      <c r="AA15" s="318"/>
      <c r="AB15" s="367" t="s">
        <v>205</v>
      </c>
      <c r="AC15" s="152"/>
      <c r="AD15" s="152"/>
      <c r="AE15" s="152"/>
      <c r="AF15" s="152"/>
      <c r="AG15" s="152"/>
      <c r="AH15" s="152"/>
      <c r="AI15" s="152"/>
      <c r="AJ15" s="152"/>
      <c r="AK15" s="175"/>
      <c r="AL15" s="368" t="s">
        <v>241</v>
      </c>
      <c r="AM15" s="20"/>
      <c r="AN15" s="369" t="s">
        <v>242</v>
      </c>
      <c r="AO15" s="19"/>
      <c r="AP15" s="19"/>
      <c r="AQ15" s="19"/>
      <c r="AR15" s="20"/>
      <c r="AS15" s="370" t="s">
        <v>243</v>
      </c>
      <c r="AT15" s="20"/>
      <c r="AU15" s="371" t="s">
        <v>76</v>
      </c>
      <c r="AV15" s="20"/>
      <c r="AW15" s="350"/>
      <c r="AX15" s="351"/>
      <c r="AY15" s="372">
        <v>0.0</v>
      </c>
      <c r="AZ15" s="19"/>
      <c r="BA15" s="19"/>
      <c r="BB15" s="19"/>
      <c r="BC15" s="19"/>
      <c r="BD15" s="20"/>
      <c r="BE15" s="350"/>
      <c r="BF15" s="291"/>
      <c r="BT15" s="344"/>
      <c r="BU15" s="303"/>
      <c r="CM15" s="318"/>
      <c r="CN15" s="294"/>
    </row>
    <row r="16" ht="18.0" customHeight="1">
      <c r="A16" s="294"/>
      <c r="B16" s="345"/>
      <c r="C16" s="373" t="s">
        <v>71</v>
      </c>
      <c r="D16" s="213"/>
      <c r="E16" s="213"/>
      <c r="F16" s="213"/>
      <c r="G16" s="374">
        <v>12.0</v>
      </c>
      <c r="H16" s="375"/>
      <c r="I16" s="376"/>
      <c r="J16" s="377">
        <f>ROUNDDOWN(Dex/2,0)-5</f>
        <v>1</v>
      </c>
      <c r="K16" s="375"/>
      <c r="L16" s="375"/>
      <c r="M16" s="347"/>
      <c r="N16" s="342" t="str">
        <f t="shared" si="1"/>
        <v/>
      </c>
      <c r="O16" s="378"/>
      <c r="P16" s="379"/>
      <c r="Q16" s="380" t="b">
        <v>0</v>
      </c>
      <c r="R16" s="381"/>
      <c r="S16" s="382" t="s">
        <v>71</v>
      </c>
      <c r="T16" s="383"/>
      <c r="U16" s="383"/>
      <c r="V16" s="383"/>
      <c r="W16" s="384">
        <f>DexMod+IF('角色卡'!Q16=TRUE,Prof,0)                 </f>
        <v>1</v>
      </c>
      <c r="X16" s="383"/>
      <c r="Y16" s="383"/>
      <c r="Z16" s="366" t="s">
        <v>244</v>
      </c>
      <c r="AA16" s="318"/>
      <c r="AB16" s="385" t="s">
        <v>245</v>
      </c>
      <c r="AC16" s="152"/>
      <c r="AD16" s="152"/>
      <c r="AE16" s="152"/>
      <c r="AF16" s="152"/>
      <c r="AG16" s="152"/>
      <c r="AH16" s="152"/>
      <c r="AI16" s="152"/>
      <c r="AJ16" s="152"/>
      <c r="AK16" s="175"/>
      <c r="AL16" s="386">
        <v>3.0</v>
      </c>
      <c r="AM16" s="376"/>
      <c r="AN16" s="387" t="str">
        <f>SWITCH(AB16,
  "野蠻人-Barbarian", "1d12",
  "法師-Wizard", "1d6",
  "術士-Sorcerer", "1d6",
  "聖騎士-Paladin", "1d10",
  "吟遊詩人-Bard", "1d8",
  "契術師-Warlock", "1d8",
  "武僧-Monk", "1d8",
  "牧師-Cleric", "1d8",
  "德魯伊-Druid", "1d8",
  "遊俠-Ranger", "1d10",
  "戰士-Fighter", "1d10",
  "盜賊-Rogue", "1d8",
  "奇械師-Artificer", "1d8",
  "銃士-Gunslinger", "1d8",
  "怪物獵人-Monster Hunter", "1d10",
  "拳鬥士-Pugilist", "1d10",
  "", "")</f>
        <v>1d6</v>
      </c>
      <c r="AO16" s="375"/>
      <c r="AP16" s="375"/>
      <c r="AQ16" s="375"/>
      <c r="AR16" s="376"/>
      <c r="AS16" s="386"/>
      <c r="AT16" s="376"/>
      <c r="AU16" s="388">
        <f>IF(AL16="","",AL16*ConMod)</f>
        <v>3</v>
      </c>
      <c r="AV16" s="376"/>
      <c r="AW16" s="350"/>
      <c r="AY16" s="307"/>
      <c r="AZ16" s="307"/>
      <c r="BA16" s="307"/>
      <c r="BB16" s="307"/>
      <c r="BC16" s="307"/>
      <c r="BD16" s="307"/>
      <c r="BE16" s="307"/>
      <c r="BF16" s="291"/>
      <c r="BT16" s="389" t="s">
        <v>246</v>
      </c>
      <c r="BU16" s="303"/>
      <c r="CM16" s="318"/>
      <c r="CN16" s="294"/>
    </row>
    <row r="17" ht="18.0" customHeight="1">
      <c r="A17" s="294"/>
      <c r="B17" s="345"/>
      <c r="C17" s="373" t="s">
        <v>76</v>
      </c>
      <c r="D17" s="213"/>
      <c r="E17" s="213"/>
      <c r="F17" s="213"/>
      <c r="G17" s="390">
        <v>12.0</v>
      </c>
      <c r="H17" s="375"/>
      <c r="I17" s="376"/>
      <c r="J17" s="391">
        <f>ROUNDDOWN(Con/2,0)-5</f>
        <v>1</v>
      </c>
      <c r="K17" s="375"/>
      <c r="L17" s="375"/>
      <c r="M17" s="347"/>
      <c r="N17" s="342" t="str">
        <f t="shared" si="1"/>
        <v/>
      </c>
      <c r="O17" s="392"/>
      <c r="P17" s="379"/>
      <c r="Q17" s="393"/>
      <c r="R17" s="381"/>
      <c r="S17" s="382" t="s">
        <v>76</v>
      </c>
      <c r="T17" s="383"/>
      <c r="U17" s="383"/>
      <c r="V17" s="383"/>
      <c r="W17" s="394">
        <f>ConMod+IF('角色卡'!Q17=TRUE,Prof,0)</f>
        <v>1</v>
      </c>
      <c r="X17" s="383"/>
      <c r="Y17" s="383"/>
      <c r="Z17" s="395" t="s">
        <v>210</v>
      </c>
      <c r="AA17" s="318"/>
      <c r="AB17" s="396"/>
      <c r="AC17" s="257"/>
      <c r="AD17" s="257"/>
      <c r="AE17" s="257"/>
      <c r="AF17" s="257"/>
      <c r="AG17" s="257"/>
      <c r="AH17" s="257"/>
      <c r="AI17" s="257"/>
      <c r="AJ17" s="257"/>
      <c r="AK17" s="397"/>
      <c r="AL17" s="398"/>
      <c r="AM17" s="376"/>
      <c r="AN17" s="387" t="str">
        <f t="shared" ref="AN17:AN18" si="2">SWITCH(AB17,
  "野蠻人-Barbarian", "1d12",
  "法師-Wizard", "1d6",
  "術士-Sorcerer", "1d6",
  "聖騎士-Paladin", "1d10",
  "吟遊詩人-Bard", "1d8",
  "契術師-Warlock", "1d8",
  "武僧-Monk", "1d8",
  "牧師-Cleric", "1d8",
  "德魯伊-Druid", "1d8",
  "遊俠-Ranger", "1d10",
  "戰士-Fighter", "1d10",
  "盜賊-Rogue", "1d8",
  "奇械師-Artificer", "1d8",
  "銃士-Gunslinger", "1d8",
  "怪物獵人-Monster Hunter", "1d10",
  "", "")</f>
        <v/>
      </c>
      <c r="AO17" s="375"/>
      <c r="AP17" s="375"/>
      <c r="AQ17" s="375"/>
      <c r="AR17" s="376"/>
      <c r="AS17" s="398"/>
      <c r="AT17" s="376"/>
      <c r="AU17" s="399" t="str">
        <f>IF(AL17="","",AL17*ConMod)</f>
        <v/>
      </c>
      <c r="AV17" s="376"/>
      <c r="AW17" s="350"/>
      <c r="AY17" s="369" t="s">
        <v>211</v>
      </c>
      <c r="AZ17" s="19"/>
      <c r="BA17" s="400"/>
      <c r="BB17" s="401" t="s">
        <v>212</v>
      </c>
      <c r="BC17" s="19"/>
      <c r="BD17" s="20"/>
      <c r="BE17" s="307"/>
      <c r="BF17" s="291"/>
      <c r="BT17" s="344"/>
      <c r="BU17" s="303"/>
      <c r="CM17" s="318"/>
      <c r="CN17" s="294"/>
    </row>
    <row r="18" ht="18.0" customHeight="1">
      <c r="A18" s="294"/>
      <c r="B18" s="345"/>
      <c r="C18" s="373" t="s">
        <v>80</v>
      </c>
      <c r="D18" s="213"/>
      <c r="E18" s="213"/>
      <c r="F18" s="213"/>
      <c r="G18" s="374">
        <v>17.0</v>
      </c>
      <c r="H18" s="375"/>
      <c r="I18" s="376"/>
      <c r="J18" s="391">
        <f>ROUNDDOWN(Int/2,0)-5</f>
        <v>3</v>
      </c>
      <c r="K18" s="375"/>
      <c r="L18" s="375"/>
      <c r="M18" s="347"/>
      <c r="N18" s="342" t="str">
        <f t="shared" si="1"/>
        <v/>
      </c>
      <c r="O18" s="378"/>
      <c r="P18" s="379"/>
      <c r="Q18" s="380" t="b">
        <v>1</v>
      </c>
      <c r="R18" s="381"/>
      <c r="S18" s="382" t="s">
        <v>80</v>
      </c>
      <c r="T18" s="383"/>
      <c r="U18" s="383"/>
      <c r="V18" s="383"/>
      <c r="W18" s="394">
        <f>IntMod+IF('角色卡'!Q18=TRUE,Prof,0)</f>
        <v>5</v>
      </c>
      <c r="X18" s="383"/>
      <c r="Y18" s="383"/>
      <c r="Z18" s="395" t="s">
        <v>216</v>
      </c>
      <c r="AA18" s="318"/>
      <c r="AB18" s="396"/>
      <c r="AC18" s="257"/>
      <c r="AD18" s="257"/>
      <c r="AE18" s="257"/>
      <c r="AF18" s="257"/>
      <c r="AG18" s="257"/>
      <c r="AH18" s="257"/>
      <c r="AI18" s="257"/>
      <c r="AJ18" s="257"/>
      <c r="AK18" s="397"/>
      <c r="AL18" s="402"/>
      <c r="AM18" s="403"/>
      <c r="AN18" s="387" t="str">
        <f t="shared" si="2"/>
        <v/>
      </c>
      <c r="AO18" s="375"/>
      <c r="AP18" s="375"/>
      <c r="AQ18" s="375"/>
      <c r="AR18" s="376"/>
      <c r="AS18" s="404"/>
      <c r="AT18" s="376"/>
      <c r="AU18" s="405" t="str">
        <f>IF(AL18="","",AL18*ConMod)</f>
        <v/>
      </c>
      <c r="AV18" s="403"/>
      <c r="AW18" s="350"/>
      <c r="AX18" s="318"/>
      <c r="AY18" s="406">
        <v>40.0</v>
      </c>
      <c r="AZ18" s="19"/>
      <c r="BA18" s="19"/>
      <c r="BB18" s="407">
        <v>0.0</v>
      </c>
      <c r="BC18" s="19"/>
      <c r="BD18" s="20"/>
      <c r="BE18" s="350"/>
      <c r="BF18" s="291"/>
      <c r="BT18" s="344"/>
      <c r="BU18" s="303"/>
      <c r="CM18" s="318"/>
      <c r="CN18" s="294"/>
    </row>
    <row r="19" ht="18.0" customHeight="1">
      <c r="A19" s="294"/>
      <c r="B19" s="345"/>
      <c r="C19" s="408" t="s">
        <v>83</v>
      </c>
      <c r="D19" s="213"/>
      <c r="E19" s="213"/>
      <c r="F19" s="213"/>
      <c r="G19" s="390">
        <v>13.0</v>
      </c>
      <c r="H19" s="375"/>
      <c r="I19" s="376"/>
      <c r="J19" s="391">
        <f>ROUNDDOWN(Wis/2,0)-5</f>
        <v>1</v>
      </c>
      <c r="K19" s="375"/>
      <c r="L19" s="375"/>
      <c r="M19" s="347"/>
      <c r="N19" s="342" t="str">
        <f t="shared" si="1"/>
        <v/>
      </c>
      <c r="O19" s="392"/>
      <c r="P19" s="379"/>
      <c r="Q19" s="393" t="b">
        <v>1</v>
      </c>
      <c r="R19" s="381"/>
      <c r="S19" s="409" t="s">
        <v>83</v>
      </c>
      <c r="T19" s="383"/>
      <c r="U19" s="383"/>
      <c r="V19" s="383"/>
      <c r="W19" s="394">
        <f>WisMod+IF('角色卡'!Q19=TRUE,Prof,0)</f>
        <v>3</v>
      </c>
      <c r="X19" s="383"/>
      <c r="Y19" s="383"/>
      <c r="Z19" s="410"/>
      <c r="AB19" s="307"/>
      <c r="AC19" s="307"/>
      <c r="AD19" s="307"/>
      <c r="AE19" s="307"/>
      <c r="AF19" s="411" t="s">
        <v>247</v>
      </c>
      <c r="AG19" s="19"/>
      <c r="AH19" s="19"/>
      <c r="AI19" s="19"/>
      <c r="AJ19" s="19"/>
      <c r="AK19" s="19"/>
      <c r="AL19" s="412"/>
      <c r="AM19" s="357"/>
      <c r="AN19" s="411" t="s">
        <v>248</v>
      </c>
      <c r="AO19" s="19"/>
      <c r="AP19" s="19"/>
      <c r="AQ19" s="19"/>
      <c r="AR19" s="19"/>
      <c r="AS19" s="19"/>
      <c r="AT19" s="19"/>
      <c r="AU19" s="413">
        <f>AL20*AL19</f>
        <v>0</v>
      </c>
      <c r="AV19" s="20"/>
      <c r="AW19" s="350"/>
      <c r="AX19" s="318"/>
      <c r="AY19" s="352" t="s">
        <v>213</v>
      </c>
      <c r="AZ19" s="19"/>
      <c r="BA19" s="400"/>
      <c r="BB19" s="401" t="s">
        <v>214</v>
      </c>
      <c r="BC19" s="19"/>
      <c r="BD19" s="20"/>
      <c r="BE19" s="350"/>
      <c r="BF19" s="414" t="s">
        <v>246</v>
      </c>
      <c r="BT19" s="344"/>
      <c r="BU19" s="303"/>
      <c r="CM19" s="318"/>
      <c r="CN19" s="294"/>
    </row>
    <row r="20" ht="18.0" customHeight="1">
      <c r="A20" s="294"/>
      <c r="B20" s="345"/>
      <c r="C20" s="415" t="s">
        <v>88</v>
      </c>
      <c r="D20" s="240"/>
      <c r="E20" s="240"/>
      <c r="F20" s="240"/>
      <c r="G20" s="374">
        <v>12.0</v>
      </c>
      <c r="H20" s="375"/>
      <c r="I20" s="376"/>
      <c r="J20" s="416">
        <f>ROUNDDOWN(Cha/2,0)-5</f>
        <v>1</v>
      </c>
      <c r="K20" s="417"/>
      <c r="L20" s="417"/>
      <c r="M20" s="347"/>
      <c r="N20" s="342" t="str">
        <f t="shared" si="1"/>
        <v/>
      </c>
      <c r="O20" s="418"/>
      <c r="P20" s="419"/>
      <c r="Q20" s="420" t="b">
        <v>0</v>
      </c>
      <c r="R20" s="421"/>
      <c r="S20" s="422" t="s">
        <v>88</v>
      </c>
      <c r="T20" s="240"/>
      <c r="U20" s="240"/>
      <c r="V20" s="240"/>
      <c r="W20" s="423">
        <f>ChaMod+IF('角色卡'!Q20=TRUE,Prof,0)</f>
        <v>1</v>
      </c>
      <c r="X20" s="240"/>
      <c r="Y20" s="240"/>
      <c r="Z20" s="350"/>
      <c r="AA20" s="307"/>
      <c r="AB20" s="424" t="s">
        <v>249</v>
      </c>
      <c r="AK20" s="318"/>
      <c r="AL20" s="425">
        <f>SUM(AL16:AM18)</f>
        <v>3</v>
      </c>
      <c r="AM20" s="20"/>
      <c r="AN20" s="426" t="s">
        <v>250</v>
      </c>
      <c r="AO20" s="240"/>
      <c r="AP20" s="240"/>
      <c r="AQ20" s="240"/>
      <c r="AR20" s="241"/>
      <c r="AS20" s="413">
        <f>SUM(AS16:AT18)</f>
        <v>0</v>
      </c>
      <c r="AT20" s="20"/>
      <c r="AU20" s="413">
        <f>SUM(AU16:AV18)</f>
        <v>3</v>
      </c>
      <c r="AV20" s="20"/>
      <c r="AW20" s="350"/>
      <c r="AY20" s="407">
        <v>0.0</v>
      </c>
      <c r="AZ20" s="19"/>
      <c r="BA20" s="20"/>
      <c r="BB20" s="407">
        <v>0.0</v>
      </c>
      <c r="BC20" s="19"/>
      <c r="BD20" s="20"/>
      <c r="BE20" s="307"/>
      <c r="BF20" s="291"/>
      <c r="BT20" s="344"/>
      <c r="BU20" s="303"/>
      <c r="CM20" s="318"/>
      <c r="CN20" s="294"/>
    </row>
    <row r="21" ht="15.0" customHeight="1">
      <c r="A21" s="339"/>
      <c r="B21" s="427"/>
      <c r="C21" s="428"/>
      <c r="D21" s="428"/>
      <c r="E21" s="428"/>
      <c r="F21" s="428"/>
      <c r="G21" s="429"/>
      <c r="H21" s="428"/>
      <c r="I21" s="428"/>
      <c r="J21" s="430" t="s">
        <v>61</v>
      </c>
      <c r="K21" s="19"/>
      <c r="L21" s="19"/>
      <c r="M21" s="431"/>
      <c r="N21" s="431"/>
      <c r="O21" s="432" t="s">
        <v>251</v>
      </c>
      <c r="P21" s="240"/>
      <c r="Q21" s="430" t="s">
        <v>252</v>
      </c>
      <c r="R21" s="19"/>
      <c r="S21" s="433"/>
      <c r="T21" s="433"/>
      <c r="U21" s="433"/>
      <c r="V21" s="433"/>
      <c r="W21" s="430" t="s">
        <v>61</v>
      </c>
      <c r="X21" s="19"/>
      <c r="Y21" s="19"/>
      <c r="Z21" s="341"/>
      <c r="AA21" s="341"/>
      <c r="AB21" s="341"/>
      <c r="AC21" s="341"/>
      <c r="AD21" s="341"/>
      <c r="AE21" s="341"/>
      <c r="AF21" s="341"/>
      <c r="AG21" s="341"/>
      <c r="AH21" s="341"/>
      <c r="AI21" s="341"/>
      <c r="AJ21" s="341"/>
      <c r="AK21" s="341"/>
      <c r="AL21" s="341"/>
      <c r="AM21" s="341"/>
      <c r="AN21" s="341"/>
      <c r="AO21" s="341"/>
      <c r="AP21" s="341"/>
      <c r="AQ21" s="307"/>
      <c r="AR21" s="307"/>
      <c r="AS21" s="307"/>
      <c r="AT21" s="307"/>
      <c r="AU21" s="307"/>
      <c r="AV21" s="307"/>
      <c r="AW21" s="341"/>
      <c r="AX21" s="341"/>
      <c r="AY21" s="341"/>
      <c r="AZ21" s="341"/>
      <c r="BA21" s="341"/>
      <c r="BB21" s="341"/>
      <c r="BC21" s="341"/>
      <c r="BD21" s="341"/>
      <c r="BE21" s="341"/>
      <c r="BF21" s="434"/>
      <c r="BG21" s="240"/>
      <c r="BH21" s="240"/>
      <c r="BI21" s="240"/>
      <c r="BJ21" s="240"/>
      <c r="BK21" s="240"/>
      <c r="BL21" s="240"/>
      <c r="BM21" s="240"/>
      <c r="BN21" s="240"/>
      <c r="BO21" s="240"/>
      <c r="BP21" s="240"/>
      <c r="BQ21" s="240"/>
      <c r="BR21" s="240"/>
      <c r="BS21" s="240"/>
      <c r="BT21" s="435"/>
      <c r="BU21" s="303"/>
      <c r="BV21" s="240"/>
      <c r="BW21" s="240"/>
      <c r="BX21" s="240"/>
      <c r="BY21" s="240"/>
      <c r="BZ21" s="240"/>
      <c r="CA21" s="240"/>
      <c r="CB21" s="240"/>
      <c r="CC21" s="240"/>
      <c r="CD21" s="240"/>
      <c r="CE21" s="240"/>
      <c r="CF21" s="240"/>
      <c r="CG21" s="240"/>
      <c r="CH21" s="240"/>
      <c r="CI21" s="240"/>
      <c r="CJ21" s="240"/>
      <c r="CK21" s="240"/>
      <c r="CL21" s="240"/>
      <c r="CM21" s="241"/>
      <c r="CN21" s="294"/>
    </row>
    <row r="22" ht="13.5" hidden="1" customHeight="1">
      <c r="A22" s="436"/>
      <c r="B22" s="19"/>
      <c r="C22" s="19"/>
      <c r="D22" s="19"/>
      <c r="E22" s="19"/>
      <c r="F22" s="19"/>
      <c r="G22" s="19"/>
      <c r="H22" s="19"/>
      <c r="I22" s="19"/>
      <c r="J22" s="19"/>
      <c r="K22" s="19"/>
      <c r="L22" s="19"/>
      <c r="M22" s="19"/>
      <c r="N22" s="19"/>
      <c r="O22" s="19"/>
      <c r="P22" s="19"/>
      <c r="Q22" s="19"/>
      <c r="R22" s="437" t="s">
        <v>253</v>
      </c>
      <c r="S22" s="19"/>
      <c r="T22" s="400"/>
      <c r="U22" s="438" t="b">
        <v>0</v>
      </c>
      <c r="V22" s="400"/>
      <c r="W22" s="436"/>
      <c r="X22" s="436"/>
      <c r="Y22" s="436"/>
      <c r="Z22" s="436"/>
      <c r="AA22" s="436"/>
      <c r="AB22" s="436"/>
      <c r="AC22" s="439">
        <f>SUM(AF22:AJ22)</f>
        <v>9</v>
      </c>
      <c r="AD22" s="400"/>
      <c r="AE22" s="440" t="s">
        <v>59</v>
      </c>
      <c r="AF22" s="441">
        <f>MAX(AL20-1,0)</f>
        <v>2</v>
      </c>
      <c r="AG22" s="400"/>
      <c r="AH22" s="440" t="s">
        <v>254</v>
      </c>
      <c r="AI22" s="442">
        <f>AL22</f>
        <v>7</v>
      </c>
      <c r="AJ22" s="400"/>
      <c r="AK22" s="443" t="s">
        <v>59</v>
      </c>
      <c r="AL22" s="444">
        <f>IF(OR(AN16="1d6"),6+ConMod,IF(OR(AN16="1d8"),8+ConMod,IF(OR(AN16="1d10"),10+ConMod,IF(OR(AN16="1d12"),12+ConMod,0))))</f>
        <v>7</v>
      </c>
      <c r="AM22" s="400"/>
      <c r="AN22" s="436"/>
      <c r="AO22" s="436"/>
      <c r="AP22" s="436"/>
      <c r="AQ22" s="436"/>
      <c r="AR22" s="436"/>
      <c r="AS22" s="436"/>
      <c r="AT22" s="445">
        <f>MAX(SUM(AS20:AV20),0)</f>
        <v>3</v>
      </c>
      <c r="AU22" s="400"/>
      <c r="AV22" s="446"/>
      <c r="AW22" s="447">
        <f>IF(and(AT22=0,abs(AS20)&gt;=AU20),1,0)</f>
        <v>0</v>
      </c>
      <c r="AX22" s="400"/>
      <c r="AY22" s="436"/>
      <c r="AZ22" s="436"/>
      <c r="BA22" s="436"/>
      <c r="BB22" s="436"/>
      <c r="BC22" s="436"/>
      <c r="BD22" s="436"/>
      <c r="BE22" s="436"/>
      <c r="BF22" s="436"/>
      <c r="BG22" s="436"/>
      <c r="BH22" s="436"/>
      <c r="BI22" s="436"/>
      <c r="BJ22" s="436"/>
      <c r="BK22" s="436"/>
      <c r="BL22" s="448"/>
      <c r="BM22" s="448"/>
      <c r="BN22" s="448"/>
      <c r="BO22" s="448"/>
      <c r="BP22" s="448"/>
      <c r="BQ22" s="448"/>
      <c r="BR22" s="436"/>
      <c r="BS22" s="436"/>
      <c r="BT22" s="448"/>
      <c r="BU22" s="448"/>
      <c r="BV22" s="436"/>
      <c r="BW22" s="436"/>
      <c r="BX22" s="436"/>
      <c r="BY22" s="436"/>
      <c r="BZ22" s="436"/>
      <c r="CA22" s="436"/>
      <c r="CB22" s="436"/>
      <c r="CC22" s="436"/>
      <c r="CD22" s="436"/>
      <c r="CE22" s="448"/>
      <c r="CF22" s="436"/>
      <c r="CG22" s="436"/>
      <c r="CH22" s="436"/>
      <c r="CI22" s="436"/>
      <c r="CJ22" s="436"/>
      <c r="CK22" s="436"/>
      <c r="CL22" s="436"/>
      <c r="CM22" s="436"/>
      <c r="CN22" s="436"/>
    </row>
    <row r="23" ht="13.5" customHeight="1">
      <c r="A23" s="339"/>
      <c r="B23" s="449"/>
      <c r="C23" s="449"/>
      <c r="D23" s="449"/>
      <c r="E23" s="449"/>
      <c r="F23" s="449"/>
      <c r="G23" s="449"/>
      <c r="H23" s="449"/>
      <c r="I23" s="449"/>
      <c r="J23" s="449"/>
      <c r="K23" s="449"/>
      <c r="L23" s="449"/>
      <c r="M23" s="449"/>
      <c r="N23" s="449"/>
      <c r="O23" s="450"/>
      <c r="P23" s="450"/>
      <c r="Q23" s="450"/>
      <c r="R23" s="450"/>
      <c r="S23" s="450"/>
      <c r="T23" s="450"/>
      <c r="U23" s="451"/>
      <c r="V23" s="452"/>
      <c r="W23" s="450"/>
      <c r="X23" s="453" t="s">
        <v>255</v>
      </c>
      <c r="Y23" s="450"/>
      <c r="Z23" s="450"/>
      <c r="AA23" s="450"/>
      <c r="AB23" s="450"/>
      <c r="AC23" s="450"/>
      <c r="AD23" s="450"/>
      <c r="AE23" s="450"/>
      <c r="AF23" s="450"/>
      <c r="AG23" s="450"/>
      <c r="AH23" s="450"/>
      <c r="AI23" s="450"/>
      <c r="AJ23" s="450"/>
      <c r="AK23" s="450"/>
      <c r="AL23" s="450"/>
      <c r="AM23" s="450"/>
      <c r="AN23" s="450"/>
      <c r="AO23" s="449"/>
      <c r="AP23" s="449"/>
      <c r="AQ23" s="450"/>
      <c r="AR23" s="450"/>
      <c r="AS23" s="450"/>
      <c r="AT23" s="450"/>
      <c r="AU23" s="450"/>
      <c r="AV23" s="450"/>
      <c r="AW23" s="450"/>
      <c r="AX23" s="450"/>
      <c r="AY23" s="450"/>
      <c r="AZ23" s="450"/>
      <c r="BA23" s="449"/>
      <c r="BB23" s="449"/>
      <c r="BC23" s="449"/>
      <c r="BD23" s="449"/>
      <c r="BE23" s="450"/>
      <c r="BF23" s="454"/>
      <c r="BG23" s="303"/>
      <c r="BH23" s="303"/>
      <c r="BI23" s="303"/>
      <c r="BJ23" s="303"/>
      <c r="BK23" s="303"/>
      <c r="BL23" s="303"/>
      <c r="BM23" s="303"/>
      <c r="BN23" s="303"/>
      <c r="BO23" s="303"/>
      <c r="BP23" s="303"/>
      <c r="BQ23" s="303"/>
      <c r="BR23" s="303"/>
      <c r="BS23" s="303"/>
      <c r="BT23" s="303"/>
      <c r="BU23" s="303"/>
      <c r="BV23" s="303"/>
      <c r="BW23" s="303"/>
      <c r="BX23" s="294"/>
      <c r="BY23" s="294"/>
      <c r="BZ23" s="294"/>
      <c r="CA23" s="294"/>
      <c r="CB23" s="294"/>
      <c r="CC23" s="294"/>
      <c r="CD23" s="294"/>
      <c r="CE23" s="294"/>
      <c r="CF23" s="294"/>
      <c r="CG23" s="294"/>
      <c r="CH23" s="294"/>
      <c r="CI23" s="294"/>
      <c r="CJ23" s="294"/>
      <c r="CK23" s="294"/>
      <c r="CL23" s="294"/>
      <c r="CM23" s="294"/>
      <c r="CN23" s="294"/>
    </row>
    <row r="24" ht="18.75" customHeight="1">
      <c r="A24" s="455"/>
      <c r="B24" s="338" t="s">
        <v>256</v>
      </c>
      <c r="C24" s="19"/>
      <c r="D24" s="19"/>
      <c r="E24" s="19"/>
      <c r="F24" s="19"/>
      <c r="G24" s="19"/>
      <c r="H24" s="19"/>
      <c r="I24" s="19"/>
      <c r="J24" s="19"/>
      <c r="K24" s="19"/>
      <c r="L24" s="19"/>
      <c r="M24" s="19"/>
      <c r="N24" s="19"/>
      <c r="O24" s="19"/>
      <c r="P24" s="19"/>
      <c r="Q24" s="19"/>
      <c r="R24" s="19"/>
      <c r="S24" s="19"/>
      <c r="T24" s="20"/>
      <c r="U24" s="294"/>
      <c r="V24" s="456" t="s">
        <v>257</v>
      </c>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20"/>
      <c r="CN24" s="294"/>
    </row>
    <row r="25" ht="18.75" customHeight="1">
      <c r="A25" s="339"/>
      <c r="B25" s="457"/>
      <c r="C25" s="428"/>
      <c r="D25" s="428"/>
      <c r="E25" s="428"/>
      <c r="F25" s="428"/>
      <c r="G25" s="428"/>
      <c r="H25" s="428"/>
      <c r="I25" s="428"/>
      <c r="J25" s="428"/>
      <c r="K25" s="428"/>
      <c r="L25" s="428"/>
      <c r="M25" s="428"/>
      <c r="N25" s="428"/>
      <c r="O25" s="428"/>
      <c r="P25" s="428"/>
      <c r="Q25" s="428"/>
      <c r="R25" s="428"/>
      <c r="S25" s="457"/>
      <c r="T25" s="457"/>
      <c r="U25" s="294"/>
      <c r="V25" s="342"/>
      <c r="W25" s="457"/>
      <c r="X25" s="458" t="s">
        <v>258</v>
      </c>
      <c r="Y25" s="19"/>
      <c r="Z25" s="19"/>
      <c r="AA25" s="20"/>
      <c r="AB25" s="459">
        <v>0.0</v>
      </c>
      <c r="AC25" s="318"/>
      <c r="AD25" s="457"/>
      <c r="AE25" s="460"/>
      <c r="AF25" s="461" t="s">
        <v>259</v>
      </c>
      <c r="AG25" s="19"/>
      <c r="AH25" s="19"/>
      <c r="AI25" s="19"/>
      <c r="AJ25" s="462" t="b">
        <v>0</v>
      </c>
      <c r="AK25" s="20"/>
      <c r="AL25" s="307"/>
      <c r="AM25" s="457"/>
      <c r="AN25" s="457"/>
      <c r="AO25" s="457"/>
      <c r="AP25" s="428"/>
      <c r="AQ25" s="428"/>
      <c r="AR25" s="428"/>
      <c r="AS25" s="307"/>
      <c r="AT25" s="307"/>
      <c r="AU25" s="457"/>
      <c r="AV25" s="457"/>
      <c r="AW25" s="457"/>
      <c r="AX25" s="457"/>
      <c r="AY25" s="457"/>
      <c r="AZ25" s="457"/>
      <c r="BA25" s="457"/>
      <c r="BB25" s="457"/>
      <c r="BC25" s="457"/>
      <c r="BD25" s="457"/>
      <c r="BE25" s="457"/>
      <c r="BF25" s="457"/>
      <c r="BG25" s="457"/>
      <c r="BH25" s="457"/>
      <c r="BI25" s="457"/>
      <c r="BJ25" s="457"/>
      <c r="BK25" s="457"/>
      <c r="BL25" s="457"/>
      <c r="BM25" s="457"/>
      <c r="BN25" s="457"/>
      <c r="BO25" s="457"/>
      <c r="BP25" s="457"/>
      <c r="BQ25" s="457"/>
      <c r="BR25" s="457"/>
      <c r="BS25" s="457"/>
      <c r="BT25" s="457"/>
      <c r="BU25" s="457"/>
      <c r="BV25" s="457"/>
      <c r="BW25" s="457"/>
      <c r="BX25" s="457"/>
      <c r="BY25" s="457"/>
      <c r="BZ25" s="457"/>
      <c r="CA25" s="457"/>
      <c r="CB25" s="457"/>
      <c r="CC25" s="457"/>
      <c r="CD25" s="457"/>
      <c r="CE25" s="457"/>
      <c r="CF25" s="457"/>
      <c r="CG25" s="457"/>
      <c r="CH25" s="457"/>
      <c r="CI25" s="457"/>
      <c r="CJ25" s="307"/>
      <c r="CK25" s="307"/>
      <c r="CL25" s="307"/>
      <c r="CM25" s="307"/>
      <c r="CN25" s="294"/>
    </row>
    <row r="26" ht="18.75" customHeight="1">
      <c r="A26" s="294"/>
      <c r="B26" s="351"/>
      <c r="C26" s="463" t="s">
        <v>260</v>
      </c>
      <c r="D26" s="19"/>
      <c r="E26" s="20"/>
      <c r="F26" s="464" t="s">
        <v>261</v>
      </c>
      <c r="G26" s="19"/>
      <c r="H26" s="19"/>
      <c r="I26" s="19"/>
      <c r="J26" s="19"/>
      <c r="K26" s="19"/>
      <c r="L26" s="19"/>
      <c r="M26" s="19"/>
      <c r="N26" s="464" t="s">
        <v>252</v>
      </c>
      <c r="O26" s="19"/>
      <c r="P26" s="20"/>
      <c r="Q26" s="465" t="s">
        <v>251</v>
      </c>
      <c r="R26" s="19"/>
      <c r="S26" s="20"/>
      <c r="T26" s="350"/>
      <c r="U26" s="294"/>
      <c r="V26" s="307"/>
      <c r="W26" s="307"/>
      <c r="X26" s="466" t="s">
        <v>262</v>
      </c>
      <c r="Y26" s="19"/>
      <c r="Z26" s="19"/>
      <c r="AA26" s="19"/>
      <c r="AB26" s="19"/>
      <c r="AC26" s="20"/>
      <c r="AD26" s="350"/>
      <c r="AE26" s="460"/>
      <c r="AF26" s="467" t="s">
        <v>263</v>
      </c>
      <c r="AG26" s="152"/>
      <c r="AH26" s="152"/>
      <c r="AI26" s="152"/>
      <c r="AJ26" s="152"/>
      <c r="AK26" s="175"/>
      <c r="AL26" s="307"/>
      <c r="AM26" s="307"/>
      <c r="AN26" s="346" t="s">
        <v>177</v>
      </c>
      <c r="AO26" s="19"/>
      <c r="AP26" s="19"/>
      <c r="AQ26" s="19"/>
      <c r="AR26" s="20"/>
      <c r="AS26" s="307"/>
      <c r="AT26" s="307"/>
      <c r="AU26" s="351"/>
      <c r="AV26" s="352" t="s">
        <v>264</v>
      </c>
      <c r="AW26" s="19"/>
      <c r="AX26" s="400"/>
      <c r="AY26" s="401" t="s">
        <v>80</v>
      </c>
      <c r="AZ26" s="19"/>
      <c r="BA26" s="400"/>
      <c r="BB26" s="401" t="s">
        <v>265</v>
      </c>
      <c r="BC26" s="19"/>
      <c r="BD26" s="20"/>
      <c r="BE26" s="342"/>
      <c r="BF26" s="468" t="s">
        <v>266</v>
      </c>
      <c r="BG26" s="152"/>
      <c r="BH26" s="152"/>
      <c r="BI26" s="152"/>
      <c r="BJ26" s="152"/>
      <c r="BK26" s="152"/>
      <c r="BL26" s="152"/>
      <c r="BM26" s="152"/>
      <c r="BN26" s="175"/>
      <c r="BO26" s="307"/>
      <c r="BP26" s="469" t="s">
        <v>267</v>
      </c>
      <c r="BQ26" s="19"/>
      <c r="BR26" s="19"/>
      <c r="BS26" s="19"/>
      <c r="BT26" s="19"/>
      <c r="BU26" s="19"/>
      <c r="BV26" s="19"/>
      <c r="BW26" s="19"/>
      <c r="BX26" s="470" t="s">
        <v>55</v>
      </c>
      <c r="BY26" s="19"/>
      <c r="BZ26" s="400"/>
      <c r="CA26" s="401" t="s">
        <v>268</v>
      </c>
      <c r="CB26" s="19"/>
      <c r="CC26" s="400"/>
      <c r="CD26" s="470" t="s">
        <v>71</v>
      </c>
      <c r="CE26" s="19"/>
      <c r="CF26" s="400"/>
      <c r="CG26" s="470" t="s">
        <v>269</v>
      </c>
      <c r="CH26" s="19"/>
      <c r="CI26" s="400"/>
      <c r="CJ26" s="470" t="s">
        <v>270</v>
      </c>
      <c r="CK26" s="19"/>
      <c r="CL26" s="20"/>
      <c r="CM26" s="307"/>
      <c r="CN26" s="294"/>
    </row>
    <row r="27" ht="18.75" customHeight="1">
      <c r="A27" s="294"/>
      <c r="B27" s="351" t="str">
        <f t="shared" ref="B27:B44" si="3">if(Q27="✓",IMAGE("https://i.imgur.com/APyehpS.png"),
IF(Q27="🗴",IMAGE("https://i.imgur.com/wXw7xUR.png"),""))</f>
        <v/>
      </c>
      <c r="C27" s="471">
        <f>StrMod+(Prof*IF(N27="x2",2,IF(N27="½",0.4,IF(N27="●",1,0))))</f>
        <v>0</v>
      </c>
      <c r="D27" s="152"/>
      <c r="E27" s="152"/>
      <c r="F27" s="472" t="s">
        <v>271</v>
      </c>
      <c r="G27" s="19"/>
      <c r="H27" s="19"/>
      <c r="I27" s="19"/>
      <c r="J27" s="19"/>
      <c r="K27" s="19"/>
      <c r="L27" s="19"/>
      <c r="M27" s="19"/>
      <c r="N27" s="473"/>
      <c r="O27" s="474"/>
      <c r="P27" s="475"/>
      <c r="Q27" s="476"/>
      <c r="R27" s="474"/>
      <c r="S27" s="477"/>
      <c r="T27" s="478"/>
      <c r="U27" s="294"/>
      <c r="V27" s="479" t="str">
        <f>IF(U22=true,IMAGE("https://i.imgur.com/Ko3ATxC.png"),"")</f>
        <v/>
      </c>
      <c r="X27" s="480">
        <v>17.0</v>
      </c>
      <c r="Y27" s="152"/>
      <c r="Z27" s="481"/>
      <c r="AA27" s="482">
        <v>17.0</v>
      </c>
      <c r="AB27" s="152"/>
      <c r="AC27" s="175"/>
      <c r="AD27" s="350"/>
      <c r="AF27" s="480">
        <v>0.0</v>
      </c>
      <c r="AG27" s="152"/>
      <c r="AH27" s="481"/>
      <c r="AI27" s="483">
        <f>J16+IF(OR(AK57="幽域追蹤者",BH57="幽域追蹤者",CE57="幽域追蹤者"),J19)+IF(AJ25=TRUE,C47)</f>
        <v>1</v>
      </c>
      <c r="AJ27" s="152"/>
      <c r="AK27" s="175"/>
      <c r="AL27" s="479" t="str">
        <f>IF(U22=true,IMAGE("https://i.imgur.com/SB2v8hd.png"),"")</f>
        <v/>
      </c>
      <c r="AN27" s="484">
        <v>12.0</v>
      </c>
      <c r="AO27" s="152"/>
      <c r="AP27" s="152"/>
      <c r="AQ27" s="152"/>
      <c r="AR27" s="175"/>
      <c r="AS27" s="485"/>
      <c r="AT27" s="486" t="s">
        <v>59</v>
      </c>
      <c r="AU27" s="487"/>
      <c r="AV27" s="488">
        <f>CA27</f>
        <v>10</v>
      </c>
      <c r="AW27" s="152"/>
      <c r="AX27" s="175"/>
      <c r="AY27" s="489">
        <f>2</f>
        <v>2</v>
      </c>
      <c r="AZ27" s="375"/>
      <c r="BA27" s="375"/>
      <c r="BB27" s="490" t="str">
        <f>IF(AND(BX27="法師",BR27=""),IF(3-AV29&lt;0,0,3-AV29),"")</f>
        <v/>
      </c>
      <c r="BC27" s="19"/>
      <c r="BD27" s="20"/>
      <c r="BE27" s="342"/>
      <c r="BF27" s="491">
        <v>0.0</v>
      </c>
      <c r="BG27" s="19"/>
      <c r="BH27" s="19"/>
      <c r="BI27" s="492" t="s">
        <v>272</v>
      </c>
      <c r="BJ27" s="19"/>
      <c r="BK27" s="19"/>
      <c r="BL27" s="19"/>
      <c r="BM27" s="19"/>
      <c r="BN27" s="20"/>
      <c r="BO27" s="307"/>
      <c r="BP27" s="493"/>
      <c r="BQ27" s="494"/>
      <c r="BR27" s="495"/>
      <c r="BS27" s="496"/>
      <c r="BT27" s="496"/>
      <c r="BU27" s="496"/>
      <c r="BV27" s="496"/>
      <c r="BW27" s="496"/>
      <c r="BX27" s="497"/>
      <c r="BY27" s="113"/>
      <c r="BZ27" s="111"/>
      <c r="CA27" s="498">
        <f>IFNA(VLOOKUP(BR27,'武器&amp;護甲'!J2:L14,2,FALSE),10)+BP27</f>
        <v>10</v>
      </c>
      <c r="CB27" s="356"/>
      <c r="CC27" s="357"/>
      <c r="CD27" s="391">
        <f>IF(BX27="重甲",0,IF(BX27="中甲",IF(DexMod&gt;=2,2,DexMod),DexMod))</f>
        <v>1</v>
      </c>
      <c r="CE27" s="375"/>
      <c r="CF27" s="375"/>
      <c r="CG27" s="499" t="b">
        <v>0</v>
      </c>
      <c r="CH27" s="496"/>
      <c r="CI27" s="500"/>
      <c r="CJ27" s="501">
        <f>IFNA(VLOOKUP(BR27,'武器&amp;護甲'!J2:L14,3,FALSE),0)</f>
        <v>0</v>
      </c>
      <c r="CK27" s="356"/>
      <c r="CL27" s="357"/>
      <c r="CM27" s="307"/>
      <c r="CN27" s="294"/>
    </row>
    <row r="28" ht="18.75" customHeight="1">
      <c r="A28" s="294"/>
      <c r="B28" s="351" t="str">
        <f t="shared" si="3"/>
        <v/>
      </c>
      <c r="C28" s="502">
        <f>DexMod+(Prof*IF(N28="x2",2,IF(N28="½",0.4,IF(N28="●",1,0))))</f>
        <v>1</v>
      </c>
      <c r="F28" s="503" t="s">
        <v>273</v>
      </c>
      <c r="G28" s="213"/>
      <c r="H28" s="213"/>
      <c r="I28" s="213"/>
      <c r="J28" s="213"/>
      <c r="K28" s="213"/>
      <c r="L28" s="213"/>
      <c r="M28" s="213"/>
      <c r="N28" s="504"/>
      <c r="O28" s="505"/>
      <c r="P28" s="506"/>
      <c r="Q28" s="507" t="s">
        <v>274</v>
      </c>
      <c r="R28" s="505"/>
      <c r="S28" s="508"/>
      <c r="T28" s="478"/>
      <c r="U28" s="294"/>
      <c r="X28" s="143"/>
      <c r="Y28" s="240"/>
      <c r="Z28" s="509"/>
      <c r="AA28" s="240"/>
      <c r="AB28" s="240"/>
      <c r="AC28" s="241"/>
      <c r="AD28" s="121"/>
      <c r="AF28" s="143"/>
      <c r="AG28" s="240"/>
      <c r="AH28" s="509"/>
      <c r="AI28" s="240"/>
      <c r="AJ28" s="240"/>
      <c r="AK28" s="241"/>
      <c r="AN28" s="143"/>
      <c r="AO28" s="240"/>
      <c r="AP28" s="240"/>
      <c r="AQ28" s="240"/>
      <c r="AR28" s="241"/>
      <c r="AS28" s="307"/>
      <c r="AT28" s="307"/>
      <c r="AU28" s="510"/>
      <c r="AV28" s="401" t="s">
        <v>275</v>
      </c>
      <c r="AW28" s="19"/>
      <c r="AX28" s="400"/>
      <c r="AY28" s="401" t="s">
        <v>276</v>
      </c>
      <c r="AZ28" s="19"/>
      <c r="BA28" s="400"/>
      <c r="BB28" s="511" t="s">
        <v>277</v>
      </c>
      <c r="BC28" s="152"/>
      <c r="BD28" s="175"/>
      <c r="BE28" s="342"/>
      <c r="BF28" s="491">
        <v>0.0</v>
      </c>
      <c r="BG28" s="19"/>
      <c r="BH28" s="19"/>
      <c r="BI28" s="492" t="s">
        <v>272</v>
      </c>
      <c r="BJ28" s="19"/>
      <c r="BK28" s="19"/>
      <c r="BL28" s="19"/>
      <c r="BM28" s="19"/>
      <c r="BN28" s="20"/>
      <c r="BO28" s="512"/>
      <c r="BP28" s="513"/>
      <c r="BQ28" s="509"/>
      <c r="BR28" s="514" t="s">
        <v>278</v>
      </c>
      <c r="BS28" s="240"/>
      <c r="BT28" s="240"/>
      <c r="BU28" s="240"/>
      <c r="BV28" s="240"/>
      <c r="BW28" s="240"/>
      <c r="BX28" s="515"/>
      <c r="BY28" s="144"/>
      <c r="BZ28" s="128"/>
      <c r="CA28" s="516" t="str">
        <f>IF(BX28="卸下",0,IF(BX28="握持",2+BP28,IF(BX28="無",0,)))</f>
        <v/>
      </c>
      <c r="CB28" s="417"/>
      <c r="CC28" s="517"/>
      <c r="CD28" s="518" t="s">
        <v>279</v>
      </c>
      <c r="CE28" s="417"/>
      <c r="CF28" s="517"/>
      <c r="CG28" s="519" t="b">
        <v>0</v>
      </c>
      <c r="CH28" s="417"/>
      <c r="CI28" s="517"/>
      <c r="CJ28" s="516" t="str">
        <f>IF(BX28="卸下",6,IF(BX28="握持",6,IF(BX28="無",0,)))</f>
        <v/>
      </c>
      <c r="CK28" s="417"/>
      <c r="CL28" s="517"/>
      <c r="CM28" s="307"/>
      <c r="CN28" s="294"/>
    </row>
    <row r="29" ht="18.75" customHeight="1">
      <c r="A29" s="294"/>
      <c r="B29" s="351" t="str">
        <f t="shared" si="3"/>
        <v/>
      </c>
      <c r="C29" s="520">
        <f>DexMod+(Prof*IF(N29="x2",2,IF(N29="½",0.4,IF(N29="●",1,0))))</f>
        <v>1</v>
      </c>
      <c r="F29" s="503" t="s">
        <v>280</v>
      </c>
      <c r="G29" s="213"/>
      <c r="H29" s="213"/>
      <c r="I29" s="213"/>
      <c r="J29" s="213"/>
      <c r="K29" s="213"/>
      <c r="L29" s="213"/>
      <c r="M29" s="213"/>
      <c r="N29" s="521"/>
      <c r="O29" s="505"/>
      <c r="P29" s="506"/>
      <c r="Q29" s="522"/>
      <c r="R29" s="505"/>
      <c r="S29" s="508"/>
      <c r="T29" s="523"/>
      <c r="U29" s="294"/>
      <c r="V29" s="307"/>
      <c r="W29" s="307"/>
      <c r="X29" s="524" t="s">
        <v>281</v>
      </c>
      <c r="AA29" s="525" t="s">
        <v>282</v>
      </c>
      <c r="AD29" s="307"/>
      <c r="AE29" s="460"/>
      <c r="AF29" s="524" t="s">
        <v>281</v>
      </c>
      <c r="AI29" s="526" t="s">
        <v>260</v>
      </c>
      <c r="AL29" s="460"/>
      <c r="AM29" s="307"/>
      <c r="AN29" s="307"/>
      <c r="AO29" s="307"/>
      <c r="AP29" s="307"/>
      <c r="AQ29" s="307"/>
      <c r="AR29" s="307"/>
      <c r="AS29" s="307"/>
      <c r="AT29" s="307"/>
      <c r="AU29" s="307"/>
      <c r="AV29" s="527"/>
      <c r="AW29" s="19"/>
      <c r="AX29" s="19"/>
      <c r="AY29" s="527"/>
      <c r="AZ29" s="19"/>
      <c r="BA29" s="19"/>
      <c r="BB29" s="527"/>
      <c r="BC29" s="19"/>
      <c r="BD29" s="20"/>
      <c r="BE29" s="342"/>
      <c r="BF29" s="528">
        <v>0.0</v>
      </c>
      <c r="BG29" s="19"/>
      <c r="BH29" s="19"/>
      <c r="BI29" s="529" t="s">
        <v>272</v>
      </c>
      <c r="BJ29" s="19"/>
      <c r="BK29" s="19"/>
      <c r="BL29" s="19"/>
      <c r="BM29" s="19"/>
      <c r="BN29" s="20"/>
      <c r="BO29" s="307"/>
      <c r="BP29" s="307"/>
      <c r="BQ29" s="307"/>
      <c r="BR29" s="307"/>
      <c r="BS29" s="307"/>
      <c r="BT29" s="307"/>
      <c r="BU29" s="291"/>
      <c r="BV29" s="530"/>
      <c r="BW29" s="530"/>
      <c r="BX29" s="530" t="s">
        <v>283</v>
      </c>
      <c r="BZ29" s="318"/>
      <c r="CA29" s="531">
        <f>SUM(CA27:CC28)+CD27</f>
        <v>11</v>
      </c>
      <c r="CB29" s="19"/>
      <c r="CC29" s="20"/>
      <c r="CD29" s="307"/>
      <c r="CE29" s="307"/>
      <c r="CF29" s="307"/>
      <c r="CG29" s="307"/>
      <c r="CH29" s="307"/>
      <c r="CI29" s="307"/>
      <c r="CJ29" s="307"/>
      <c r="CK29" s="307"/>
      <c r="CL29" s="307"/>
      <c r="CM29" s="307"/>
      <c r="CN29" s="294"/>
    </row>
    <row r="30" ht="18.75" customHeight="1">
      <c r="A30" s="294"/>
      <c r="B30" s="351" t="str">
        <f t="shared" si="3"/>
        <v/>
      </c>
      <c r="C30" s="502">
        <f>DexMod+(Prof*IF(N30="x2",2,IF(N30="½",0.4,IF(N30="●",1,0))))</f>
        <v>1</v>
      </c>
      <c r="F30" s="532" t="s">
        <v>284</v>
      </c>
      <c r="G30" s="240"/>
      <c r="H30" s="240"/>
      <c r="I30" s="240"/>
      <c r="J30" s="240"/>
      <c r="K30" s="240"/>
      <c r="L30" s="240"/>
      <c r="M30" s="240"/>
      <c r="N30" s="504"/>
      <c r="O30" s="505"/>
      <c r="P30" s="506"/>
      <c r="Q30" s="507"/>
      <c r="R30" s="505"/>
      <c r="S30" s="508"/>
      <c r="T30" s="523"/>
      <c r="U30" s="294"/>
      <c r="V30" s="307"/>
      <c r="W30" s="307"/>
      <c r="X30" s="369" t="s">
        <v>242</v>
      </c>
      <c r="Y30" s="19"/>
      <c r="Z30" s="19"/>
      <c r="AA30" s="19"/>
      <c r="AB30" s="19"/>
      <c r="AC30" s="19"/>
      <c r="AD30" s="19"/>
      <c r="AE30" s="20"/>
      <c r="AF30" s="307"/>
      <c r="AG30" s="307"/>
      <c r="AH30" s="533" t="s">
        <v>285</v>
      </c>
      <c r="AI30" s="19"/>
      <c r="AJ30" s="19"/>
      <c r="AK30" s="19"/>
      <c r="AL30" s="19"/>
      <c r="AM30" s="19"/>
      <c r="AN30" s="462" t="b">
        <v>0</v>
      </c>
      <c r="AO30" s="20"/>
      <c r="AP30" s="307"/>
      <c r="AQ30" s="307"/>
      <c r="AR30" s="307"/>
      <c r="AS30" s="307"/>
      <c r="AT30" s="307"/>
      <c r="AU30" s="307"/>
      <c r="AV30" s="307"/>
      <c r="AW30" s="307"/>
      <c r="AX30" s="307"/>
      <c r="AY30" s="307"/>
      <c r="AZ30" s="307"/>
      <c r="BA30" s="307"/>
      <c r="BB30" s="307"/>
      <c r="BC30" s="307"/>
      <c r="BD30" s="307"/>
      <c r="BE30" s="307"/>
      <c r="BF30" s="307"/>
      <c r="BG30" s="307"/>
      <c r="BH30" s="307"/>
      <c r="BI30" s="307"/>
      <c r="BJ30" s="307"/>
      <c r="BK30" s="307"/>
      <c r="BL30" s="307"/>
      <c r="BM30" s="307"/>
      <c r="BN30" s="307"/>
      <c r="BO30" s="307"/>
      <c r="BP30" s="307"/>
      <c r="BQ30" s="534"/>
      <c r="BR30" s="307"/>
      <c r="BS30" s="307"/>
      <c r="BT30" s="307"/>
      <c r="BU30" s="307"/>
      <c r="BV30" s="307"/>
      <c r="BW30" s="307"/>
      <c r="BX30" s="307"/>
      <c r="BY30" s="307"/>
      <c r="BZ30" s="307"/>
      <c r="CA30" s="307"/>
      <c r="CB30" s="307"/>
      <c r="CC30" s="307"/>
      <c r="CD30" s="307"/>
      <c r="CE30" s="307"/>
      <c r="CF30" s="307"/>
      <c r="CG30" s="307"/>
      <c r="CH30" s="307"/>
      <c r="CI30" s="307"/>
      <c r="CJ30" s="307"/>
      <c r="CK30" s="307"/>
      <c r="CL30" s="307"/>
      <c r="CM30" s="307"/>
      <c r="CN30" s="294"/>
    </row>
    <row r="31" ht="18.75" customHeight="1">
      <c r="A31" s="294"/>
      <c r="B31" s="351" t="str">
        <f t="shared" si="3"/>
        <v/>
      </c>
      <c r="C31" s="520">
        <f>IntMod+(Prof*IF(N31="x2",2,IF(N31="½",0.4,IF(N31="●",1,0))))+IF(AND('職業能力選項'!R3="-魔術師",'職業能力'!E2&gt;0),IF(WisMod&gt;1,WisMod,1),"")+IF(AND('職業能力選項'!N3="-奇術使",'職業能力'!D2&gt;0),IF(WisMod&gt;1,WisMod,1),"")</f>
        <v>7</v>
      </c>
      <c r="F31" s="535" t="s">
        <v>286</v>
      </c>
      <c r="G31" s="213"/>
      <c r="H31" s="213"/>
      <c r="I31" s="213"/>
      <c r="J31" s="213"/>
      <c r="K31" s="213"/>
      <c r="L31" s="213"/>
      <c r="M31" s="213"/>
      <c r="N31" s="521" t="s">
        <v>287</v>
      </c>
      <c r="O31" s="505"/>
      <c r="P31" s="506"/>
      <c r="Q31" s="522"/>
      <c r="R31" s="505"/>
      <c r="S31" s="508"/>
      <c r="T31" s="523"/>
      <c r="U31" s="294"/>
      <c r="V31" s="536" t="s">
        <v>288</v>
      </c>
      <c r="W31" s="318"/>
      <c r="X31" s="537"/>
      <c r="Y31" s="538"/>
      <c r="Z31" s="539">
        <f>SUMIF(AN16:AR18, "1d6", AL16:AM18)</f>
        <v>3</v>
      </c>
      <c r="AA31" s="540"/>
      <c r="AB31" s="541" t="str">
        <f>IF(Z31&gt;0,if(ConMod&lt;0,"1d6"&amp;ConMod,if(ConMod=0,"1d6"&amp;"+"&amp;+0,"1d6"&amp;"+"&amp;+ConMod)),"")</f>
        <v>1d6+1</v>
      </c>
      <c r="AC31" s="542"/>
      <c r="AD31" s="542"/>
      <c r="AE31" s="543"/>
      <c r="AF31" s="307"/>
      <c r="AG31" s="307"/>
      <c r="AH31" s="307"/>
      <c r="AI31" s="307"/>
      <c r="AJ31" s="307"/>
      <c r="AK31" s="460"/>
      <c r="AL31" s="460"/>
      <c r="AM31" s="460"/>
      <c r="AN31" s="460"/>
      <c r="AO31" s="460"/>
      <c r="AP31" s="307"/>
      <c r="AQ31" s="307"/>
      <c r="AR31" s="307"/>
      <c r="AS31" s="307"/>
      <c r="AT31" s="307"/>
      <c r="AU31" s="544" t="s">
        <v>289</v>
      </c>
      <c r="AV31" s="19"/>
      <c r="AW31" s="19"/>
      <c r="AX31" s="19"/>
      <c r="AY31" s="19"/>
      <c r="AZ31" s="20"/>
      <c r="BA31" s="512"/>
      <c r="BB31" s="544" t="s">
        <v>290</v>
      </c>
      <c r="BC31" s="19"/>
      <c r="BD31" s="19"/>
      <c r="BE31" s="19"/>
      <c r="BF31" s="19"/>
      <c r="BG31" s="20"/>
      <c r="BH31" s="307"/>
      <c r="BI31" s="544" t="s">
        <v>291</v>
      </c>
      <c r="BJ31" s="19"/>
      <c r="BK31" s="19"/>
      <c r="BL31" s="19"/>
      <c r="BM31" s="19"/>
      <c r="BN31" s="20"/>
      <c r="BO31" s="512"/>
      <c r="BP31" s="544" t="s">
        <v>292</v>
      </c>
      <c r="BQ31" s="19"/>
      <c r="BR31" s="19"/>
      <c r="BS31" s="19"/>
      <c r="BT31" s="19"/>
      <c r="BU31" s="20"/>
      <c r="BV31" s="307"/>
      <c r="BW31" s="545" t="s">
        <v>293</v>
      </c>
      <c r="BX31" s="240"/>
      <c r="BY31" s="240"/>
      <c r="BZ31" s="240"/>
      <c r="CA31" s="240"/>
      <c r="CB31" s="240"/>
      <c r="CC31" s="240"/>
      <c r="CD31" s="240"/>
      <c r="CE31" s="240"/>
      <c r="CF31" s="240"/>
      <c r="CG31" s="240"/>
      <c r="CH31" s="240"/>
      <c r="CI31" s="240"/>
      <c r="CJ31" s="240"/>
      <c r="CK31" s="240"/>
      <c r="CL31" s="241"/>
      <c r="CM31" s="307"/>
      <c r="CN31" s="294"/>
    </row>
    <row r="32" ht="18.75" customHeight="1">
      <c r="A32" s="294"/>
      <c r="B32" s="351" t="str">
        <f t="shared" si="3"/>
        <v/>
      </c>
      <c r="C32" s="502">
        <f>IntMod+(Prof*IF(N32="x2",2,IF(N32="½",0.4,IF(N32="●",1,0))))</f>
        <v>5</v>
      </c>
      <c r="F32" s="535" t="s">
        <v>294</v>
      </c>
      <c r="G32" s="213"/>
      <c r="H32" s="213"/>
      <c r="I32" s="213"/>
      <c r="J32" s="213"/>
      <c r="K32" s="213"/>
      <c r="L32" s="213"/>
      <c r="M32" s="213"/>
      <c r="N32" s="504" t="s">
        <v>295</v>
      </c>
      <c r="O32" s="505"/>
      <c r="P32" s="506"/>
      <c r="Q32" s="507"/>
      <c r="R32" s="505"/>
      <c r="S32" s="508"/>
      <c r="T32" s="523"/>
      <c r="U32" s="294"/>
      <c r="V32" s="536" t="s">
        <v>296</v>
      </c>
      <c r="W32" s="318"/>
      <c r="X32" s="546"/>
      <c r="Y32" s="547"/>
      <c r="Z32" s="548">
        <f>SUMIF(AN16:AR18, "1d8", AL16:AM18)</f>
        <v>0</v>
      </c>
      <c r="AA32" s="547"/>
      <c r="AB32" s="549" t="str">
        <f>IF(Z32&gt;0,if(ConMod&lt;0,"1d8"&amp;ConMod,if(ConMod=0,"1d8"&amp;"+"&amp;+0,"1d8"&amp;"+"&amp;+ConMod)),"")</f>
        <v/>
      </c>
      <c r="AC32" s="550"/>
      <c r="AD32" s="550"/>
      <c r="AE32" s="551"/>
      <c r="AF32" s="307"/>
      <c r="AG32" s="307"/>
      <c r="AH32" s="552" t="s">
        <v>297</v>
      </c>
      <c r="AI32" s="19"/>
      <c r="AJ32" s="19"/>
      <c r="AK32" s="19"/>
      <c r="AL32" s="19"/>
      <c r="AM32" s="19"/>
      <c r="AN32" s="19"/>
      <c r="AO32" s="19"/>
      <c r="AP32" s="19"/>
      <c r="AQ32" s="19"/>
      <c r="AR32" s="20"/>
      <c r="AS32" s="307"/>
      <c r="AT32" s="307"/>
      <c r="AU32" s="553"/>
      <c r="AV32" s="152"/>
      <c r="AW32" s="152"/>
      <c r="AX32" s="152"/>
      <c r="AY32" s="152"/>
      <c r="AZ32" s="175"/>
      <c r="BA32" s="554"/>
      <c r="BB32" s="553"/>
      <c r="BC32" s="152"/>
      <c r="BD32" s="152"/>
      <c r="BE32" s="152"/>
      <c r="BF32" s="152"/>
      <c r="BG32" s="175"/>
      <c r="BH32" s="342"/>
      <c r="BI32" s="553"/>
      <c r="BJ32" s="152"/>
      <c r="BK32" s="152"/>
      <c r="BL32" s="152"/>
      <c r="BM32" s="152"/>
      <c r="BN32" s="175"/>
      <c r="BO32" s="554"/>
      <c r="BP32" s="553"/>
      <c r="BQ32" s="152"/>
      <c r="BR32" s="152"/>
      <c r="BS32" s="152"/>
      <c r="BT32" s="152"/>
      <c r="BU32" s="175"/>
      <c r="BV32" s="307"/>
      <c r="BW32" s="555" t="s">
        <v>298</v>
      </c>
      <c r="BX32" s="356"/>
      <c r="BY32" s="556"/>
      <c r="BZ32" s="557" t="s">
        <v>299</v>
      </c>
      <c r="CA32" s="356"/>
      <c r="CB32" s="556"/>
      <c r="CC32" s="558" t="s">
        <v>300</v>
      </c>
      <c r="CD32" s="356"/>
      <c r="CE32" s="356"/>
      <c r="CF32" s="356"/>
      <c r="CG32" s="356"/>
      <c r="CH32" s="356"/>
      <c r="CI32" s="356"/>
      <c r="CJ32" s="356"/>
      <c r="CK32" s="356"/>
      <c r="CL32" s="357"/>
      <c r="CM32" s="342"/>
      <c r="CN32" s="294"/>
    </row>
    <row r="33" ht="18.75" customHeight="1">
      <c r="A33" s="294"/>
      <c r="B33" s="351" t="str">
        <f t="shared" si="3"/>
        <v/>
      </c>
      <c r="C33" s="520">
        <f>IntMod+(Prof*IF(N33="x2",2,IF(N33="½",0.4,IF(N33="●",1,0))))</f>
        <v>3</v>
      </c>
      <c r="F33" s="535" t="s">
        <v>301</v>
      </c>
      <c r="G33" s="213"/>
      <c r="H33" s="213"/>
      <c r="I33" s="213"/>
      <c r="J33" s="213"/>
      <c r="K33" s="213"/>
      <c r="L33" s="213"/>
      <c r="M33" s="213"/>
      <c r="N33" s="521"/>
      <c r="O33" s="505"/>
      <c r="P33" s="506"/>
      <c r="Q33" s="522"/>
      <c r="R33" s="505"/>
      <c r="S33" s="508"/>
      <c r="T33" s="523"/>
      <c r="U33" s="294"/>
      <c r="V33" s="559" t="s">
        <v>302</v>
      </c>
      <c r="W33" s="318"/>
      <c r="X33" s="546"/>
      <c r="Y33" s="547"/>
      <c r="Z33" s="548">
        <f>SUMIF(AN16:AR18, "1d10", AL16:AM18)</f>
        <v>0</v>
      </c>
      <c r="AA33" s="547"/>
      <c r="AB33" s="549" t="str">
        <f>IF(Z33&gt;0,if(ConMod&lt;0,"1d10"&amp;ConMod,if(ConMod=0,"1d10"&amp;"+"&amp;+0,"1d10"&amp;"+"&amp;+ConMod)),"")</f>
        <v/>
      </c>
      <c r="AC33" s="550"/>
      <c r="AD33" s="550"/>
      <c r="AE33" s="551"/>
      <c r="AF33" s="307"/>
      <c r="AG33" s="307"/>
      <c r="AH33" s="560" t="s">
        <v>303</v>
      </c>
      <c r="AI33" s="240"/>
      <c r="AJ33" s="240"/>
      <c r="AK33" s="240"/>
      <c r="AL33" s="240"/>
      <c r="AM33" s="561" t="b">
        <v>0</v>
      </c>
      <c r="AN33" s="152"/>
      <c r="AO33" s="562" t="b">
        <v>0</v>
      </c>
      <c r="AP33" s="152"/>
      <c r="AQ33" s="563" t="b">
        <v>0</v>
      </c>
      <c r="AR33" s="175"/>
      <c r="AS33" s="307"/>
      <c r="AT33" s="307"/>
      <c r="AU33" s="143"/>
      <c r="AV33" s="240"/>
      <c r="AW33" s="240"/>
      <c r="AX33" s="240"/>
      <c r="AY33" s="240"/>
      <c r="AZ33" s="241"/>
      <c r="BA33" s="554"/>
      <c r="BB33" s="143"/>
      <c r="BC33" s="240"/>
      <c r="BD33" s="240"/>
      <c r="BE33" s="240"/>
      <c r="BF33" s="240"/>
      <c r="BG33" s="241"/>
      <c r="BH33" s="342"/>
      <c r="BI33" s="143"/>
      <c r="BJ33" s="240"/>
      <c r="BK33" s="240"/>
      <c r="BL33" s="240"/>
      <c r="BM33" s="240"/>
      <c r="BN33" s="241"/>
      <c r="BO33" s="554"/>
      <c r="BP33" s="143"/>
      <c r="BQ33" s="240"/>
      <c r="BR33" s="240"/>
      <c r="BS33" s="240"/>
      <c r="BT33" s="240"/>
      <c r="BU33" s="241"/>
      <c r="BV33" s="307"/>
      <c r="BW33" s="564" t="s">
        <v>80</v>
      </c>
      <c r="BX33" s="375"/>
      <c r="BY33" s="376"/>
      <c r="BZ33" s="565"/>
      <c r="CA33" s="375"/>
      <c r="CB33" s="566"/>
      <c r="CC33" s="567" t="str">
        <f>IF(BW33="","",'索引資料'!J33&amp;" / "&amp;TEXT('索引資料'!K33,'索引資料'!K33)&amp;" / "&amp;TEXT('索引資料'!L33,'索引資料'!L33))</f>
        <v>13 / +5  / +3 </v>
      </c>
      <c r="CD33" s="375"/>
      <c r="CE33" s="375"/>
      <c r="CF33" s="375"/>
      <c r="CG33" s="375"/>
      <c r="CH33" s="375"/>
      <c r="CI33" s="375"/>
      <c r="CJ33" s="375"/>
      <c r="CK33" s="375"/>
      <c r="CL33" s="376"/>
      <c r="CM33" s="342"/>
      <c r="CN33" s="294"/>
    </row>
    <row r="34" ht="18.75" customHeight="1">
      <c r="A34" s="294"/>
      <c r="B34" s="351" t="str">
        <f t="shared" si="3"/>
        <v/>
      </c>
      <c r="C34" s="502">
        <f>IntMod+(Prof*IF(N34="x2",2,IF(N34="½",0.4,IF(N34="●",1,0))))+IF(AND('職業能力選項'!R3="-魔術師",'職業能力'!E2&gt;0),IF(WisMod&gt;1,WisMod,1),"")</f>
        <v>3</v>
      </c>
      <c r="F34" s="535" t="s">
        <v>304</v>
      </c>
      <c r="G34" s="213"/>
      <c r="H34" s="213"/>
      <c r="I34" s="213"/>
      <c r="J34" s="213"/>
      <c r="K34" s="213"/>
      <c r="L34" s="213"/>
      <c r="M34" s="213"/>
      <c r="N34" s="504"/>
      <c r="O34" s="505"/>
      <c r="P34" s="506"/>
      <c r="Q34" s="507"/>
      <c r="R34" s="505"/>
      <c r="S34" s="508"/>
      <c r="T34" s="523"/>
      <c r="U34" s="294"/>
      <c r="V34" s="559" t="s">
        <v>305</v>
      </c>
      <c r="X34" s="568"/>
      <c r="Y34" s="569"/>
      <c r="Z34" s="570">
        <f>SUMIF(AN16:AR18, "1d12", AL16:AM18)</f>
        <v>0</v>
      </c>
      <c r="AA34" s="569"/>
      <c r="AB34" s="571" t="str">
        <f>IF(Z34&gt;0,if(ConMod&lt;0,"1d12"&amp;ConMod,if(ConMod=0,"1d12"&amp;"+"&amp;+0,"1d12"&amp;"+"&amp;+ConMod)),"")</f>
        <v/>
      </c>
      <c r="AC34" s="572"/>
      <c r="AD34" s="572"/>
      <c r="AE34" s="573"/>
      <c r="AF34" s="307"/>
      <c r="AG34" s="307"/>
      <c r="AH34" s="560" t="s">
        <v>306</v>
      </c>
      <c r="AI34" s="240"/>
      <c r="AJ34" s="240"/>
      <c r="AK34" s="240"/>
      <c r="AL34" s="240"/>
      <c r="AM34" s="574" t="b">
        <v>0</v>
      </c>
      <c r="AN34" s="19"/>
      <c r="AO34" s="575" t="b">
        <v>0</v>
      </c>
      <c r="AP34" s="19"/>
      <c r="AQ34" s="576" t="b">
        <v>0</v>
      </c>
      <c r="AR34" s="20"/>
      <c r="AS34" s="307"/>
      <c r="AT34" s="307"/>
      <c r="AU34" s="577" t="s">
        <v>307</v>
      </c>
      <c r="AV34" s="19"/>
      <c r="AW34" s="19"/>
      <c r="AX34" s="20"/>
      <c r="AY34" s="578" t="s">
        <v>308</v>
      </c>
      <c r="AZ34" s="20"/>
      <c r="BA34" s="291"/>
      <c r="BB34" s="577" t="s">
        <v>307</v>
      </c>
      <c r="BC34" s="19"/>
      <c r="BD34" s="19"/>
      <c r="BE34" s="20"/>
      <c r="BF34" s="578" t="s">
        <v>308</v>
      </c>
      <c r="BG34" s="20"/>
      <c r="BH34" s="342"/>
      <c r="BI34" s="577" t="s">
        <v>307</v>
      </c>
      <c r="BJ34" s="19"/>
      <c r="BK34" s="19"/>
      <c r="BL34" s="20"/>
      <c r="BM34" s="578" t="s">
        <v>308</v>
      </c>
      <c r="BN34" s="20"/>
      <c r="BO34" s="291"/>
      <c r="BP34" s="577" t="s">
        <v>307</v>
      </c>
      <c r="BQ34" s="19"/>
      <c r="BR34" s="19"/>
      <c r="BS34" s="20"/>
      <c r="BT34" s="578" t="s">
        <v>308</v>
      </c>
      <c r="BU34" s="20"/>
      <c r="BV34" s="307"/>
      <c r="BW34" s="579"/>
      <c r="BX34" s="375"/>
      <c r="BY34" s="376"/>
      <c r="BZ34" s="580"/>
      <c r="CA34" s="375"/>
      <c r="CB34" s="566"/>
      <c r="CC34" s="567" t="str">
        <f>IF(BW34="","",'索引資料'!J34&amp;" / "&amp;TEXT('索引資料'!K34,'索引資料'!K34)&amp;" / "&amp;TEXT('索引資料'!L34,'索引資料'!L34))</f>
        <v/>
      </c>
      <c r="CD34" s="375"/>
      <c r="CE34" s="375"/>
      <c r="CF34" s="375"/>
      <c r="CG34" s="375"/>
      <c r="CH34" s="375"/>
      <c r="CI34" s="375"/>
      <c r="CJ34" s="375"/>
      <c r="CK34" s="375"/>
      <c r="CL34" s="376"/>
      <c r="CM34" s="342"/>
      <c r="CN34" s="294"/>
    </row>
    <row r="35" ht="18.75" customHeight="1">
      <c r="A35" s="294"/>
      <c r="B35" s="351" t="str">
        <f t="shared" si="3"/>
        <v/>
      </c>
      <c r="C35" s="520">
        <f>IntMod+(Prof*IF(N35="x2",2,IF(N35="½",0.4,IF(N35="●",1,0))))+IF(AND('職業能力選項'!N3="-奇術使",'職業能力'!D2&gt;0),IF(WisMod&gt;1,WisMod,1),"")</f>
        <v>3</v>
      </c>
      <c r="F35" s="581" t="s">
        <v>309</v>
      </c>
      <c r="G35" s="240"/>
      <c r="H35" s="240"/>
      <c r="I35" s="240"/>
      <c r="J35" s="240"/>
      <c r="K35" s="240"/>
      <c r="L35" s="240"/>
      <c r="M35" s="240"/>
      <c r="N35" s="521"/>
      <c r="O35" s="505"/>
      <c r="P35" s="506"/>
      <c r="Q35" s="522"/>
      <c r="R35" s="505"/>
      <c r="S35" s="508"/>
      <c r="T35" s="523"/>
      <c r="U35" s="294"/>
      <c r="V35" s="307"/>
      <c r="W35" s="307"/>
      <c r="X35" s="432" t="s">
        <v>310</v>
      </c>
      <c r="Y35" s="240"/>
      <c r="Z35" s="432" t="s">
        <v>282</v>
      </c>
      <c r="AA35" s="240"/>
      <c r="AB35" s="307"/>
      <c r="AC35" s="307"/>
      <c r="AD35" s="582"/>
      <c r="AE35" s="583"/>
      <c r="AN35" s="582"/>
      <c r="AO35" s="582"/>
      <c r="AP35" s="582"/>
      <c r="AQ35" s="582"/>
      <c r="AR35" s="582"/>
      <c r="AS35" s="582"/>
      <c r="AT35" s="582"/>
      <c r="AU35" s="582"/>
      <c r="AV35" s="582"/>
      <c r="AW35" s="307"/>
      <c r="AX35" s="307"/>
      <c r="AY35" s="307"/>
      <c r="AZ35" s="307"/>
      <c r="BA35" s="307"/>
      <c r="BB35" s="307"/>
      <c r="BC35" s="307"/>
      <c r="BD35" s="307"/>
      <c r="BE35" s="307"/>
      <c r="BF35" s="307"/>
      <c r="BG35" s="307"/>
      <c r="BH35" s="307"/>
      <c r="BI35" s="307"/>
      <c r="BJ35" s="307"/>
      <c r="BK35" s="307"/>
      <c r="BL35" s="307"/>
      <c r="BM35" s="307"/>
      <c r="BN35" s="307"/>
      <c r="BO35" s="307"/>
      <c r="BP35" s="307"/>
      <c r="BQ35" s="307"/>
      <c r="BR35" s="307"/>
      <c r="BS35" s="307"/>
      <c r="BT35" s="307"/>
      <c r="BU35" s="342"/>
      <c r="BV35" s="307"/>
      <c r="BW35" s="584"/>
      <c r="BX35" s="417"/>
      <c r="BY35" s="517"/>
      <c r="BZ35" s="585"/>
      <c r="CA35" s="417"/>
      <c r="CB35" s="586"/>
      <c r="CC35" s="587" t="str">
        <f>IF(BW35="","",'索引資料'!J35&amp;" / "&amp;TEXT('索引資料'!K35,'索引資料'!K35)&amp;" / "&amp;TEXT('索引資料'!L35,'索引資料'!L35))</f>
        <v/>
      </c>
      <c r="CD35" s="417"/>
      <c r="CE35" s="417"/>
      <c r="CF35" s="417"/>
      <c r="CG35" s="417"/>
      <c r="CH35" s="417"/>
      <c r="CI35" s="417"/>
      <c r="CJ35" s="417"/>
      <c r="CK35" s="417"/>
      <c r="CL35" s="517"/>
      <c r="CM35" s="342"/>
      <c r="CN35" s="294"/>
    </row>
    <row r="36" ht="18.75" customHeight="1">
      <c r="A36" s="294"/>
      <c r="B36" s="351" t="str">
        <f t="shared" si="3"/>
        <v/>
      </c>
      <c r="C36" s="502">
        <f>WisMod+(Prof*IF(N36="x2",2,IF(N36="½",0.4,IF(N36="●",1,0))))</f>
        <v>1</v>
      </c>
      <c r="F36" s="588" t="s">
        <v>311</v>
      </c>
      <c r="G36" s="213"/>
      <c r="H36" s="213"/>
      <c r="I36" s="213"/>
      <c r="J36" s="213"/>
      <c r="K36" s="213"/>
      <c r="L36" s="213"/>
      <c r="M36" s="213"/>
      <c r="N36" s="504"/>
      <c r="O36" s="505"/>
      <c r="P36" s="506"/>
      <c r="Q36" s="507"/>
      <c r="R36" s="505"/>
      <c r="S36" s="508"/>
      <c r="T36" s="523"/>
      <c r="U36" s="294"/>
      <c r="V36" s="589"/>
      <c r="W36" s="590"/>
      <c r="X36" s="591" t="s">
        <v>312</v>
      </c>
      <c r="Y36" s="152"/>
      <c r="Z36" s="152"/>
      <c r="AA36" s="152"/>
      <c r="AB36" s="152"/>
      <c r="AC36" s="152"/>
      <c r="AD36" s="152"/>
      <c r="AE36" s="152"/>
      <c r="AF36" s="592" t="s">
        <v>313</v>
      </c>
      <c r="AG36" s="364"/>
      <c r="AH36" s="364"/>
      <c r="AI36" s="593" t="s">
        <v>314</v>
      </c>
      <c r="AJ36" s="152"/>
      <c r="AK36" s="152"/>
      <c r="AL36" s="152"/>
      <c r="AM36" s="152"/>
      <c r="AN36" s="481"/>
      <c r="AO36" s="594" t="s">
        <v>61</v>
      </c>
      <c r="AP36" s="364"/>
      <c r="AQ36" s="595"/>
      <c r="AR36" s="592" t="s">
        <v>315</v>
      </c>
      <c r="AS36" s="364"/>
      <c r="AT36" s="364"/>
      <c r="AU36" s="364"/>
      <c r="AV36" s="596" t="s">
        <v>316</v>
      </c>
      <c r="AW36" s="364"/>
      <c r="AX36" s="595"/>
      <c r="AY36" s="597" t="s">
        <v>317</v>
      </c>
      <c r="AZ36" s="364"/>
      <c r="BA36" s="595"/>
      <c r="BB36" s="598" t="s">
        <v>318</v>
      </c>
      <c r="BC36" s="175"/>
      <c r="BD36" s="599" t="s">
        <v>319</v>
      </c>
      <c r="BE36" s="175"/>
      <c r="BF36" s="597" t="s">
        <v>320</v>
      </c>
      <c r="BG36" s="364"/>
      <c r="BH36" s="364"/>
      <c r="BI36" s="364"/>
      <c r="BJ36" s="364"/>
      <c r="BK36" s="595"/>
      <c r="BL36" s="596" t="s">
        <v>55</v>
      </c>
      <c r="BM36" s="364"/>
      <c r="BN36" s="364"/>
      <c r="BO36" s="364"/>
      <c r="BP36" s="364"/>
      <c r="BQ36" s="364"/>
      <c r="BR36" s="364"/>
      <c r="BS36" s="364"/>
      <c r="BT36" s="364"/>
      <c r="BU36" s="595"/>
      <c r="BV36" s="600"/>
      <c r="BW36" s="600"/>
      <c r="BX36" s="600"/>
      <c r="BY36" s="600"/>
      <c r="BZ36" s="600"/>
      <c r="CA36" s="600"/>
      <c r="CB36" s="600"/>
      <c r="CC36" s="600"/>
      <c r="CD36" s="600"/>
      <c r="CE36" s="600"/>
      <c r="CF36" s="600"/>
      <c r="CG36" s="600"/>
      <c r="CH36" s="600"/>
      <c r="CI36" s="600"/>
      <c r="CJ36" s="600"/>
      <c r="CK36" s="600"/>
      <c r="CL36" s="600"/>
      <c r="CM36" s="307"/>
      <c r="CN36" s="294"/>
    </row>
    <row r="37" ht="18.75" customHeight="1">
      <c r="A37" s="294"/>
      <c r="B37" s="351" t="str">
        <f t="shared" si="3"/>
        <v/>
      </c>
      <c r="C37" s="520">
        <f>WisMod+(Prof*IF(N37="x2",2,IF(N37="½",0.4,IF(N37="●",1,0))))</f>
        <v>1</v>
      </c>
      <c r="F37" s="588" t="s">
        <v>321</v>
      </c>
      <c r="G37" s="213"/>
      <c r="H37" s="213"/>
      <c r="I37" s="213"/>
      <c r="J37" s="213"/>
      <c r="K37" s="213"/>
      <c r="L37" s="213"/>
      <c r="M37" s="213"/>
      <c r="N37" s="521"/>
      <c r="O37" s="505"/>
      <c r="P37" s="506"/>
      <c r="Q37" s="522"/>
      <c r="R37" s="505"/>
      <c r="S37" s="508"/>
      <c r="T37" s="523"/>
      <c r="U37" s="294"/>
      <c r="V37" s="589"/>
      <c r="W37" s="590"/>
      <c r="X37" s="601"/>
      <c r="Y37" s="566"/>
      <c r="Z37" s="602" t="s">
        <v>322</v>
      </c>
      <c r="AA37" s="375"/>
      <c r="AB37" s="375"/>
      <c r="AC37" s="375"/>
      <c r="AD37" s="375"/>
      <c r="AE37" s="375"/>
      <c r="AF37" s="603">
        <f>2</f>
        <v>2</v>
      </c>
      <c r="AG37" s="496"/>
      <c r="AH37" s="496"/>
      <c r="AI37" s="604" t="str">
        <f>IFNA((VLOOKUP(Z37,'武器&amp;護甲'!$A$2:$H$118,3,False))&amp;X37,"")</f>
        <v>1d8(1d10)</v>
      </c>
      <c r="AJ37" s="375"/>
      <c r="AK37" s="375"/>
      <c r="AL37" s="375"/>
      <c r="AM37" s="375"/>
      <c r="AN37" s="605"/>
      <c r="AO37" s="606">
        <v>0.0</v>
      </c>
      <c r="AP37" s="375"/>
      <c r="AQ37" s="376"/>
      <c r="AR37" s="607" t="str">
        <f>IFNA(VLOOKUP(Z37,'武器&amp;護甲'!$A$2:$H$118,4,False),"")</f>
        <v>觸及</v>
      </c>
      <c r="AS37" s="496"/>
      <c r="AT37" s="496"/>
      <c r="AU37" s="496"/>
      <c r="AV37" s="608" t="str">
        <f>IFNA(VLOOKUP(Z37,'武器&amp;護甲'!$A$2:$H$118,5,False),"")</f>
        <v>劈砍</v>
      </c>
      <c r="AW37" s="496"/>
      <c r="AX37" s="500"/>
      <c r="AY37" s="609">
        <f>IFNA(VLOOKUP(Z37,'武器&amp;護甲'!$A$2:$H$118,6,FALSE),"")</f>
        <v>3</v>
      </c>
      <c r="AZ37" s="496"/>
      <c r="BA37" s="500"/>
      <c r="BB37" s="610"/>
      <c r="BC37" s="376"/>
      <c r="BD37" s="611" t="b">
        <v>0</v>
      </c>
      <c r="BE37" s="376"/>
      <c r="BF37" s="612" t="str">
        <f>IFNA(IF(BD37=TRUE,VLOOKUP(Z37,'武器&amp;護甲'!$A$2:$H$118,8,False),""),"")</f>
        <v/>
      </c>
      <c r="BG37" s="496"/>
      <c r="BH37" s="496"/>
      <c r="BI37" s="496"/>
      <c r="BJ37" s="496"/>
      <c r="BK37" s="500"/>
      <c r="BL37" s="613" t="str">
        <f>IFNA(VLOOKUP(Z37,'武器&amp;護甲'!$A$2:$H$118,7,False),"")</f>
        <v>可雙手</v>
      </c>
      <c r="BM37" s="375"/>
      <c r="BN37" s="375"/>
      <c r="BO37" s="375"/>
      <c r="BP37" s="375"/>
      <c r="BQ37" s="375"/>
      <c r="BR37" s="375"/>
      <c r="BS37" s="375"/>
      <c r="BT37" s="375"/>
      <c r="BU37" s="376"/>
      <c r="BV37" s="600"/>
      <c r="BW37" s="614" t="s">
        <v>323</v>
      </c>
      <c r="BX37" s="240"/>
      <c r="BY37" s="240"/>
      <c r="BZ37" s="240"/>
      <c r="CA37" s="240"/>
      <c r="CB37" s="240"/>
      <c r="CC37" s="240"/>
      <c r="CD37" s="240"/>
      <c r="CE37" s="240"/>
      <c r="CF37" s="240"/>
      <c r="CG37" s="240"/>
      <c r="CH37" s="240"/>
      <c r="CI37" s="240"/>
      <c r="CJ37" s="240"/>
      <c r="CK37" s="240"/>
      <c r="CL37" s="241"/>
      <c r="CM37" s="307"/>
      <c r="CN37" s="294"/>
    </row>
    <row r="38" ht="18.75" customHeight="1">
      <c r="A38" s="294"/>
      <c r="B38" s="351" t="str">
        <f t="shared" si="3"/>
        <v/>
      </c>
      <c r="C38" s="502">
        <f>WisMod+(Prof*IF(N38="x2",2,IF(N38="½",0.4,IF(N38="●",1,0))))</f>
        <v>1</v>
      </c>
      <c r="F38" s="588" t="s">
        <v>324</v>
      </c>
      <c r="G38" s="213"/>
      <c r="H38" s="213"/>
      <c r="I38" s="213"/>
      <c r="J38" s="213"/>
      <c r="K38" s="213"/>
      <c r="L38" s="213"/>
      <c r="M38" s="213"/>
      <c r="N38" s="504"/>
      <c r="O38" s="505"/>
      <c r="P38" s="506"/>
      <c r="Q38" s="507"/>
      <c r="R38" s="505"/>
      <c r="S38" s="508"/>
      <c r="T38" s="523"/>
      <c r="U38" s="294"/>
      <c r="V38" s="307"/>
      <c r="W38" s="351"/>
      <c r="X38" s="615"/>
      <c r="Y38" s="566"/>
      <c r="Z38" s="616"/>
      <c r="AA38" s="375"/>
      <c r="AB38" s="375"/>
      <c r="AC38" s="375"/>
      <c r="AD38" s="375"/>
      <c r="AE38" s="375"/>
      <c r="AF38" s="617"/>
      <c r="AG38" s="375"/>
      <c r="AH38" s="375"/>
      <c r="AI38" s="618" t="str">
        <f>IFNA((VLOOKUP(Z38,'武器&amp;護甲'!$A$2:$H$118,3,False))&amp;X38,"")</f>
        <v/>
      </c>
      <c r="AJ38" s="375"/>
      <c r="AK38" s="375"/>
      <c r="AL38" s="375"/>
      <c r="AM38" s="375"/>
      <c r="AN38" s="605"/>
      <c r="AO38" s="619"/>
      <c r="AP38" s="375"/>
      <c r="AQ38" s="376"/>
      <c r="AR38" s="620" t="str">
        <f>IFNA(VLOOKUP(Z38,'武器&amp;護甲'!$A$2:$H$118,4,False),"")</f>
        <v/>
      </c>
      <c r="AS38" s="375"/>
      <c r="AT38" s="375"/>
      <c r="AU38" s="375"/>
      <c r="AV38" s="617" t="str">
        <f>IFNA(VLOOKUP(Z38,'武器&amp;護甲'!$A$2:$H$118,5,False),"")</f>
        <v/>
      </c>
      <c r="AW38" s="375"/>
      <c r="AX38" s="376"/>
      <c r="AY38" s="621" t="str">
        <f>IFNA(VLOOKUP(Z38,'武器&amp;護甲'!$A$2:$H$118,6,FALSE),"")</f>
        <v/>
      </c>
      <c r="AZ38" s="496"/>
      <c r="BA38" s="500"/>
      <c r="BB38" s="622"/>
      <c r="BC38" s="376"/>
      <c r="BD38" s="623" t="b">
        <v>0</v>
      </c>
      <c r="BE38" s="376"/>
      <c r="BF38" s="624" t="str">
        <f>IFNA(IF(BD38=TRUE,VLOOKUP(Z38,'武器&amp;護甲'!$A$2:$H$118,8,False),""),"")</f>
        <v/>
      </c>
      <c r="BG38" s="496"/>
      <c r="BH38" s="496"/>
      <c r="BI38" s="496"/>
      <c r="BJ38" s="496"/>
      <c r="BK38" s="500"/>
      <c r="BL38" s="625" t="str">
        <f>IFNA(VLOOKUP(Z38,'武器&amp;護甲'!$A$2:$H$118,7,False),"")</f>
        <v/>
      </c>
      <c r="BM38" s="375"/>
      <c r="BN38" s="375"/>
      <c r="BO38" s="375"/>
      <c r="BP38" s="375"/>
      <c r="BQ38" s="375"/>
      <c r="BR38" s="375"/>
      <c r="BS38" s="375"/>
      <c r="BT38" s="375"/>
      <c r="BU38" s="376"/>
      <c r="BV38" s="600"/>
      <c r="BW38" s="626" t="s">
        <v>325</v>
      </c>
      <c r="BX38" s="627"/>
      <c r="BY38" s="627"/>
      <c r="BZ38" s="627"/>
      <c r="CA38" s="627"/>
      <c r="CB38" s="627"/>
      <c r="CC38" s="627"/>
      <c r="CD38" s="627"/>
      <c r="CE38" s="627"/>
      <c r="CF38" s="627"/>
      <c r="CG38" s="627"/>
      <c r="CH38" s="627"/>
      <c r="CI38" s="627"/>
      <c r="CJ38" s="627"/>
      <c r="CK38" s="627"/>
      <c r="CL38" s="628"/>
      <c r="CM38" s="307"/>
      <c r="CN38" s="294"/>
    </row>
    <row r="39" ht="18.75" customHeight="1">
      <c r="A39" s="294"/>
      <c r="B39" s="351" t="str">
        <f t="shared" si="3"/>
        <v/>
      </c>
      <c r="C39" s="520">
        <f>WisMod+(Prof*IF(N39="x2",2,IF(N39="½",0.4,IF(N39="●",1,0))))</f>
        <v>3</v>
      </c>
      <c r="F39" s="588" t="s">
        <v>326</v>
      </c>
      <c r="G39" s="213"/>
      <c r="H39" s="213"/>
      <c r="I39" s="213"/>
      <c r="J39" s="213"/>
      <c r="K39" s="213"/>
      <c r="L39" s="213"/>
      <c r="M39" s="213"/>
      <c r="N39" s="521" t="s">
        <v>295</v>
      </c>
      <c r="O39" s="505"/>
      <c r="P39" s="506"/>
      <c r="Q39" s="522"/>
      <c r="R39" s="505"/>
      <c r="S39" s="508"/>
      <c r="T39" s="523"/>
      <c r="U39" s="294"/>
      <c r="V39" s="307"/>
      <c r="W39" s="351"/>
      <c r="X39" s="629"/>
      <c r="Y39" s="566"/>
      <c r="Z39" s="602"/>
      <c r="AA39" s="375"/>
      <c r="AB39" s="375"/>
      <c r="AC39" s="375"/>
      <c r="AD39" s="375"/>
      <c r="AE39" s="375"/>
      <c r="AF39" s="630"/>
      <c r="AG39" s="375"/>
      <c r="AH39" s="375"/>
      <c r="AI39" s="604" t="str">
        <f>IFNA((VLOOKUP(Z39,'武器&amp;護甲'!$A$2:$H$118,3,False))&amp;X39,"")</f>
        <v/>
      </c>
      <c r="AJ39" s="375"/>
      <c r="AK39" s="375"/>
      <c r="AL39" s="375"/>
      <c r="AM39" s="375"/>
      <c r="AN39" s="605"/>
      <c r="AO39" s="631"/>
      <c r="AP39" s="375"/>
      <c r="AQ39" s="376"/>
      <c r="AR39" s="632" t="str">
        <f>IFNA(VLOOKUP(Z39,'武器&amp;護甲'!$A$2:$H$118,4,False),"")</f>
        <v/>
      </c>
      <c r="AS39" s="375"/>
      <c r="AT39" s="375"/>
      <c r="AU39" s="375"/>
      <c r="AV39" s="630" t="str">
        <f>IFNA(VLOOKUP(Z39,'武器&amp;護甲'!$A$2:$H$118,5,False),"")</f>
        <v/>
      </c>
      <c r="AW39" s="375"/>
      <c r="AX39" s="376"/>
      <c r="AY39" s="609" t="str">
        <f>IFNA(VLOOKUP(Z39,'武器&amp;護甲'!$A$2:$H$118,6,FALSE),"")</f>
        <v/>
      </c>
      <c r="AZ39" s="496"/>
      <c r="BA39" s="500"/>
      <c r="BB39" s="612"/>
      <c r="BC39" s="500"/>
      <c r="BD39" s="633" t="b">
        <v>0</v>
      </c>
      <c r="BE39" s="500"/>
      <c r="BF39" s="612" t="str">
        <f>IFNA(IF(BD39=TRUE,VLOOKUP(Z39,'武器&amp;護甲'!$A$2:$H$118,8,False),""),"")</f>
        <v/>
      </c>
      <c r="BG39" s="496"/>
      <c r="BH39" s="496"/>
      <c r="BI39" s="496"/>
      <c r="BJ39" s="496"/>
      <c r="BK39" s="500"/>
      <c r="BL39" s="613" t="str">
        <f>IFNA(VLOOKUP(Z39,'武器&amp;護甲'!$A$2:$H$118,7,False),"")</f>
        <v/>
      </c>
      <c r="BM39" s="375"/>
      <c r="BN39" s="375"/>
      <c r="BO39" s="375"/>
      <c r="BP39" s="375"/>
      <c r="BQ39" s="375"/>
      <c r="BR39" s="375"/>
      <c r="BS39" s="375"/>
      <c r="BT39" s="375"/>
      <c r="BU39" s="376"/>
      <c r="BV39" s="600"/>
      <c r="BW39" s="634" t="s">
        <v>327</v>
      </c>
      <c r="BX39" s="635"/>
      <c r="BY39" s="635"/>
      <c r="BZ39" s="635"/>
      <c r="CA39" s="635"/>
      <c r="CB39" s="635"/>
      <c r="CC39" s="635"/>
      <c r="CD39" s="635"/>
      <c r="CE39" s="635"/>
      <c r="CF39" s="635"/>
      <c r="CG39" s="635"/>
      <c r="CH39" s="635"/>
      <c r="CI39" s="635"/>
      <c r="CJ39" s="635"/>
      <c r="CK39" s="635"/>
      <c r="CL39" s="636"/>
      <c r="CM39" s="307"/>
      <c r="CN39" s="294"/>
    </row>
    <row r="40" ht="18.75" customHeight="1">
      <c r="A40" s="294"/>
      <c r="B40" s="351" t="str">
        <f t="shared" si="3"/>
        <v/>
      </c>
      <c r="C40" s="502">
        <f>WisMod+(Prof*IF(N40="x2",2,IF(N40="½",0.4,IF(N40="●",1,0))))</f>
        <v>1</v>
      </c>
      <c r="F40" s="637" t="s">
        <v>328</v>
      </c>
      <c r="G40" s="240"/>
      <c r="H40" s="240"/>
      <c r="I40" s="240"/>
      <c r="J40" s="240"/>
      <c r="K40" s="240"/>
      <c r="L40" s="240"/>
      <c r="M40" s="240"/>
      <c r="N40" s="504"/>
      <c r="O40" s="505"/>
      <c r="P40" s="506"/>
      <c r="Q40" s="507"/>
      <c r="R40" s="505"/>
      <c r="S40" s="508"/>
      <c r="T40" s="523"/>
      <c r="U40" s="294"/>
      <c r="V40" s="307"/>
      <c r="W40" s="351"/>
      <c r="X40" s="638"/>
      <c r="Y40" s="566"/>
      <c r="Z40" s="616"/>
      <c r="AA40" s="375"/>
      <c r="AB40" s="375"/>
      <c r="AC40" s="375"/>
      <c r="AD40" s="375"/>
      <c r="AE40" s="375"/>
      <c r="AF40" s="617"/>
      <c r="AG40" s="375"/>
      <c r="AH40" s="375"/>
      <c r="AI40" s="618" t="str">
        <f>IFNA((VLOOKUP(Z40,'武器&amp;護甲'!$A$2:$H$118,3,False))&amp;X40,"")</f>
        <v/>
      </c>
      <c r="AJ40" s="375"/>
      <c r="AK40" s="375"/>
      <c r="AL40" s="375"/>
      <c r="AM40" s="375"/>
      <c r="AN40" s="605"/>
      <c r="AO40" s="619"/>
      <c r="AP40" s="375"/>
      <c r="AQ40" s="376"/>
      <c r="AR40" s="620" t="str">
        <f>IFNA(VLOOKUP(Z40,'武器&amp;護甲'!$A$2:$H$118,4,False),"")</f>
        <v/>
      </c>
      <c r="AS40" s="375"/>
      <c r="AT40" s="375"/>
      <c r="AU40" s="375"/>
      <c r="AV40" s="617" t="str">
        <f>IFNA(VLOOKUP(Z40,'武器&amp;護甲'!$A$2:$H$118,5,False),"")</f>
        <v/>
      </c>
      <c r="AW40" s="375"/>
      <c r="AX40" s="376"/>
      <c r="AY40" s="621" t="str">
        <f>IFNA(VLOOKUP(Z40,'武器&amp;護甲'!$A$2:$H$118,6,FALSE),"")</f>
        <v/>
      </c>
      <c r="AZ40" s="496"/>
      <c r="BA40" s="500"/>
      <c r="BB40" s="622"/>
      <c r="BC40" s="376"/>
      <c r="BD40" s="623" t="b">
        <v>0</v>
      </c>
      <c r="BE40" s="376"/>
      <c r="BF40" s="624" t="str">
        <f>IFNA(IF(BD40=TRUE,VLOOKUP(Z40,'武器&amp;護甲'!$A$2:$H$118,8,False),""),"")</f>
        <v/>
      </c>
      <c r="BG40" s="496"/>
      <c r="BH40" s="496"/>
      <c r="BI40" s="496"/>
      <c r="BJ40" s="496"/>
      <c r="BK40" s="500"/>
      <c r="BL40" s="625" t="str">
        <f>IFNA(VLOOKUP(Z40,'武器&amp;護甲'!$A$2:$H$118,7,False),"")</f>
        <v/>
      </c>
      <c r="BM40" s="375"/>
      <c r="BN40" s="375"/>
      <c r="BO40" s="375"/>
      <c r="BP40" s="375"/>
      <c r="BQ40" s="375"/>
      <c r="BR40" s="375"/>
      <c r="BS40" s="375"/>
      <c r="BT40" s="375"/>
      <c r="BU40" s="376"/>
      <c r="BV40" s="600"/>
      <c r="BW40" s="639"/>
      <c r="BX40" s="635"/>
      <c r="BY40" s="635"/>
      <c r="BZ40" s="635"/>
      <c r="CA40" s="635"/>
      <c r="CB40" s="635"/>
      <c r="CC40" s="635"/>
      <c r="CD40" s="635"/>
      <c r="CE40" s="635"/>
      <c r="CF40" s="635"/>
      <c r="CG40" s="635"/>
      <c r="CH40" s="635"/>
      <c r="CI40" s="635"/>
      <c r="CJ40" s="635"/>
      <c r="CK40" s="635"/>
      <c r="CL40" s="636"/>
      <c r="CM40" s="307"/>
      <c r="CN40" s="294"/>
    </row>
    <row r="41" ht="18.75" customHeight="1">
      <c r="A41" s="294"/>
      <c r="B41" s="351" t="str">
        <f t="shared" si="3"/>
        <v/>
      </c>
      <c r="C41" s="520">
        <f>ChaMod+(Prof*IF(N41="x2",2,IF(N41="½",0.4,IF(N41="●",1,0))))</f>
        <v>1</v>
      </c>
      <c r="F41" s="640" t="s">
        <v>329</v>
      </c>
      <c r="G41" s="213"/>
      <c r="H41" s="213"/>
      <c r="I41" s="213"/>
      <c r="J41" s="213"/>
      <c r="K41" s="213"/>
      <c r="L41" s="213"/>
      <c r="M41" s="213"/>
      <c r="N41" s="521"/>
      <c r="O41" s="505"/>
      <c r="P41" s="506"/>
      <c r="Q41" s="522"/>
      <c r="R41" s="505"/>
      <c r="S41" s="508"/>
      <c r="T41" s="478"/>
      <c r="U41" s="294"/>
      <c r="V41" s="307"/>
      <c r="W41" s="351"/>
      <c r="X41" s="629"/>
      <c r="Y41" s="566"/>
      <c r="Z41" s="602"/>
      <c r="AA41" s="375"/>
      <c r="AB41" s="375"/>
      <c r="AC41" s="375"/>
      <c r="AD41" s="375"/>
      <c r="AE41" s="375"/>
      <c r="AF41" s="630"/>
      <c r="AG41" s="375"/>
      <c r="AH41" s="375"/>
      <c r="AI41" s="604" t="str">
        <f>IFNA((VLOOKUP(Z41,'武器&amp;護甲'!$A$2:$H$118,3,False))&amp;X41,"")</f>
        <v/>
      </c>
      <c r="AJ41" s="375"/>
      <c r="AK41" s="375"/>
      <c r="AL41" s="375"/>
      <c r="AM41" s="375"/>
      <c r="AN41" s="605"/>
      <c r="AO41" s="631"/>
      <c r="AP41" s="375"/>
      <c r="AQ41" s="376"/>
      <c r="AR41" s="632" t="str">
        <f>IFNA(VLOOKUP(Z41,'武器&amp;護甲'!$A$2:$H$118,4,False),"")</f>
        <v/>
      </c>
      <c r="AS41" s="375"/>
      <c r="AT41" s="375"/>
      <c r="AU41" s="375"/>
      <c r="AV41" s="630" t="str">
        <f>IFNA(VLOOKUP(Z41,'武器&amp;護甲'!$A$2:$H$118,5,False),"")</f>
        <v/>
      </c>
      <c r="AW41" s="375"/>
      <c r="AX41" s="376"/>
      <c r="AY41" s="609" t="str">
        <f>IFNA(VLOOKUP(Z41,'武器&amp;護甲'!$A$2:$H$118,6,FALSE),"")</f>
        <v/>
      </c>
      <c r="AZ41" s="496"/>
      <c r="BA41" s="500"/>
      <c r="BB41" s="612"/>
      <c r="BC41" s="500"/>
      <c r="BD41" s="641" t="b">
        <v>0</v>
      </c>
      <c r="BE41" s="500"/>
      <c r="BF41" s="612" t="str">
        <f>IFNA(IF(BD41=TRUE,VLOOKUP(Z41,'武器&amp;護甲'!$A$2:$H$118,8,False),""),"")</f>
        <v/>
      </c>
      <c r="BG41" s="496"/>
      <c r="BH41" s="496"/>
      <c r="BI41" s="496"/>
      <c r="BJ41" s="496"/>
      <c r="BK41" s="500"/>
      <c r="BL41" s="613" t="str">
        <f>IFNA(VLOOKUP(Z41,'武器&amp;護甲'!$A$2:$H$118,7,False),"")</f>
        <v/>
      </c>
      <c r="BM41" s="375"/>
      <c r="BN41" s="375"/>
      <c r="BO41" s="375"/>
      <c r="BP41" s="375"/>
      <c r="BQ41" s="375"/>
      <c r="BR41" s="375"/>
      <c r="BS41" s="375"/>
      <c r="BT41" s="375"/>
      <c r="BU41" s="376"/>
      <c r="BV41" s="642"/>
      <c r="BW41" s="643"/>
      <c r="BX41" s="635"/>
      <c r="BY41" s="635"/>
      <c r="BZ41" s="635"/>
      <c r="CA41" s="635"/>
      <c r="CB41" s="635"/>
      <c r="CC41" s="635"/>
      <c r="CD41" s="635"/>
      <c r="CE41" s="635"/>
      <c r="CF41" s="635"/>
      <c r="CG41" s="635"/>
      <c r="CH41" s="635"/>
      <c r="CI41" s="635"/>
      <c r="CJ41" s="635"/>
      <c r="CK41" s="635"/>
      <c r="CL41" s="636"/>
      <c r="CM41" s="307"/>
      <c r="CN41" s="294"/>
    </row>
    <row r="42" ht="18.75" customHeight="1">
      <c r="A42" s="294"/>
      <c r="B42" s="351" t="str">
        <f t="shared" si="3"/>
        <v/>
      </c>
      <c r="C42" s="502">
        <f>ChaMod+(Prof*IF(N42="x2",2,IF(N42="½",0.4,IF(N42="●",1,0))))</f>
        <v>1</v>
      </c>
      <c r="F42" s="640" t="s">
        <v>330</v>
      </c>
      <c r="G42" s="213"/>
      <c r="H42" s="213"/>
      <c r="I42" s="213"/>
      <c r="J42" s="213"/>
      <c r="K42" s="213"/>
      <c r="L42" s="213"/>
      <c r="M42" s="213"/>
      <c r="N42" s="504"/>
      <c r="O42" s="505"/>
      <c r="P42" s="506"/>
      <c r="Q42" s="507"/>
      <c r="R42" s="505"/>
      <c r="S42" s="508"/>
      <c r="T42" s="523"/>
      <c r="U42" s="294"/>
      <c r="V42" s="307"/>
      <c r="W42" s="307"/>
      <c r="X42" s="644"/>
      <c r="Y42" s="586"/>
      <c r="Z42" s="645"/>
      <c r="AA42" s="417"/>
      <c r="AB42" s="417"/>
      <c r="AC42" s="417"/>
      <c r="AD42" s="417"/>
      <c r="AE42" s="417"/>
      <c r="AF42" s="646"/>
      <c r="AG42" s="417"/>
      <c r="AH42" s="417"/>
      <c r="AI42" s="647" t="str">
        <f>IFNA((VLOOKUP(Z42,'武器&amp;護甲'!$A$2:$H$118,3,False))&amp;X42,"")</f>
        <v/>
      </c>
      <c r="AJ42" s="417"/>
      <c r="AK42" s="417"/>
      <c r="AL42" s="417"/>
      <c r="AM42" s="417"/>
      <c r="AN42" s="648"/>
      <c r="AO42" s="649"/>
      <c r="AP42" s="417"/>
      <c r="AQ42" s="517"/>
      <c r="AR42" s="650" t="str">
        <f>IFNA(VLOOKUP(Z42,'武器&amp;護甲'!$A$2:$H$118,4,False),"")</f>
        <v/>
      </c>
      <c r="AS42" s="417"/>
      <c r="AT42" s="417"/>
      <c r="AU42" s="417"/>
      <c r="AV42" s="646" t="str">
        <f>IFNA(VLOOKUP(Z42,'武器&amp;護甲'!$A$2:$H$118,5,False),"")</f>
        <v/>
      </c>
      <c r="AW42" s="417"/>
      <c r="AX42" s="517"/>
      <c r="AY42" s="651" t="str">
        <f>IFNA(VLOOKUP(Z42,'武器&amp;護甲'!$A$2:$H$118,6,FALSE),"")</f>
        <v/>
      </c>
      <c r="AZ42" s="240"/>
      <c r="BA42" s="241"/>
      <c r="BB42" s="652"/>
      <c r="BC42" s="517"/>
      <c r="BD42" s="653" t="b">
        <v>0</v>
      </c>
      <c r="BE42" s="517"/>
      <c r="BF42" s="654" t="str">
        <f>IFNA(IF(BD42=TRUE,VLOOKUP(Z42,'武器&amp;護甲'!$A$2:$H$118,8,False),""),"")</f>
        <v/>
      </c>
      <c r="BG42" s="240"/>
      <c r="BH42" s="240"/>
      <c r="BI42" s="240"/>
      <c r="BJ42" s="240"/>
      <c r="BK42" s="241"/>
      <c r="BL42" s="655" t="str">
        <f>IFNA(VLOOKUP(Z42,'武器&amp;護甲'!$A$2:$H$118,7,False),"")</f>
        <v/>
      </c>
      <c r="BM42" s="417"/>
      <c r="BN42" s="417"/>
      <c r="BO42" s="417"/>
      <c r="BP42" s="417"/>
      <c r="BQ42" s="417"/>
      <c r="BR42" s="417"/>
      <c r="BS42" s="417"/>
      <c r="BT42" s="417"/>
      <c r="BU42" s="517"/>
      <c r="BV42" s="642"/>
      <c r="BW42" s="656"/>
      <c r="BX42" s="635"/>
      <c r="BY42" s="635"/>
      <c r="BZ42" s="635"/>
      <c r="CA42" s="635"/>
      <c r="CB42" s="635"/>
      <c r="CC42" s="635"/>
      <c r="CD42" s="635"/>
      <c r="CE42" s="635"/>
      <c r="CF42" s="635"/>
      <c r="CG42" s="635"/>
      <c r="CH42" s="635"/>
      <c r="CI42" s="635"/>
      <c r="CJ42" s="635"/>
      <c r="CK42" s="635"/>
      <c r="CL42" s="636"/>
      <c r="CM42" s="307"/>
      <c r="CN42" s="294"/>
    </row>
    <row r="43" ht="18.75" customHeight="1">
      <c r="A43" s="294"/>
      <c r="B43" s="351" t="str">
        <f t="shared" si="3"/>
        <v/>
      </c>
      <c r="C43" s="520">
        <f>ChaMod+(Prof*IF(N43="x2",2,IF(N43="½",0.4,IF(N43="●",1,0))))</f>
        <v>1</v>
      </c>
      <c r="F43" s="640" t="s">
        <v>331</v>
      </c>
      <c r="G43" s="213"/>
      <c r="H43" s="213"/>
      <c r="I43" s="213"/>
      <c r="J43" s="213"/>
      <c r="K43" s="213"/>
      <c r="L43" s="213"/>
      <c r="M43" s="213"/>
      <c r="N43" s="521"/>
      <c r="O43" s="505"/>
      <c r="P43" s="506"/>
      <c r="Q43" s="522"/>
      <c r="R43" s="505"/>
      <c r="S43" s="508"/>
      <c r="T43" s="523"/>
      <c r="U43" s="294"/>
      <c r="V43" s="307"/>
      <c r="W43" s="307"/>
      <c r="X43" s="307"/>
      <c r="Y43" s="307"/>
      <c r="Z43" s="307"/>
      <c r="AA43" s="307"/>
      <c r="AB43" s="307"/>
      <c r="AC43" s="307"/>
      <c r="AD43" s="307"/>
      <c r="AE43" s="307"/>
      <c r="AF43" s="307"/>
      <c r="AG43" s="307"/>
      <c r="AH43" s="307"/>
      <c r="AI43" s="307"/>
      <c r="AJ43" s="307"/>
      <c r="AK43" s="307"/>
      <c r="AL43" s="307"/>
      <c r="AM43" s="307"/>
      <c r="AN43" s="307"/>
      <c r="AO43" s="307"/>
      <c r="AP43" s="307"/>
      <c r="AQ43" s="307"/>
      <c r="AR43" s="307"/>
      <c r="AS43" s="307"/>
      <c r="AT43" s="307"/>
      <c r="AU43" s="307"/>
      <c r="AV43" s="307"/>
      <c r="AW43" s="307"/>
      <c r="AX43" s="307"/>
      <c r="AY43" s="307"/>
      <c r="AZ43" s="307"/>
      <c r="BA43" s="307"/>
      <c r="BB43" s="307"/>
      <c r="BC43" s="307"/>
      <c r="BD43" s="307"/>
      <c r="BE43" s="307"/>
      <c r="BF43" s="307"/>
      <c r="BG43" s="307"/>
      <c r="BH43" s="307"/>
      <c r="BI43" s="307"/>
      <c r="BJ43" s="307"/>
      <c r="BK43" s="307"/>
      <c r="BL43" s="307"/>
      <c r="BM43" s="307"/>
      <c r="BN43" s="307"/>
      <c r="BO43" s="307"/>
      <c r="BP43" s="307"/>
      <c r="BQ43" s="307"/>
      <c r="BR43" s="307"/>
      <c r="BS43" s="307"/>
      <c r="BT43" s="307"/>
      <c r="BU43" s="307"/>
      <c r="BV43" s="642"/>
      <c r="BW43" s="643"/>
      <c r="BX43" s="635"/>
      <c r="BY43" s="635"/>
      <c r="BZ43" s="635"/>
      <c r="CA43" s="635"/>
      <c r="CB43" s="635"/>
      <c r="CC43" s="635"/>
      <c r="CD43" s="635"/>
      <c r="CE43" s="635"/>
      <c r="CF43" s="635"/>
      <c r="CG43" s="635"/>
      <c r="CH43" s="635"/>
      <c r="CI43" s="635"/>
      <c r="CJ43" s="635"/>
      <c r="CK43" s="635"/>
      <c r="CL43" s="636"/>
      <c r="CM43" s="307"/>
      <c r="CN43" s="294"/>
    </row>
    <row r="44" ht="18.75" customHeight="1">
      <c r="A44" s="294"/>
      <c r="B44" s="351" t="str">
        <f t="shared" si="3"/>
        <v/>
      </c>
      <c r="C44" s="502">
        <f>ChaMod+(Prof*IF(N44="x2",2,IF(N44="½",0.4,IF(N44="●",1,0))))</f>
        <v>3</v>
      </c>
      <c r="F44" s="657" t="s">
        <v>332</v>
      </c>
      <c r="G44" s="240"/>
      <c r="H44" s="240"/>
      <c r="I44" s="240"/>
      <c r="J44" s="240"/>
      <c r="K44" s="240"/>
      <c r="L44" s="240"/>
      <c r="M44" s="240"/>
      <c r="N44" s="658" t="s">
        <v>295</v>
      </c>
      <c r="O44" s="659"/>
      <c r="P44" s="660"/>
      <c r="Q44" s="661"/>
      <c r="R44" s="662"/>
      <c r="S44" s="663"/>
      <c r="T44" s="523"/>
      <c r="U44" s="294"/>
      <c r="V44" s="307"/>
      <c r="W44" s="351"/>
      <c r="X44" s="664" t="s">
        <v>333</v>
      </c>
      <c r="Y44" s="356"/>
      <c r="Z44" s="356"/>
      <c r="AA44" s="356"/>
      <c r="AB44" s="356"/>
      <c r="AC44" s="356"/>
      <c r="AD44" s="356"/>
      <c r="AE44" s="356"/>
      <c r="AF44" s="356"/>
      <c r="AG44" s="356"/>
      <c r="AH44" s="356"/>
      <c r="AI44" s="356"/>
      <c r="AJ44" s="356"/>
      <c r="AK44" s="356"/>
      <c r="AL44" s="356"/>
      <c r="AM44" s="356"/>
      <c r="AN44" s="356"/>
      <c r="AO44" s="356"/>
      <c r="AP44" s="356"/>
      <c r="AQ44" s="356"/>
      <c r="AR44" s="356"/>
      <c r="AS44" s="356"/>
      <c r="AT44" s="357"/>
      <c r="AU44" s="665"/>
      <c r="AV44" s="349" t="s">
        <v>334</v>
      </c>
      <c r="AW44" s="152"/>
      <c r="AX44" s="152"/>
      <c r="AY44" s="152"/>
      <c r="AZ44" s="152"/>
      <c r="BA44" s="152"/>
      <c r="BB44" s="152"/>
      <c r="BC44" s="152"/>
      <c r="BD44" s="152"/>
      <c r="BE44" s="152"/>
      <c r="BF44" s="152"/>
      <c r="BG44" s="152"/>
      <c r="BH44" s="152"/>
      <c r="BI44" s="152"/>
      <c r="BJ44" s="152"/>
      <c r="BK44" s="152"/>
      <c r="BL44" s="152"/>
      <c r="BM44" s="152"/>
      <c r="BN44" s="152"/>
      <c r="BO44" s="152"/>
      <c r="BP44" s="152"/>
      <c r="BQ44" s="152"/>
      <c r="BR44" s="152"/>
      <c r="BS44" s="152"/>
      <c r="BT44" s="152"/>
      <c r="BU44" s="175"/>
      <c r="BV44" s="642"/>
      <c r="BW44" s="666"/>
      <c r="BX44" s="667"/>
      <c r="BY44" s="667"/>
      <c r="BZ44" s="667"/>
      <c r="CA44" s="667"/>
      <c r="CB44" s="667"/>
      <c r="CC44" s="667"/>
      <c r="CD44" s="667"/>
      <c r="CE44" s="667"/>
      <c r="CF44" s="667"/>
      <c r="CG44" s="667"/>
      <c r="CH44" s="667"/>
      <c r="CI44" s="667"/>
      <c r="CJ44" s="667"/>
      <c r="CK44" s="667"/>
      <c r="CL44" s="668"/>
      <c r="CM44" s="307"/>
      <c r="CN44" s="294"/>
    </row>
    <row r="45" ht="18.75" customHeight="1">
      <c r="A45" s="294"/>
      <c r="B45" s="307"/>
      <c r="C45" s="669"/>
      <c r="D45" s="669"/>
      <c r="E45" s="669"/>
      <c r="F45" s="670"/>
      <c r="G45" s="670"/>
      <c r="H45" s="670"/>
      <c r="I45" s="670"/>
      <c r="J45" s="670"/>
      <c r="K45" s="670"/>
      <c r="L45" s="670"/>
      <c r="M45" s="670"/>
      <c r="N45" s="670"/>
      <c r="O45" s="670"/>
      <c r="P45" s="670"/>
      <c r="Q45" s="670"/>
      <c r="R45" s="670"/>
      <c r="S45" s="670"/>
      <c r="T45" s="307"/>
      <c r="U45" s="294"/>
      <c r="V45" s="307"/>
      <c r="W45" s="351"/>
      <c r="X45" s="671" t="str">
        <f>Ifna(VLOOKUP(Y7,'物種'!A2:L213,5,FALSE),"")</f>
        <v>創造力 Resourceful</v>
      </c>
      <c r="Y45" s="375"/>
      <c r="Z45" s="375"/>
      <c r="AA45" s="375"/>
      <c r="AB45" s="375"/>
      <c r="AC45" s="375"/>
      <c r="AD45" s="375"/>
      <c r="AE45" s="375"/>
      <c r="AF45" s="375"/>
      <c r="AG45" s="375"/>
      <c r="AH45" s="375"/>
      <c r="AI45" s="375"/>
      <c r="AJ45" s="375"/>
      <c r="AK45" s="375"/>
      <c r="AL45" s="375"/>
      <c r="AM45" s="375"/>
      <c r="AN45" s="375"/>
      <c r="AO45" s="375"/>
      <c r="AP45" s="375"/>
      <c r="AQ45" s="375"/>
      <c r="AR45" s="375"/>
      <c r="AS45" s="375"/>
      <c r="AT45" s="376"/>
      <c r="AU45" s="665"/>
      <c r="AV45" s="672" t="s">
        <v>335</v>
      </c>
      <c r="AW45" s="375"/>
      <c r="AX45" s="375"/>
      <c r="AY45" s="375"/>
      <c r="AZ45" s="673" t="str">
        <f>IFNA(VLOOKUP(C66,'背景'!A1:I114,6,FALSE),"")</f>
        <v>魔法學徒(法師) Magic Initiate</v>
      </c>
      <c r="BA45" s="375"/>
      <c r="BB45" s="375"/>
      <c r="BC45" s="375"/>
      <c r="BD45" s="375"/>
      <c r="BE45" s="375"/>
      <c r="BF45" s="375"/>
      <c r="BG45" s="375"/>
      <c r="BH45" s="375"/>
      <c r="BI45" s="375"/>
      <c r="BJ45" s="375"/>
      <c r="BK45" s="375"/>
      <c r="BL45" s="375"/>
      <c r="BM45" s="375"/>
      <c r="BN45" s="375"/>
      <c r="BO45" s="375"/>
      <c r="BP45" s="375"/>
      <c r="BQ45" s="375"/>
      <c r="BR45" s="375"/>
      <c r="BS45" s="375"/>
      <c r="BT45" s="375"/>
      <c r="BU45" s="376"/>
      <c r="BV45" s="307"/>
      <c r="BW45" s="674"/>
      <c r="BX45" s="635"/>
      <c r="BY45" s="635"/>
      <c r="BZ45" s="635"/>
      <c r="CA45" s="635"/>
      <c r="CB45" s="635"/>
      <c r="CC45" s="635"/>
      <c r="CD45" s="635"/>
      <c r="CE45" s="635"/>
      <c r="CF45" s="635"/>
      <c r="CG45" s="635"/>
      <c r="CH45" s="635"/>
      <c r="CI45" s="635"/>
      <c r="CJ45" s="635"/>
      <c r="CK45" s="635"/>
      <c r="CL45" s="636"/>
      <c r="CM45" s="307"/>
      <c r="CN45" s="294"/>
    </row>
    <row r="46" ht="18.75" customHeight="1">
      <c r="A46" s="294"/>
      <c r="B46" s="351"/>
      <c r="C46" s="675">
        <f>WisMod+(Prof*IF(N39="x2",2,IF(N39="½",0.4,IF(N39="●",1,0))))+10+IF(Q39="✓",5,if(Q39="🗴",-5,0))</f>
        <v>13</v>
      </c>
      <c r="D46" s="676"/>
      <c r="E46" s="677"/>
      <c r="F46" s="678" t="s">
        <v>336</v>
      </c>
      <c r="G46" s="383"/>
      <c r="H46" s="383"/>
      <c r="I46" s="383"/>
      <c r="J46" s="383"/>
      <c r="K46" s="383"/>
      <c r="L46" s="383"/>
      <c r="M46" s="383"/>
      <c r="N46" s="383"/>
      <c r="O46" s="383"/>
      <c r="P46" s="383"/>
      <c r="Q46" s="383"/>
      <c r="R46" s="383"/>
      <c r="S46" s="679"/>
      <c r="T46" s="350"/>
      <c r="U46" s="294"/>
      <c r="V46" s="307"/>
      <c r="W46" s="351"/>
      <c r="X46" s="680" t="str">
        <f>IFNA(VLOOKUP(Y7,'物種'!A2:L213,6,FALSE),"")</f>
        <v>技能熟練 Skillful</v>
      </c>
      <c r="Y46" s="375"/>
      <c r="Z46" s="375"/>
      <c r="AA46" s="375"/>
      <c r="AB46" s="375"/>
      <c r="AC46" s="375"/>
      <c r="AD46" s="375"/>
      <c r="AE46" s="375"/>
      <c r="AF46" s="375"/>
      <c r="AG46" s="375"/>
      <c r="AH46" s="375"/>
      <c r="AI46" s="375"/>
      <c r="AJ46" s="375"/>
      <c r="AK46" s="375"/>
      <c r="AL46" s="375"/>
      <c r="AM46" s="375"/>
      <c r="AN46" s="375"/>
      <c r="AO46" s="375"/>
      <c r="AP46" s="375"/>
      <c r="AQ46" s="375"/>
      <c r="AR46" s="375"/>
      <c r="AS46" s="375"/>
      <c r="AT46" s="376"/>
      <c r="AU46" s="665"/>
      <c r="AV46" s="681"/>
      <c r="AW46" s="496"/>
      <c r="AX46" s="496"/>
      <c r="AY46" s="496"/>
      <c r="AZ46" s="496"/>
      <c r="BA46" s="496"/>
      <c r="BB46" s="496"/>
      <c r="BC46" s="496"/>
      <c r="BD46" s="496"/>
      <c r="BE46" s="496"/>
      <c r="BF46" s="496"/>
      <c r="BG46" s="496"/>
      <c r="BH46" s="500"/>
      <c r="BI46" s="682"/>
      <c r="BJ46" s="496"/>
      <c r="BK46" s="496"/>
      <c r="BL46" s="496"/>
      <c r="BM46" s="496"/>
      <c r="BN46" s="496"/>
      <c r="BO46" s="496"/>
      <c r="BP46" s="496"/>
      <c r="BQ46" s="496"/>
      <c r="BR46" s="496"/>
      <c r="BS46" s="496"/>
      <c r="BT46" s="496"/>
      <c r="BU46" s="500"/>
      <c r="BV46" s="307"/>
      <c r="BW46" s="639"/>
      <c r="BX46" s="635"/>
      <c r="BY46" s="635"/>
      <c r="BZ46" s="635"/>
      <c r="CA46" s="635"/>
      <c r="CB46" s="635"/>
      <c r="CC46" s="635"/>
      <c r="CD46" s="635"/>
      <c r="CE46" s="635"/>
      <c r="CF46" s="635"/>
      <c r="CG46" s="635"/>
      <c r="CH46" s="635"/>
      <c r="CI46" s="635"/>
      <c r="CJ46" s="635"/>
      <c r="CK46" s="635"/>
      <c r="CL46" s="636"/>
      <c r="CM46" s="307"/>
      <c r="CN46" s="294"/>
    </row>
    <row r="47" ht="18.75" customHeight="1">
      <c r="A47" s="294"/>
      <c r="B47" s="351"/>
      <c r="C47" s="683">
        <f>IF(AL20&lt;5,2,IF(AL20&lt;9,3,IF(AL20&lt;13,4,IF(AL20&lt;17,5,IF(AL20&lt;21,6,0)))))</f>
        <v>2</v>
      </c>
      <c r="D47" s="684"/>
      <c r="E47" s="684"/>
      <c r="F47" s="685" t="s">
        <v>199</v>
      </c>
      <c r="G47" s="240"/>
      <c r="H47" s="240"/>
      <c r="I47" s="240"/>
      <c r="J47" s="240"/>
      <c r="K47" s="240"/>
      <c r="L47" s="240"/>
      <c r="M47" s="240"/>
      <c r="N47" s="240"/>
      <c r="O47" s="240"/>
      <c r="P47" s="240"/>
      <c r="Q47" s="240"/>
      <c r="R47" s="240"/>
      <c r="S47" s="241"/>
      <c r="T47" s="350"/>
      <c r="U47" s="294"/>
      <c r="V47" s="307"/>
      <c r="W47" s="351"/>
      <c r="X47" s="671" t="str">
        <f>IFNA(VLOOKUP(Y7,'物種'!A2:L213,7,False),"")</f>
        <v>多才多藝 Versatile</v>
      </c>
      <c r="Y47" s="375"/>
      <c r="Z47" s="375"/>
      <c r="AA47" s="375"/>
      <c r="AB47" s="375"/>
      <c r="AC47" s="375"/>
      <c r="AD47" s="375"/>
      <c r="AE47" s="375"/>
      <c r="AF47" s="375"/>
      <c r="AG47" s="375"/>
      <c r="AH47" s="375"/>
      <c r="AI47" s="375"/>
      <c r="AJ47" s="375"/>
      <c r="AK47" s="375"/>
      <c r="AL47" s="375"/>
      <c r="AM47" s="375"/>
      <c r="AN47" s="375"/>
      <c r="AO47" s="375"/>
      <c r="AP47" s="375"/>
      <c r="AQ47" s="375"/>
      <c r="AR47" s="375"/>
      <c r="AS47" s="375"/>
      <c r="AT47" s="376"/>
      <c r="AU47" s="665"/>
      <c r="AV47" s="686"/>
      <c r="AW47" s="496"/>
      <c r="AX47" s="496"/>
      <c r="AY47" s="496"/>
      <c r="AZ47" s="496"/>
      <c r="BA47" s="496"/>
      <c r="BB47" s="496"/>
      <c r="BC47" s="496"/>
      <c r="BD47" s="496"/>
      <c r="BE47" s="496"/>
      <c r="BF47" s="496"/>
      <c r="BG47" s="496"/>
      <c r="BH47" s="500"/>
      <c r="BI47" s="687"/>
      <c r="BJ47" s="496"/>
      <c r="BK47" s="496"/>
      <c r="BL47" s="496"/>
      <c r="BM47" s="496"/>
      <c r="BN47" s="496"/>
      <c r="BO47" s="496"/>
      <c r="BP47" s="496"/>
      <c r="BQ47" s="496"/>
      <c r="BR47" s="496"/>
      <c r="BS47" s="496"/>
      <c r="BT47" s="496"/>
      <c r="BU47" s="500"/>
      <c r="BV47" s="307"/>
      <c r="BW47" s="643"/>
      <c r="BX47" s="635"/>
      <c r="BY47" s="635"/>
      <c r="BZ47" s="635"/>
      <c r="CA47" s="635"/>
      <c r="CB47" s="635"/>
      <c r="CC47" s="635"/>
      <c r="CD47" s="635"/>
      <c r="CE47" s="635"/>
      <c r="CF47" s="635"/>
      <c r="CG47" s="635"/>
      <c r="CH47" s="635"/>
      <c r="CI47" s="635"/>
      <c r="CJ47" s="635"/>
      <c r="CK47" s="635"/>
      <c r="CL47" s="636"/>
      <c r="CM47" s="307"/>
      <c r="CN47" s="294"/>
    </row>
    <row r="48" ht="18.75" customHeight="1">
      <c r="A48" s="294"/>
      <c r="B48" s="307"/>
      <c r="C48" s="688">
        <f>IFNA(VLOOKUP(N48,$C$15:$L$20,8,FALSE)+(Prof*IF(Q48="x2",2,IF(Q48="½",0.4,IF(Q48="●",1,0)))),"")</f>
        <v>1</v>
      </c>
      <c r="D48" s="152"/>
      <c r="E48" s="152"/>
      <c r="F48" s="689" t="s">
        <v>337</v>
      </c>
      <c r="G48" s="690"/>
      <c r="H48" s="690"/>
      <c r="I48" s="690"/>
      <c r="J48" s="690"/>
      <c r="K48" s="690"/>
      <c r="L48" s="690"/>
      <c r="M48" s="690"/>
      <c r="N48" s="691" t="str">
        <f>IFNA(VLOOKUP(F48,'索引資料'!$L$41:$M$65,2,False),"")</f>
        <v>敏捷</v>
      </c>
      <c r="O48" s="152"/>
      <c r="P48" s="175"/>
      <c r="Q48" s="692"/>
      <c r="R48" s="690"/>
      <c r="S48" s="693"/>
      <c r="T48" s="307"/>
      <c r="U48" s="294"/>
      <c r="V48" s="307"/>
      <c r="W48" s="351"/>
      <c r="X48" s="680" t="str">
        <f>IFNA(VLOOKUP(Y7,'物種'!A2:L213,8,False),"")</f>
        <v/>
      </c>
      <c r="Y48" s="375"/>
      <c r="Z48" s="375"/>
      <c r="AA48" s="375"/>
      <c r="AB48" s="375"/>
      <c r="AC48" s="375"/>
      <c r="AD48" s="375"/>
      <c r="AE48" s="375"/>
      <c r="AF48" s="375"/>
      <c r="AG48" s="375"/>
      <c r="AH48" s="375"/>
      <c r="AI48" s="375"/>
      <c r="AJ48" s="375"/>
      <c r="AK48" s="375"/>
      <c r="AL48" s="375"/>
      <c r="AM48" s="375"/>
      <c r="AN48" s="375"/>
      <c r="AO48" s="375"/>
      <c r="AP48" s="375"/>
      <c r="AQ48" s="375"/>
      <c r="AR48" s="375"/>
      <c r="AS48" s="375"/>
      <c r="AT48" s="376"/>
      <c r="AU48" s="665"/>
      <c r="AV48" s="681"/>
      <c r="AW48" s="496"/>
      <c r="AX48" s="496"/>
      <c r="AY48" s="496"/>
      <c r="AZ48" s="496"/>
      <c r="BA48" s="496"/>
      <c r="BB48" s="496"/>
      <c r="BC48" s="496"/>
      <c r="BD48" s="496"/>
      <c r="BE48" s="496"/>
      <c r="BF48" s="496"/>
      <c r="BG48" s="496"/>
      <c r="BH48" s="500"/>
      <c r="BI48" s="682"/>
      <c r="BJ48" s="496"/>
      <c r="BK48" s="496"/>
      <c r="BL48" s="496"/>
      <c r="BM48" s="496"/>
      <c r="BN48" s="496"/>
      <c r="BO48" s="496"/>
      <c r="BP48" s="496"/>
      <c r="BQ48" s="496"/>
      <c r="BR48" s="496"/>
      <c r="BS48" s="496"/>
      <c r="BT48" s="496"/>
      <c r="BU48" s="500"/>
      <c r="BV48" s="307"/>
      <c r="BW48" s="656"/>
      <c r="BX48" s="635"/>
      <c r="BY48" s="635"/>
      <c r="BZ48" s="635"/>
      <c r="CA48" s="635"/>
      <c r="CB48" s="635"/>
      <c r="CC48" s="635"/>
      <c r="CD48" s="635"/>
      <c r="CE48" s="635"/>
      <c r="CF48" s="635"/>
      <c r="CG48" s="635"/>
      <c r="CH48" s="635"/>
      <c r="CI48" s="635"/>
      <c r="CJ48" s="635"/>
      <c r="CK48" s="635"/>
      <c r="CL48" s="636"/>
      <c r="CM48" s="307"/>
      <c r="CN48" s="294"/>
    </row>
    <row r="49" ht="18.75" customHeight="1">
      <c r="A49" s="294"/>
      <c r="B49" s="307"/>
      <c r="C49" s="694">
        <f>IFNA(VLOOKUP(N49,$C$15:$L$20,8,FALSE)+(Prof*IF(Q49="x2",2,IF(Q49="½",0.4,IF(Q49="●",1,0)))),"")</f>
        <v>1</v>
      </c>
      <c r="F49" s="695" t="s">
        <v>338</v>
      </c>
      <c r="G49" s="696"/>
      <c r="H49" s="696"/>
      <c r="I49" s="696"/>
      <c r="J49" s="696"/>
      <c r="K49" s="696"/>
      <c r="L49" s="696"/>
      <c r="M49" s="696"/>
      <c r="N49" s="697" t="str">
        <f>IFNA(VLOOKUP(F49,'索引資料'!$L$41:$M$65,2,False),"")</f>
        <v>魅力</v>
      </c>
      <c r="P49" s="318"/>
      <c r="Q49" s="698"/>
      <c r="R49" s="696"/>
      <c r="S49" s="699"/>
      <c r="T49" s="307"/>
      <c r="U49" s="294"/>
      <c r="V49" s="307"/>
      <c r="W49" s="351"/>
      <c r="X49" s="700" t="str">
        <f>IFNA(VLOOKUP(Y7,'物種'!A2:L213,9,FALSE),"")</f>
        <v/>
      </c>
      <c r="Y49" s="701"/>
      <c r="Z49" s="701"/>
      <c r="AA49" s="701"/>
      <c r="AB49" s="701"/>
      <c r="AC49" s="701"/>
      <c r="AD49" s="701"/>
      <c r="AE49" s="701"/>
      <c r="AF49" s="701"/>
      <c r="AG49" s="701"/>
      <c r="AH49" s="701"/>
      <c r="AI49" s="701"/>
      <c r="AJ49" s="701"/>
      <c r="AK49" s="701"/>
      <c r="AL49" s="701"/>
      <c r="AM49" s="701"/>
      <c r="AN49" s="701"/>
      <c r="AO49" s="701"/>
      <c r="AP49" s="701"/>
      <c r="AQ49" s="701"/>
      <c r="AR49" s="701"/>
      <c r="AS49" s="701"/>
      <c r="AT49" s="702"/>
      <c r="AU49" s="665"/>
      <c r="AV49" s="686"/>
      <c r="AW49" s="496"/>
      <c r="AX49" s="496"/>
      <c r="AY49" s="496"/>
      <c r="AZ49" s="496"/>
      <c r="BA49" s="496"/>
      <c r="BB49" s="496"/>
      <c r="BC49" s="496"/>
      <c r="BD49" s="496"/>
      <c r="BE49" s="496"/>
      <c r="BF49" s="496"/>
      <c r="BG49" s="496"/>
      <c r="BH49" s="500"/>
      <c r="BI49" s="687"/>
      <c r="BJ49" s="496"/>
      <c r="BK49" s="496"/>
      <c r="BL49" s="496"/>
      <c r="BM49" s="496"/>
      <c r="BN49" s="496"/>
      <c r="BO49" s="496"/>
      <c r="BP49" s="496"/>
      <c r="BQ49" s="496"/>
      <c r="BR49" s="496"/>
      <c r="BS49" s="496"/>
      <c r="BT49" s="496"/>
      <c r="BU49" s="500"/>
      <c r="BV49" s="307"/>
      <c r="BW49" s="643"/>
      <c r="BX49" s="635"/>
      <c r="BY49" s="635"/>
      <c r="BZ49" s="635"/>
      <c r="CA49" s="635"/>
      <c r="CB49" s="635"/>
      <c r="CC49" s="635"/>
      <c r="CD49" s="635"/>
      <c r="CE49" s="635"/>
      <c r="CF49" s="635"/>
      <c r="CG49" s="635"/>
      <c r="CH49" s="635"/>
      <c r="CI49" s="635"/>
      <c r="CJ49" s="635"/>
      <c r="CK49" s="635"/>
      <c r="CL49" s="636"/>
      <c r="CM49" s="307"/>
      <c r="CN49" s="294"/>
    </row>
    <row r="50" ht="18.75" customHeight="1">
      <c r="A50" s="294"/>
      <c r="B50" s="351"/>
      <c r="C50" s="703">
        <f>IFNA(VLOOKUP(N50,$C$15:$L$20,8,FALSE)+(Prof*IF(Q50="x2",2,IF(Q50="½",0.4,IF(Q50="●",1,0)))),"")</f>
        <v>1</v>
      </c>
      <c r="D50" s="240"/>
      <c r="E50" s="240"/>
      <c r="F50" s="704" t="s">
        <v>339</v>
      </c>
      <c r="G50" s="705"/>
      <c r="H50" s="705"/>
      <c r="I50" s="705"/>
      <c r="J50" s="705"/>
      <c r="K50" s="705"/>
      <c r="L50" s="705"/>
      <c r="M50" s="705"/>
      <c r="N50" s="706" t="str">
        <f>IFNA(VLOOKUP(F50,'索引資料'!$L$41:$M$65,2,False),"")</f>
        <v>感知</v>
      </c>
      <c r="O50" s="240"/>
      <c r="P50" s="241"/>
      <c r="Q50" s="707"/>
      <c r="R50" s="705"/>
      <c r="S50" s="708"/>
      <c r="T50" s="350"/>
      <c r="U50" s="294"/>
      <c r="V50" s="307"/>
      <c r="W50" s="351"/>
      <c r="X50" s="709" t="str">
        <f>IFNA(VLOOKUP(Y7,'物種'!A2:L213,10,FALSE),"")</f>
        <v/>
      </c>
      <c r="Y50" s="496"/>
      <c r="Z50" s="496"/>
      <c r="AA50" s="496"/>
      <c r="AB50" s="496"/>
      <c r="AC50" s="496"/>
      <c r="AD50" s="496"/>
      <c r="AE50" s="496"/>
      <c r="AF50" s="496"/>
      <c r="AG50" s="496"/>
      <c r="AH50" s="496"/>
      <c r="AI50" s="496"/>
      <c r="AJ50" s="496"/>
      <c r="AK50" s="496"/>
      <c r="AL50" s="496"/>
      <c r="AM50" s="496"/>
      <c r="AN50" s="496"/>
      <c r="AO50" s="496"/>
      <c r="AP50" s="496"/>
      <c r="AQ50" s="496"/>
      <c r="AR50" s="496"/>
      <c r="AS50" s="496"/>
      <c r="AT50" s="500"/>
      <c r="AU50" s="665"/>
      <c r="AV50" s="710" t="s">
        <v>340</v>
      </c>
      <c r="AW50" s="417"/>
      <c r="AX50" s="417"/>
      <c r="AY50" s="417"/>
      <c r="AZ50" s="711"/>
      <c r="BA50" s="417"/>
      <c r="BB50" s="417"/>
      <c r="BC50" s="417"/>
      <c r="BD50" s="417"/>
      <c r="BE50" s="417"/>
      <c r="BF50" s="417"/>
      <c r="BG50" s="417"/>
      <c r="BH50" s="417"/>
      <c r="BI50" s="417"/>
      <c r="BJ50" s="417"/>
      <c r="BK50" s="417"/>
      <c r="BL50" s="417"/>
      <c r="BM50" s="417"/>
      <c r="BN50" s="417"/>
      <c r="BO50" s="417"/>
      <c r="BP50" s="417"/>
      <c r="BQ50" s="417"/>
      <c r="BR50" s="417"/>
      <c r="BS50" s="417"/>
      <c r="BT50" s="417"/>
      <c r="BU50" s="517"/>
      <c r="BV50" s="307"/>
      <c r="BW50" s="656"/>
      <c r="BX50" s="635"/>
      <c r="BY50" s="635"/>
      <c r="BZ50" s="635"/>
      <c r="CA50" s="635"/>
      <c r="CB50" s="635"/>
      <c r="CC50" s="635"/>
      <c r="CD50" s="635"/>
      <c r="CE50" s="635"/>
      <c r="CF50" s="635"/>
      <c r="CG50" s="635"/>
      <c r="CH50" s="635"/>
      <c r="CI50" s="635"/>
      <c r="CJ50" s="635"/>
      <c r="CK50" s="635"/>
      <c r="CL50" s="636"/>
      <c r="CM50" s="307"/>
      <c r="CN50" s="294"/>
    </row>
    <row r="51" ht="18.75" hidden="1" customHeight="1">
      <c r="A51" s="294"/>
      <c r="B51" s="307"/>
      <c r="C51" s="694">
        <f>IFNA(VLOOKUP(N51,$C$15:$L$20,8,FALSE)+(Prof*IF(Q51="x2",2,IF(Q51="½",0.4,IF(Q51="●",1,0)))),"")</f>
        <v>3</v>
      </c>
      <c r="F51" s="712" t="s">
        <v>341</v>
      </c>
      <c r="G51" s="713"/>
      <c r="H51" s="713"/>
      <c r="I51" s="713"/>
      <c r="J51" s="713"/>
      <c r="K51" s="713"/>
      <c r="L51" s="713"/>
      <c r="M51" s="713"/>
      <c r="N51" s="697" t="str">
        <f>IFNA(VLOOKUP(F51,'索引資料'!$L$41:$M$65,2,False),"")</f>
        <v>智力</v>
      </c>
      <c r="P51" s="318"/>
      <c r="Q51" s="714"/>
      <c r="R51" s="713"/>
      <c r="S51" s="715"/>
      <c r="T51" s="307"/>
      <c r="U51" s="294"/>
      <c r="V51" s="307"/>
      <c r="W51" s="307"/>
      <c r="X51" s="700" t="str">
        <f>IFNA(VLOOKUP(Y7,'物種'!A2:L213,11,FALSE),"")</f>
        <v/>
      </c>
      <c r="Y51" s="701"/>
      <c r="Z51" s="701"/>
      <c r="AA51" s="701"/>
      <c r="AB51" s="701"/>
      <c r="AC51" s="701"/>
      <c r="AD51" s="701"/>
      <c r="AE51" s="701"/>
      <c r="AF51" s="701"/>
      <c r="AG51" s="701"/>
      <c r="AH51" s="701"/>
      <c r="AI51" s="701"/>
      <c r="AJ51" s="701"/>
      <c r="AK51" s="701"/>
      <c r="AL51" s="701"/>
      <c r="AM51" s="701"/>
      <c r="AN51" s="701"/>
      <c r="AO51" s="701"/>
      <c r="AP51" s="701"/>
      <c r="AQ51" s="701"/>
      <c r="AR51" s="701"/>
      <c r="AS51" s="701"/>
      <c r="AT51" s="702"/>
      <c r="AU51" s="716"/>
      <c r="AV51" s="717" t="s">
        <v>340</v>
      </c>
      <c r="AW51" s="701"/>
      <c r="AX51" s="701"/>
      <c r="AY51" s="701"/>
      <c r="AZ51" s="718"/>
      <c r="BA51" s="701"/>
      <c r="BB51" s="701"/>
      <c r="BC51" s="701"/>
      <c r="BD51" s="701"/>
      <c r="BE51" s="701"/>
      <c r="BF51" s="701"/>
      <c r="BG51" s="701"/>
      <c r="BH51" s="701"/>
      <c r="BI51" s="701"/>
      <c r="BJ51" s="701"/>
      <c r="BK51" s="701"/>
      <c r="BL51" s="701"/>
      <c r="BM51" s="701"/>
      <c r="BN51" s="701"/>
      <c r="BO51" s="701"/>
      <c r="BP51" s="701"/>
      <c r="BQ51" s="701"/>
      <c r="BR51" s="701"/>
      <c r="BS51" s="701"/>
      <c r="BT51" s="701"/>
      <c r="BU51" s="702"/>
      <c r="BV51" s="307"/>
      <c r="BW51" s="643"/>
      <c r="BX51" s="635"/>
      <c r="BY51" s="635"/>
      <c r="BZ51" s="635"/>
      <c r="CA51" s="635"/>
      <c r="CB51" s="635"/>
      <c r="CC51" s="635"/>
      <c r="CD51" s="635"/>
      <c r="CE51" s="635"/>
      <c r="CF51" s="635"/>
      <c r="CG51" s="635"/>
      <c r="CH51" s="635"/>
      <c r="CI51" s="635"/>
      <c r="CJ51" s="635"/>
      <c r="CK51" s="635"/>
      <c r="CL51" s="636"/>
      <c r="CM51" s="307"/>
      <c r="CN51" s="294"/>
    </row>
    <row r="52" ht="18.75" hidden="1" customHeight="1">
      <c r="A52" s="294"/>
      <c r="B52" s="307"/>
      <c r="C52" s="703">
        <f>IFNA(VLOOKUP(N52,$C$15:$L$20,8,FALSE)+(Prof*IF(Q52="x2",2,IF(Q52="½",0.4,IF(Q52="●",1,0)))),"")</f>
        <v>3</v>
      </c>
      <c r="D52" s="240"/>
      <c r="E52" s="240"/>
      <c r="F52" s="704" t="s">
        <v>342</v>
      </c>
      <c r="G52" s="705"/>
      <c r="H52" s="705"/>
      <c r="I52" s="705"/>
      <c r="J52" s="705"/>
      <c r="K52" s="705"/>
      <c r="L52" s="705"/>
      <c r="M52" s="705"/>
      <c r="N52" s="706" t="str">
        <f>IFNA(VLOOKUP(F52,'索引資料'!$L$41:$M$65,2,False),"")</f>
        <v>智力</v>
      </c>
      <c r="O52" s="240"/>
      <c r="P52" s="241"/>
      <c r="Q52" s="707"/>
      <c r="R52" s="705"/>
      <c r="S52" s="708"/>
      <c r="T52" s="307"/>
      <c r="U52" s="294"/>
      <c r="V52" s="307"/>
      <c r="W52" s="307"/>
      <c r="X52" s="709" t="str">
        <f>IFNA(VLOOKUP(Y7,'物種'!A2:L213,12,FALSE),"")</f>
        <v/>
      </c>
      <c r="Y52" s="496"/>
      <c r="Z52" s="496"/>
      <c r="AA52" s="496"/>
      <c r="AB52" s="496"/>
      <c r="AC52" s="496"/>
      <c r="AD52" s="496"/>
      <c r="AE52" s="496"/>
      <c r="AF52" s="496"/>
      <c r="AG52" s="496"/>
      <c r="AH52" s="496"/>
      <c r="AI52" s="496"/>
      <c r="AJ52" s="496"/>
      <c r="AK52" s="496"/>
      <c r="AL52" s="496"/>
      <c r="AM52" s="496"/>
      <c r="AN52" s="496"/>
      <c r="AO52" s="496"/>
      <c r="AP52" s="496"/>
      <c r="AQ52" s="496"/>
      <c r="AR52" s="496"/>
      <c r="AS52" s="496"/>
      <c r="AT52" s="500"/>
      <c r="AU52" s="716"/>
      <c r="AV52" s="719"/>
      <c r="AW52" s="240"/>
      <c r="AX52" s="240"/>
      <c r="AY52" s="240"/>
      <c r="AZ52" s="240"/>
      <c r="BA52" s="240"/>
      <c r="BB52" s="240"/>
      <c r="BC52" s="240"/>
      <c r="BD52" s="240"/>
      <c r="BE52" s="240"/>
      <c r="BF52" s="240"/>
      <c r="BG52" s="240"/>
      <c r="BH52" s="241"/>
      <c r="BI52" s="720"/>
      <c r="BJ52" s="240"/>
      <c r="BK52" s="240"/>
      <c r="BL52" s="240"/>
      <c r="BM52" s="240"/>
      <c r="BN52" s="240"/>
      <c r="BO52" s="240"/>
      <c r="BP52" s="240"/>
      <c r="BQ52" s="240"/>
      <c r="BR52" s="240"/>
      <c r="BS52" s="240"/>
      <c r="BT52" s="240"/>
      <c r="BU52" s="241"/>
      <c r="BV52" s="307"/>
      <c r="BW52" s="656"/>
      <c r="BX52" s="635"/>
      <c r="BY52" s="635"/>
      <c r="BZ52" s="635"/>
      <c r="CA52" s="635"/>
      <c r="CB52" s="635"/>
      <c r="CC52" s="635"/>
      <c r="CD52" s="635"/>
      <c r="CE52" s="635"/>
      <c r="CF52" s="635"/>
      <c r="CG52" s="635"/>
      <c r="CH52" s="635"/>
      <c r="CI52" s="635"/>
      <c r="CJ52" s="635"/>
      <c r="CK52" s="635"/>
      <c r="CL52" s="636"/>
      <c r="CM52" s="307"/>
      <c r="CN52" s="294"/>
    </row>
    <row r="53" ht="15.0" customHeight="1">
      <c r="A53" s="339"/>
      <c r="B53" s="721" t="s">
        <v>343</v>
      </c>
      <c r="U53" s="294"/>
      <c r="V53" s="342"/>
      <c r="W53" s="342"/>
      <c r="X53" s="457"/>
      <c r="Y53" s="457"/>
      <c r="Z53" s="457"/>
      <c r="AA53" s="457"/>
      <c r="AB53" s="457"/>
      <c r="AC53" s="457"/>
      <c r="AD53" s="457"/>
      <c r="AE53" s="457"/>
      <c r="AF53" s="457"/>
      <c r="AG53" s="457"/>
      <c r="AH53" s="457"/>
      <c r="AI53" s="457"/>
      <c r="AJ53" s="457"/>
      <c r="AK53" s="457"/>
      <c r="AL53" s="457"/>
      <c r="AM53" s="457"/>
      <c r="AN53" s="457"/>
      <c r="AO53" s="457"/>
      <c r="AP53" s="457"/>
      <c r="AQ53" s="457"/>
      <c r="AR53" s="457"/>
      <c r="AS53" s="457"/>
      <c r="AT53" s="457"/>
      <c r="AU53" s="342"/>
      <c r="AV53" s="342"/>
      <c r="AW53" s="457"/>
      <c r="AX53" s="457"/>
      <c r="AY53" s="457"/>
      <c r="AZ53" s="457"/>
      <c r="BA53" s="457"/>
      <c r="BB53" s="457"/>
      <c r="BC53" s="457"/>
      <c r="BD53" s="457"/>
      <c r="BE53" s="457"/>
      <c r="BF53" s="457"/>
      <c r="BG53" s="457"/>
      <c r="BH53" s="457"/>
      <c r="BI53" s="342"/>
      <c r="BJ53" s="342"/>
      <c r="BK53" s="342"/>
      <c r="BL53" s="342"/>
      <c r="BM53" s="342"/>
      <c r="BN53" s="342"/>
      <c r="BO53" s="342"/>
      <c r="BP53" s="342"/>
      <c r="BQ53" s="342"/>
      <c r="BR53" s="342"/>
      <c r="BS53" s="342"/>
      <c r="BT53" s="342"/>
      <c r="BU53" s="342"/>
      <c r="BV53" s="342"/>
      <c r="BW53" s="722"/>
      <c r="BX53" s="722"/>
      <c r="BY53" s="722"/>
      <c r="BZ53" s="722"/>
      <c r="CA53" s="722"/>
      <c r="CB53" s="722"/>
      <c r="CC53" s="722"/>
      <c r="CD53" s="722"/>
      <c r="CE53" s="722"/>
      <c r="CF53" s="722"/>
      <c r="CG53" s="722"/>
      <c r="CH53" s="722"/>
      <c r="CI53" s="722"/>
      <c r="CJ53" s="722"/>
      <c r="CK53" s="722"/>
      <c r="CL53" s="722"/>
      <c r="CM53" s="307"/>
      <c r="CN53" s="294"/>
    </row>
    <row r="54" ht="13.5" customHeight="1">
      <c r="A54" s="294"/>
      <c r="B54" s="294"/>
      <c r="C54" s="294"/>
      <c r="D54" s="294"/>
      <c r="E54" s="294"/>
      <c r="F54" s="294"/>
      <c r="G54" s="294"/>
      <c r="H54" s="294"/>
      <c r="I54" s="294"/>
      <c r="J54" s="294"/>
      <c r="K54" s="294"/>
      <c r="L54" s="294"/>
      <c r="M54" s="294"/>
      <c r="N54" s="294"/>
      <c r="O54" s="294"/>
      <c r="P54" s="294"/>
      <c r="Q54" s="294"/>
      <c r="R54" s="294"/>
      <c r="S54" s="294"/>
      <c r="T54" s="294"/>
      <c r="U54" s="294"/>
      <c r="V54" s="294"/>
      <c r="W54" s="294"/>
      <c r="X54" s="294"/>
      <c r="Y54" s="294"/>
      <c r="Z54" s="294"/>
      <c r="AA54" s="294"/>
      <c r="AB54" s="294"/>
      <c r="AC54" s="294"/>
      <c r="AD54" s="294"/>
      <c r="AE54" s="294"/>
      <c r="AF54" s="294"/>
      <c r="AG54" s="294"/>
      <c r="AH54" s="294"/>
      <c r="AI54" s="723" t="s">
        <v>344</v>
      </c>
      <c r="AJ54" s="723"/>
      <c r="AK54" s="294"/>
      <c r="AL54" s="294"/>
      <c r="AM54" s="294"/>
      <c r="AN54" s="294"/>
      <c r="AO54" s="294"/>
      <c r="AP54" s="294"/>
      <c r="AQ54" s="294"/>
      <c r="AR54" s="294"/>
      <c r="AS54" s="294"/>
      <c r="AT54" s="294"/>
      <c r="AU54" s="294"/>
      <c r="AV54" s="294"/>
      <c r="AW54" s="294"/>
      <c r="AX54" s="294"/>
      <c r="AY54" s="294"/>
      <c r="AZ54" s="294"/>
      <c r="BA54" s="294"/>
      <c r="BB54" s="294"/>
      <c r="BC54" s="294"/>
      <c r="BD54" s="294"/>
      <c r="BE54" s="294"/>
      <c r="BF54" s="294"/>
      <c r="BG54" s="294"/>
      <c r="BH54" s="294"/>
      <c r="BI54" s="294"/>
      <c r="BJ54" s="294"/>
      <c r="BK54" s="294"/>
      <c r="BL54" s="294"/>
      <c r="BM54" s="294"/>
      <c r="BN54" s="294"/>
      <c r="BO54" s="294"/>
      <c r="BP54" s="294"/>
      <c r="BQ54" s="294"/>
      <c r="BR54" s="294"/>
      <c r="BS54" s="294"/>
      <c r="BT54" s="294"/>
      <c r="BU54" s="294"/>
      <c r="BV54" s="294"/>
      <c r="BW54" s="294"/>
      <c r="BX54" s="294"/>
      <c r="BY54" s="294"/>
      <c r="BZ54" s="294"/>
      <c r="CA54" s="294"/>
      <c r="CB54" s="294"/>
      <c r="CC54" s="294"/>
      <c r="CD54" s="294"/>
      <c r="CE54" s="294"/>
      <c r="CF54" s="294"/>
      <c r="CG54" s="294"/>
      <c r="CH54" s="294"/>
      <c r="CI54" s="294"/>
      <c r="CJ54" s="294"/>
      <c r="CK54" s="294"/>
      <c r="CL54" s="294"/>
      <c r="CM54" s="294"/>
      <c r="CN54" s="294"/>
    </row>
    <row r="55" ht="18.0" customHeight="1">
      <c r="A55" s="455"/>
      <c r="B55" s="338" t="s">
        <v>345</v>
      </c>
      <c r="C55" s="19"/>
      <c r="D55" s="19"/>
      <c r="E55" s="19"/>
      <c r="F55" s="19"/>
      <c r="G55" s="19"/>
      <c r="H55" s="19"/>
      <c r="I55" s="19"/>
      <c r="J55" s="19"/>
      <c r="K55" s="19"/>
      <c r="L55" s="19"/>
      <c r="M55" s="19"/>
      <c r="N55" s="19"/>
      <c r="O55" s="19"/>
      <c r="P55" s="19"/>
      <c r="Q55" s="19"/>
      <c r="R55" s="19"/>
      <c r="S55" s="19"/>
      <c r="T55" s="20"/>
      <c r="U55" s="294"/>
      <c r="V55" s="338" t="s">
        <v>346</v>
      </c>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20"/>
      <c r="CN55" s="294"/>
    </row>
    <row r="56" ht="13.5" customHeight="1">
      <c r="A56" s="294"/>
      <c r="B56" s="307"/>
      <c r="C56" s="307"/>
      <c r="D56" s="307"/>
      <c r="E56" s="307"/>
      <c r="F56" s="307"/>
      <c r="G56" s="307"/>
      <c r="H56" s="724"/>
      <c r="I56" s="724"/>
      <c r="J56" s="724"/>
      <c r="K56" s="724"/>
      <c r="L56" s="724"/>
      <c r="M56" s="724"/>
      <c r="N56" s="724"/>
      <c r="O56" s="724"/>
      <c r="P56" s="724"/>
      <c r="Q56" s="724"/>
      <c r="R56" s="724"/>
      <c r="S56" s="307"/>
      <c r="T56" s="307"/>
      <c r="U56" s="294"/>
      <c r="V56" s="350"/>
      <c r="W56" s="722"/>
      <c r="X56" s="670"/>
      <c r="Y56" s="670"/>
      <c r="Z56" s="670"/>
      <c r="AA56" s="670"/>
      <c r="AB56" s="670"/>
      <c r="AC56" s="670"/>
      <c r="AD56" s="670"/>
      <c r="AE56" s="670"/>
      <c r="AF56" s="670"/>
      <c r="AG56" s="670"/>
      <c r="AH56" s="722"/>
      <c r="AI56" s="722"/>
      <c r="AJ56" s="722"/>
      <c r="AK56" s="722"/>
      <c r="AL56" s="722"/>
      <c r="AM56" s="722"/>
      <c r="AN56" s="722"/>
      <c r="AO56" s="722"/>
      <c r="AP56" s="722"/>
      <c r="AQ56" s="722"/>
      <c r="AR56" s="722"/>
      <c r="AS56" s="722"/>
      <c r="AT56" s="670"/>
      <c r="AU56" s="722"/>
      <c r="AV56" s="722"/>
      <c r="AW56" s="722"/>
      <c r="AX56" s="722"/>
      <c r="AY56" s="722"/>
      <c r="AZ56" s="722"/>
      <c r="BA56" s="722"/>
      <c r="BB56" s="722"/>
      <c r="BC56" s="722"/>
      <c r="BD56" s="722"/>
      <c r="BE56" s="722"/>
      <c r="BF56" s="722"/>
      <c r="BG56" s="722"/>
      <c r="BH56" s="722"/>
      <c r="BI56" s="722"/>
      <c r="BJ56" s="722"/>
      <c r="BK56" s="722"/>
      <c r="BL56" s="722"/>
      <c r="BM56" s="722"/>
      <c r="BN56" s="722"/>
      <c r="BO56" s="722"/>
      <c r="BP56" s="722"/>
      <c r="BQ56" s="722"/>
      <c r="BR56" s="722"/>
      <c r="BS56" s="722"/>
      <c r="BT56" s="722"/>
      <c r="BU56" s="722"/>
      <c r="BV56" s="722"/>
      <c r="BW56" s="722"/>
      <c r="BX56" s="722"/>
      <c r="BY56" s="722"/>
      <c r="BZ56" s="307"/>
      <c r="CA56" s="307"/>
      <c r="CB56" s="307"/>
      <c r="CC56" s="307"/>
      <c r="CD56" s="307"/>
      <c r="CE56" s="307"/>
      <c r="CF56" s="307"/>
      <c r="CG56" s="307"/>
      <c r="CH56" s="307"/>
      <c r="CI56" s="307"/>
      <c r="CJ56" s="307"/>
      <c r="CK56" s="307"/>
      <c r="CL56" s="307"/>
      <c r="CM56" s="307"/>
      <c r="CN56" s="294"/>
    </row>
    <row r="57" ht="18.0" customHeight="1">
      <c r="A57" s="294"/>
      <c r="B57" s="307"/>
      <c r="C57" s="725" t="s">
        <v>347</v>
      </c>
      <c r="D57" s="356"/>
      <c r="E57" s="356"/>
      <c r="F57" s="356"/>
      <c r="G57" s="356"/>
      <c r="H57" s="726"/>
      <c r="I57" s="152"/>
      <c r="J57" s="152"/>
      <c r="K57" s="152"/>
      <c r="L57" s="152"/>
      <c r="M57" s="152"/>
      <c r="N57" s="152"/>
      <c r="O57" s="152"/>
      <c r="P57" s="152"/>
      <c r="Q57" s="152"/>
      <c r="R57" s="152"/>
      <c r="S57" s="175"/>
      <c r="T57" s="307"/>
      <c r="U57" s="294"/>
      <c r="V57" s="350"/>
      <c r="W57" s="727" t="s">
        <v>348</v>
      </c>
      <c r="X57" s="19"/>
      <c r="Y57" s="19"/>
      <c r="Z57" s="19"/>
      <c r="AA57" s="19"/>
      <c r="AB57" s="19"/>
      <c r="AC57" s="19"/>
      <c r="AD57" s="19"/>
      <c r="AE57" s="19"/>
      <c r="AF57" s="19"/>
      <c r="AG57" s="19"/>
      <c r="AH57" s="728" t="s">
        <v>349</v>
      </c>
      <c r="AI57" s="19"/>
      <c r="AJ57" s="19"/>
      <c r="AK57" s="729" t="s">
        <v>350</v>
      </c>
      <c r="AL57" s="19"/>
      <c r="AM57" s="19"/>
      <c r="AN57" s="19"/>
      <c r="AO57" s="19"/>
      <c r="AP57" s="19"/>
      <c r="AQ57" s="19"/>
      <c r="AR57" s="20"/>
      <c r="AS57" s="307"/>
      <c r="AT57" s="730" t="s">
        <v>351</v>
      </c>
      <c r="AU57" s="19"/>
      <c r="AV57" s="19"/>
      <c r="AW57" s="19"/>
      <c r="AX57" s="19"/>
      <c r="AY57" s="19"/>
      <c r="AZ57" s="19"/>
      <c r="BA57" s="19"/>
      <c r="BB57" s="19"/>
      <c r="BC57" s="19"/>
      <c r="BD57" s="19"/>
      <c r="BE57" s="728" t="s">
        <v>349</v>
      </c>
      <c r="BF57" s="19"/>
      <c r="BG57" s="19"/>
      <c r="BH57" s="729"/>
      <c r="BI57" s="19"/>
      <c r="BJ57" s="19"/>
      <c r="BK57" s="19"/>
      <c r="BL57" s="19"/>
      <c r="BM57" s="19"/>
      <c r="BN57" s="19"/>
      <c r="BO57" s="20"/>
      <c r="BP57" s="307"/>
      <c r="BQ57" s="727" t="s">
        <v>352</v>
      </c>
      <c r="BR57" s="19"/>
      <c r="BS57" s="19"/>
      <c r="BT57" s="19"/>
      <c r="BU57" s="19"/>
      <c r="BV57" s="19"/>
      <c r="BW57" s="19"/>
      <c r="BX57" s="19"/>
      <c r="BY57" s="19"/>
      <c r="BZ57" s="19"/>
      <c r="CA57" s="19"/>
      <c r="CB57" s="728" t="s">
        <v>349</v>
      </c>
      <c r="CC57" s="19"/>
      <c r="CD57" s="19"/>
      <c r="CE57" s="729"/>
      <c r="CF57" s="19"/>
      <c r="CG57" s="19"/>
      <c r="CH57" s="19"/>
      <c r="CI57" s="19"/>
      <c r="CJ57" s="19"/>
      <c r="CK57" s="19"/>
      <c r="CL57" s="20"/>
      <c r="CM57" s="307"/>
      <c r="CN57" s="294"/>
    </row>
    <row r="58" ht="18.0" customHeight="1">
      <c r="A58" s="294"/>
      <c r="B58" s="307"/>
      <c r="C58" s="731" t="s">
        <v>353</v>
      </c>
      <c r="D58" s="732"/>
      <c r="E58" s="732"/>
      <c r="F58" s="732"/>
      <c r="G58" s="732"/>
      <c r="H58" s="733" t="s">
        <v>354</v>
      </c>
      <c r="I58" s="732"/>
      <c r="J58" s="732"/>
      <c r="K58" s="732"/>
      <c r="L58" s="732"/>
      <c r="M58" s="732"/>
      <c r="N58" s="732"/>
      <c r="O58" s="732"/>
      <c r="P58" s="732"/>
      <c r="Q58" s="732"/>
      <c r="R58" s="732"/>
      <c r="S58" s="403"/>
      <c r="T58" s="350"/>
      <c r="U58" s="734"/>
      <c r="V58" s="350"/>
      <c r="W58" s="735" t="str">
        <f>'索引資料'!F21</f>
        <v>施法</v>
      </c>
      <c r="X58" s="496"/>
      <c r="Y58" s="496"/>
      <c r="Z58" s="496"/>
      <c r="AA58" s="496"/>
      <c r="AB58" s="496"/>
      <c r="AC58" s="496"/>
      <c r="AD58" s="496"/>
      <c r="AE58" s="496"/>
      <c r="AF58" s="496"/>
      <c r="AG58" s="500"/>
      <c r="AH58" s="736" t="str">
        <f>'索引資料'!J21</f>
        <v>劍歌</v>
      </c>
      <c r="AI58" s="496"/>
      <c r="AJ58" s="496"/>
      <c r="AK58" s="496"/>
      <c r="AL58" s="496"/>
      <c r="AM58" s="496"/>
      <c r="AN58" s="496"/>
      <c r="AO58" s="496"/>
      <c r="AP58" s="496"/>
      <c r="AQ58" s="496"/>
      <c r="AR58" s="500"/>
      <c r="AS58" s="737"/>
      <c r="AT58" s="735" t="str">
        <f>'索引資料'!G21</f>
        <v/>
      </c>
      <c r="AU58" s="496"/>
      <c r="AV58" s="496"/>
      <c r="AW58" s="496"/>
      <c r="AX58" s="496"/>
      <c r="AY58" s="496"/>
      <c r="AZ58" s="496"/>
      <c r="BA58" s="496"/>
      <c r="BB58" s="496"/>
      <c r="BC58" s="496"/>
      <c r="BD58" s="500"/>
      <c r="BE58" s="736" t="str">
        <f>'索引資料'!K21</f>
        <v/>
      </c>
      <c r="BF58" s="496"/>
      <c r="BG58" s="496"/>
      <c r="BH58" s="496"/>
      <c r="BI58" s="496"/>
      <c r="BJ58" s="496"/>
      <c r="BK58" s="496"/>
      <c r="BL58" s="496"/>
      <c r="BM58" s="496"/>
      <c r="BN58" s="496"/>
      <c r="BO58" s="500"/>
      <c r="BP58" s="737"/>
      <c r="BQ58" s="735" t="str">
        <f>'索引資料'!H21</f>
        <v/>
      </c>
      <c r="BR58" s="496"/>
      <c r="BS58" s="496"/>
      <c r="BT58" s="496"/>
      <c r="BU58" s="496"/>
      <c r="BV58" s="496"/>
      <c r="BW58" s="496"/>
      <c r="BX58" s="496"/>
      <c r="BY58" s="496"/>
      <c r="BZ58" s="496"/>
      <c r="CA58" s="500"/>
      <c r="CB58" s="736" t="str">
        <f>'索引資料'!L21</f>
        <v/>
      </c>
      <c r="CC58" s="496"/>
      <c r="CD58" s="496"/>
      <c r="CE58" s="496"/>
      <c r="CF58" s="496"/>
      <c r="CG58" s="496"/>
      <c r="CH58" s="496"/>
      <c r="CI58" s="496"/>
      <c r="CJ58" s="496"/>
      <c r="CK58" s="496"/>
      <c r="CL58" s="500"/>
      <c r="CM58" s="307"/>
      <c r="CN58" s="294"/>
    </row>
    <row r="59" ht="18.0" customHeight="1">
      <c r="A59" s="294"/>
      <c r="B59" s="307"/>
      <c r="C59" s="738" t="str">
        <f>IF('角色卡'!AB16="野蠻人-Barbarian","野蠻人",IF('角色卡'!AB16="法師-Wizard","法師",IF('角色卡'!AB16="術士-Sorcerer","術士",IF('角色卡'!AB16="聖騎士-Paladin","聖騎士",IF('角色卡'!AB16="武僧-Monk","武僧",IF('角色卡'!AB16="契術師-Warlock","契術師",IF('角色卡'!AB16="吟遊詩人-Bard","吟遊",IF('角色卡'!AB16="牧師-Cleric","牧師",IF('角色卡'!AB16="德魯伊-Druid","德魯伊",IF('角色卡'!AB16="遊俠-Ranger","遊俠",IF('角色卡'!AB16="戰士-Fighter","戰士",IF('角色卡'!AB16="盜賊-Rogue","盜賊",IF('角色卡'!AB16="奇械師-Artificer","奇械師","職業")))))))))))))</f>
        <v>法師</v>
      </c>
      <c r="D59" s="152"/>
      <c r="E59" s="152"/>
      <c r="F59" s="739" t="str">
        <f>IFNA(VLOOKUP(AB16,'索引資料'!G3:I18,2,False),"")</f>
        <v>選擇2項：奧秘、歷史、察言觀色、調查、醫藥、自然、宗教</v>
      </c>
      <c r="G59" s="152"/>
      <c r="H59" s="152"/>
      <c r="I59" s="152"/>
      <c r="J59" s="152"/>
      <c r="K59" s="152"/>
      <c r="L59" s="152"/>
      <c r="M59" s="152"/>
      <c r="N59" s="152"/>
      <c r="O59" s="152"/>
      <c r="P59" s="152"/>
      <c r="Q59" s="152"/>
      <c r="R59" s="152"/>
      <c r="S59" s="175"/>
      <c r="T59" s="307"/>
      <c r="U59" s="734"/>
      <c r="V59" s="350"/>
      <c r="W59" s="740" t="str">
        <f>'索引資料'!F22</f>
        <v>儀式學家</v>
      </c>
      <c r="X59" s="375"/>
      <c r="Y59" s="375"/>
      <c r="Z59" s="375"/>
      <c r="AA59" s="375"/>
      <c r="AB59" s="375"/>
      <c r="AC59" s="375"/>
      <c r="AD59" s="375"/>
      <c r="AE59" s="375"/>
      <c r="AF59" s="375"/>
      <c r="AG59" s="376"/>
      <c r="AH59" s="741" t="str">
        <f>'索引資料'!J22</f>
        <v>戰歌訓練</v>
      </c>
      <c r="AI59" s="375"/>
      <c r="AJ59" s="375"/>
      <c r="AK59" s="375"/>
      <c r="AL59" s="375"/>
      <c r="AM59" s="375"/>
      <c r="AN59" s="375"/>
      <c r="AO59" s="375"/>
      <c r="AP59" s="375"/>
      <c r="AQ59" s="375"/>
      <c r="AR59" s="376"/>
      <c r="AS59" s="737"/>
      <c r="AT59" s="740" t="str">
        <f>'索引資料'!G22</f>
        <v/>
      </c>
      <c r="AU59" s="375"/>
      <c r="AV59" s="375"/>
      <c r="AW59" s="375"/>
      <c r="AX59" s="375"/>
      <c r="AY59" s="375"/>
      <c r="AZ59" s="375"/>
      <c r="BA59" s="375"/>
      <c r="BB59" s="375"/>
      <c r="BC59" s="375"/>
      <c r="BD59" s="376"/>
      <c r="BE59" s="741" t="str">
        <f>'索引資料'!K22</f>
        <v/>
      </c>
      <c r="BF59" s="375"/>
      <c r="BG59" s="375"/>
      <c r="BH59" s="375"/>
      <c r="BI59" s="375"/>
      <c r="BJ59" s="375"/>
      <c r="BK59" s="375"/>
      <c r="BL59" s="375"/>
      <c r="BM59" s="375"/>
      <c r="BN59" s="375"/>
      <c r="BO59" s="376"/>
      <c r="BP59" s="737"/>
      <c r="BQ59" s="740" t="str">
        <f>'索引資料'!H22</f>
        <v/>
      </c>
      <c r="BR59" s="375"/>
      <c r="BS59" s="375"/>
      <c r="BT59" s="375"/>
      <c r="BU59" s="375"/>
      <c r="BV59" s="375"/>
      <c r="BW59" s="375"/>
      <c r="BX59" s="375"/>
      <c r="BY59" s="375"/>
      <c r="BZ59" s="375"/>
      <c r="CA59" s="376"/>
      <c r="CB59" s="741" t="str">
        <f>'索引資料'!L22</f>
        <v/>
      </c>
      <c r="CC59" s="375"/>
      <c r="CD59" s="375"/>
      <c r="CE59" s="375"/>
      <c r="CF59" s="375"/>
      <c r="CG59" s="375"/>
      <c r="CH59" s="375"/>
      <c r="CI59" s="375"/>
      <c r="CJ59" s="375"/>
      <c r="CK59" s="375"/>
      <c r="CL59" s="376"/>
      <c r="CM59" s="307"/>
      <c r="CN59" s="294"/>
    </row>
    <row r="60" ht="18.0" customHeight="1">
      <c r="A60" s="294"/>
      <c r="B60" s="307"/>
      <c r="C60" s="742" t="s">
        <v>261</v>
      </c>
      <c r="D60" s="240"/>
      <c r="E60" s="240"/>
      <c r="F60" s="240"/>
      <c r="G60" s="240"/>
      <c r="H60" s="240"/>
      <c r="I60" s="240"/>
      <c r="J60" s="240"/>
      <c r="K60" s="240"/>
      <c r="L60" s="240"/>
      <c r="M60" s="240"/>
      <c r="N60" s="240"/>
      <c r="O60" s="240"/>
      <c r="P60" s="240"/>
      <c r="Q60" s="240"/>
      <c r="R60" s="240"/>
      <c r="S60" s="241"/>
      <c r="T60" s="307"/>
      <c r="U60" s="734"/>
      <c r="V60" s="350"/>
      <c r="W60" s="743" t="str">
        <f>'索引資料'!F23</f>
        <v>奧術恢復(2個環位)</v>
      </c>
      <c r="X60" s="375"/>
      <c r="Y60" s="375"/>
      <c r="Z60" s="375"/>
      <c r="AA60" s="375"/>
      <c r="AB60" s="375"/>
      <c r="AC60" s="375"/>
      <c r="AD60" s="375"/>
      <c r="AE60" s="375"/>
      <c r="AF60" s="375"/>
      <c r="AG60" s="376"/>
      <c r="AH60" s="744" t="str">
        <f>'索引資料'!J23</f>
        <v/>
      </c>
      <c r="AI60" s="375"/>
      <c r="AJ60" s="375"/>
      <c r="AK60" s="375"/>
      <c r="AL60" s="375"/>
      <c r="AM60" s="375"/>
      <c r="AN60" s="375"/>
      <c r="AO60" s="375"/>
      <c r="AP60" s="375"/>
      <c r="AQ60" s="375"/>
      <c r="AR60" s="376"/>
      <c r="AS60" s="737"/>
      <c r="AT60" s="743" t="str">
        <f>'索引資料'!G23</f>
        <v/>
      </c>
      <c r="AU60" s="375"/>
      <c r="AV60" s="375"/>
      <c r="AW60" s="375"/>
      <c r="AX60" s="375"/>
      <c r="AY60" s="375"/>
      <c r="AZ60" s="375"/>
      <c r="BA60" s="375"/>
      <c r="BB60" s="375"/>
      <c r="BC60" s="375"/>
      <c r="BD60" s="376"/>
      <c r="BE60" s="744" t="str">
        <f>'索引資料'!K23</f>
        <v/>
      </c>
      <c r="BF60" s="375"/>
      <c r="BG60" s="375"/>
      <c r="BH60" s="375"/>
      <c r="BI60" s="375"/>
      <c r="BJ60" s="375"/>
      <c r="BK60" s="375"/>
      <c r="BL60" s="375"/>
      <c r="BM60" s="375"/>
      <c r="BN60" s="375"/>
      <c r="BO60" s="376"/>
      <c r="BP60" s="737"/>
      <c r="BQ60" s="743" t="str">
        <f>'索引資料'!H23</f>
        <v/>
      </c>
      <c r="BR60" s="375"/>
      <c r="BS60" s="375"/>
      <c r="BT60" s="375"/>
      <c r="BU60" s="375"/>
      <c r="BV60" s="375"/>
      <c r="BW60" s="375"/>
      <c r="BX60" s="375"/>
      <c r="BY60" s="375"/>
      <c r="BZ60" s="375"/>
      <c r="CA60" s="376"/>
      <c r="CB60" s="744" t="str">
        <f>'索引資料'!L23</f>
        <v/>
      </c>
      <c r="CC60" s="375"/>
      <c r="CD60" s="375"/>
      <c r="CE60" s="375"/>
      <c r="CF60" s="375"/>
      <c r="CG60" s="375"/>
      <c r="CH60" s="375"/>
      <c r="CI60" s="375"/>
      <c r="CJ60" s="375"/>
      <c r="CK60" s="375"/>
      <c r="CL60" s="376"/>
      <c r="CM60" s="307"/>
      <c r="CN60" s="294"/>
    </row>
    <row r="61" ht="18.0" customHeight="1">
      <c r="A61" s="294"/>
      <c r="B61" s="307"/>
      <c r="C61" s="745" t="s">
        <v>355</v>
      </c>
      <c r="D61" s="496"/>
      <c r="E61" s="496"/>
      <c r="F61" s="496"/>
      <c r="G61" s="496"/>
      <c r="H61" s="746"/>
      <c r="S61" s="318"/>
      <c r="T61" s="307"/>
      <c r="U61" s="734"/>
      <c r="V61" s="350"/>
      <c r="W61" s="740" t="str">
        <f>'索引資料'!F24</f>
        <v>學者</v>
      </c>
      <c r="X61" s="375"/>
      <c r="Y61" s="375"/>
      <c r="Z61" s="375"/>
      <c r="AA61" s="375"/>
      <c r="AB61" s="375"/>
      <c r="AC61" s="375"/>
      <c r="AD61" s="375"/>
      <c r="AE61" s="375"/>
      <c r="AF61" s="375"/>
      <c r="AG61" s="376"/>
      <c r="AH61" s="741" t="str">
        <f>'索引資料'!J24</f>
        <v/>
      </c>
      <c r="AI61" s="375"/>
      <c r="AJ61" s="375"/>
      <c r="AK61" s="375"/>
      <c r="AL61" s="375"/>
      <c r="AM61" s="375"/>
      <c r="AN61" s="375"/>
      <c r="AO61" s="375"/>
      <c r="AP61" s="375"/>
      <c r="AQ61" s="375"/>
      <c r="AR61" s="376"/>
      <c r="AS61" s="737"/>
      <c r="AT61" s="740" t="str">
        <f>'索引資料'!G24</f>
        <v/>
      </c>
      <c r="AU61" s="375"/>
      <c r="AV61" s="375"/>
      <c r="AW61" s="375"/>
      <c r="AX61" s="375"/>
      <c r="AY61" s="375"/>
      <c r="AZ61" s="375"/>
      <c r="BA61" s="375"/>
      <c r="BB61" s="375"/>
      <c r="BC61" s="375"/>
      <c r="BD61" s="376"/>
      <c r="BE61" s="741" t="str">
        <f>'索引資料'!K24</f>
        <v/>
      </c>
      <c r="BF61" s="375"/>
      <c r="BG61" s="375"/>
      <c r="BH61" s="375"/>
      <c r="BI61" s="375"/>
      <c r="BJ61" s="375"/>
      <c r="BK61" s="375"/>
      <c r="BL61" s="375"/>
      <c r="BM61" s="375"/>
      <c r="BN61" s="375"/>
      <c r="BO61" s="376"/>
      <c r="BP61" s="737"/>
      <c r="BQ61" s="740" t="str">
        <f>'索引資料'!H24</f>
        <v/>
      </c>
      <c r="BR61" s="375"/>
      <c r="BS61" s="375"/>
      <c r="BT61" s="375"/>
      <c r="BU61" s="375"/>
      <c r="BV61" s="375"/>
      <c r="BW61" s="375"/>
      <c r="BX61" s="375"/>
      <c r="BY61" s="375"/>
      <c r="BZ61" s="375"/>
      <c r="CA61" s="376"/>
      <c r="CB61" s="741" t="str">
        <f>'索引資料'!L24</f>
        <v/>
      </c>
      <c r="CC61" s="375"/>
      <c r="CD61" s="375"/>
      <c r="CE61" s="375"/>
      <c r="CF61" s="375"/>
      <c r="CG61" s="375"/>
      <c r="CH61" s="375"/>
      <c r="CI61" s="375"/>
      <c r="CJ61" s="375"/>
      <c r="CK61" s="375"/>
      <c r="CL61" s="376"/>
      <c r="CM61" s="307"/>
      <c r="CN61" s="294"/>
    </row>
    <row r="62" ht="18.0" customHeight="1">
      <c r="A62" s="294"/>
      <c r="B62" s="307"/>
      <c r="C62" s="747" t="s">
        <v>356</v>
      </c>
      <c r="D62" s="375"/>
      <c r="E62" s="375"/>
      <c r="F62" s="375"/>
      <c r="G62" s="375"/>
      <c r="H62" s="748"/>
      <c r="I62" s="375"/>
      <c r="J62" s="375"/>
      <c r="K62" s="375"/>
      <c r="L62" s="375"/>
      <c r="M62" s="375"/>
      <c r="N62" s="375"/>
      <c r="O62" s="375"/>
      <c r="P62" s="375"/>
      <c r="Q62" s="375"/>
      <c r="R62" s="375"/>
      <c r="S62" s="376"/>
      <c r="T62" s="307"/>
      <c r="U62" s="734"/>
      <c r="V62" s="350"/>
      <c r="W62" s="743" t="str">
        <f>'索引資料'!F25</f>
        <v/>
      </c>
      <c r="X62" s="375"/>
      <c r="Y62" s="375"/>
      <c r="Z62" s="375"/>
      <c r="AA62" s="375"/>
      <c r="AB62" s="375"/>
      <c r="AC62" s="375"/>
      <c r="AD62" s="375"/>
      <c r="AE62" s="375"/>
      <c r="AF62" s="375"/>
      <c r="AG62" s="376"/>
      <c r="AH62" s="744" t="str">
        <f>'索引資料'!J25</f>
        <v/>
      </c>
      <c r="AI62" s="375"/>
      <c r="AJ62" s="375"/>
      <c r="AK62" s="375"/>
      <c r="AL62" s="375"/>
      <c r="AM62" s="375"/>
      <c r="AN62" s="375"/>
      <c r="AO62" s="375"/>
      <c r="AP62" s="375"/>
      <c r="AQ62" s="375"/>
      <c r="AR62" s="376"/>
      <c r="AS62" s="737"/>
      <c r="AT62" s="743" t="str">
        <f>'索引資料'!G25</f>
        <v/>
      </c>
      <c r="AU62" s="375"/>
      <c r="AV62" s="375"/>
      <c r="AW62" s="375"/>
      <c r="AX62" s="375"/>
      <c r="AY62" s="375"/>
      <c r="AZ62" s="375"/>
      <c r="BA62" s="375"/>
      <c r="BB62" s="375"/>
      <c r="BC62" s="375"/>
      <c r="BD62" s="376"/>
      <c r="BE62" s="744" t="str">
        <f>'索引資料'!K25</f>
        <v/>
      </c>
      <c r="BF62" s="375"/>
      <c r="BG62" s="375"/>
      <c r="BH62" s="375"/>
      <c r="BI62" s="375"/>
      <c r="BJ62" s="375"/>
      <c r="BK62" s="375"/>
      <c r="BL62" s="375"/>
      <c r="BM62" s="375"/>
      <c r="BN62" s="375"/>
      <c r="BO62" s="376"/>
      <c r="BP62" s="737"/>
      <c r="BQ62" s="743" t="str">
        <f>'索引資料'!H25</f>
        <v/>
      </c>
      <c r="BR62" s="375"/>
      <c r="BS62" s="375"/>
      <c r="BT62" s="375"/>
      <c r="BU62" s="375"/>
      <c r="BV62" s="375"/>
      <c r="BW62" s="375"/>
      <c r="BX62" s="375"/>
      <c r="BY62" s="375"/>
      <c r="BZ62" s="375"/>
      <c r="CA62" s="376"/>
      <c r="CB62" s="744" t="str">
        <f>'索引資料'!L25</f>
        <v/>
      </c>
      <c r="CC62" s="375"/>
      <c r="CD62" s="375"/>
      <c r="CE62" s="375"/>
      <c r="CF62" s="375"/>
      <c r="CG62" s="375"/>
      <c r="CH62" s="375"/>
      <c r="CI62" s="375"/>
      <c r="CJ62" s="375"/>
      <c r="CK62" s="375"/>
      <c r="CL62" s="376"/>
      <c r="CM62" s="307"/>
      <c r="CN62" s="294"/>
    </row>
    <row r="63" ht="18.0" customHeight="1">
      <c r="A63" s="294"/>
      <c r="B63" s="307"/>
      <c r="C63" s="749" t="s">
        <v>357</v>
      </c>
      <c r="D63" s="375"/>
      <c r="E63" s="375"/>
      <c r="F63" s="375"/>
      <c r="G63" s="375"/>
      <c r="H63" s="746"/>
      <c r="S63" s="318"/>
      <c r="T63" s="307"/>
      <c r="U63" s="734"/>
      <c r="V63" s="350"/>
      <c r="W63" s="740" t="str">
        <f>'索引資料'!F26</f>
        <v/>
      </c>
      <c r="X63" s="375"/>
      <c r="Y63" s="375"/>
      <c r="Z63" s="375"/>
      <c r="AA63" s="375"/>
      <c r="AB63" s="375"/>
      <c r="AC63" s="375"/>
      <c r="AD63" s="375"/>
      <c r="AE63" s="375"/>
      <c r="AF63" s="375"/>
      <c r="AG63" s="376"/>
      <c r="AH63" s="741" t="str">
        <f>'索引資料'!J26</f>
        <v/>
      </c>
      <c r="AI63" s="375"/>
      <c r="AJ63" s="375"/>
      <c r="AK63" s="375"/>
      <c r="AL63" s="375"/>
      <c r="AM63" s="375"/>
      <c r="AN63" s="375"/>
      <c r="AO63" s="375"/>
      <c r="AP63" s="375"/>
      <c r="AQ63" s="375"/>
      <c r="AR63" s="376"/>
      <c r="AS63" s="737"/>
      <c r="AT63" s="740" t="str">
        <f>'索引資料'!G26</f>
        <v/>
      </c>
      <c r="AU63" s="375"/>
      <c r="AV63" s="375"/>
      <c r="AW63" s="375"/>
      <c r="AX63" s="375"/>
      <c r="AY63" s="375"/>
      <c r="AZ63" s="375"/>
      <c r="BA63" s="375"/>
      <c r="BB63" s="375"/>
      <c r="BC63" s="375"/>
      <c r="BD63" s="376"/>
      <c r="BE63" s="741" t="str">
        <f>'索引資料'!K26</f>
        <v/>
      </c>
      <c r="BF63" s="375"/>
      <c r="BG63" s="375"/>
      <c r="BH63" s="375"/>
      <c r="BI63" s="375"/>
      <c r="BJ63" s="375"/>
      <c r="BK63" s="375"/>
      <c r="BL63" s="375"/>
      <c r="BM63" s="375"/>
      <c r="BN63" s="375"/>
      <c r="BO63" s="376"/>
      <c r="BP63" s="737"/>
      <c r="BQ63" s="740" t="str">
        <f>'索引資料'!H26</f>
        <v/>
      </c>
      <c r="BR63" s="375"/>
      <c r="BS63" s="375"/>
      <c r="BT63" s="375"/>
      <c r="BU63" s="375"/>
      <c r="BV63" s="375"/>
      <c r="BW63" s="375"/>
      <c r="BX63" s="375"/>
      <c r="BY63" s="375"/>
      <c r="BZ63" s="375"/>
      <c r="CA63" s="376"/>
      <c r="CB63" s="741" t="str">
        <f>'索引資料'!L26</f>
        <v/>
      </c>
      <c r="CC63" s="375"/>
      <c r="CD63" s="375"/>
      <c r="CE63" s="375"/>
      <c r="CF63" s="375"/>
      <c r="CG63" s="375"/>
      <c r="CH63" s="375"/>
      <c r="CI63" s="375"/>
      <c r="CJ63" s="375"/>
      <c r="CK63" s="375"/>
      <c r="CL63" s="376"/>
      <c r="CM63" s="307"/>
      <c r="CN63" s="294"/>
    </row>
    <row r="64" ht="18.0" customHeight="1">
      <c r="A64" s="294"/>
      <c r="B64" s="307"/>
      <c r="C64" s="747" t="s">
        <v>358</v>
      </c>
      <c r="D64" s="375"/>
      <c r="E64" s="375"/>
      <c r="F64" s="375"/>
      <c r="G64" s="375"/>
      <c r="H64" s="750"/>
      <c r="I64" s="375"/>
      <c r="J64" s="375"/>
      <c r="K64" s="375"/>
      <c r="L64" s="375"/>
      <c r="M64" s="375"/>
      <c r="N64" s="375"/>
      <c r="O64" s="375"/>
      <c r="P64" s="375"/>
      <c r="Q64" s="375"/>
      <c r="R64" s="375"/>
      <c r="S64" s="376"/>
      <c r="T64" s="350"/>
      <c r="U64" s="734"/>
      <c r="V64" s="350"/>
      <c r="W64" s="743" t="str">
        <f>'索引資料'!F27</f>
        <v/>
      </c>
      <c r="X64" s="375"/>
      <c r="Y64" s="375"/>
      <c r="Z64" s="375"/>
      <c r="AA64" s="375"/>
      <c r="AB64" s="375"/>
      <c r="AC64" s="375"/>
      <c r="AD64" s="375"/>
      <c r="AE64" s="375"/>
      <c r="AF64" s="375"/>
      <c r="AG64" s="376"/>
      <c r="AH64" s="744" t="str">
        <f>'索引資料'!J27</f>
        <v/>
      </c>
      <c r="AI64" s="375"/>
      <c r="AJ64" s="375"/>
      <c r="AK64" s="375"/>
      <c r="AL64" s="375"/>
      <c r="AM64" s="375"/>
      <c r="AN64" s="375"/>
      <c r="AO64" s="375"/>
      <c r="AP64" s="375"/>
      <c r="AQ64" s="375"/>
      <c r="AR64" s="376"/>
      <c r="AS64" s="751"/>
      <c r="AT64" s="743" t="str">
        <f>'索引資料'!G27</f>
        <v/>
      </c>
      <c r="AU64" s="375"/>
      <c r="AV64" s="375"/>
      <c r="AW64" s="375"/>
      <c r="AX64" s="375"/>
      <c r="AY64" s="375"/>
      <c r="AZ64" s="375"/>
      <c r="BA64" s="375"/>
      <c r="BB64" s="375"/>
      <c r="BC64" s="375"/>
      <c r="BD64" s="376"/>
      <c r="BE64" s="744" t="str">
        <f>'索引資料'!K27</f>
        <v/>
      </c>
      <c r="BF64" s="375"/>
      <c r="BG64" s="375"/>
      <c r="BH64" s="375"/>
      <c r="BI64" s="375"/>
      <c r="BJ64" s="375"/>
      <c r="BK64" s="375"/>
      <c r="BL64" s="375"/>
      <c r="BM64" s="375"/>
      <c r="BN64" s="375"/>
      <c r="BO64" s="376"/>
      <c r="BP64" s="751"/>
      <c r="BQ64" s="743" t="str">
        <f>'索引資料'!H27</f>
        <v/>
      </c>
      <c r="BR64" s="375"/>
      <c r="BS64" s="375"/>
      <c r="BT64" s="375"/>
      <c r="BU64" s="375"/>
      <c r="BV64" s="375"/>
      <c r="BW64" s="375"/>
      <c r="BX64" s="375"/>
      <c r="BY64" s="375"/>
      <c r="BZ64" s="375"/>
      <c r="CA64" s="376"/>
      <c r="CB64" s="744" t="str">
        <f>'索引資料'!L27</f>
        <v/>
      </c>
      <c r="CC64" s="375"/>
      <c r="CD64" s="375"/>
      <c r="CE64" s="375"/>
      <c r="CF64" s="375"/>
      <c r="CG64" s="375"/>
      <c r="CH64" s="375"/>
      <c r="CI64" s="375"/>
      <c r="CJ64" s="375"/>
      <c r="CK64" s="375"/>
      <c r="CL64" s="376"/>
      <c r="CM64" s="307"/>
      <c r="CN64" s="294"/>
    </row>
    <row r="65" ht="18.0" customHeight="1">
      <c r="A65" s="294"/>
      <c r="B65" s="307"/>
      <c r="C65" s="752" t="s">
        <v>359</v>
      </c>
      <c r="D65" s="417"/>
      <c r="E65" s="417"/>
      <c r="F65" s="417"/>
      <c r="G65" s="417"/>
      <c r="H65" s="753"/>
      <c r="I65" s="240"/>
      <c r="J65" s="240"/>
      <c r="K65" s="240"/>
      <c r="L65" s="240"/>
      <c r="M65" s="240"/>
      <c r="N65" s="240"/>
      <c r="O65" s="240"/>
      <c r="P65" s="240"/>
      <c r="Q65" s="240"/>
      <c r="R65" s="240"/>
      <c r="S65" s="241"/>
      <c r="T65" s="307"/>
      <c r="U65" s="734"/>
      <c r="V65" s="350"/>
      <c r="W65" s="740" t="str">
        <f>'索引資料'!F28</f>
        <v/>
      </c>
      <c r="X65" s="375"/>
      <c r="Y65" s="375"/>
      <c r="Z65" s="375"/>
      <c r="AA65" s="375"/>
      <c r="AB65" s="375"/>
      <c r="AC65" s="375"/>
      <c r="AD65" s="375"/>
      <c r="AE65" s="375"/>
      <c r="AF65" s="375"/>
      <c r="AG65" s="376"/>
      <c r="AH65" s="754" t="str">
        <f>'索引資料'!J28</f>
        <v/>
      </c>
      <c r="AI65" s="755"/>
      <c r="AJ65" s="755"/>
      <c r="AK65" s="755"/>
      <c r="AL65" s="755"/>
      <c r="AM65" s="755"/>
      <c r="AN65" s="755"/>
      <c r="AO65" s="755"/>
      <c r="AP65" s="755"/>
      <c r="AQ65" s="755"/>
      <c r="AR65" s="756"/>
      <c r="AS65" s="751"/>
      <c r="AT65" s="740" t="str">
        <f>'索引資料'!G28</f>
        <v/>
      </c>
      <c r="AU65" s="375"/>
      <c r="AV65" s="375"/>
      <c r="AW65" s="375"/>
      <c r="AX65" s="375"/>
      <c r="AY65" s="375"/>
      <c r="AZ65" s="375"/>
      <c r="BA65" s="375"/>
      <c r="BB65" s="375"/>
      <c r="BC65" s="375"/>
      <c r="BD65" s="376"/>
      <c r="BE65" s="754" t="str">
        <f>'索引資料'!K28</f>
        <v/>
      </c>
      <c r="BF65" s="755"/>
      <c r="BG65" s="755"/>
      <c r="BH65" s="755"/>
      <c r="BI65" s="755"/>
      <c r="BJ65" s="755"/>
      <c r="BK65" s="755"/>
      <c r="BL65" s="755"/>
      <c r="BM65" s="755"/>
      <c r="BN65" s="755"/>
      <c r="BO65" s="756"/>
      <c r="BP65" s="751"/>
      <c r="BQ65" s="740" t="str">
        <f>'索引資料'!H28</f>
        <v/>
      </c>
      <c r="BR65" s="375"/>
      <c r="BS65" s="375"/>
      <c r="BT65" s="375"/>
      <c r="BU65" s="375"/>
      <c r="BV65" s="375"/>
      <c r="BW65" s="375"/>
      <c r="BX65" s="375"/>
      <c r="BY65" s="375"/>
      <c r="BZ65" s="375"/>
      <c r="CA65" s="376"/>
      <c r="CB65" s="754" t="str">
        <f>'索引資料'!L28</f>
        <v/>
      </c>
      <c r="CC65" s="755"/>
      <c r="CD65" s="755"/>
      <c r="CE65" s="755"/>
      <c r="CF65" s="755"/>
      <c r="CG65" s="755"/>
      <c r="CH65" s="755"/>
      <c r="CI65" s="755"/>
      <c r="CJ65" s="755"/>
      <c r="CK65" s="755"/>
      <c r="CL65" s="756"/>
      <c r="CM65" s="307"/>
      <c r="CN65" s="294"/>
    </row>
    <row r="66" ht="18.0" customHeight="1">
      <c r="A66" s="294"/>
      <c r="B66" s="307"/>
      <c r="C66" s="757" t="str">
        <f>AY9</f>
        <v>學者 Sage</v>
      </c>
      <c r="D66" s="19"/>
      <c r="E66" s="19"/>
      <c r="F66" s="19"/>
      <c r="G66" s="19"/>
      <c r="H66" s="19"/>
      <c r="I66" s="19"/>
      <c r="J66" s="19"/>
      <c r="K66" s="758" t="s">
        <v>56</v>
      </c>
      <c r="L66" s="19"/>
      <c r="M66" s="19"/>
      <c r="N66" s="759" t="str">
        <f>IFNA(VLOOKUP(C66,'背景'!A1:I114,3,False)&amp;","&amp;VLOOKUP(C66,'背景'!A1:I114,4,False)&amp;","&amp;VLOOKUP(C66,'背景'!A1:I114,5,False),"")</f>
        <v>體魄,智力,感知</v>
      </c>
      <c r="O66" s="19"/>
      <c r="P66" s="19"/>
      <c r="Q66" s="19"/>
      <c r="R66" s="19"/>
      <c r="S66" s="20"/>
      <c r="T66" s="350"/>
      <c r="U66" s="734"/>
      <c r="V66" s="350"/>
      <c r="W66" s="743" t="str">
        <f>'索引資料'!F29</f>
        <v/>
      </c>
      <c r="X66" s="375"/>
      <c r="Y66" s="375"/>
      <c r="Z66" s="375"/>
      <c r="AA66" s="375"/>
      <c r="AB66" s="375"/>
      <c r="AC66" s="375"/>
      <c r="AD66" s="375"/>
      <c r="AE66" s="375"/>
      <c r="AF66" s="375"/>
      <c r="AG66" s="376"/>
      <c r="AH66" s="735" t="str">
        <f>'索引資料'!F34</f>
        <v/>
      </c>
      <c r="AI66" s="496"/>
      <c r="AJ66" s="496"/>
      <c r="AK66" s="496"/>
      <c r="AL66" s="496"/>
      <c r="AM66" s="496"/>
      <c r="AN66" s="496"/>
      <c r="AO66" s="496"/>
      <c r="AP66" s="496"/>
      <c r="AQ66" s="496"/>
      <c r="AR66" s="500"/>
      <c r="AS66" s="751"/>
      <c r="AT66" s="743" t="str">
        <f>'索引資料'!G29</f>
        <v/>
      </c>
      <c r="AU66" s="375"/>
      <c r="AV66" s="375"/>
      <c r="AW66" s="375"/>
      <c r="AX66" s="375"/>
      <c r="AY66" s="375"/>
      <c r="AZ66" s="375"/>
      <c r="BA66" s="375"/>
      <c r="BB66" s="375"/>
      <c r="BC66" s="375"/>
      <c r="BD66" s="376"/>
      <c r="BE66" s="735" t="str">
        <f>'索引資料'!G34</f>
        <v/>
      </c>
      <c r="BF66" s="496"/>
      <c r="BG66" s="496"/>
      <c r="BH66" s="496"/>
      <c r="BI66" s="496"/>
      <c r="BJ66" s="496"/>
      <c r="BK66" s="496"/>
      <c r="BL66" s="496"/>
      <c r="BM66" s="496"/>
      <c r="BN66" s="496"/>
      <c r="BO66" s="500"/>
      <c r="BP66" s="751"/>
      <c r="BQ66" s="743" t="str">
        <f>'索引資料'!H29</f>
        <v/>
      </c>
      <c r="BR66" s="375"/>
      <c r="BS66" s="375"/>
      <c r="BT66" s="375"/>
      <c r="BU66" s="375"/>
      <c r="BV66" s="375"/>
      <c r="BW66" s="375"/>
      <c r="BX66" s="375"/>
      <c r="BY66" s="375"/>
      <c r="BZ66" s="375"/>
      <c r="CA66" s="376"/>
      <c r="CB66" s="735" t="str">
        <f>'索引資料'!H34</f>
        <v/>
      </c>
      <c r="CC66" s="496"/>
      <c r="CD66" s="496"/>
      <c r="CE66" s="496"/>
      <c r="CF66" s="496"/>
      <c r="CG66" s="496"/>
      <c r="CH66" s="496"/>
      <c r="CI66" s="496"/>
      <c r="CJ66" s="496"/>
      <c r="CK66" s="496"/>
      <c r="CL66" s="500"/>
      <c r="CM66" s="307"/>
      <c r="CN66" s="294"/>
    </row>
    <row r="67" ht="18.0" customHeight="1">
      <c r="A67" s="294"/>
      <c r="B67" s="307"/>
      <c r="C67" s="760" t="s">
        <v>360</v>
      </c>
      <c r="D67" s="356"/>
      <c r="E67" s="356"/>
      <c r="F67" s="356"/>
      <c r="G67" s="356"/>
      <c r="H67" s="761"/>
      <c r="I67" s="356"/>
      <c r="J67" s="356"/>
      <c r="K67" s="356"/>
      <c r="L67" s="356"/>
      <c r="M67" s="356"/>
      <c r="N67" s="356"/>
      <c r="O67" s="356"/>
      <c r="P67" s="356"/>
      <c r="Q67" s="356"/>
      <c r="R67" s="356"/>
      <c r="S67" s="357"/>
      <c r="T67" s="307"/>
      <c r="U67" s="734"/>
      <c r="V67" s="350"/>
      <c r="W67" s="740" t="str">
        <f>'索引資料'!F30</f>
        <v/>
      </c>
      <c r="X67" s="375"/>
      <c r="Y67" s="375"/>
      <c r="Z67" s="375"/>
      <c r="AA67" s="375"/>
      <c r="AB67" s="375"/>
      <c r="AC67" s="375"/>
      <c r="AD67" s="375"/>
      <c r="AE67" s="375"/>
      <c r="AF67" s="375"/>
      <c r="AG67" s="376"/>
      <c r="AH67" s="740" t="str">
        <f>'索引資料'!F35</f>
        <v/>
      </c>
      <c r="AI67" s="375"/>
      <c r="AJ67" s="375"/>
      <c r="AK67" s="375"/>
      <c r="AL67" s="375"/>
      <c r="AM67" s="375"/>
      <c r="AN67" s="375"/>
      <c r="AO67" s="375"/>
      <c r="AP67" s="375"/>
      <c r="AQ67" s="375"/>
      <c r="AR67" s="376"/>
      <c r="AS67" s="751"/>
      <c r="AT67" s="740" t="str">
        <f>'索引資料'!G30</f>
        <v/>
      </c>
      <c r="AU67" s="375"/>
      <c r="AV67" s="375"/>
      <c r="AW67" s="375"/>
      <c r="AX67" s="375"/>
      <c r="AY67" s="375"/>
      <c r="AZ67" s="375"/>
      <c r="BA67" s="375"/>
      <c r="BB67" s="375"/>
      <c r="BC67" s="375"/>
      <c r="BD67" s="376"/>
      <c r="BE67" s="740" t="str">
        <f>'索引資料'!G35</f>
        <v/>
      </c>
      <c r="BF67" s="375"/>
      <c r="BG67" s="375"/>
      <c r="BH67" s="375"/>
      <c r="BI67" s="375"/>
      <c r="BJ67" s="375"/>
      <c r="BK67" s="375"/>
      <c r="BL67" s="375"/>
      <c r="BM67" s="375"/>
      <c r="BN67" s="375"/>
      <c r="BO67" s="376"/>
      <c r="BP67" s="751"/>
      <c r="BQ67" s="740" t="str">
        <f>'索引資料'!H30</f>
        <v/>
      </c>
      <c r="BR67" s="375"/>
      <c r="BS67" s="375"/>
      <c r="BT67" s="375"/>
      <c r="BU67" s="375"/>
      <c r="BV67" s="375"/>
      <c r="BW67" s="375"/>
      <c r="BX67" s="375"/>
      <c r="BY67" s="375"/>
      <c r="BZ67" s="375"/>
      <c r="CA67" s="376"/>
      <c r="CB67" s="740" t="str">
        <f>'索引資料'!H35</f>
        <v/>
      </c>
      <c r="CC67" s="375"/>
      <c r="CD67" s="375"/>
      <c r="CE67" s="375"/>
      <c r="CF67" s="375"/>
      <c r="CG67" s="375"/>
      <c r="CH67" s="375"/>
      <c r="CI67" s="375"/>
      <c r="CJ67" s="375"/>
      <c r="CK67" s="375"/>
      <c r="CL67" s="376"/>
      <c r="CM67" s="307"/>
      <c r="CN67" s="294"/>
    </row>
    <row r="68" ht="18.0" customHeight="1">
      <c r="A68" s="294"/>
      <c r="B68" s="307"/>
      <c r="C68" s="762" t="s">
        <v>361</v>
      </c>
      <c r="D68" s="375"/>
      <c r="E68" s="375"/>
      <c r="F68" s="375"/>
      <c r="G68" s="375"/>
      <c r="H68" s="763" t="str">
        <f>IFNA(VLOOKUP(C66,'背景'!A1:I114,7,False)&amp;","&amp;VLOOKUP(C66,'背景'!A1:I114,8,False),"")</f>
        <v>奧秘,歷史</v>
      </c>
      <c r="S68" s="318"/>
      <c r="T68" s="350"/>
      <c r="U68" s="734"/>
      <c r="V68" s="350"/>
      <c r="W68" s="764" t="str">
        <f>'索引資料'!F31</f>
        <v/>
      </c>
      <c r="X68" s="701"/>
      <c r="Y68" s="701"/>
      <c r="Z68" s="701"/>
      <c r="AA68" s="701"/>
      <c r="AB68" s="701"/>
      <c r="AC68" s="701"/>
      <c r="AD68" s="701"/>
      <c r="AE68" s="701"/>
      <c r="AF68" s="701"/>
      <c r="AG68" s="702"/>
      <c r="AH68" s="764" t="str">
        <f>'索引資料'!F36</f>
        <v/>
      </c>
      <c r="AI68" s="701"/>
      <c r="AJ68" s="701"/>
      <c r="AK68" s="701"/>
      <c r="AL68" s="701"/>
      <c r="AM68" s="701"/>
      <c r="AN68" s="701"/>
      <c r="AO68" s="701"/>
      <c r="AP68" s="701"/>
      <c r="AQ68" s="701"/>
      <c r="AR68" s="702"/>
      <c r="AS68" s="751"/>
      <c r="AT68" s="764" t="str">
        <f>'索引資料'!G31</f>
        <v/>
      </c>
      <c r="AU68" s="701"/>
      <c r="AV68" s="701"/>
      <c r="AW68" s="701"/>
      <c r="AX68" s="701"/>
      <c r="AY68" s="701"/>
      <c r="AZ68" s="701"/>
      <c r="BA68" s="701"/>
      <c r="BB68" s="701"/>
      <c r="BC68" s="701"/>
      <c r="BD68" s="702"/>
      <c r="BE68" s="764" t="str">
        <f>'索引資料'!G36</f>
        <v/>
      </c>
      <c r="BF68" s="701"/>
      <c r="BG68" s="701"/>
      <c r="BH68" s="701"/>
      <c r="BI68" s="701"/>
      <c r="BJ68" s="701"/>
      <c r="BK68" s="701"/>
      <c r="BL68" s="701"/>
      <c r="BM68" s="701"/>
      <c r="BN68" s="701"/>
      <c r="BO68" s="702"/>
      <c r="BP68" s="751"/>
      <c r="BQ68" s="764" t="str">
        <f>'索引資料'!H31</f>
        <v/>
      </c>
      <c r="BR68" s="701"/>
      <c r="BS68" s="701"/>
      <c r="BT68" s="701"/>
      <c r="BU68" s="701"/>
      <c r="BV68" s="701"/>
      <c r="BW68" s="701"/>
      <c r="BX68" s="701"/>
      <c r="BY68" s="701"/>
      <c r="BZ68" s="701"/>
      <c r="CA68" s="702"/>
      <c r="CB68" s="764" t="str">
        <f>'索引資料'!H36</f>
        <v/>
      </c>
      <c r="CC68" s="701"/>
      <c r="CD68" s="701"/>
      <c r="CE68" s="701"/>
      <c r="CF68" s="701"/>
      <c r="CG68" s="701"/>
      <c r="CH68" s="701"/>
      <c r="CI68" s="701"/>
      <c r="CJ68" s="701"/>
      <c r="CK68" s="701"/>
      <c r="CL68" s="702"/>
      <c r="CM68" s="307"/>
      <c r="CN68" s="294"/>
    </row>
    <row r="69" ht="18.0" customHeight="1">
      <c r="A69" s="294"/>
      <c r="B69" s="307"/>
      <c r="C69" s="747" t="s">
        <v>362</v>
      </c>
      <c r="D69" s="375"/>
      <c r="E69" s="375"/>
      <c r="F69" s="375"/>
      <c r="G69" s="375"/>
      <c r="H69" s="765" t="str">
        <f>IFNA(VLOOKUP(C66,'背景'!A1:I114,9,FALSE),"")</f>
        <v>書法工具</v>
      </c>
      <c r="I69" s="417"/>
      <c r="J69" s="417"/>
      <c r="K69" s="417"/>
      <c r="L69" s="417"/>
      <c r="M69" s="417"/>
      <c r="N69" s="417"/>
      <c r="O69" s="417"/>
      <c r="P69" s="417"/>
      <c r="Q69" s="417"/>
      <c r="R69" s="417"/>
      <c r="S69" s="517"/>
      <c r="T69" s="307"/>
      <c r="U69" s="734"/>
      <c r="V69" s="350"/>
      <c r="W69" s="740" t="str">
        <f>'索引資料'!F32</f>
        <v/>
      </c>
      <c r="X69" s="375"/>
      <c r="Y69" s="375"/>
      <c r="Z69" s="375"/>
      <c r="AA69" s="375"/>
      <c r="AB69" s="375"/>
      <c r="AC69" s="375"/>
      <c r="AD69" s="375"/>
      <c r="AE69" s="375"/>
      <c r="AF69" s="375"/>
      <c r="AG69" s="376"/>
      <c r="AH69" s="740" t="str">
        <f>'索引資料'!F37</f>
        <v/>
      </c>
      <c r="AI69" s="375"/>
      <c r="AJ69" s="375"/>
      <c r="AK69" s="375"/>
      <c r="AL69" s="375"/>
      <c r="AM69" s="375"/>
      <c r="AN69" s="375"/>
      <c r="AO69" s="375"/>
      <c r="AP69" s="375"/>
      <c r="AQ69" s="375"/>
      <c r="AR69" s="376"/>
      <c r="AS69" s="751"/>
      <c r="AT69" s="740" t="str">
        <f>'索引資料'!G32</f>
        <v/>
      </c>
      <c r="AU69" s="375"/>
      <c r="AV69" s="375"/>
      <c r="AW69" s="375"/>
      <c r="AX69" s="375"/>
      <c r="AY69" s="375"/>
      <c r="AZ69" s="375"/>
      <c r="BA69" s="375"/>
      <c r="BB69" s="375"/>
      <c r="BC69" s="375"/>
      <c r="BD69" s="376"/>
      <c r="BE69" s="740" t="str">
        <f>'索引資料'!G37</f>
        <v/>
      </c>
      <c r="BF69" s="375"/>
      <c r="BG69" s="375"/>
      <c r="BH69" s="375"/>
      <c r="BI69" s="375"/>
      <c r="BJ69" s="375"/>
      <c r="BK69" s="375"/>
      <c r="BL69" s="375"/>
      <c r="BM69" s="375"/>
      <c r="BN69" s="375"/>
      <c r="BO69" s="376"/>
      <c r="BP69" s="751"/>
      <c r="BQ69" s="740" t="str">
        <f>'索引資料'!H32</f>
        <v/>
      </c>
      <c r="BR69" s="375"/>
      <c r="BS69" s="375"/>
      <c r="BT69" s="375"/>
      <c r="BU69" s="375"/>
      <c r="BV69" s="375"/>
      <c r="BW69" s="375"/>
      <c r="BX69" s="375"/>
      <c r="BY69" s="375"/>
      <c r="BZ69" s="375"/>
      <c r="CA69" s="376"/>
      <c r="CB69" s="740" t="str">
        <f>'索引資料'!H37</f>
        <v/>
      </c>
      <c r="CC69" s="375"/>
      <c r="CD69" s="375"/>
      <c r="CE69" s="375"/>
      <c r="CF69" s="375"/>
      <c r="CG69" s="375"/>
      <c r="CH69" s="375"/>
      <c r="CI69" s="375"/>
      <c r="CJ69" s="375"/>
      <c r="CK69" s="375"/>
      <c r="CL69" s="376"/>
      <c r="CM69" s="307"/>
      <c r="CN69" s="294"/>
    </row>
    <row r="70" ht="18.0" customHeight="1">
      <c r="A70" s="294"/>
      <c r="B70" s="307"/>
      <c r="C70" s="457"/>
      <c r="D70" s="152"/>
      <c r="E70" s="152"/>
      <c r="F70" s="152"/>
      <c r="G70" s="152"/>
      <c r="H70" s="766" t="str">
        <f>"它式"&amp;'請先閱讀'!L24</f>
        <v>它式角色卡版本:3.9</v>
      </c>
      <c r="I70" s="152"/>
      <c r="J70" s="152"/>
      <c r="K70" s="152"/>
      <c r="L70" s="152"/>
      <c r="M70" s="152"/>
      <c r="N70" s="152"/>
      <c r="O70" s="152"/>
      <c r="P70" s="152"/>
      <c r="Q70" s="152"/>
      <c r="R70" s="152"/>
      <c r="S70" s="152"/>
      <c r="T70" s="307"/>
      <c r="U70" s="734"/>
      <c r="V70" s="350"/>
      <c r="W70" s="767" t="str">
        <f>'索引資料'!F33</f>
        <v/>
      </c>
      <c r="X70" s="240"/>
      <c r="Y70" s="240"/>
      <c r="Z70" s="240"/>
      <c r="AA70" s="240"/>
      <c r="AB70" s="240"/>
      <c r="AC70" s="240"/>
      <c r="AD70" s="240"/>
      <c r="AE70" s="240"/>
      <c r="AF70" s="240"/>
      <c r="AG70" s="240"/>
      <c r="AH70" s="767" t="str">
        <f>'索引資料'!F38</f>
        <v/>
      </c>
      <c r="AI70" s="240"/>
      <c r="AJ70" s="240"/>
      <c r="AK70" s="240"/>
      <c r="AL70" s="240"/>
      <c r="AM70" s="240"/>
      <c r="AN70" s="240"/>
      <c r="AO70" s="240"/>
      <c r="AP70" s="240"/>
      <c r="AQ70" s="240"/>
      <c r="AR70" s="240"/>
      <c r="AS70" s="751"/>
      <c r="AT70" s="767" t="str">
        <f>'索引資料'!G33</f>
        <v/>
      </c>
      <c r="AU70" s="240"/>
      <c r="AV70" s="240"/>
      <c r="AW70" s="240"/>
      <c r="AX70" s="240"/>
      <c r="AY70" s="240"/>
      <c r="AZ70" s="240"/>
      <c r="BA70" s="240"/>
      <c r="BB70" s="240"/>
      <c r="BC70" s="240"/>
      <c r="BD70" s="240"/>
      <c r="BE70" s="767" t="str">
        <f>'索引資料'!G38</f>
        <v/>
      </c>
      <c r="BF70" s="240"/>
      <c r="BG70" s="240"/>
      <c r="BH70" s="240"/>
      <c r="BI70" s="240"/>
      <c r="BJ70" s="240"/>
      <c r="BK70" s="240"/>
      <c r="BL70" s="240"/>
      <c r="BM70" s="240"/>
      <c r="BN70" s="240"/>
      <c r="BO70" s="240"/>
      <c r="BP70" s="751"/>
      <c r="BQ70" s="767" t="str">
        <f>'索引資料'!H33</f>
        <v/>
      </c>
      <c r="BR70" s="240"/>
      <c r="BS70" s="240"/>
      <c r="BT70" s="240"/>
      <c r="BU70" s="240"/>
      <c r="BV70" s="240"/>
      <c r="BW70" s="240"/>
      <c r="BX70" s="240"/>
      <c r="BY70" s="240"/>
      <c r="BZ70" s="240"/>
      <c r="CA70" s="240"/>
      <c r="CB70" s="767" t="str">
        <f>'索引資料'!H38</f>
        <v/>
      </c>
      <c r="CC70" s="240"/>
      <c r="CD70" s="240"/>
      <c r="CE70" s="240"/>
      <c r="CF70" s="240"/>
      <c r="CG70" s="240"/>
      <c r="CH70" s="240"/>
      <c r="CI70" s="240"/>
      <c r="CJ70" s="240"/>
      <c r="CK70" s="240"/>
      <c r="CL70" s="240"/>
      <c r="CM70" s="307"/>
      <c r="CN70" s="294"/>
    </row>
    <row r="71" ht="18.0" hidden="1" customHeight="1">
      <c r="A71" s="294"/>
      <c r="B71" s="307"/>
      <c r="C71" s="768" t="s">
        <v>363</v>
      </c>
      <c r="D71" s="19"/>
      <c r="E71" s="19"/>
      <c r="F71" s="19"/>
      <c r="G71" s="19"/>
      <c r="H71" s="19"/>
      <c r="I71" s="19"/>
      <c r="J71" s="19"/>
      <c r="K71" s="19"/>
      <c r="L71" s="19"/>
      <c r="M71" s="19"/>
      <c r="N71" s="19"/>
      <c r="O71" s="19"/>
      <c r="P71" s="19"/>
      <c r="Q71" s="19"/>
      <c r="R71" s="19"/>
      <c r="S71" s="20"/>
      <c r="T71" s="307"/>
      <c r="U71" s="734"/>
      <c r="V71" s="350"/>
      <c r="W71" s="769"/>
      <c r="X71" s="770"/>
      <c r="Y71" s="770"/>
      <c r="Z71" s="770"/>
      <c r="AA71" s="770"/>
      <c r="AB71" s="770"/>
      <c r="AC71" s="770"/>
      <c r="AD71" s="770"/>
      <c r="AE71" s="770"/>
      <c r="AF71" s="770"/>
      <c r="AG71" s="771"/>
      <c r="AH71" s="769"/>
      <c r="AI71" s="770"/>
      <c r="AJ71" s="770"/>
      <c r="AK71" s="770"/>
      <c r="AL71" s="770"/>
      <c r="AM71" s="770"/>
      <c r="AN71" s="770"/>
      <c r="AO71" s="770"/>
      <c r="AP71" s="770"/>
      <c r="AQ71" s="770"/>
      <c r="AR71" s="770"/>
      <c r="AS71" s="751"/>
      <c r="AT71" s="769"/>
      <c r="AU71" s="770"/>
      <c r="AV71" s="770"/>
      <c r="AW71" s="770"/>
      <c r="AX71" s="770"/>
      <c r="AY71" s="770"/>
      <c r="AZ71" s="770"/>
      <c r="BA71" s="770"/>
      <c r="BB71" s="770"/>
      <c r="BC71" s="770"/>
      <c r="BD71" s="771"/>
      <c r="BE71" s="769"/>
      <c r="BF71" s="770"/>
      <c r="BG71" s="770"/>
      <c r="BH71" s="770"/>
      <c r="BI71" s="770"/>
      <c r="BJ71" s="770"/>
      <c r="BK71" s="770"/>
      <c r="BL71" s="770"/>
      <c r="BM71" s="770"/>
      <c r="BN71" s="770"/>
      <c r="BO71" s="770"/>
      <c r="BP71" s="751"/>
      <c r="BQ71" s="769"/>
      <c r="BR71" s="770"/>
      <c r="BS71" s="770"/>
      <c r="BT71" s="770"/>
      <c r="BU71" s="770"/>
      <c r="BV71" s="770"/>
      <c r="BW71" s="770"/>
      <c r="BX71" s="770"/>
      <c r="BY71" s="770"/>
      <c r="BZ71" s="770"/>
      <c r="CA71" s="771"/>
      <c r="CB71" s="769"/>
      <c r="CC71" s="770"/>
      <c r="CD71" s="770"/>
      <c r="CE71" s="770"/>
      <c r="CF71" s="770"/>
      <c r="CG71" s="770"/>
      <c r="CH71" s="770"/>
      <c r="CI71" s="770"/>
      <c r="CJ71" s="770"/>
      <c r="CK71" s="770"/>
      <c r="CL71" s="771"/>
      <c r="CM71" s="307"/>
      <c r="CN71" s="294"/>
    </row>
    <row r="72" ht="18.0" hidden="1" customHeight="1">
      <c r="A72" s="294"/>
      <c r="B72" s="307"/>
      <c r="C72" s="745" t="s">
        <v>364</v>
      </c>
      <c r="D72" s="496"/>
      <c r="E72" s="496"/>
      <c r="F72" s="496"/>
      <c r="G72" s="496"/>
      <c r="H72" s="763"/>
      <c r="S72" s="318"/>
      <c r="T72" s="307"/>
      <c r="U72" s="734"/>
      <c r="V72" s="350"/>
      <c r="W72" s="772"/>
      <c r="X72" s="122"/>
      <c r="Y72" s="122"/>
      <c r="Z72" s="122"/>
      <c r="AA72" s="122"/>
      <c r="AB72" s="122"/>
      <c r="AC72" s="122"/>
      <c r="AD72" s="122"/>
      <c r="AE72" s="122"/>
      <c r="AF72" s="122"/>
      <c r="AG72" s="120"/>
      <c r="AH72" s="772"/>
      <c r="AI72" s="122"/>
      <c r="AJ72" s="122"/>
      <c r="AK72" s="122"/>
      <c r="AL72" s="122"/>
      <c r="AM72" s="122"/>
      <c r="AN72" s="122"/>
      <c r="AO72" s="122"/>
      <c r="AP72" s="122"/>
      <c r="AQ72" s="122"/>
      <c r="AR72" s="122"/>
      <c r="AS72" s="751"/>
      <c r="AT72" s="772"/>
      <c r="AU72" s="122"/>
      <c r="AV72" s="122"/>
      <c r="AW72" s="122"/>
      <c r="AX72" s="122"/>
      <c r="AY72" s="122"/>
      <c r="AZ72" s="122"/>
      <c r="BA72" s="122"/>
      <c r="BB72" s="122"/>
      <c r="BC72" s="122"/>
      <c r="BD72" s="120"/>
      <c r="BE72" s="772"/>
      <c r="BF72" s="122"/>
      <c r="BG72" s="122"/>
      <c r="BH72" s="122"/>
      <c r="BI72" s="122"/>
      <c r="BJ72" s="122"/>
      <c r="BK72" s="122"/>
      <c r="BL72" s="122"/>
      <c r="BM72" s="122"/>
      <c r="BN72" s="122"/>
      <c r="BO72" s="122"/>
      <c r="BP72" s="751"/>
      <c r="BQ72" s="772"/>
      <c r="BR72" s="122"/>
      <c r="BS72" s="122"/>
      <c r="BT72" s="122"/>
      <c r="BU72" s="122"/>
      <c r="BV72" s="122"/>
      <c r="BW72" s="122"/>
      <c r="BX72" s="122"/>
      <c r="BY72" s="122"/>
      <c r="BZ72" s="122"/>
      <c r="CA72" s="120"/>
      <c r="CB72" s="772"/>
      <c r="CC72" s="122"/>
      <c r="CD72" s="122"/>
      <c r="CE72" s="122"/>
      <c r="CF72" s="122"/>
      <c r="CG72" s="122"/>
      <c r="CH72" s="122"/>
      <c r="CI72" s="122"/>
      <c r="CJ72" s="122"/>
      <c r="CK72" s="122"/>
      <c r="CL72" s="120"/>
      <c r="CM72" s="307"/>
      <c r="CN72" s="294"/>
    </row>
    <row r="73" ht="18.0" hidden="1" customHeight="1">
      <c r="A73" s="294"/>
      <c r="B73" s="307"/>
      <c r="C73" s="747" t="s">
        <v>365</v>
      </c>
      <c r="D73" s="375"/>
      <c r="E73" s="375"/>
      <c r="F73" s="375"/>
      <c r="G73" s="375"/>
      <c r="H73" s="748"/>
      <c r="I73" s="375"/>
      <c r="J73" s="375"/>
      <c r="K73" s="375"/>
      <c r="L73" s="375"/>
      <c r="M73" s="375"/>
      <c r="N73" s="375"/>
      <c r="O73" s="375"/>
      <c r="P73" s="375"/>
      <c r="Q73" s="375"/>
      <c r="R73" s="375"/>
      <c r="S73" s="376"/>
      <c r="T73" s="307"/>
      <c r="U73" s="734"/>
      <c r="V73" s="350"/>
      <c r="W73" s="773"/>
      <c r="X73" s="122"/>
      <c r="Y73" s="122"/>
      <c r="Z73" s="122"/>
      <c r="AA73" s="122"/>
      <c r="AB73" s="122"/>
      <c r="AC73" s="122"/>
      <c r="AD73" s="122"/>
      <c r="AE73" s="122"/>
      <c r="AF73" s="122"/>
      <c r="AG73" s="120"/>
      <c r="AH73" s="773"/>
      <c r="AI73" s="122"/>
      <c r="AJ73" s="122"/>
      <c r="AK73" s="122"/>
      <c r="AL73" s="122"/>
      <c r="AM73" s="122"/>
      <c r="AN73" s="122"/>
      <c r="AO73" s="122"/>
      <c r="AP73" s="122"/>
      <c r="AQ73" s="122"/>
      <c r="AR73" s="122"/>
      <c r="AS73" s="751"/>
      <c r="AT73" s="773"/>
      <c r="AU73" s="122"/>
      <c r="AV73" s="122"/>
      <c r="AW73" s="122"/>
      <c r="AX73" s="122"/>
      <c r="AY73" s="122"/>
      <c r="AZ73" s="122"/>
      <c r="BA73" s="122"/>
      <c r="BB73" s="122"/>
      <c r="BC73" s="122"/>
      <c r="BD73" s="120"/>
      <c r="BE73" s="773"/>
      <c r="BF73" s="122"/>
      <c r="BG73" s="122"/>
      <c r="BH73" s="122"/>
      <c r="BI73" s="122"/>
      <c r="BJ73" s="122"/>
      <c r="BK73" s="122"/>
      <c r="BL73" s="122"/>
      <c r="BM73" s="122"/>
      <c r="BN73" s="122"/>
      <c r="BO73" s="122"/>
      <c r="BP73" s="751"/>
      <c r="BQ73" s="773"/>
      <c r="BR73" s="122"/>
      <c r="BS73" s="122"/>
      <c r="BT73" s="122"/>
      <c r="BU73" s="122"/>
      <c r="BV73" s="122"/>
      <c r="BW73" s="122"/>
      <c r="BX73" s="122"/>
      <c r="BY73" s="122"/>
      <c r="BZ73" s="122"/>
      <c r="CA73" s="120"/>
      <c r="CB73" s="773"/>
      <c r="CC73" s="122"/>
      <c r="CD73" s="122"/>
      <c r="CE73" s="122"/>
      <c r="CF73" s="122"/>
      <c r="CG73" s="122"/>
      <c r="CH73" s="122"/>
      <c r="CI73" s="122"/>
      <c r="CJ73" s="122"/>
      <c r="CK73" s="122"/>
      <c r="CL73" s="120"/>
      <c r="CM73" s="307"/>
      <c r="CN73" s="294"/>
    </row>
    <row r="74" ht="18.0" hidden="1" customHeight="1">
      <c r="A74" s="294"/>
      <c r="B74" s="307"/>
      <c r="C74" s="749" t="s">
        <v>366</v>
      </c>
      <c r="D74" s="375"/>
      <c r="E74" s="375"/>
      <c r="F74" s="375"/>
      <c r="G74" s="375"/>
      <c r="H74" s="763"/>
      <c r="S74" s="318"/>
      <c r="T74" s="307"/>
      <c r="U74" s="734"/>
      <c r="V74" s="350"/>
      <c r="W74" s="772"/>
      <c r="X74" s="122"/>
      <c r="Y74" s="122"/>
      <c r="Z74" s="122"/>
      <c r="AA74" s="122"/>
      <c r="AB74" s="122"/>
      <c r="AC74" s="122"/>
      <c r="AD74" s="122"/>
      <c r="AE74" s="122"/>
      <c r="AF74" s="122"/>
      <c r="AG74" s="120"/>
      <c r="AH74" s="772"/>
      <c r="AI74" s="122"/>
      <c r="AJ74" s="122"/>
      <c r="AK74" s="122"/>
      <c r="AL74" s="122"/>
      <c r="AM74" s="122"/>
      <c r="AN74" s="122"/>
      <c r="AO74" s="122"/>
      <c r="AP74" s="122"/>
      <c r="AQ74" s="122"/>
      <c r="AR74" s="122"/>
      <c r="AS74" s="751"/>
      <c r="AT74" s="772"/>
      <c r="AU74" s="122"/>
      <c r="AV74" s="122"/>
      <c r="AW74" s="122"/>
      <c r="AX74" s="122"/>
      <c r="AY74" s="122"/>
      <c r="AZ74" s="122"/>
      <c r="BA74" s="122"/>
      <c r="BB74" s="122"/>
      <c r="BC74" s="122"/>
      <c r="BD74" s="120"/>
      <c r="BE74" s="772"/>
      <c r="BF74" s="122"/>
      <c r="BG74" s="122"/>
      <c r="BH74" s="122"/>
      <c r="BI74" s="122"/>
      <c r="BJ74" s="122"/>
      <c r="BK74" s="122"/>
      <c r="BL74" s="122"/>
      <c r="BM74" s="122"/>
      <c r="BN74" s="122"/>
      <c r="BO74" s="122"/>
      <c r="BP74" s="751"/>
      <c r="BQ74" s="772"/>
      <c r="BR74" s="122"/>
      <c r="BS74" s="122"/>
      <c r="BT74" s="122"/>
      <c r="BU74" s="122"/>
      <c r="BV74" s="122"/>
      <c r="BW74" s="122"/>
      <c r="BX74" s="122"/>
      <c r="BY74" s="122"/>
      <c r="BZ74" s="122"/>
      <c r="CA74" s="120"/>
      <c r="CB74" s="772"/>
      <c r="CC74" s="122"/>
      <c r="CD74" s="122"/>
      <c r="CE74" s="122"/>
      <c r="CF74" s="122"/>
      <c r="CG74" s="122"/>
      <c r="CH74" s="122"/>
      <c r="CI74" s="122"/>
      <c r="CJ74" s="122"/>
      <c r="CK74" s="122"/>
      <c r="CL74" s="120"/>
      <c r="CM74" s="307"/>
      <c r="CN74" s="294"/>
    </row>
    <row r="75" ht="18.0" hidden="1" customHeight="1">
      <c r="A75" s="294"/>
      <c r="B75" s="307"/>
      <c r="C75" s="747" t="s">
        <v>367</v>
      </c>
      <c r="D75" s="375"/>
      <c r="E75" s="375"/>
      <c r="F75" s="375"/>
      <c r="G75" s="375"/>
      <c r="H75" s="748"/>
      <c r="I75" s="375"/>
      <c r="J75" s="375"/>
      <c r="K75" s="375"/>
      <c r="L75" s="375"/>
      <c r="M75" s="375"/>
      <c r="N75" s="375"/>
      <c r="O75" s="375"/>
      <c r="P75" s="375"/>
      <c r="Q75" s="375"/>
      <c r="R75" s="375"/>
      <c r="S75" s="376"/>
      <c r="T75" s="307"/>
      <c r="U75" s="734"/>
      <c r="V75" s="350"/>
      <c r="W75" s="773"/>
      <c r="X75" s="122"/>
      <c r="Y75" s="122"/>
      <c r="Z75" s="122"/>
      <c r="AA75" s="122"/>
      <c r="AB75" s="122"/>
      <c r="AC75" s="122"/>
      <c r="AD75" s="122"/>
      <c r="AE75" s="122"/>
      <c r="AF75" s="122"/>
      <c r="AG75" s="120"/>
      <c r="AH75" s="773"/>
      <c r="AI75" s="122"/>
      <c r="AJ75" s="122"/>
      <c r="AK75" s="122"/>
      <c r="AL75" s="122"/>
      <c r="AM75" s="122"/>
      <c r="AN75" s="122"/>
      <c r="AO75" s="122"/>
      <c r="AP75" s="122"/>
      <c r="AQ75" s="122"/>
      <c r="AR75" s="122"/>
      <c r="AS75" s="751"/>
      <c r="AT75" s="773"/>
      <c r="AU75" s="122"/>
      <c r="AV75" s="122"/>
      <c r="AW75" s="122"/>
      <c r="AX75" s="122"/>
      <c r="AY75" s="122"/>
      <c r="AZ75" s="122"/>
      <c r="BA75" s="122"/>
      <c r="BB75" s="122"/>
      <c r="BC75" s="122"/>
      <c r="BD75" s="120"/>
      <c r="BE75" s="773"/>
      <c r="BF75" s="122"/>
      <c r="BG75" s="122"/>
      <c r="BH75" s="122"/>
      <c r="BI75" s="122"/>
      <c r="BJ75" s="122"/>
      <c r="BK75" s="122"/>
      <c r="BL75" s="122"/>
      <c r="BM75" s="122"/>
      <c r="BN75" s="122"/>
      <c r="BO75" s="122"/>
      <c r="BP75" s="751"/>
      <c r="BQ75" s="773"/>
      <c r="BR75" s="122"/>
      <c r="BS75" s="122"/>
      <c r="BT75" s="122"/>
      <c r="BU75" s="122"/>
      <c r="BV75" s="122"/>
      <c r="BW75" s="122"/>
      <c r="BX75" s="122"/>
      <c r="BY75" s="122"/>
      <c r="BZ75" s="122"/>
      <c r="CA75" s="120"/>
      <c r="CB75" s="773"/>
      <c r="CC75" s="122"/>
      <c r="CD75" s="122"/>
      <c r="CE75" s="122"/>
      <c r="CF75" s="122"/>
      <c r="CG75" s="122"/>
      <c r="CH75" s="122"/>
      <c r="CI75" s="122"/>
      <c r="CJ75" s="122"/>
      <c r="CK75" s="122"/>
      <c r="CL75" s="120"/>
      <c r="CM75" s="307"/>
      <c r="CN75" s="294"/>
    </row>
    <row r="76" ht="18.0" hidden="1" customHeight="1">
      <c r="A76" s="294"/>
      <c r="B76" s="307"/>
      <c r="C76" s="774" t="s">
        <v>368</v>
      </c>
      <c r="D76" s="732"/>
      <c r="E76" s="732"/>
      <c r="F76" s="732"/>
      <c r="G76" s="732"/>
      <c r="H76" s="763"/>
      <c r="S76" s="318"/>
      <c r="T76" s="307"/>
      <c r="U76" s="734"/>
      <c r="V76" s="350"/>
      <c r="W76" s="772"/>
      <c r="X76" s="122"/>
      <c r="Y76" s="122"/>
      <c r="Z76" s="122"/>
      <c r="AA76" s="122"/>
      <c r="AB76" s="122"/>
      <c r="AC76" s="122"/>
      <c r="AD76" s="122"/>
      <c r="AE76" s="122"/>
      <c r="AF76" s="122"/>
      <c r="AG76" s="120"/>
      <c r="AH76" s="772"/>
      <c r="AI76" s="122"/>
      <c r="AJ76" s="122"/>
      <c r="AK76" s="122"/>
      <c r="AL76" s="122"/>
      <c r="AM76" s="122"/>
      <c r="AN76" s="122"/>
      <c r="AO76" s="122"/>
      <c r="AP76" s="122"/>
      <c r="AQ76" s="122"/>
      <c r="AR76" s="122"/>
      <c r="AS76" s="751"/>
      <c r="AT76" s="772"/>
      <c r="AU76" s="122"/>
      <c r="AV76" s="122"/>
      <c r="AW76" s="122"/>
      <c r="AX76" s="122"/>
      <c r="AY76" s="122"/>
      <c r="AZ76" s="122"/>
      <c r="BA76" s="122"/>
      <c r="BB76" s="122"/>
      <c r="BC76" s="122"/>
      <c r="BD76" s="120"/>
      <c r="BE76" s="772"/>
      <c r="BF76" s="122"/>
      <c r="BG76" s="122"/>
      <c r="BH76" s="122"/>
      <c r="BI76" s="122"/>
      <c r="BJ76" s="122"/>
      <c r="BK76" s="122"/>
      <c r="BL76" s="122"/>
      <c r="BM76" s="122"/>
      <c r="BN76" s="122"/>
      <c r="BO76" s="122"/>
      <c r="BP76" s="751"/>
      <c r="BQ76" s="772"/>
      <c r="BR76" s="122"/>
      <c r="BS76" s="122"/>
      <c r="BT76" s="122"/>
      <c r="BU76" s="122"/>
      <c r="BV76" s="122"/>
      <c r="BW76" s="122"/>
      <c r="BX76" s="122"/>
      <c r="BY76" s="122"/>
      <c r="BZ76" s="122"/>
      <c r="CA76" s="120"/>
      <c r="CB76" s="772"/>
      <c r="CC76" s="122"/>
      <c r="CD76" s="122"/>
      <c r="CE76" s="122"/>
      <c r="CF76" s="122"/>
      <c r="CG76" s="122"/>
      <c r="CH76" s="122"/>
      <c r="CI76" s="122"/>
      <c r="CJ76" s="122"/>
      <c r="CK76" s="122"/>
      <c r="CL76" s="120"/>
      <c r="CM76" s="307"/>
      <c r="CN76" s="294"/>
    </row>
    <row r="77" ht="18.0" hidden="1" customHeight="1">
      <c r="A77" s="294"/>
      <c r="B77" s="307"/>
      <c r="C77" s="775" t="s">
        <v>369</v>
      </c>
      <c r="D77" s="417"/>
      <c r="E77" s="417"/>
      <c r="F77" s="417"/>
      <c r="G77" s="417"/>
      <c r="H77" s="765"/>
      <c r="I77" s="417"/>
      <c r="J77" s="417"/>
      <c r="K77" s="417"/>
      <c r="L77" s="417"/>
      <c r="M77" s="417"/>
      <c r="N77" s="417"/>
      <c r="O77" s="417"/>
      <c r="P77" s="417"/>
      <c r="Q77" s="417"/>
      <c r="R77" s="417"/>
      <c r="S77" s="517"/>
      <c r="T77" s="307"/>
      <c r="U77" s="734"/>
      <c r="V77" s="350"/>
      <c r="W77" s="776"/>
      <c r="X77" s="144"/>
      <c r="Y77" s="144"/>
      <c r="Z77" s="144"/>
      <c r="AA77" s="144"/>
      <c r="AB77" s="144"/>
      <c r="AC77" s="144"/>
      <c r="AD77" s="144"/>
      <c r="AE77" s="144"/>
      <c r="AF77" s="144"/>
      <c r="AG77" s="128"/>
      <c r="AH77" s="776"/>
      <c r="AI77" s="144"/>
      <c r="AJ77" s="144"/>
      <c r="AK77" s="144"/>
      <c r="AL77" s="144"/>
      <c r="AM77" s="144"/>
      <c r="AN77" s="144"/>
      <c r="AO77" s="144"/>
      <c r="AP77" s="144"/>
      <c r="AQ77" s="144"/>
      <c r="AR77" s="144"/>
      <c r="AS77" s="751"/>
      <c r="AT77" s="776"/>
      <c r="AU77" s="144"/>
      <c r="AV77" s="144"/>
      <c r="AW77" s="144"/>
      <c r="AX77" s="144"/>
      <c r="AY77" s="144"/>
      <c r="AZ77" s="144"/>
      <c r="BA77" s="144"/>
      <c r="BB77" s="144"/>
      <c r="BC77" s="144"/>
      <c r="BD77" s="128"/>
      <c r="BE77" s="776"/>
      <c r="BF77" s="144"/>
      <c r="BG77" s="144"/>
      <c r="BH77" s="144"/>
      <c r="BI77" s="144"/>
      <c r="BJ77" s="144"/>
      <c r="BK77" s="144"/>
      <c r="BL77" s="144"/>
      <c r="BM77" s="144"/>
      <c r="BN77" s="144"/>
      <c r="BO77" s="144"/>
      <c r="BP77" s="751"/>
      <c r="BQ77" s="776"/>
      <c r="BR77" s="144"/>
      <c r="BS77" s="144"/>
      <c r="BT77" s="144"/>
      <c r="BU77" s="144"/>
      <c r="BV77" s="144"/>
      <c r="BW77" s="144"/>
      <c r="BX77" s="144"/>
      <c r="BY77" s="144"/>
      <c r="BZ77" s="144"/>
      <c r="CA77" s="128"/>
      <c r="CB77" s="776"/>
      <c r="CC77" s="144"/>
      <c r="CD77" s="144"/>
      <c r="CE77" s="144"/>
      <c r="CF77" s="144"/>
      <c r="CG77" s="144"/>
      <c r="CH77" s="144"/>
      <c r="CI77" s="144"/>
      <c r="CJ77" s="144"/>
      <c r="CK77" s="144"/>
      <c r="CL77" s="128"/>
      <c r="CM77" s="307"/>
      <c r="CN77" s="294"/>
    </row>
    <row r="78" ht="13.5" customHeight="1">
      <c r="A78" s="339"/>
      <c r="B78" s="342"/>
      <c r="C78" s="342"/>
      <c r="H78" s="342"/>
      <c r="S78" s="342"/>
      <c r="T78" s="342"/>
      <c r="U78" s="294"/>
      <c r="V78" s="340"/>
      <c r="W78" s="341"/>
      <c r="X78" s="341"/>
      <c r="Y78" s="240"/>
      <c r="Z78" s="240"/>
      <c r="AA78" s="240"/>
      <c r="AB78" s="240"/>
      <c r="AC78" s="240"/>
      <c r="AD78" s="240"/>
      <c r="AE78" s="240"/>
      <c r="AF78" s="240"/>
      <c r="AG78" s="240"/>
      <c r="AH78" s="240"/>
      <c r="AI78" s="240"/>
      <c r="AJ78" s="240"/>
      <c r="AK78" s="240"/>
      <c r="AL78" s="240"/>
      <c r="AM78" s="240"/>
      <c r="AN78" s="240"/>
      <c r="AO78" s="240"/>
      <c r="AP78" s="240"/>
      <c r="AQ78" s="240"/>
      <c r="AR78" s="240"/>
      <c r="AS78" s="240"/>
      <c r="AT78" s="240"/>
      <c r="AU78" s="341"/>
      <c r="AV78" s="342"/>
      <c r="AW78" s="342"/>
      <c r="AX78" s="342"/>
      <c r="AY78" s="342"/>
      <c r="AZ78" s="342"/>
      <c r="BA78" s="342"/>
      <c r="BB78" s="342"/>
      <c r="BC78" s="342"/>
      <c r="BD78" s="342"/>
      <c r="BE78" s="342"/>
      <c r="BF78" s="342"/>
      <c r="BG78" s="342"/>
      <c r="BH78" s="342"/>
      <c r="BI78" s="342"/>
      <c r="BJ78" s="342"/>
      <c r="BK78" s="342"/>
      <c r="BL78" s="342"/>
      <c r="BM78" s="342"/>
      <c r="BN78" s="342"/>
      <c r="BO78" s="342"/>
      <c r="BP78" s="342"/>
      <c r="BQ78" s="342"/>
      <c r="BR78" s="342"/>
      <c r="BS78" s="342"/>
      <c r="BT78" s="342"/>
      <c r="BU78" s="342"/>
      <c r="BV78" s="342"/>
      <c r="BW78" s="342"/>
      <c r="BX78" s="342"/>
      <c r="BY78" s="342"/>
      <c r="BZ78" s="342"/>
      <c r="CA78" s="342"/>
      <c r="CB78" s="342"/>
      <c r="CC78" s="342"/>
      <c r="CD78" s="342"/>
      <c r="CE78" s="342"/>
      <c r="CF78" s="342"/>
      <c r="CG78" s="342"/>
      <c r="CH78" s="342"/>
      <c r="CI78" s="342"/>
      <c r="CJ78" s="342"/>
      <c r="CK78" s="342"/>
      <c r="CL78" s="342"/>
      <c r="CM78" s="342"/>
      <c r="CN78" s="294"/>
    </row>
    <row r="79" ht="15.75" customHeight="1">
      <c r="A79" s="777" t="s">
        <v>370</v>
      </c>
      <c r="B79" s="294"/>
      <c r="C79" s="294"/>
      <c r="D79" s="294"/>
      <c r="E79" s="294"/>
      <c r="F79" s="294"/>
      <c r="G79" s="294"/>
      <c r="H79" s="294"/>
      <c r="I79" s="294"/>
      <c r="J79" s="294"/>
      <c r="K79" s="294"/>
      <c r="L79" s="294"/>
      <c r="M79" s="294"/>
      <c r="N79" s="294"/>
      <c r="O79" s="294"/>
      <c r="P79" s="294"/>
      <c r="Q79" s="294"/>
      <c r="R79" s="294"/>
      <c r="S79" s="294"/>
      <c r="T79" s="294"/>
      <c r="U79" s="294"/>
      <c r="V79" s="294"/>
      <c r="W79" s="294"/>
      <c r="X79" s="294"/>
      <c r="Y79" s="294"/>
      <c r="Z79" s="294"/>
      <c r="AA79" s="294"/>
      <c r="AB79" s="294"/>
      <c r="AC79" s="294"/>
      <c r="AD79" s="294"/>
      <c r="AE79" s="294"/>
      <c r="AF79" s="294"/>
      <c r="AG79" s="294"/>
      <c r="AH79" s="294"/>
      <c r="AI79" s="294"/>
      <c r="AJ79" s="294"/>
      <c r="AK79" s="294"/>
      <c r="AL79" s="294"/>
      <c r="AM79" s="294"/>
      <c r="AN79" s="294"/>
      <c r="AO79" s="294"/>
      <c r="AP79" s="294"/>
      <c r="AQ79" s="294"/>
      <c r="AR79" s="294"/>
      <c r="AS79" s="294"/>
      <c r="AT79" s="294"/>
      <c r="AU79" s="294"/>
      <c r="AV79" s="294"/>
      <c r="AW79" s="294"/>
      <c r="AX79" s="294"/>
      <c r="AY79" s="294"/>
      <c r="AZ79" s="294"/>
      <c r="BA79" s="294"/>
      <c r="BB79" s="294"/>
      <c r="BC79" s="294"/>
      <c r="BD79" s="294"/>
      <c r="BE79" s="294"/>
      <c r="BF79" s="294"/>
      <c r="BG79" s="294"/>
      <c r="BH79" s="294"/>
      <c r="BI79" s="294"/>
      <c r="BJ79" s="294"/>
      <c r="BK79" s="294"/>
      <c r="BL79" s="294"/>
      <c r="BM79" s="294"/>
      <c r="BN79" s="294"/>
      <c r="BO79" s="294"/>
      <c r="BP79" s="294"/>
      <c r="BQ79" s="294"/>
      <c r="BR79" s="294"/>
      <c r="BS79" s="294"/>
      <c r="BT79" s="294"/>
      <c r="BU79" s="294"/>
      <c r="BV79" s="294"/>
      <c r="BW79" s="294"/>
      <c r="BX79" s="294"/>
      <c r="BY79" s="294"/>
      <c r="BZ79" s="294"/>
      <c r="CA79" s="294"/>
      <c r="CB79" s="294"/>
      <c r="CC79" s="294"/>
      <c r="CD79" s="294"/>
      <c r="CE79" s="294"/>
      <c r="CF79" s="294"/>
      <c r="CG79" s="294"/>
      <c r="CH79" s="294"/>
      <c r="CI79" s="294"/>
      <c r="CJ79" s="294"/>
      <c r="CK79" s="294"/>
      <c r="CL79" s="294"/>
      <c r="CM79" s="294"/>
      <c r="CN79" s="294"/>
    </row>
  </sheetData>
  <customSheetViews>
    <customSheetView guid="{C8B61B38-60CB-48BC-B9FA-CF56C98E8B8E}" filter="1" showAutoFilter="1">
      <autoFilter ref="$AB$17:$AK$21"/>
    </customSheetView>
    <customSheetView guid="{7A41CF54-2F59-4362-8A97-2201B5E66119}" filter="1" showAutoFilter="1">
      <autoFilter ref="$AB$15:$AK$21"/>
    </customSheetView>
  </customSheetViews>
  <mergeCells count="674">
    <mergeCell ref="O20:P20"/>
    <mergeCell ref="O21:P21"/>
    <mergeCell ref="G20:I20"/>
    <mergeCell ref="J20:L20"/>
    <mergeCell ref="Q20:R20"/>
    <mergeCell ref="S20:V20"/>
    <mergeCell ref="J21:L21"/>
    <mergeCell ref="Q21:R21"/>
    <mergeCell ref="B24:T24"/>
    <mergeCell ref="Z19:AA19"/>
    <mergeCell ref="AF19:AK19"/>
    <mergeCell ref="AL19:AM19"/>
    <mergeCell ref="AN19:AT19"/>
    <mergeCell ref="C19:F19"/>
    <mergeCell ref="G19:I19"/>
    <mergeCell ref="J19:L19"/>
    <mergeCell ref="O19:P19"/>
    <mergeCell ref="Q19:R19"/>
    <mergeCell ref="S19:V19"/>
    <mergeCell ref="W19:Y19"/>
    <mergeCell ref="AB20:AK20"/>
    <mergeCell ref="AL20:AM20"/>
    <mergeCell ref="AN20:AR20"/>
    <mergeCell ref="AT22:AU22"/>
    <mergeCell ref="AW22:AX22"/>
    <mergeCell ref="V24:CM24"/>
    <mergeCell ref="CD26:CF26"/>
    <mergeCell ref="CG26:CI26"/>
    <mergeCell ref="CJ26:CL26"/>
    <mergeCell ref="A22:Q22"/>
    <mergeCell ref="R22:T22"/>
    <mergeCell ref="U22:V22"/>
    <mergeCell ref="AC22:AD22"/>
    <mergeCell ref="AF22:AG22"/>
    <mergeCell ref="AI22:AJ22"/>
    <mergeCell ref="AL22:AM22"/>
    <mergeCell ref="C20:F20"/>
    <mergeCell ref="C26:E26"/>
    <mergeCell ref="F26:M26"/>
    <mergeCell ref="N26:P26"/>
    <mergeCell ref="Q26:S26"/>
    <mergeCell ref="W20:Y20"/>
    <mergeCell ref="W21:Y21"/>
    <mergeCell ref="X25:AA25"/>
    <mergeCell ref="AB25:AC25"/>
    <mergeCell ref="AF25:AI25"/>
    <mergeCell ref="AJ25:AK25"/>
    <mergeCell ref="X26:AC26"/>
    <mergeCell ref="I9:N9"/>
    <mergeCell ref="P9:S9"/>
    <mergeCell ref="U9:X9"/>
    <mergeCell ref="Z9:AC9"/>
    <mergeCell ref="AE9:AH9"/>
    <mergeCell ref="AJ9:AM9"/>
    <mergeCell ref="AO9:AR9"/>
    <mergeCell ref="C9:G9"/>
    <mergeCell ref="C10:G10"/>
    <mergeCell ref="I10:N10"/>
    <mergeCell ref="P10:S10"/>
    <mergeCell ref="U10:X10"/>
    <mergeCell ref="Z10:AC10"/>
    <mergeCell ref="AE10:AH10"/>
    <mergeCell ref="Q15:R15"/>
    <mergeCell ref="S15:V15"/>
    <mergeCell ref="W15:Y15"/>
    <mergeCell ref="Z15:AA15"/>
    <mergeCell ref="AB15:AK15"/>
    <mergeCell ref="AL15:AM15"/>
    <mergeCell ref="AN15:AR15"/>
    <mergeCell ref="AS15:AT15"/>
    <mergeCell ref="C14:L14"/>
    <mergeCell ref="O14:Y14"/>
    <mergeCell ref="AB14:AV14"/>
    <mergeCell ref="C15:F15"/>
    <mergeCell ref="G15:I15"/>
    <mergeCell ref="J15:L15"/>
    <mergeCell ref="O15:P15"/>
    <mergeCell ref="AU15:AV15"/>
    <mergeCell ref="AJ10:AM10"/>
    <mergeCell ref="AO10:AR10"/>
    <mergeCell ref="AB16:AK16"/>
    <mergeCell ref="AL16:AM16"/>
    <mergeCell ref="AN16:AR16"/>
    <mergeCell ref="AS16:AT16"/>
    <mergeCell ref="AU16:AV16"/>
    <mergeCell ref="AW16:AX16"/>
    <mergeCell ref="BD10:BN10"/>
    <mergeCell ref="BO10:BS10"/>
    <mergeCell ref="B12:BT12"/>
    <mergeCell ref="C16:F16"/>
    <mergeCell ref="G16:I16"/>
    <mergeCell ref="J16:L16"/>
    <mergeCell ref="O16:P16"/>
    <mergeCell ref="W16:Y16"/>
    <mergeCell ref="Z16:AA16"/>
    <mergeCell ref="W17:Y17"/>
    <mergeCell ref="Z17:AA17"/>
    <mergeCell ref="AB17:AK17"/>
    <mergeCell ref="AL17:AM17"/>
    <mergeCell ref="AN17:AR17"/>
    <mergeCell ref="Q16:R16"/>
    <mergeCell ref="S16:V16"/>
    <mergeCell ref="G17:I17"/>
    <mergeCell ref="J17:L17"/>
    <mergeCell ref="O17:P17"/>
    <mergeCell ref="Q17:R17"/>
    <mergeCell ref="S17:V17"/>
    <mergeCell ref="AZ8:BG8"/>
    <mergeCell ref="AY14:BD14"/>
    <mergeCell ref="AW18:AX18"/>
    <mergeCell ref="AY18:BA18"/>
    <mergeCell ref="BB18:BD18"/>
    <mergeCell ref="AU19:AV19"/>
    <mergeCell ref="AW19:AX19"/>
    <mergeCell ref="AY19:BA19"/>
    <mergeCell ref="BB19:BD19"/>
    <mergeCell ref="AS20:AT20"/>
    <mergeCell ref="AU20:AV20"/>
    <mergeCell ref="AW20:AX20"/>
    <mergeCell ref="AY20:BA20"/>
    <mergeCell ref="AP7:AX7"/>
    <mergeCell ref="AZ7:BG7"/>
    <mergeCell ref="BV7:CM21"/>
    <mergeCell ref="AP8:AX8"/>
    <mergeCell ref="BI8:BS8"/>
    <mergeCell ref="AY9:BS9"/>
    <mergeCell ref="BG13:BS21"/>
    <mergeCell ref="BB20:BD20"/>
    <mergeCell ref="A1:AR5"/>
    <mergeCell ref="CA2:CF2"/>
    <mergeCell ref="CA3:CF4"/>
    <mergeCell ref="CA5:CF5"/>
    <mergeCell ref="B6:BT6"/>
    <mergeCell ref="BV6:CM6"/>
    <mergeCell ref="C7:N7"/>
    <mergeCell ref="BI7:BS7"/>
    <mergeCell ref="P7:W7"/>
    <mergeCell ref="Y7:AN7"/>
    <mergeCell ref="C8:N8"/>
    <mergeCell ref="P8:W8"/>
    <mergeCell ref="Y8:AB8"/>
    <mergeCell ref="AE8:AG8"/>
    <mergeCell ref="AJ8:AN8"/>
    <mergeCell ref="AT9:AW9"/>
    <mergeCell ref="AT10:AW10"/>
    <mergeCell ref="AY15:BD15"/>
    <mergeCell ref="AS17:AT17"/>
    <mergeCell ref="AU17:AV17"/>
    <mergeCell ref="AW17:AX17"/>
    <mergeCell ref="AY17:BA17"/>
    <mergeCell ref="BB17:BD17"/>
    <mergeCell ref="W18:Y18"/>
    <mergeCell ref="Z18:AA18"/>
    <mergeCell ref="AB18:AK18"/>
    <mergeCell ref="AL18:AM18"/>
    <mergeCell ref="AN18:AR18"/>
    <mergeCell ref="AS18:AT18"/>
    <mergeCell ref="AU18:AV18"/>
    <mergeCell ref="C17:F17"/>
    <mergeCell ref="C18:F18"/>
    <mergeCell ref="G18:I18"/>
    <mergeCell ref="J18:L18"/>
    <mergeCell ref="O18:P18"/>
    <mergeCell ref="Q18:R18"/>
    <mergeCell ref="S18:V18"/>
    <mergeCell ref="AV28:AX28"/>
    <mergeCell ref="AY28:BA28"/>
    <mergeCell ref="AD27:AE28"/>
    <mergeCell ref="AF27:AH28"/>
    <mergeCell ref="AI27:AK28"/>
    <mergeCell ref="AL27:AM28"/>
    <mergeCell ref="AN27:AR28"/>
    <mergeCell ref="AV27:AX27"/>
    <mergeCell ref="AY27:BA27"/>
    <mergeCell ref="N28:P28"/>
    <mergeCell ref="Q28:S28"/>
    <mergeCell ref="N29:P29"/>
    <mergeCell ref="Q29:S29"/>
    <mergeCell ref="X29:Z29"/>
    <mergeCell ref="AA29:AC29"/>
    <mergeCell ref="AF29:AH29"/>
    <mergeCell ref="C27:E27"/>
    <mergeCell ref="F27:M27"/>
    <mergeCell ref="N27:P27"/>
    <mergeCell ref="Q27:S27"/>
    <mergeCell ref="V27:W28"/>
    <mergeCell ref="X27:Z28"/>
    <mergeCell ref="AA27:AC28"/>
    <mergeCell ref="F31:M31"/>
    <mergeCell ref="N31:P31"/>
    <mergeCell ref="Q31:S31"/>
    <mergeCell ref="V31:W31"/>
    <mergeCell ref="X31:Y31"/>
    <mergeCell ref="Z31:AA31"/>
    <mergeCell ref="AB31:AE31"/>
    <mergeCell ref="C31:E31"/>
    <mergeCell ref="C32:E32"/>
    <mergeCell ref="F32:M32"/>
    <mergeCell ref="N32:P32"/>
    <mergeCell ref="Q32:S32"/>
    <mergeCell ref="V32:W32"/>
    <mergeCell ref="X32:Y32"/>
    <mergeCell ref="V33:W33"/>
    <mergeCell ref="V34:W34"/>
    <mergeCell ref="Z33:AA33"/>
    <mergeCell ref="AB33:AE33"/>
    <mergeCell ref="Z34:AA34"/>
    <mergeCell ref="AB34:AE34"/>
    <mergeCell ref="AH34:AL34"/>
    <mergeCell ref="AM34:AN34"/>
    <mergeCell ref="AO34:AP34"/>
    <mergeCell ref="BZ34:CB34"/>
    <mergeCell ref="CC34:CL34"/>
    <mergeCell ref="BW32:BY32"/>
    <mergeCell ref="BZ32:CB32"/>
    <mergeCell ref="CC32:CL32"/>
    <mergeCell ref="BW33:BY33"/>
    <mergeCell ref="BZ33:CB33"/>
    <mergeCell ref="CC33:CL33"/>
    <mergeCell ref="BW34:BY34"/>
    <mergeCell ref="C33:E33"/>
    <mergeCell ref="F33:M33"/>
    <mergeCell ref="N33:P33"/>
    <mergeCell ref="Q33:S33"/>
    <mergeCell ref="X33:Y33"/>
    <mergeCell ref="C34:E34"/>
    <mergeCell ref="Q34:S34"/>
    <mergeCell ref="X34:Y34"/>
    <mergeCell ref="Z35:AA35"/>
    <mergeCell ref="AE35:AM35"/>
    <mergeCell ref="F34:M34"/>
    <mergeCell ref="N34:P34"/>
    <mergeCell ref="C35:E35"/>
    <mergeCell ref="F35:M35"/>
    <mergeCell ref="N35:P35"/>
    <mergeCell ref="Q35:S35"/>
    <mergeCell ref="X35:Y35"/>
    <mergeCell ref="AO36:AQ36"/>
    <mergeCell ref="AR36:AU36"/>
    <mergeCell ref="AV36:AX36"/>
    <mergeCell ref="AY36:BA36"/>
    <mergeCell ref="BB36:BC36"/>
    <mergeCell ref="BD36:BE36"/>
    <mergeCell ref="BF36:BK36"/>
    <mergeCell ref="BL36:BU36"/>
    <mergeCell ref="C36:E36"/>
    <mergeCell ref="F36:M36"/>
    <mergeCell ref="N36:P36"/>
    <mergeCell ref="Q36:S36"/>
    <mergeCell ref="X36:AE36"/>
    <mergeCell ref="AF36:AH36"/>
    <mergeCell ref="AI36:AN36"/>
    <mergeCell ref="BF37:BK37"/>
    <mergeCell ref="BL37:BU37"/>
    <mergeCell ref="BW37:CL37"/>
    <mergeCell ref="BW38:CL38"/>
    <mergeCell ref="C38:E38"/>
    <mergeCell ref="F38:M38"/>
    <mergeCell ref="N38:P38"/>
    <mergeCell ref="Q38:S38"/>
    <mergeCell ref="X38:Y38"/>
    <mergeCell ref="Z38:AE38"/>
    <mergeCell ref="AF38:AH38"/>
    <mergeCell ref="BF41:BK41"/>
    <mergeCell ref="BL41:BU41"/>
    <mergeCell ref="AI41:AN41"/>
    <mergeCell ref="AO41:AQ41"/>
    <mergeCell ref="AR41:AU41"/>
    <mergeCell ref="AV41:AX41"/>
    <mergeCell ref="AY41:BA41"/>
    <mergeCell ref="BB41:BC41"/>
    <mergeCell ref="BD41:BE41"/>
    <mergeCell ref="BF39:BK39"/>
    <mergeCell ref="BL39:BU39"/>
    <mergeCell ref="BW39:CL39"/>
    <mergeCell ref="AI39:AN39"/>
    <mergeCell ref="AO39:AQ39"/>
    <mergeCell ref="AR39:AU39"/>
    <mergeCell ref="AV39:AX39"/>
    <mergeCell ref="AY39:BA39"/>
    <mergeCell ref="BB39:BC39"/>
    <mergeCell ref="BD39:BE39"/>
    <mergeCell ref="C39:E39"/>
    <mergeCell ref="F39:M39"/>
    <mergeCell ref="N39:P39"/>
    <mergeCell ref="Q39:S39"/>
    <mergeCell ref="X39:Y39"/>
    <mergeCell ref="Z39:AE39"/>
    <mergeCell ref="AF39:AH39"/>
    <mergeCell ref="BF40:BK40"/>
    <mergeCell ref="BL40:BU40"/>
    <mergeCell ref="BW40:CL40"/>
    <mergeCell ref="BW41:CL41"/>
    <mergeCell ref="AI40:AN40"/>
    <mergeCell ref="AO40:AQ40"/>
    <mergeCell ref="AR40:AU40"/>
    <mergeCell ref="AV40:AX40"/>
    <mergeCell ref="AY40:BA40"/>
    <mergeCell ref="BB40:BC40"/>
    <mergeCell ref="BD40:BE40"/>
    <mergeCell ref="C40:E40"/>
    <mergeCell ref="F40:M40"/>
    <mergeCell ref="N40:P40"/>
    <mergeCell ref="Q40:S40"/>
    <mergeCell ref="X40:Y40"/>
    <mergeCell ref="Z40:AE40"/>
    <mergeCell ref="AF40:AH40"/>
    <mergeCell ref="C41:E41"/>
    <mergeCell ref="F41:M41"/>
    <mergeCell ref="N41:P41"/>
    <mergeCell ref="Q41:S41"/>
    <mergeCell ref="X41:Y41"/>
    <mergeCell ref="Z41:AE41"/>
    <mergeCell ref="AF41:AH41"/>
    <mergeCell ref="BF27:BH27"/>
    <mergeCell ref="BF28:BH28"/>
    <mergeCell ref="BR28:BW28"/>
    <mergeCell ref="BX28:BZ28"/>
    <mergeCell ref="BB27:BD27"/>
    <mergeCell ref="BI27:BN27"/>
    <mergeCell ref="BR27:BW27"/>
    <mergeCell ref="BX27:BZ27"/>
    <mergeCell ref="CA27:CC27"/>
    <mergeCell ref="BB28:BD28"/>
    <mergeCell ref="BI28:BN28"/>
    <mergeCell ref="CA28:CC28"/>
    <mergeCell ref="BX26:BZ26"/>
    <mergeCell ref="CA26:CC26"/>
    <mergeCell ref="AF26:AK26"/>
    <mergeCell ref="AN26:AR26"/>
    <mergeCell ref="AV26:AX26"/>
    <mergeCell ref="AY26:BA26"/>
    <mergeCell ref="BB26:BD26"/>
    <mergeCell ref="BF26:BN26"/>
    <mergeCell ref="BP26:BW26"/>
    <mergeCell ref="CD27:CF27"/>
    <mergeCell ref="CG27:CI27"/>
    <mergeCell ref="CJ27:CL27"/>
    <mergeCell ref="CD28:CF28"/>
    <mergeCell ref="CG28:CI28"/>
    <mergeCell ref="CJ28:CL28"/>
    <mergeCell ref="C28:E28"/>
    <mergeCell ref="F28:M28"/>
    <mergeCell ref="C29:E29"/>
    <mergeCell ref="F29:M29"/>
    <mergeCell ref="C30:E30"/>
    <mergeCell ref="F30:M30"/>
    <mergeCell ref="N30:P30"/>
    <mergeCell ref="Q30:S30"/>
    <mergeCell ref="BP27:BQ27"/>
    <mergeCell ref="BP28:BQ28"/>
    <mergeCell ref="AI29:AK29"/>
    <mergeCell ref="AV29:AX29"/>
    <mergeCell ref="AY29:BA29"/>
    <mergeCell ref="BB29:BD29"/>
    <mergeCell ref="BF29:BH29"/>
    <mergeCell ref="BI29:BN29"/>
    <mergeCell ref="BX29:BZ29"/>
    <mergeCell ref="CA29:CC29"/>
    <mergeCell ref="X30:AE30"/>
    <mergeCell ref="AH30:AM30"/>
    <mergeCell ref="AN30:AO30"/>
    <mergeCell ref="AU31:AZ31"/>
    <mergeCell ref="BB31:BG31"/>
    <mergeCell ref="BI31:BN31"/>
    <mergeCell ref="BP31:BU31"/>
    <mergeCell ref="BW31:CL31"/>
    <mergeCell ref="AH33:AL33"/>
    <mergeCell ref="AM33:AN33"/>
    <mergeCell ref="AO33:AP33"/>
    <mergeCell ref="AQ33:AR33"/>
    <mergeCell ref="Z32:AA32"/>
    <mergeCell ref="AB32:AE32"/>
    <mergeCell ref="AH32:AR32"/>
    <mergeCell ref="AU32:AZ33"/>
    <mergeCell ref="BB32:BG33"/>
    <mergeCell ref="BI32:BN33"/>
    <mergeCell ref="BP32:BU33"/>
    <mergeCell ref="BP34:BS34"/>
    <mergeCell ref="BT34:BU34"/>
    <mergeCell ref="BW35:BY35"/>
    <mergeCell ref="BZ35:CB35"/>
    <mergeCell ref="CC35:CL35"/>
    <mergeCell ref="AQ34:AR34"/>
    <mergeCell ref="AU34:AX34"/>
    <mergeCell ref="AY34:AZ34"/>
    <mergeCell ref="BB34:BE34"/>
    <mergeCell ref="BF34:BG34"/>
    <mergeCell ref="BI34:BL34"/>
    <mergeCell ref="BM34:BN34"/>
    <mergeCell ref="AI37:AN37"/>
    <mergeCell ref="AO37:AQ37"/>
    <mergeCell ref="AR37:AU37"/>
    <mergeCell ref="AV37:AX37"/>
    <mergeCell ref="AY37:BA37"/>
    <mergeCell ref="BB37:BC37"/>
    <mergeCell ref="BD37:BE37"/>
    <mergeCell ref="C37:E37"/>
    <mergeCell ref="F37:M37"/>
    <mergeCell ref="N37:P37"/>
    <mergeCell ref="Q37:S37"/>
    <mergeCell ref="X37:Y37"/>
    <mergeCell ref="Z37:AE37"/>
    <mergeCell ref="AF37:AH37"/>
    <mergeCell ref="BF38:BK38"/>
    <mergeCell ref="BL38:BU38"/>
    <mergeCell ref="AI38:AN38"/>
    <mergeCell ref="AO38:AQ38"/>
    <mergeCell ref="AR38:AU38"/>
    <mergeCell ref="AV38:AX38"/>
    <mergeCell ref="AY38:BA38"/>
    <mergeCell ref="BB38:BC38"/>
    <mergeCell ref="BD38:BE38"/>
    <mergeCell ref="C42:E42"/>
    <mergeCell ref="F42:M42"/>
    <mergeCell ref="N42:P42"/>
    <mergeCell ref="Q42:S42"/>
    <mergeCell ref="X42:Y42"/>
    <mergeCell ref="Z42:AE42"/>
    <mergeCell ref="AF42:AH42"/>
    <mergeCell ref="C43:E43"/>
    <mergeCell ref="F43:M43"/>
    <mergeCell ref="N43:P43"/>
    <mergeCell ref="Q43:S43"/>
    <mergeCell ref="C44:E44"/>
    <mergeCell ref="F44:M44"/>
    <mergeCell ref="N44:P44"/>
    <mergeCell ref="BE66:BO66"/>
    <mergeCell ref="BQ66:CA66"/>
    <mergeCell ref="CB66:CL66"/>
    <mergeCell ref="C65:G65"/>
    <mergeCell ref="C66:J66"/>
    <mergeCell ref="K66:M66"/>
    <mergeCell ref="N66:S66"/>
    <mergeCell ref="W66:AG66"/>
    <mergeCell ref="AH66:AR66"/>
    <mergeCell ref="AT66:BD66"/>
    <mergeCell ref="H67:S67"/>
    <mergeCell ref="W67:AG67"/>
    <mergeCell ref="AH67:AR67"/>
    <mergeCell ref="AT67:BD67"/>
    <mergeCell ref="BE67:BO67"/>
    <mergeCell ref="BQ67:CA67"/>
    <mergeCell ref="CB67:CL67"/>
    <mergeCell ref="C67:G67"/>
    <mergeCell ref="C68:G68"/>
    <mergeCell ref="H68:S68"/>
    <mergeCell ref="W68:AG68"/>
    <mergeCell ref="AH68:AR68"/>
    <mergeCell ref="AT68:BD68"/>
    <mergeCell ref="BE68:BO68"/>
    <mergeCell ref="BQ68:CA68"/>
    <mergeCell ref="BQ69:CA69"/>
    <mergeCell ref="CB68:CL68"/>
    <mergeCell ref="H69:S69"/>
    <mergeCell ref="W69:AG69"/>
    <mergeCell ref="AH69:AR69"/>
    <mergeCell ref="AT69:BD69"/>
    <mergeCell ref="BE69:BO69"/>
    <mergeCell ref="CB69:CL69"/>
    <mergeCell ref="W59:AG59"/>
    <mergeCell ref="AH59:AR59"/>
    <mergeCell ref="W60:AG60"/>
    <mergeCell ref="AH60:AR60"/>
    <mergeCell ref="AT60:BD60"/>
    <mergeCell ref="BE60:BO60"/>
    <mergeCell ref="BQ60:CA60"/>
    <mergeCell ref="CB60:CL60"/>
    <mergeCell ref="AT59:BD59"/>
    <mergeCell ref="BE59:BO59"/>
    <mergeCell ref="BQ59:CA59"/>
    <mergeCell ref="CB59:CL59"/>
    <mergeCell ref="BE57:BG57"/>
    <mergeCell ref="BH57:BO57"/>
    <mergeCell ref="C58:G58"/>
    <mergeCell ref="W58:AG58"/>
    <mergeCell ref="AH58:AR58"/>
    <mergeCell ref="AT58:BD58"/>
    <mergeCell ref="C59:E59"/>
    <mergeCell ref="AT61:BD61"/>
    <mergeCell ref="BE61:BO61"/>
    <mergeCell ref="BQ61:CA61"/>
    <mergeCell ref="CB61:CL61"/>
    <mergeCell ref="C62:G62"/>
    <mergeCell ref="H62:S62"/>
    <mergeCell ref="W62:AG62"/>
    <mergeCell ref="AH62:AR62"/>
    <mergeCell ref="AT62:BD62"/>
    <mergeCell ref="BE62:BO62"/>
    <mergeCell ref="BQ62:CA62"/>
    <mergeCell ref="CB62:CL62"/>
    <mergeCell ref="H58:S58"/>
    <mergeCell ref="F59:S60"/>
    <mergeCell ref="C60:E60"/>
    <mergeCell ref="C61:G61"/>
    <mergeCell ref="H61:S61"/>
    <mergeCell ref="W61:AG61"/>
    <mergeCell ref="AH61:AR61"/>
    <mergeCell ref="BQ70:CA70"/>
    <mergeCell ref="CB70:CL70"/>
    <mergeCell ref="W74:AG74"/>
    <mergeCell ref="W75:AG75"/>
    <mergeCell ref="W76:AG76"/>
    <mergeCell ref="W77:AG77"/>
    <mergeCell ref="AH75:AR75"/>
    <mergeCell ref="AT75:BD75"/>
    <mergeCell ref="BE75:BO75"/>
    <mergeCell ref="BQ75:CA75"/>
    <mergeCell ref="CB75:CL75"/>
    <mergeCell ref="C76:G76"/>
    <mergeCell ref="H76:S76"/>
    <mergeCell ref="AH76:AR76"/>
    <mergeCell ref="AT76:BD76"/>
    <mergeCell ref="BE76:BO76"/>
    <mergeCell ref="BQ76:CA76"/>
    <mergeCell ref="CB76:CL76"/>
    <mergeCell ref="H73:S73"/>
    <mergeCell ref="W73:AG73"/>
    <mergeCell ref="C74:G74"/>
    <mergeCell ref="H74:S74"/>
    <mergeCell ref="AH74:AR74"/>
    <mergeCell ref="C75:G75"/>
    <mergeCell ref="H75:S75"/>
    <mergeCell ref="C78:G78"/>
    <mergeCell ref="H78:R78"/>
    <mergeCell ref="X78:AT78"/>
    <mergeCell ref="C77:G77"/>
    <mergeCell ref="H77:S77"/>
    <mergeCell ref="AH77:AR77"/>
    <mergeCell ref="AT77:BD77"/>
    <mergeCell ref="BE77:BO77"/>
    <mergeCell ref="BQ77:CA77"/>
    <mergeCell ref="CB77:CL77"/>
    <mergeCell ref="W70:AG70"/>
    <mergeCell ref="W71:AG71"/>
    <mergeCell ref="W72:AG72"/>
    <mergeCell ref="AT70:BD70"/>
    <mergeCell ref="AT71:BD71"/>
    <mergeCell ref="AT72:BD72"/>
    <mergeCell ref="AT74:BD74"/>
    <mergeCell ref="BE71:BO71"/>
    <mergeCell ref="BQ71:CA71"/>
    <mergeCell ref="CB71:CL71"/>
    <mergeCell ref="C69:G69"/>
    <mergeCell ref="C70:G70"/>
    <mergeCell ref="H70:S70"/>
    <mergeCell ref="AH70:AR70"/>
    <mergeCell ref="BE70:BO70"/>
    <mergeCell ref="C71:S71"/>
    <mergeCell ref="AH71:AR71"/>
    <mergeCell ref="AH73:AR73"/>
    <mergeCell ref="AT73:BD73"/>
    <mergeCell ref="BE74:BO74"/>
    <mergeCell ref="BQ72:CA72"/>
    <mergeCell ref="BQ73:CA73"/>
    <mergeCell ref="BQ74:CA74"/>
    <mergeCell ref="CB74:CL74"/>
    <mergeCell ref="C72:G72"/>
    <mergeCell ref="H72:S72"/>
    <mergeCell ref="AH72:AR72"/>
    <mergeCell ref="BE72:BO72"/>
    <mergeCell ref="CB72:CL72"/>
    <mergeCell ref="C73:G73"/>
    <mergeCell ref="BE73:BO73"/>
    <mergeCell ref="CB73:CL73"/>
    <mergeCell ref="F49:M49"/>
    <mergeCell ref="N49:P49"/>
    <mergeCell ref="Q49:S49"/>
    <mergeCell ref="X49:AT49"/>
    <mergeCell ref="AV49:BH49"/>
    <mergeCell ref="BI49:BU49"/>
    <mergeCell ref="BW49:CL49"/>
    <mergeCell ref="C49:E49"/>
    <mergeCell ref="C50:E50"/>
    <mergeCell ref="F50:M50"/>
    <mergeCell ref="N50:P50"/>
    <mergeCell ref="Q50:S50"/>
    <mergeCell ref="X50:AT50"/>
    <mergeCell ref="AV50:AY50"/>
    <mergeCell ref="AV51:AY51"/>
    <mergeCell ref="AZ51:BU51"/>
    <mergeCell ref="AZ50:BU50"/>
    <mergeCell ref="BW50:CL50"/>
    <mergeCell ref="F51:M51"/>
    <mergeCell ref="N51:P51"/>
    <mergeCell ref="Q51:S51"/>
    <mergeCell ref="X51:AT51"/>
    <mergeCell ref="BW51:CL51"/>
    <mergeCell ref="BI52:BU52"/>
    <mergeCell ref="BW52:CL52"/>
    <mergeCell ref="C51:E51"/>
    <mergeCell ref="C52:E52"/>
    <mergeCell ref="F52:M52"/>
    <mergeCell ref="N52:P52"/>
    <mergeCell ref="Q52:S52"/>
    <mergeCell ref="X52:AT52"/>
    <mergeCell ref="AV52:BH52"/>
    <mergeCell ref="AK57:AR57"/>
    <mergeCell ref="AT57:BD57"/>
    <mergeCell ref="BQ57:CA57"/>
    <mergeCell ref="CB57:CD57"/>
    <mergeCell ref="B53:T53"/>
    <mergeCell ref="B55:T55"/>
    <mergeCell ref="V55:CM55"/>
    <mergeCell ref="C57:G57"/>
    <mergeCell ref="H57:S57"/>
    <mergeCell ref="W57:AG57"/>
    <mergeCell ref="AH57:AJ57"/>
    <mergeCell ref="CE57:CL57"/>
    <mergeCell ref="BF42:BK42"/>
    <mergeCell ref="BL42:BU42"/>
    <mergeCell ref="BW42:CL42"/>
    <mergeCell ref="BW43:CL43"/>
    <mergeCell ref="AI42:AN42"/>
    <mergeCell ref="AO42:AQ42"/>
    <mergeCell ref="AR42:AU42"/>
    <mergeCell ref="AV42:AX42"/>
    <mergeCell ref="AY42:BA42"/>
    <mergeCell ref="BB42:BC42"/>
    <mergeCell ref="BD42:BE42"/>
    <mergeCell ref="Q44:S44"/>
    <mergeCell ref="X44:AT44"/>
    <mergeCell ref="AV44:BU44"/>
    <mergeCell ref="BW44:CL44"/>
    <mergeCell ref="X45:AT45"/>
    <mergeCell ref="AV45:AY45"/>
    <mergeCell ref="AZ45:BU45"/>
    <mergeCell ref="BW45:CL45"/>
    <mergeCell ref="C46:E46"/>
    <mergeCell ref="F46:S46"/>
    <mergeCell ref="X46:AT46"/>
    <mergeCell ref="AV46:BH46"/>
    <mergeCell ref="BI46:BU46"/>
    <mergeCell ref="BW46:CL46"/>
    <mergeCell ref="C47:E47"/>
    <mergeCell ref="F47:S47"/>
    <mergeCell ref="X47:AT47"/>
    <mergeCell ref="AV47:BH47"/>
    <mergeCell ref="BI47:BU47"/>
    <mergeCell ref="BW47:CL47"/>
    <mergeCell ref="C48:E48"/>
    <mergeCell ref="F48:M48"/>
    <mergeCell ref="N48:P48"/>
    <mergeCell ref="Q48:S48"/>
    <mergeCell ref="X48:AT48"/>
    <mergeCell ref="AV48:BH48"/>
    <mergeCell ref="BI48:BU48"/>
    <mergeCell ref="BW48:CL48"/>
    <mergeCell ref="BE58:BO58"/>
    <mergeCell ref="BQ58:CA58"/>
    <mergeCell ref="CB58:CL58"/>
    <mergeCell ref="H63:S63"/>
    <mergeCell ref="W63:AG63"/>
    <mergeCell ref="AH63:AR63"/>
    <mergeCell ref="AT63:BD63"/>
    <mergeCell ref="BE63:BO63"/>
    <mergeCell ref="BQ63:CA63"/>
    <mergeCell ref="CB63:CL63"/>
    <mergeCell ref="C63:G63"/>
    <mergeCell ref="C64:G64"/>
    <mergeCell ref="H64:S64"/>
    <mergeCell ref="W64:AG64"/>
    <mergeCell ref="AH64:AR64"/>
    <mergeCell ref="AT64:BD64"/>
    <mergeCell ref="BE64:BO64"/>
    <mergeCell ref="BQ64:CA64"/>
    <mergeCell ref="BQ65:CA65"/>
    <mergeCell ref="CB64:CL64"/>
    <mergeCell ref="H65:S65"/>
    <mergeCell ref="W65:AG65"/>
    <mergeCell ref="AH65:AR65"/>
    <mergeCell ref="AT65:BD65"/>
    <mergeCell ref="BE65:BO65"/>
    <mergeCell ref="CB65:CL65"/>
  </mergeCells>
  <conditionalFormatting sqref="AM34:AR34">
    <cfRule type="cellIs" dxfId="9" priority="1" operator="equal">
      <formula>"TRUE"</formula>
    </cfRule>
  </conditionalFormatting>
  <conditionalFormatting sqref="Q49:S52">
    <cfRule type="notContainsBlanks" dxfId="10" priority="2">
      <formula>LEN(TRIM(Q49))&gt;0</formula>
    </cfRule>
  </conditionalFormatting>
  <conditionalFormatting sqref="Q48:S48 Q50:S50 Q52:S52">
    <cfRule type="notContainsBlanks" dxfId="11" priority="3">
      <formula>LEN(TRIM(Q48))&gt;0</formula>
    </cfRule>
  </conditionalFormatting>
  <conditionalFormatting sqref="N48:N52">
    <cfRule type="containsText" dxfId="12" priority="4" operator="containsText" text="智力">
      <formula>NOT(ISERROR(SEARCH(("智力"),(N48))))</formula>
    </cfRule>
  </conditionalFormatting>
  <conditionalFormatting sqref="N48:N52">
    <cfRule type="containsText" dxfId="13" priority="5" operator="containsText" text="力量">
      <formula>NOT(ISERROR(SEARCH(("力量"),(N48))))</formula>
    </cfRule>
  </conditionalFormatting>
  <conditionalFormatting sqref="N48:N52">
    <cfRule type="containsText" dxfId="14" priority="6" operator="containsText" text="敏捷">
      <formula>NOT(ISERROR(SEARCH(("敏捷"),(N48))))</formula>
    </cfRule>
  </conditionalFormatting>
  <conditionalFormatting sqref="N48:N52">
    <cfRule type="containsText" dxfId="15" priority="7" operator="containsText" text="感知">
      <formula>NOT(ISERROR(SEARCH(("感知"),(N48))))</formula>
    </cfRule>
  </conditionalFormatting>
  <conditionalFormatting sqref="N48:N52">
    <cfRule type="containsText" dxfId="16" priority="8" operator="containsText" text="魅力">
      <formula>NOT(ISERROR(SEARCH(("魅力"),(N48))))</formula>
    </cfRule>
  </conditionalFormatting>
  <conditionalFormatting sqref="Q20:R20">
    <cfRule type="containsBlanks" dxfId="17" priority="9">
      <formula>LEN(TRIM(Q20))=0</formula>
    </cfRule>
  </conditionalFormatting>
  <conditionalFormatting sqref="C27:E44 C48:E52">
    <cfRule type="cellIs" dxfId="3" priority="10" operator="lessThan">
      <formula>0</formula>
    </cfRule>
  </conditionalFormatting>
  <conditionalFormatting sqref="J15:L20 AY27 CD27:CE27">
    <cfRule type="cellIs" dxfId="3" priority="11" operator="lessThan">
      <formula>0</formula>
    </cfRule>
  </conditionalFormatting>
  <conditionalFormatting sqref="W15:Y20">
    <cfRule type="cellIs" dxfId="3" priority="12" operator="lessThan">
      <formula>0</formula>
    </cfRule>
  </conditionalFormatting>
  <conditionalFormatting sqref="AB16:AB18">
    <cfRule type="colorScale" priority="13">
      <colorScale>
        <cfvo type="min"/>
        <cfvo type="max"/>
        <color rgb="FF57BB8A"/>
        <color rgb="FFFFFFFF"/>
      </colorScale>
    </cfRule>
  </conditionalFormatting>
  <conditionalFormatting sqref="AB16:AB18">
    <cfRule type="colorScale" priority="14">
      <colorScale>
        <cfvo type="min"/>
        <cfvo type="max"/>
        <color rgb="FF57BB8A"/>
        <color rgb="FFFFFFFF"/>
      </colorScale>
    </cfRule>
  </conditionalFormatting>
  <conditionalFormatting sqref="S15:V20">
    <cfRule type="notContainsBlanks" dxfId="7" priority="15">
      <formula>LEN(TRIM(S15))&gt;0</formula>
    </cfRule>
  </conditionalFormatting>
  <conditionalFormatting sqref="X27:AC28 AF27">
    <cfRule type="expression" dxfId="4" priority="16">
      <formula>"[&lt;0]"0";0"</formula>
    </cfRule>
  </conditionalFormatting>
  <conditionalFormatting sqref="C7:N7">
    <cfRule type="expression" dxfId="18" priority="17">
      <formula>Z22=1</formula>
    </cfRule>
  </conditionalFormatting>
  <conditionalFormatting sqref="AU16:AV20 AL20 AS20">
    <cfRule type="cellIs" dxfId="3" priority="18" operator="lessThan">
      <formula>0</formula>
    </cfRule>
  </conditionalFormatting>
  <conditionalFormatting sqref="AJ8 BO10 BT10">
    <cfRule type="cellIs" dxfId="19" priority="19" operator="equal">
      <formula>"PHB"</formula>
    </cfRule>
  </conditionalFormatting>
  <conditionalFormatting sqref="Z31:AA34">
    <cfRule type="cellIs" dxfId="20" priority="20" operator="equal">
      <formula>0</formula>
    </cfRule>
  </conditionalFormatting>
  <conditionalFormatting sqref="N27:S27 N29:S29 N31:S31 N33:S33 N35:S35 N37:S37 N39:S39 N41:S41 N43:S43 O15:P15 O17:P17 O19:P19">
    <cfRule type="notContainsBlanks" dxfId="11" priority="21">
      <formula>LEN(TRIM(N27))&gt;0</formula>
    </cfRule>
  </conditionalFormatting>
  <conditionalFormatting sqref="O16:P16 O18:P18 O20:P20 N28:S28 N30:S30 N32:S32 N34:S34 N36:S36 N38:S38 N40:S40 N42:S42 N44:S44 Q51:S51 Q52:S52">
    <cfRule type="notContainsBlanks" dxfId="10" priority="22">
      <formula>LEN(TRIM(O16))&gt;0</formula>
    </cfRule>
  </conditionalFormatting>
  <conditionalFormatting sqref="CG27:CI27">
    <cfRule type="cellIs" dxfId="11" priority="23" operator="equal">
      <formula>"TRUE"</formula>
    </cfRule>
  </conditionalFormatting>
  <conditionalFormatting sqref="CG28:CI28">
    <cfRule type="cellIs" dxfId="21" priority="24" operator="equal">
      <formula>"TRUE"</formula>
    </cfRule>
  </conditionalFormatting>
  <conditionalFormatting sqref="N27:P27">
    <cfRule type="cellIs" dxfId="22" priority="25" operator="equal">
      <formula>"½"</formula>
    </cfRule>
  </conditionalFormatting>
  <conditionalFormatting sqref="AJ8 BO10 BT10">
    <cfRule type="cellIs" dxfId="23" priority="26" operator="equal">
      <formula>"DMG"</formula>
    </cfRule>
  </conditionalFormatting>
  <conditionalFormatting sqref="AJ8 BO10 BT10">
    <cfRule type="cellIs" dxfId="24" priority="27" operator="equal">
      <formula>"FRHoF"</formula>
    </cfRule>
  </conditionalFormatting>
  <conditionalFormatting sqref="AJ8 BO10 BT10">
    <cfRule type="cellIs" dxfId="25" priority="28" operator="equal">
      <formula>"ABoH"</formula>
    </cfRule>
  </conditionalFormatting>
  <conditionalFormatting sqref="AJ8 BO10 BT10">
    <cfRule type="cellIs" dxfId="26" priority="29" operator="equal">
      <formula>"LFL"</formula>
    </cfRule>
  </conditionalFormatting>
  <conditionalFormatting sqref="AJ8 BO10 BT10">
    <cfRule type="cellIs" dxfId="27" priority="30" operator="equal">
      <formula>"EFotA"</formula>
    </cfRule>
  </conditionalFormatting>
  <conditionalFormatting sqref="AJ8 BO10 BT10">
    <cfRule type="cellIs" dxfId="28" priority="31" operator="equal">
      <formula>"VSS:PP"</formula>
    </cfRule>
  </conditionalFormatting>
  <conditionalFormatting sqref="AJ8 BO10 BT10">
    <cfRule type="cellIs" dxfId="29" priority="32" operator="equal">
      <formula>"GH"</formula>
    </cfRule>
  </conditionalFormatting>
  <conditionalFormatting sqref="AJ8 BO10 BT10">
    <cfRule type="cellIs" dxfId="30" priority="33" operator="equal">
      <formula>"TCM"</formula>
    </cfRule>
  </conditionalFormatting>
  <conditionalFormatting sqref="AJ8 BO10 BT10">
    <cfRule type="cellIs" dxfId="31" priority="34" operator="equal">
      <formula>"CbT"</formula>
    </cfRule>
  </conditionalFormatting>
  <conditionalFormatting sqref="AJ8 BO10 BT10">
    <cfRule type="cellIs" dxfId="32" priority="35" operator="equal">
      <formula>"OSW:HAP"</formula>
    </cfRule>
  </conditionalFormatting>
  <conditionalFormatting sqref="AJ8 BO10 BT10">
    <cfRule type="cellIs" dxfId="33" priority="36" operator="equal">
      <formula>"TGS1"</formula>
    </cfRule>
  </conditionalFormatting>
  <conditionalFormatting sqref="AJ8 BO10 BT10">
    <cfRule type="cellIs" dxfId="34" priority="37" operator="equal">
      <formula>"DDBD"</formula>
    </cfRule>
  </conditionalFormatting>
  <dataValidations>
    <dataValidation type="list" allowBlank="1" showErrorMessage="1" sqref="BX27">
      <formula1>"無,輕甲,中甲,重甲,法師"</formula1>
    </dataValidation>
    <dataValidation type="list" allowBlank="1" sqref="Y7">
      <formula1>'物種'!$A$2:$A$213</formula1>
    </dataValidation>
    <dataValidation type="list" allowBlank="1" showDropDown="1" showErrorMessage="1" sqref="CA2">
      <formula1>"里程碑,等級"</formula1>
    </dataValidation>
    <dataValidation type="list" allowBlank="1" sqref="CE57">
      <formula1>'索引資料'!$D$21:$D$32</formula1>
    </dataValidation>
    <dataValidation type="list" allowBlank="1" sqref="BX28">
      <formula1>"握持,卸下,無"</formula1>
    </dataValidation>
    <dataValidation type="list" allowBlank="1" sqref="I9">
      <formula1>"異怪,野獸,天界生物,構裝體,龍,元素,精類,邪魔,巨人,類人生物,怪獸,泥怪,植物 ,不死生物"</formula1>
    </dataValidation>
    <dataValidation type="list" allowBlank="1" showDropDown="1" sqref="AV46:AV49 BI46:BI49 AV52 BI52">
      <formula1>'專長'!$A$1:$A$206</formula1>
    </dataValidation>
    <dataValidation type="list" allowBlank="1" sqref="BI27:BI29">
      <formula1>"無,箭矢,弩矢,投石索彈丸,吹箭,現代彈藥,能量匣,砲彈,信號彈,霰彈,雷筒彈丸"</formula1>
    </dataValidation>
    <dataValidation type="list" allowBlank="1" sqref="AK57">
      <formula1>'索引資料'!$B$21:$B$32</formula1>
    </dataValidation>
    <dataValidation type="list" allowBlank="1" showDropDown="1" showErrorMessage="1" sqref="BP27:BP28 X37:X42">
      <formula1>"'+1,'+2,'+3"</formula1>
    </dataValidation>
    <dataValidation type="list" allowBlank="1" sqref="AT9">
      <formula1>"♂,♀,⚥,⚲"</formula1>
    </dataValidation>
    <dataValidation type="list" allowBlank="1" showErrorMessage="1" sqref="AB16:AB18">
      <formula1>'職業能力'!$A$1:$P$1</formula1>
    </dataValidation>
    <dataValidation type="list" allowBlank="1" sqref="BI31 BP31">
      <formula1>"荒野型態,引導神力,吟遊激勵,偷襲骰,聖療池,卓越骰,術法點,幸運點,狂暴,武藝,回氣,宿敵,功力"</formula1>
    </dataValidation>
    <dataValidation type="list" allowBlank="1" sqref="N27 N29 N31 N33 N35 N37 N39 N41 N43 Q48 Q50 Q52">
      <formula1>"●,½,x2"</formula1>
    </dataValidation>
    <dataValidation type="list" allowBlank="1" showDropDown="1" showErrorMessage="1" sqref="Q27:Q44">
      <formula1>"✓,🗴"</formula1>
    </dataValidation>
    <dataValidation type="list" allowBlank="1" showDropDown="1" showErrorMessage="1" sqref="O15:O20">
      <formula1>"✓,🗴"</formula1>
    </dataValidation>
    <dataValidation type="list" allowBlank="1" sqref="BH57">
      <formula1>'索引資料'!$C$21:$C$38</formula1>
    </dataValidation>
    <dataValidation type="list" allowBlank="1" showDropDown="1" sqref="AZ45">
      <formula1>'專長'!$A$2:$A$72</formula1>
    </dataValidation>
    <dataValidation type="list" allowBlank="1" sqref="Z37:Z42">
      <formula1>'武器&amp;護甲'!$A$2:$A$118</formula1>
    </dataValidation>
    <dataValidation type="list" allowBlank="1" sqref="BR27">
      <formula1>'武器&amp;護甲'!$J$2:$J$18</formula1>
    </dataValidation>
    <dataValidation type="list" allowBlank="1" sqref="AP7">
      <formula1>'索引資料'!$N$21:$N$30</formula1>
    </dataValidation>
    <dataValidation type="list" allowBlank="1" showDropDown="1" sqref="C9">
      <formula1>"超微型,微型,超小型,小型,中型,大型,超大型,巨型,超巨型"</formula1>
    </dataValidation>
    <dataValidation type="list" allowBlank="1" sqref="AY9">
      <formula1>'背景'!$A$2:$A$115</formula1>
    </dataValidation>
    <dataValidation type="list" allowBlank="1" showDropDown="1" sqref="AZ50:AZ51 AZ53:AZ54">
      <formula1>'專長'!$B$2:$B$102</formula1>
    </dataValidation>
    <dataValidation type="list" allowBlank="1" sqref="AZ7">
      <formula1>"守序善良LG,中立善良NG,混亂善良CG,守序中立LN,絕對中立TN,混亂中立CN,守序邪惡LE,中立邪惡NE,混亂邪惡CE"</formula1>
    </dataValidation>
    <dataValidation type="list" allowBlank="1" sqref="F48:F52">
      <formula1>'索引資料'!$L$41:$L$65</formula1>
    </dataValidation>
    <dataValidation type="list" allowBlank="1" showDropDown="1" sqref="AV37:AV42">
      <formula1>"鈍擊,穿刺,劈砍,酸蝕,寒冰,火焰,閃電,雷鳴,毒素,暗蝕,光耀,精神,力場"</formula1>
    </dataValidation>
    <dataValidation type="list" allowBlank="1" showDropDown="1" sqref="BW33:BW35">
      <formula1>'角色卡'!$C$15:$F$20</formula1>
    </dataValidation>
    <dataValidation type="list" allowBlank="1" showInputMessage="1" prompt="Click and enter a value from the list of items" sqref="N28 N30 N32 N34 N36 N38 N40 N42 N44 Q49 Q51">
      <formula1>"●,½,x2"</formula1>
    </dataValidation>
    <dataValidation type="list" allowBlank="1" sqref="AU31 BB31">
      <formula1>"荒野型態,引導神力,吟遊激勵,偷襲骰,聖療池,卓越骰,術法點,幸運點,狂暴,武藝,回氣,宿敵,氣"</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outlineLevelCol="1"/>
  <cols>
    <col collapsed="1" customWidth="1" min="1" max="1" width="3.0"/>
    <col customWidth="1" hidden="1" min="2" max="2" width="3.0" outlineLevel="1"/>
    <col customWidth="1" hidden="1" min="3" max="4" width="14.43" outlineLevel="1"/>
    <col customWidth="1" hidden="1" min="5" max="5" width="3.0" outlineLevel="1"/>
    <col customWidth="1" hidden="1" min="6" max="6" width="14.43" outlineLevel="1"/>
    <col customWidth="1" hidden="1" min="7" max="7" width="3.0" outlineLevel="1"/>
    <col collapsed="1" customWidth="1" min="8" max="8" width="3.0"/>
    <col customWidth="1" hidden="1" min="9" max="9" width="3.0" outlineLevel="1"/>
    <col customWidth="1" hidden="1" min="10" max="10" width="14.43" outlineLevel="1"/>
    <col customWidth="1" hidden="1" min="11" max="11" width="3.0" outlineLevel="1"/>
    <col customWidth="1" min="12" max="12" width="3.0"/>
    <col customWidth="1" min="13" max="13" width="3.0" outlineLevel="1"/>
    <col customWidth="1" min="14" max="14" width="14.43" outlineLevel="1"/>
    <col customWidth="1" min="15" max="15" width="3.0" outlineLevel="1"/>
    <col customWidth="1" min="16" max="16" width="3.0"/>
    <col customWidth="1" min="17" max="17" width="3.0" outlineLevel="1"/>
    <col customWidth="1" min="18" max="18" width="14.43" outlineLevel="1"/>
    <col customWidth="1" min="19" max="19" width="3.0" outlineLevel="1"/>
    <col customWidth="1" min="20" max="21" width="14.43" outlineLevel="1"/>
    <col customWidth="1" min="22" max="22" width="3.0" outlineLevel="1"/>
    <col customWidth="1" min="23" max="23" width="3.0"/>
    <col customWidth="1" min="24" max="24" width="3.0" outlineLevel="1"/>
    <col customWidth="1" min="25" max="26" width="14.43" outlineLevel="1"/>
    <col customWidth="1" min="27" max="27" width="3.0" outlineLevel="1"/>
    <col customWidth="1" min="28" max="28" width="14.43" outlineLevel="1"/>
    <col customWidth="1" min="29" max="29" width="3.0" outlineLevel="1"/>
    <col collapsed="1" customWidth="1" min="30" max="30" width="3.0"/>
    <col customWidth="1" hidden="1" min="31" max="31" width="3.0" outlineLevel="1"/>
    <col customWidth="1" hidden="1" min="32" max="32" width="14.43" outlineLevel="1"/>
    <col customWidth="1" hidden="1" min="33" max="33" width="3.0" outlineLevel="1"/>
    <col collapsed="1" customWidth="1" min="34" max="34" width="3.0"/>
    <col customWidth="1" hidden="1" min="35" max="35" width="3.0" outlineLevel="1"/>
    <col customWidth="1" hidden="1" min="36" max="37" width="14.43" outlineLevel="1"/>
    <col customWidth="1" hidden="1" min="38" max="38" width="3.0" outlineLevel="1"/>
    <col collapsed="1" customWidth="1" min="39" max="39" width="3.0"/>
    <col customWidth="1" hidden="1" min="40" max="40" width="3.0" outlineLevel="1"/>
    <col customWidth="1" hidden="1" min="41" max="42" width="14.43" outlineLevel="1"/>
    <col customWidth="1" hidden="1" min="43" max="43" width="3.0" outlineLevel="1"/>
    <col customWidth="1" hidden="1" min="44" max="44" width="14.43" outlineLevel="1"/>
    <col customWidth="1" hidden="1" min="45" max="45" width="3.0" outlineLevel="1"/>
    <col collapsed="1" customWidth="1" min="46" max="46" width="3.0"/>
    <col customWidth="1" hidden="1" min="47" max="47" width="3.0" outlineLevel="1"/>
    <col customWidth="1" hidden="1" min="48" max="49" width="14.43" outlineLevel="1"/>
    <col customWidth="1" hidden="1" min="50" max="50" width="3.0" outlineLevel="1"/>
    <col customWidth="1" min="51" max="51" width="3.0"/>
    <col customWidth="1" min="52" max="52" width="3.0" outlineLevel="1"/>
    <col customWidth="1" min="53" max="53" width="14.43" outlineLevel="1"/>
    <col customWidth="1" min="54" max="54" width="3.0" outlineLevel="1"/>
    <col customWidth="1" min="55" max="55" width="3.0"/>
    <col customWidth="1" min="56" max="56" width="3.0" outlineLevel="1"/>
    <col customWidth="1" min="57" max="57" width="14.43" outlineLevel="1"/>
    <col customWidth="1" min="58" max="58" width="3.0" outlineLevel="1"/>
    <col collapsed="1" customWidth="1" min="59" max="59" width="3.0"/>
    <col customWidth="1" hidden="1" min="60" max="60" width="3.0" outlineLevel="1"/>
    <col customWidth="1" hidden="1" min="61" max="61" width="14.43" outlineLevel="1"/>
    <col customWidth="1" hidden="1" min="62" max="62" width="3.0" outlineLevel="1"/>
    <col collapsed="1" customWidth="1" min="63" max="63" width="3.0"/>
    <col customWidth="1" hidden="1" min="64" max="64" width="3.0" outlineLevel="1"/>
    <col customWidth="1" hidden="1" min="65" max="65" width="14.43" outlineLevel="1"/>
    <col customWidth="1" hidden="1" min="66" max="66" width="3.0" outlineLevel="1"/>
    <col collapsed="1" customWidth="1" min="67" max="67" width="3.0"/>
    <col customWidth="1" hidden="1" min="68" max="68" width="3.0" outlineLevel="1"/>
    <col customWidth="1" hidden="1" min="69" max="70" width="14.43" outlineLevel="1"/>
    <col customWidth="1" hidden="1" min="71" max="71" width="3.0" outlineLevel="1"/>
    <col collapsed="1" customWidth="1" min="72" max="72" width="3.0"/>
    <col customWidth="1" hidden="1" min="73" max="73" width="3.0" outlineLevel="1"/>
    <col customWidth="1" hidden="1" min="74" max="75" width="14.43" outlineLevel="1"/>
    <col customWidth="1" hidden="1" min="76" max="76" width="3.0" outlineLevel="1"/>
  </cols>
  <sheetData>
    <row r="1" ht="15.0" customHeight="1">
      <c r="A1" s="778" t="s">
        <v>371</v>
      </c>
      <c r="B1" s="779"/>
      <c r="C1" s="779"/>
      <c r="D1" s="779"/>
      <c r="H1" s="778" t="s">
        <v>372</v>
      </c>
      <c r="L1" s="778" t="s">
        <v>373</v>
      </c>
      <c r="P1" s="778" t="s">
        <v>374</v>
      </c>
      <c r="W1" s="778" t="s">
        <v>375</v>
      </c>
      <c r="X1" s="779"/>
      <c r="AA1" s="779"/>
      <c r="AD1" s="778" t="s">
        <v>376</v>
      </c>
      <c r="AH1" s="778" t="s">
        <v>377</v>
      </c>
      <c r="AM1" s="778" t="s">
        <v>378</v>
      </c>
      <c r="AT1" s="778" t="s">
        <v>379</v>
      </c>
      <c r="AU1" s="779"/>
      <c r="AV1" s="779"/>
      <c r="AW1" s="779"/>
      <c r="AX1" s="779"/>
      <c r="AY1" s="778" t="s">
        <v>380</v>
      </c>
      <c r="BC1" s="778" t="s">
        <v>381</v>
      </c>
      <c r="BG1" s="778" t="s">
        <v>265</v>
      </c>
      <c r="BK1" s="778" t="str">
        <f>IF('請先閱讀'!$F$34=true,"奇械師","")</f>
        <v>奇械師</v>
      </c>
      <c r="BO1" s="778" t="str">
        <f>IF('請先閱讀'!$O$29=true,"銃士","")</f>
        <v/>
      </c>
      <c r="BT1" s="778" t="str">
        <f>IF('請先閱讀'!$O$31=true,"怪物獵人","")</f>
        <v/>
      </c>
    </row>
    <row r="2">
      <c r="C2" s="780" t="s">
        <v>382</v>
      </c>
      <c r="D2" s="780" t="s">
        <v>320</v>
      </c>
      <c r="F2" s="781" t="s">
        <v>383</v>
      </c>
      <c r="J2" s="780" t="str">
        <f>IF('請先閱讀'!$O$31=true,"冒險者學院天賦","")</f>
        <v/>
      </c>
      <c r="N2" s="780" t="s">
        <v>384</v>
      </c>
      <c r="R2" s="780" t="s">
        <v>385</v>
      </c>
      <c r="T2" s="780" t="s">
        <v>386</v>
      </c>
      <c r="U2" s="780" t="s">
        <v>387</v>
      </c>
      <c r="Y2" s="780" t="s">
        <v>382</v>
      </c>
      <c r="Z2" s="780" t="s">
        <v>320</v>
      </c>
      <c r="AB2" s="780" t="s">
        <v>388</v>
      </c>
      <c r="AF2" s="780" t="s">
        <v>389</v>
      </c>
      <c r="AJ2" s="780" t="s">
        <v>382</v>
      </c>
      <c r="AK2" s="780" t="s">
        <v>320</v>
      </c>
      <c r="AO2" s="780" t="s">
        <v>382</v>
      </c>
      <c r="AP2" s="780" t="s">
        <v>320</v>
      </c>
      <c r="AR2" s="780" t="s">
        <v>390</v>
      </c>
      <c r="AV2" s="780" t="s">
        <v>382</v>
      </c>
      <c r="AW2" s="780" t="s">
        <v>320</v>
      </c>
      <c r="BA2" s="780" t="s">
        <v>391</v>
      </c>
      <c r="BE2" s="780" t="s">
        <v>392</v>
      </c>
      <c r="BI2" s="780" t="s">
        <v>393</v>
      </c>
      <c r="BM2" s="782" t="s">
        <v>394</v>
      </c>
      <c r="BQ2" s="780" t="s">
        <v>382</v>
      </c>
      <c r="BR2" s="780" t="s">
        <v>320</v>
      </c>
      <c r="BV2" s="782" t="s">
        <v>395</v>
      </c>
    </row>
    <row r="3">
      <c r="C3" s="783"/>
      <c r="D3" s="784" t="str">
        <f>IFNA(VLOOKUP(C3,'武器&amp;護甲'!$A$2:$H$58,8,FALSE),"")</f>
        <v/>
      </c>
      <c r="F3" s="785" t="s">
        <v>396</v>
      </c>
      <c r="J3" s="786"/>
      <c r="N3" s="785" t="s">
        <v>396</v>
      </c>
      <c r="R3" s="785" t="s">
        <v>396</v>
      </c>
      <c r="T3" s="785" t="s">
        <v>396</v>
      </c>
      <c r="U3" s="785"/>
      <c r="Y3" s="783"/>
      <c r="Z3" s="784" t="str">
        <f>IFNA(VLOOKUP(Y3,'武器&amp;護甲'!$A$2:$H$58,8,FALSE),"")</f>
        <v/>
      </c>
      <c r="AB3" s="784"/>
      <c r="AF3" s="787" t="s">
        <v>396</v>
      </c>
      <c r="AJ3" s="783"/>
      <c r="AK3" s="784" t="str">
        <f>IFNA(VLOOKUP(AJ3,'武器&amp;護甲'!$A$2:$H$58,8,FALSE),"")</f>
        <v/>
      </c>
      <c r="AO3" s="783"/>
      <c r="AP3" s="784" t="str">
        <f>IFNA(VLOOKUP(AO3,'武器&amp;護甲'!$A$2:$H$58,8,FALSE),"")</f>
        <v/>
      </c>
      <c r="AQ3" s="788"/>
      <c r="AR3" s="785"/>
      <c r="AV3" s="783"/>
      <c r="AW3" s="784" t="str">
        <f>IFNA(VLOOKUP(AV3,'武器&amp;護甲'!$A$2:$H$58,8,FALSE),"")</f>
        <v/>
      </c>
      <c r="BA3" s="784"/>
      <c r="BE3" s="784"/>
      <c r="BI3" s="785" t="s">
        <v>396</v>
      </c>
      <c r="BM3" s="789"/>
      <c r="BQ3" s="783"/>
      <c r="BR3" s="784" t="str">
        <f>IFNA(VLOOKUP(BQ3,'武器&amp;護甲'!$A$2:$H$58,8,FALSE),"")</f>
        <v/>
      </c>
      <c r="BV3" s="789"/>
    </row>
    <row r="4">
      <c r="C4" s="790"/>
      <c r="D4" s="791" t="str">
        <f>IFNA(VLOOKUP(C4,'武器&amp;護甲'!$A$2:$H$58,8,FALSE),"")</f>
        <v/>
      </c>
      <c r="J4" s="792"/>
      <c r="Y4" s="790"/>
      <c r="Z4" s="791" t="str">
        <f>IFNA(VLOOKUP(Y4,'武器&amp;護甲'!$A$2:$H$58,8,FALSE),"")</f>
        <v/>
      </c>
      <c r="AB4" s="791"/>
      <c r="AJ4" s="793"/>
      <c r="AK4" s="794" t="str">
        <f>IFNA(VLOOKUP(AJ4,'武器&amp;護甲'!$A$2:$H$58,8,FALSE),"")</f>
        <v/>
      </c>
      <c r="AO4" s="793"/>
      <c r="AP4" s="794" t="str">
        <f>IFNA(VLOOKUP(AO4,'武器&amp;護甲'!$A$2:$H$58,8,FALSE),"")</f>
        <v/>
      </c>
      <c r="AV4" s="793"/>
      <c r="AW4" s="794" t="str">
        <f>IFNA(VLOOKUP(AV4,'武器&amp;護甲'!$A$2:$H$58,8,FALSE),"")</f>
        <v/>
      </c>
      <c r="BA4" s="791"/>
      <c r="BE4" s="791"/>
      <c r="BM4" s="795"/>
      <c r="BQ4" s="790"/>
      <c r="BR4" s="791" t="str">
        <f>IFNA(VLOOKUP(BQ4,'武器&amp;護甲'!$A$2:$H$58,8,FALSE),"")</f>
        <v/>
      </c>
      <c r="BV4" s="795"/>
    </row>
    <row r="5">
      <c r="C5" s="783"/>
      <c r="D5" s="784" t="str">
        <f>IFNA(VLOOKUP(C5,'武器&amp;護甲'!$A$2:$H$58,8,FALSE),"")</f>
        <v/>
      </c>
      <c r="F5" s="780" t="str">
        <f>IF('請先閱讀'!$O$31=true,"憤怒亡靈宣洩","")</f>
        <v/>
      </c>
      <c r="J5" s="785"/>
      <c r="N5" s="780" t="s">
        <v>397</v>
      </c>
      <c r="R5" s="780" t="s">
        <v>398</v>
      </c>
      <c r="T5" s="780" t="s">
        <v>399</v>
      </c>
      <c r="Y5" s="783"/>
      <c r="Z5" s="784" t="str">
        <f>IFNA(VLOOKUP(Y5,'武器&amp;護甲'!$A$2:$H$58,8,FALSE),"")</f>
        <v/>
      </c>
      <c r="AB5" s="784"/>
      <c r="AJ5" s="788"/>
      <c r="AR5" s="780" t="s">
        <v>400</v>
      </c>
      <c r="BA5" s="784"/>
      <c r="BE5" s="784"/>
      <c r="BI5" s="780" t="str">
        <f>IF('請先閱讀'!$O$31=true,"惡魔學家善惡","")</f>
        <v/>
      </c>
      <c r="BM5" s="789"/>
      <c r="BQ5" s="783"/>
      <c r="BR5" s="784" t="str">
        <f>IFNA(VLOOKUP(BQ5,'武器&amp;護甲'!$A$2:$H$58,8,FALSE),"")</f>
        <v/>
      </c>
      <c r="BV5" s="789"/>
    </row>
    <row r="6">
      <c r="C6" s="793"/>
      <c r="D6" s="794" t="str">
        <f>IFNA(VLOOKUP(C6,'武器&amp;護甲'!$A$2:$H$58,8,FALSE),"")</f>
        <v/>
      </c>
      <c r="F6" s="785" t="s">
        <v>396</v>
      </c>
      <c r="N6" s="785" t="s">
        <v>396</v>
      </c>
      <c r="R6" s="786"/>
      <c r="T6" s="785" t="s">
        <v>396</v>
      </c>
      <c r="Y6" s="790"/>
      <c r="Z6" s="791" t="str">
        <f>IFNA(VLOOKUP(Y6,'武器&amp;護甲'!$A$2:$H$58,8,FALSE),"")</f>
        <v/>
      </c>
      <c r="AB6" s="791"/>
      <c r="AJ6" s="788"/>
      <c r="AO6" s="788"/>
      <c r="AP6" s="788"/>
      <c r="AQ6" s="788"/>
      <c r="AR6" s="785"/>
      <c r="AV6" s="780" t="str">
        <f>IF('請先閱讀'!$O$31=true,"厄運使者禍術","")</f>
        <v/>
      </c>
      <c r="BA6" s="791"/>
      <c r="BE6" s="791"/>
      <c r="BI6" s="785" t="s">
        <v>396</v>
      </c>
      <c r="BM6" s="795"/>
      <c r="BQ6" s="793"/>
      <c r="BR6" s="794" t="str">
        <f>IFNA(VLOOKUP(BQ6,'武器&amp;護甲'!$A$2:$H$58,8,FALSE),"")</f>
        <v/>
      </c>
      <c r="BV6" s="795"/>
    </row>
    <row r="7">
      <c r="R7" s="792"/>
      <c r="Y7" s="783"/>
      <c r="Z7" s="784" t="str">
        <f>IFNA(VLOOKUP(Y7,'武器&amp;護甲'!$A$2:$H$58,8,FALSE),"")</f>
        <v/>
      </c>
      <c r="AB7" s="784"/>
      <c r="AV7" s="784"/>
      <c r="BA7" s="784"/>
      <c r="BE7" s="796"/>
      <c r="BM7" s="789"/>
    </row>
    <row r="8">
      <c r="R8" s="786"/>
      <c r="T8" s="780" t="str">
        <f>IF('請先閱讀'!$O$31=true,"熵力結社災難","")</f>
        <v/>
      </c>
      <c r="Y8" s="793"/>
      <c r="Z8" s="794" t="str">
        <f>IFNA(VLOOKUP(Y8,'武器&amp;護甲'!$A$2:$H$58,8,FALSE),"")</f>
        <v/>
      </c>
      <c r="AB8" s="791"/>
      <c r="AR8" s="780" t="s">
        <v>401</v>
      </c>
      <c r="AV8" s="791"/>
      <c r="BA8" s="794"/>
      <c r="BE8" s="797"/>
      <c r="BM8" s="795"/>
      <c r="BQ8" s="782" t="s">
        <v>402</v>
      </c>
      <c r="BV8" s="780" t="s">
        <v>382</v>
      </c>
      <c r="BW8" s="780" t="s">
        <v>320</v>
      </c>
    </row>
    <row r="9">
      <c r="R9" s="791"/>
      <c r="T9" s="785" t="s">
        <v>396</v>
      </c>
      <c r="AB9" s="784"/>
      <c r="AO9" s="788"/>
      <c r="AP9" s="788"/>
      <c r="AQ9" s="788"/>
      <c r="AR9" s="785"/>
      <c r="AV9" s="784"/>
      <c r="BE9" s="798"/>
      <c r="BM9" s="789"/>
      <c r="BQ9" s="789"/>
      <c r="BV9" s="783"/>
      <c r="BW9" s="784" t="str">
        <f>IFNA(VLOOKUP(BV9,'武器&amp;護甲'!$A$2:$H$58,8,FALSE),"")</f>
        <v/>
      </c>
    </row>
    <row r="10">
      <c r="R10" s="786"/>
      <c r="T10" s="788"/>
      <c r="Y10" s="780" t="str">
        <f>IF('請先閱讀'!$O$31=true,"活體坩堝化合物","")</f>
        <v/>
      </c>
      <c r="AB10" s="791"/>
      <c r="AV10" s="791"/>
      <c r="BA10" s="780" t="str">
        <f>IF('請先閱讀'!$O$31=true,"悲慘血脈詛咒","")</f>
        <v/>
      </c>
      <c r="BE10" s="799"/>
      <c r="BM10" s="800"/>
      <c r="BQ10" s="795"/>
      <c r="BV10" s="790"/>
      <c r="BW10" s="791" t="str">
        <f>IFNA(VLOOKUP(BV10,'武器&amp;護甲'!$A$2:$H$58,8,FALSE),"")</f>
        <v/>
      </c>
    </row>
    <row r="11">
      <c r="R11" s="791"/>
      <c r="Y11" s="784"/>
      <c r="AB11" s="787"/>
      <c r="AV11" s="787"/>
      <c r="BA11" s="785" t="s">
        <v>396</v>
      </c>
      <c r="BE11" s="798"/>
      <c r="BQ11" s="789"/>
      <c r="BV11" s="783"/>
      <c r="BW11" s="784" t="str">
        <f>IFNA(VLOOKUP(BV11,'武器&amp;護甲'!$A$2:$H$58,8,FALSE),"")</f>
        <v/>
      </c>
    </row>
    <row r="12">
      <c r="R12" s="786"/>
      <c r="Y12" s="791"/>
      <c r="BE12" s="801"/>
      <c r="BQ12" s="800"/>
      <c r="BV12" s="790"/>
      <c r="BW12" s="791" t="str">
        <f>IFNA(VLOOKUP(BV12,'武器&amp;護甲'!$A$2:$H$58,8,FALSE),"")</f>
        <v/>
      </c>
    </row>
    <row r="13">
      <c r="R13" s="794"/>
      <c r="Y13" s="784"/>
      <c r="BV13" s="785"/>
      <c r="BW13" s="787" t="str">
        <f>IFNA(VLOOKUP(BV13,'武器&amp;護甲'!$A$2:$H$58,8,FALSE),"")</f>
        <v/>
      </c>
    </row>
    <row r="14">
      <c r="Y14" s="791"/>
      <c r="BE14" s="780" t="str">
        <f>IF('請先閱讀'!$O$31=true,"宇宙寄生體肉體","")</f>
        <v/>
      </c>
    </row>
    <row r="15">
      <c r="B15" s="779"/>
      <c r="C15" s="779"/>
      <c r="D15" s="779"/>
      <c r="R15" s="780" t="str">
        <f>IF(R$2&gt;=7,"元素狂怒","")</f>
        <v>元素狂怒</v>
      </c>
      <c r="X15" s="779"/>
      <c r="Y15" s="784"/>
      <c r="AA15" s="779"/>
      <c r="AU15" s="779"/>
      <c r="AV15" s="779"/>
      <c r="AW15" s="779"/>
      <c r="AX15" s="779"/>
      <c r="BE15" s="784"/>
    </row>
    <row r="16">
      <c r="R16" s="785" t="s">
        <v>396</v>
      </c>
      <c r="Y16" s="794"/>
      <c r="BE16" s="791"/>
    </row>
    <row r="17">
      <c r="BE17" s="784"/>
    </row>
    <row r="18">
      <c r="BE18" s="791"/>
    </row>
    <row r="19">
      <c r="BE19" s="784"/>
    </row>
    <row r="20">
      <c r="BE20" s="794"/>
    </row>
    <row r="29">
      <c r="B29" s="779"/>
      <c r="C29" s="779"/>
      <c r="D29" s="779"/>
      <c r="X29" s="779"/>
      <c r="AA29" s="779"/>
      <c r="AU29" s="779"/>
      <c r="AV29" s="779"/>
      <c r="AW29" s="779"/>
      <c r="AX29" s="779"/>
    </row>
    <row r="30">
      <c r="B30" s="779"/>
      <c r="C30" s="779"/>
      <c r="D30" s="779"/>
      <c r="X30" s="779"/>
      <c r="AA30" s="779"/>
      <c r="AU30" s="779"/>
      <c r="AV30" s="779"/>
      <c r="AW30" s="779"/>
      <c r="AX30" s="779"/>
    </row>
    <row r="31">
      <c r="B31" s="779"/>
      <c r="C31" s="779"/>
      <c r="D31" s="779"/>
      <c r="X31" s="779"/>
      <c r="AA31" s="779"/>
      <c r="AU31" s="779"/>
      <c r="AV31" s="779"/>
      <c r="AW31" s="779"/>
      <c r="AX31" s="779"/>
    </row>
    <row r="32">
      <c r="B32" s="779"/>
      <c r="C32" s="779"/>
      <c r="D32" s="779"/>
      <c r="X32" s="779"/>
      <c r="AA32" s="779"/>
      <c r="AU32" s="779"/>
      <c r="AV32" s="779"/>
      <c r="AW32" s="779"/>
      <c r="AX32" s="779"/>
    </row>
    <row r="33">
      <c r="B33" s="779"/>
      <c r="C33" s="779"/>
      <c r="D33" s="779"/>
      <c r="X33" s="779"/>
      <c r="AA33" s="779"/>
      <c r="AU33" s="779"/>
      <c r="AV33" s="779"/>
      <c r="AW33" s="779"/>
      <c r="AX33" s="779"/>
    </row>
    <row r="34">
      <c r="B34" s="779"/>
      <c r="C34" s="779"/>
      <c r="D34" s="779"/>
      <c r="X34" s="779"/>
      <c r="AA34" s="779"/>
      <c r="AU34" s="779"/>
      <c r="AV34" s="779"/>
      <c r="AW34" s="779"/>
      <c r="AX34" s="779"/>
    </row>
    <row r="35">
      <c r="B35" s="779"/>
      <c r="C35" s="779"/>
      <c r="D35" s="779"/>
      <c r="X35" s="779"/>
      <c r="AA35" s="779"/>
      <c r="AU35" s="779"/>
      <c r="AV35" s="779"/>
      <c r="AW35" s="779"/>
      <c r="AX35" s="779"/>
    </row>
    <row r="36">
      <c r="B36" s="779"/>
      <c r="C36" s="779"/>
      <c r="D36" s="779"/>
      <c r="X36" s="779"/>
      <c r="AA36" s="779"/>
      <c r="AU36" s="779"/>
      <c r="AV36" s="779"/>
      <c r="AW36" s="779"/>
      <c r="AX36" s="779"/>
    </row>
    <row r="37">
      <c r="B37" s="779"/>
      <c r="C37" s="779"/>
      <c r="D37" s="779"/>
      <c r="X37" s="779"/>
      <c r="AA37" s="779"/>
      <c r="AU37" s="779"/>
      <c r="AV37" s="779"/>
      <c r="AW37" s="779"/>
      <c r="AX37" s="779"/>
    </row>
    <row r="38">
      <c r="B38" s="779"/>
      <c r="C38" s="779"/>
      <c r="D38" s="779"/>
      <c r="X38" s="779"/>
      <c r="AA38" s="779"/>
      <c r="AU38" s="779"/>
      <c r="AV38" s="779"/>
      <c r="AW38" s="779"/>
      <c r="AX38" s="779"/>
    </row>
    <row r="39">
      <c r="B39" s="779"/>
      <c r="C39" s="779"/>
      <c r="D39" s="779"/>
      <c r="X39" s="779"/>
      <c r="AA39" s="779"/>
      <c r="AU39" s="779"/>
      <c r="AV39" s="779"/>
      <c r="AW39" s="779"/>
      <c r="AX39" s="779"/>
    </row>
    <row r="40">
      <c r="B40" s="779"/>
      <c r="C40" s="779"/>
      <c r="D40" s="779"/>
      <c r="X40" s="779"/>
      <c r="AA40" s="779"/>
      <c r="AU40" s="779"/>
      <c r="AV40" s="779"/>
      <c r="AW40" s="779"/>
      <c r="AX40" s="779"/>
    </row>
    <row r="41">
      <c r="B41" s="779"/>
      <c r="C41" s="779"/>
      <c r="D41" s="779"/>
      <c r="X41" s="779"/>
      <c r="AA41" s="779"/>
      <c r="AU41" s="779"/>
      <c r="AV41" s="779"/>
      <c r="AW41" s="779"/>
      <c r="AX41" s="779"/>
    </row>
    <row r="42">
      <c r="B42" s="779"/>
      <c r="C42" s="779"/>
      <c r="D42" s="779"/>
      <c r="X42" s="779"/>
      <c r="AA42" s="779"/>
      <c r="AU42" s="779"/>
      <c r="AV42" s="779"/>
      <c r="AW42" s="779"/>
      <c r="AX42" s="779"/>
    </row>
    <row r="43">
      <c r="B43" s="779"/>
      <c r="C43" s="779"/>
      <c r="D43" s="779"/>
      <c r="X43" s="779"/>
      <c r="AA43" s="779"/>
      <c r="AU43" s="779"/>
      <c r="AV43" s="779"/>
      <c r="AW43" s="779"/>
      <c r="AX43" s="779"/>
    </row>
    <row r="44">
      <c r="B44" s="779"/>
      <c r="C44" s="779"/>
      <c r="D44" s="779"/>
      <c r="X44" s="779"/>
      <c r="AA44" s="779"/>
      <c r="AU44" s="779"/>
      <c r="AV44" s="779"/>
      <c r="AW44" s="779"/>
      <c r="AX44" s="779"/>
    </row>
    <row r="45">
      <c r="B45" s="779"/>
      <c r="C45" s="779"/>
      <c r="D45" s="779"/>
      <c r="X45" s="779"/>
      <c r="AA45" s="779"/>
      <c r="AU45" s="779"/>
      <c r="AV45" s="779"/>
      <c r="AW45" s="779"/>
      <c r="AX45" s="779"/>
    </row>
    <row r="46">
      <c r="B46" s="779"/>
      <c r="C46" s="779"/>
      <c r="D46" s="779"/>
      <c r="X46" s="779"/>
      <c r="AA46" s="779"/>
      <c r="AU46" s="779"/>
      <c r="AV46" s="779"/>
      <c r="AW46" s="779"/>
      <c r="AX46" s="779"/>
    </row>
    <row r="47">
      <c r="B47" s="779"/>
      <c r="C47" s="779"/>
      <c r="D47" s="779"/>
      <c r="X47" s="779"/>
      <c r="AA47" s="779"/>
      <c r="AU47" s="779"/>
      <c r="AV47" s="779"/>
      <c r="AW47" s="779"/>
      <c r="AX47" s="779"/>
    </row>
    <row r="48">
      <c r="B48" s="779"/>
      <c r="C48" s="779"/>
      <c r="D48" s="779"/>
      <c r="X48" s="779"/>
      <c r="AA48" s="779"/>
      <c r="AU48" s="779"/>
      <c r="AV48" s="779"/>
      <c r="AW48" s="779"/>
      <c r="AX48" s="779"/>
    </row>
    <row r="49">
      <c r="B49" s="779"/>
      <c r="C49" s="779"/>
      <c r="D49" s="779"/>
      <c r="X49" s="779"/>
      <c r="AA49" s="779"/>
      <c r="AU49" s="779"/>
      <c r="AV49" s="779"/>
      <c r="AW49" s="779"/>
      <c r="AX49" s="779"/>
    </row>
    <row r="50">
      <c r="B50" s="779"/>
      <c r="C50" s="779"/>
      <c r="D50" s="779"/>
      <c r="X50" s="779"/>
      <c r="AA50" s="779"/>
      <c r="AU50" s="779"/>
      <c r="AV50" s="779"/>
      <c r="AW50" s="779"/>
      <c r="AX50" s="779"/>
    </row>
    <row r="51">
      <c r="B51" s="779"/>
      <c r="C51" s="779"/>
      <c r="D51" s="779"/>
      <c r="X51" s="779"/>
      <c r="AA51" s="779"/>
      <c r="AU51" s="779"/>
      <c r="AV51" s="779"/>
      <c r="AW51" s="779"/>
      <c r="AX51" s="779"/>
    </row>
    <row r="52">
      <c r="B52" s="779"/>
      <c r="C52" s="779"/>
      <c r="D52" s="779"/>
      <c r="X52" s="779"/>
      <c r="AA52" s="779"/>
      <c r="AU52" s="779"/>
      <c r="AV52" s="779"/>
      <c r="AW52" s="779"/>
      <c r="AX52" s="779"/>
    </row>
    <row r="53">
      <c r="B53" s="779"/>
      <c r="C53" s="779"/>
      <c r="D53" s="779"/>
      <c r="X53" s="779"/>
      <c r="AA53" s="779"/>
      <c r="AU53" s="779"/>
      <c r="AV53" s="779"/>
      <c r="AW53" s="779"/>
      <c r="AX53" s="779"/>
    </row>
    <row r="54">
      <c r="B54" s="779"/>
      <c r="C54" s="779"/>
      <c r="D54" s="779"/>
      <c r="X54" s="779"/>
      <c r="AA54" s="779"/>
      <c r="AU54" s="779"/>
      <c r="AV54" s="779"/>
      <c r="AW54" s="779"/>
      <c r="AX54" s="779"/>
    </row>
    <row r="55">
      <c r="B55" s="779"/>
      <c r="C55" s="779"/>
      <c r="D55" s="779"/>
      <c r="X55" s="779"/>
      <c r="AA55" s="779"/>
      <c r="AU55" s="779"/>
      <c r="AV55" s="779"/>
      <c r="AW55" s="779"/>
      <c r="AX55" s="779"/>
    </row>
    <row r="56">
      <c r="B56" s="779"/>
      <c r="C56" s="779"/>
      <c r="D56" s="779"/>
      <c r="X56" s="779"/>
      <c r="AA56" s="779"/>
      <c r="AU56" s="779"/>
      <c r="AV56" s="779"/>
      <c r="AW56" s="779"/>
      <c r="AX56" s="779"/>
    </row>
    <row r="57">
      <c r="B57" s="779"/>
      <c r="C57" s="779"/>
      <c r="D57" s="779"/>
      <c r="X57" s="779"/>
      <c r="AA57" s="779"/>
      <c r="AU57" s="779"/>
      <c r="AV57" s="779"/>
      <c r="AW57" s="779"/>
      <c r="AX57" s="779"/>
    </row>
    <row r="58">
      <c r="B58" s="779"/>
      <c r="C58" s="779"/>
      <c r="D58" s="779"/>
      <c r="X58" s="779"/>
      <c r="AA58" s="779"/>
      <c r="AU58" s="779"/>
      <c r="AV58" s="779"/>
      <c r="AW58" s="779"/>
      <c r="AX58" s="779"/>
    </row>
    <row r="59">
      <c r="B59" s="779"/>
      <c r="C59" s="779"/>
      <c r="D59" s="779"/>
      <c r="X59" s="779"/>
      <c r="AA59" s="779"/>
      <c r="AU59" s="779"/>
      <c r="AV59" s="779"/>
      <c r="AW59" s="779"/>
      <c r="AX59" s="779"/>
    </row>
    <row r="60">
      <c r="B60" s="779"/>
      <c r="C60" s="779"/>
      <c r="D60" s="779"/>
      <c r="X60" s="779"/>
      <c r="AA60" s="779"/>
      <c r="AU60" s="779"/>
      <c r="AV60" s="779"/>
      <c r="AW60" s="779"/>
      <c r="AX60" s="779"/>
    </row>
    <row r="61">
      <c r="B61" s="779"/>
      <c r="C61" s="779"/>
      <c r="D61" s="779"/>
      <c r="X61" s="779"/>
      <c r="AA61" s="779"/>
      <c r="AU61" s="779"/>
      <c r="AV61" s="779"/>
      <c r="AW61" s="779"/>
      <c r="AX61" s="779"/>
    </row>
    <row r="62">
      <c r="B62" s="779"/>
      <c r="C62" s="779"/>
      <c r="D62" s="779"/>
      <c r="X62" s="779"/>
      <c r="AA62" s="779"/>
      <c r="AU62" s="779"/>
      <c r="AV62" s="779"/>
      <c r="AW62" s="779"/>
      <c r="AX62" s="779"/>
    </row>
    <row r="63">
      <c r="B63" s="779"/>
      <c r="C63" s="779"/>
      <c r="D63" s="779"/>
      <c r="X63" s="779"/>
      <c r="AA63" s="779"/>
      <c r="AU63" s="779"/>
      <c r="AV63" s="779"/>
      <c r="AW63" s="779"/>
      <c r="AX63" s="779"/>
    </row>
    <row r="64">
      <c r="B64" s="779"/>
      <c r="C64" s="779"/>
      <c r="D64" s="779"/>
      <c r="X64" s="779"/>
      <c r="AA64" s="779"/>
      <c r="AU64" s="779"/>
      <c r="AV64" s="779"/>
      <c r="AW64" s="779"/>
      <c r="AX64" s="779"/>
    </row>
    <row r="65">
      <c r="B65" s="779"/>
      <c r="C65" s="779"/>
      <c r="D65" s="779"/>
      <c r="X65" s="779"/>
      <c r="AA65" s="779"/>
      <c r="AU65" s="779"/>
      <c r="AV65" s="779"/>
      <c r="AW65" s="779"/>
      <c r="AX65" s="779"/>
    </row>
    <row r="66">
      <c r="B66" s="779"/>
      <c r="C66" s="779"/>
      <c r="D66" s="779"/>
      <c r="X66" s="779"/>
      <c r="AA66" s="779"/>
      <c r="AU66" s="779"/>
      <c r="AV66" s="779"/>
      <c r="AW66" s="779"/>
      <c r="AX66" s="779"/>
    </row>
    <row r="67">
      <c r="B67" s="779"/>
      <c r="C67" s="779"/>
      <c r="D67" s="779"/>
      <c r="X67" s="779"/>
      <c r="AA67" s="779"/>
      <c r="AU67" s="779"/>
      <c r="AV67" s="779"/>
      <c r="AW67" s="779"/>
      <c r="AX67" s="779"/>
    </row>
    <row r="68">
      <c r="B68" s="779"/>
      <c r="C68" s="779"/>
      <c r="D68" s="779"/>
      <c r="X68" s="779"/>
      <c r="AA68" s="779"/>
      <c r="AU68" s="779"/>
      <c r="AV68" s="779"/>
      <c r="AW68" s="779"/>
      <c r="AX68" s="779"/>
    </row>
    <row r="69">
      <c r="B69" s="779"/>
      <c r="C69" s="779"/>
      <c r="D69" s="779"/>
      <c r="X69" s="779"/>
      <c r="AA69" s="779"/>
      <c r="AU69" s="779"/>
      <c r="AV69" s="779"/>
      <c r="AW69" s="779"/>
      <c r="AX69" s="779"/>
    </row>
    <row r="70">
      <c r="B70" s="779"/>
      <c r="C70" s="779"/>
      <c r="D70" s="779"/>
      <c r="X70" s="779"/>
      <c r="AA70" s="779"/>
      <c r="AU70" s="779"/>
      <c r="AV70" s="779"/>
      <c r="AW70" s="779"/>
      <c r="AX70" s="779"/>
    </row>
    <row r="71">
      <c r="B71" s="779"/>
      <c r="C71" s="779"/>
      <c r="D71" s="779"/>
      <c r="X71" s="779"/>
      <c r="AA71" s="779"/>
      <c r="AU71" s="779"/>
      <c r="AV71" s="779"/>
      <c r="AW71" s="779"/>
      <c r="AX71" s="779"/>
    </row>
    <row r="72">
      <c r="B72" s="779"/>
      <c r="C72" s="779"/>
      <c r="D72" s="779"/>
      <c r="X72" s="779"/>
      <c r="AA72" s="779"/>
      <c r="AU72" s="779"/>
      <c r="AV72" s="779"/>
      <c r="AW72" s="779"/>
      <c r="AX72" s="779"/>
    </row>
    <row r="73">
      <c r="B73" s="779"/>
      <c r="C73" s="779"/>
      <c r="D73" s="779"/>
      <c r="X73" s="779"/>
      <c r="AA73" s="779"/>
      <c r="AU73" s="779"/>
      <c r="AV73" s="779"/>
      <c r="AW73" s="779"/>
      <c r="AX73" s="779"/>
    </row>
    <row r="74">
      <c r="B74" s="779"/>
      <c r="C74" s="779"/>
      <c r="D74" s="779"/>
      <c r="X74" s="779"/>
      <c r="AA74" s="779"/>
      <c r="AU74" s="779"/>
      <c r="AV74" s="779"/>
      <c r="AW74" s="779"/>
      <c r="AX74" s="779"/>
    </row>
    <row r="75">
      <c r="B75" s="779"/>
      <c r="C75" s="779"/>
      <c r="D75" s="779"/>
      <c r="X75" s="779"/>
      <c r="AA75" s="779"/>
      <c r="AU75" s="779"/>
      <c r="AV75" s="779"/>
      <c r="AW75" s="779"/>
      <c r="AX75" s="779"/>
    </row>
    <row r="76">
      <c r="B76" s="779"/>
      <c r="C76" s="779"/>
      <c r="D76" s="779"/>
      <c r="X76" s="779"/>
      <c r="AA76" s="779"/>
      <c r="AU76" s="779"/>
      <c r="AV76" s="779"/>
      <c r="AW76" s="779"/>
      <c r="AX76" s="779"/>
    </row>
    <row r="77">
      <c r="B77" s="779"/>
      <c r="C77" s="779"/>
      <c r="D77" s="779"/>
      <c r="X77" s="779"/>
      <c r="AA77" s="779"/>
      <c r="AU77" s="779"/>
      <c r="AV77" s="779"/>
      <c r="AW77" s="779"/>
      <c r="AX77" s="779"/>
    </row>
    <row r="78">
      <c r="B78" s="779"/>
      <c r="C78" s="779"/>
      <c r="D78" s="779"/>
      <c r="X78" s="779"/>
      <c r="AA78" s="779"/>
      <c r="AU78" s="779"/>
      <c r="AV78" s="779"/>
      <c r="AW78" s="779"/>
      <c r="AX78" s="779"/>
    </row>
    <row r="79">
      <c r="B79" s="779"/>
      <c r="C79" s="779"/>
      <c r="D79" s="779"/>
      <c r="X79" s="779"/>
      <c r="AA79" s="779"/>
      <c r="AU79" s="779"/>
      <c r="AV79" s="779"/>
      <c r="AW79" s="779"/>
      <c r="AX79" s="779"/>
    </row>
    <row r="80">
      <c r="B80" s="779"/>
      <c r="C80" s="779"/>
      <c r="D80" s="779"/>
      <c r="X80" s="779"/>
      <c r="AA80" s="779"/>
      <c r="AU80" s="779"/>
      <c r="AV80" s="779"/>
      <c r="AW80" s="779"/>
      <c r="AX80" s="779"/>
    </row>
    <row r="81">
      <c r="B81" s="779"/>
      <c r="C81" s="779"/>
      <c r="D81" s="779"/>
      <c r="X81" s="779"/>
      <c r="AA81" s="779"/>
      <c r="AU81" s="779"/>
      <c r="AV81" s="779"/>
      <c r="AW81" s="779"/>
      <c r="AX81" s="779"/>
    </row>
    <row r="82">
      <c r="B82" s="779"/>
      <c r="C82" s="779"/>
      <c r="D82" s="779"/>
      <c r="X82" s="779"/>
      <c r="AA82" s="779"/>
      <c r="AU82" s="779"/>
      <c r="AV82" s="779"/>
      <c r="AW82" s="779"/>
      <c r="AX82" s="779"/>
    </row>
    <row r="83">
      <c r="B83" s="779"/>
      <c r="C83" s="779"/>
      <c r="D83" s="779"/>
      <c r="X83" s="779"/>
      <c r="AA83" s="779"/>
      <c r="AU83" s="779"/>
      <c r="AV83" s="779"/>
      <c r="AW83" s="779"/>
      <c r="AX83" s="779"/>
    </row>
    <row r="84">
      <c r="B84" s="779"/>
      <c r="C84" s="779"/>
      <c r="D84" s="779"/>
      <c r="X84" s="779"/>
      <c r="AA84" s="779"/>
      <c r="AU84" s="779"/>
      <c r="AV84" s="779"/>
      <c r="AW84" s="779"/>
      <c r="AX84" s="779"/>
    </row>
    <row r="85">
      <c r="B85" s="779"/>
      <c r="C85" s="779"/>
      <c r="D85" s="779"/>
      <c r="X85" s="779"/>
      <c r="AA85" s="779"/>
      <c r="AU85" s="779"/>
      <c r="AV85" s="779"/>
      <c r="AW85" s="779"/>
      <c r="AX85" s="779"/>
    </row>
    <row r="86">
      <c r="B86" s="779"/>
      <c r="C86" s="779"/>
      <c r="D86" s="779"/>
      <c r="X86" s="779"/>
      <c r="AA86" s="779"/>
      <c r="AU86" s="779"/>
      <c r="AV86" s="779"/>
      <c r="AW86" s="779"/>
      <c r="AX86" s="779"/>
    </row>
    <row r="87">
      <c r="B87" s="779"/>
      <c r="C87" s="779"/>
      <c r="D87" s="779"/>
      <c r="X87" s="779"/>
      <c r="AA87" s="779"/>
      <c r="AU87" s="779"/>
      <c r="AV87" s="779"/>
      <c r="AW87" s="779"/>
      <c r="AX87" s="779"/>
    </row>
    <row r="88">
      <c r="B88" s="779"/>
      <c r="C88" s="779"/>
      <c r="D88" s="779"/>
      <c r="X88" s="779"/>
      <c r="AA88" s="779"/>
      <c r="AU88" s="779"/>
      <c r="AV88" s="779"/>
      <c r="AW88" s="779"/>
      <c r="AX88" s="779"/>
    </row>
    <row r="89">
      <c r="B89" s="779"/>
      <c r="C89" s="779"/>
      <c r="D89" s="779"/>
      <c r="X89" s="779"/>
      <c r="AA89" s="779"/>
      <c r="AU89" s="779"/>
      <c r="AV89" s="779"/>
      <c r="AW89" s="779"/>
      <c r="AX89" s="779"/>
    </row>
    <row r="90">
      <c r="B90" s="779"/>
      <c r="C90" s="779"/>
      <c r="D90" s="779"/>
      <c r="X90" s="779"/>
      <c r="AA90" s="779"/>
      <c r="AU90" s="779"/>
      <c r="AV90" s="779"/>
      <c r="AW90" s="779"/>
      <c r="AX90" s="779"/>
    </row>
    <row r="91">
      <c r="B91" s="779"/>
      <c r="C91" s="779"/>
      <c r="D91" s="779"/>
      <c r="X91" s="779"/>
      <c r="AA91" s="779"/>
      <c r="AU91" s="779"/>
      <c r="AV91" s="779"/>
      <c r="AW91" s="779"/>
      <c r="AX91" s="779"/>
    </row>
    <row r="92">
      <c r="B92" s="779"/>
      <c r="C92" s="779"/>
      <c r="D92" s="779"/>
      <c r="X92" s="779"/>
      <c r="AA92" s="779"/>
      <c r="AU92" s="779"/>
      <c r="AV92" s="779"/>
      <c r="AW92" s="779"/>
      <c r="AX92" s="779"/>
    </row>
    <row r="93">
      <c r="B93" s="779"/>
      <c r="C93" s="779"/>
      <c r="D93" s="779"/>
      <c r="X93" s="779"/>
      <c r="AA93" s="779"/>
      <c r="AU93" s="779"/>
      <c r="AV93" s="779"/>
      <c r="AW93" s="779"/>
      <c r="AX93" s="779"/>
    </row>
    <row r="94">
      <c r="B94" s="779"/>
      <c r="C94" s="779"/>
      <c r="D94" s="779"/>
      <c r="X94" s="779"/>
      <c r="AA94" s="779"/>
      <c r="AU94" s="779"/>
      <c r="AV94" s="779"/>
      <c r="AW94" s="779"/>
      <c r="AX94" s="779"/>
    </row>
    <row r="95">
      <c r="B95" s="779"/>
      <c r="C95" s="779"/>
      <c r="D95" s="779"/>
      <c r="X95" s="779"/>
      <c r="AA95" s="779"/>
      <c r="AU95" s="779"/>
      <c r="AV95" s="779"/>
      <c r="AW95" s="779"/>
      <c r="AX95" s="779"/>
    </row>
    <row r="96">
      <c r="B96" s="779"/>
      <c r="C96" s="779"/>
      <c r="D96" s="779"/>
      <c r="X96" s="779"/>
      <c r="AA96" s="779"/>
      <c r="AU96" s="779"/>
      <c r="AV96" s="779"/>
      <c r="AW96" s="779"/>
      <c r="AX96" s="779"/>
    </row>
    <row r="97">
      <c r="B97" s="779"/>
      <c r="C97" s="779"/>
      <c r="D97" s="779"/>
      <c r="X97" s="779"/>
      <c r="AA97" s="779"/>
      <c r="AU97" s="779"/>
      <c r="AV97" s="779"/>
      <c r="AW97" s="779"/>
      <c r="AX97" s="779"/>
    </row>
    <row r="98">
      <c r="B98" s="779"/>
      <c r="C98" s="779"/>
      <c r="D98" s="779"/>
      <c r="X98" s="779"/>
      <c r="AA98" s="779"/>
      <c r="AU98" s="779"/>
      <c r="AV98" s="779"/>
      <c r="AW98" s="779"/>
      <c r="AX98" s="779"/>
    </row>
    <row r="99">
      <c r="B99" s="779"/>
      <c r="C99" s="779"/>
      <c r="D99" s="779"/>
      <c r="X99" s="779"/>
      <c r="AA99" s="779"/>
      <c r="AU99" s="779"/>
      <c r="AV99" s="779"/>
      <c r="AW99" s="779"/>
      <c r="AX99" s="779"/>
    </row>
    <row r="100">
      <c r="B100" s="779"/>
      <c r="C100" s="779"/>
      <c r="D100" s="779"/>
      <c r="X100" s="779"/>
      <c r="AA100" s="779"/>
      <c r="AU100" s="779"/>
      <c r="AV100" s="779"/>
      <c r="AW100" s="779"/>
      <c r="AX100" s="779"/>
    </row>
    <row r="101">
      <c r="B101" s="779"/>
      <c r="C101" s="779"/>
      <c r="D101" s="779"/>
      <c r="X101" s="779"/>
      <c r="AA101" s="779"/>
      <c r="AU101" s="779"/>
      <c r="AV101" s="779"/>
      <c r="AW101" s="779"/>
      <c r="AX101" s="779"/>
    </row>
    <row r="102">
      <c r="B102" s="779"/>
      <c r="C102" s="779"/>
      <c r="D102" s="779"/>
      <c r="X102" s="779"/>
      <c r="AA102" s="779"/>
      <c r="AU102" s="779"/>
      <c r="AV102" s="779"/>
      <c r="AW102" s="779"/>
      <c r="AX102" s="779"/>
    </row>
    <row r="103">
      <c r="B103" s="779"/>
      <c r="C103" s="779"/>
      <c r="D103" s="779"/>
      <c r="X103" s="779"/>
      <c r="AA103" s="779"/>
      <c r="AU103" s="779"/>
      <c r="AV103" s="779"/>
      <c r="AW103" s="779"/>
      <c r="AX103" s="779"/>
    </row>
    <row r="104">
      <c r="B104" s="779"/>
      <c r="C104" s="779"/>
      <c r="D104" s="779"/>
      <c r="X104" s="779"/>
      <c r="AA104" s="779"/>
      <c r="AU104" s="779"/>
      <c r="AV104" s="779"/>
      <c r="AW104" s="779"/>
      <c r="AX104" s="779"/>
    </row>
    <row r="105">
      <c r="B105" s="779"/>
      <c r="C105" s="779"/>
      <c r="D105" s="779"/>
      <c r="X105" s="779"/>
      <c r="AA105" s="779"/>
      <c r="AU105" s="779"/>
      <c r="AV105" s="779"/>
      <c r="AW105" s="779"/>
      <c r="AX105" s="779"/>
    </row>
    <row r="106">
      <c r="B106" s="779"/>
      <c r="C106" s="779"/>
      <c r="D106" s="779"/>
      <c r="X106" s="779"/>
      <c r="AA106" s="779"/>
      <c r="AU106" s="779"/>
      <c r="AV106" s="779"/>
      <c r="AW106" s="779"/>
      <c r="AX106" s="779"/>
    </row>
    <row r="107">
      <c r="B107" s="779"/>
      <c r="C107" s="779"/>
      <c r="D107" s="779"/>
      <c r="X107" s="779"/>
      <c r="AA107" s="779"/>
      <c r="AU107" s="779"/>
      <c r="AV107" s="779"/>
      <c r="AW107" s="779"/>
      <c r="AX107" s="779"/>
    </row>
    <row r="108">
      <c r="B108" s="779"/>
      <c r="C108" s="779"/>
      <c r="D108" s="779"/>
      <c r="X108" s="779"/>
      <c r="AA108" s="779"/>
      <c r="AU108" s="779"/>
      <c r="AV108" s="779"/>
      <c r="AW108" s="779"/>
      <c r="AX108" s="779"/>
    </row>
    <row r="109">
      <c r="B109" s="779"/>
      <c r="C109" s="779"/>
      <c r="D109" s="779"/>
      <c r="X109" s="779"/>
      <c r="AA109" s="779"/>
      <c r="AU109" s="779"/>
      <c r="AV109" s="779"/>
      <c r="AW109" s="779"/>
      <c r="AX109" s="779"/>
    </row>
    <row r="110">
      <c r="B110" s="779"/>
      <c r="C110" s="779"/>
      <c r="D110" s="779"/>
      <c r="X110" s="779"/>
      <c r="AA110" s="779"/>
      <c r="AU110" s="779"/>
      <c r="AV110" s="779"/>
      <c r="AW110" s="779"/>
      <c r="AX110" s="779"/>
    </row>
    <row r="111">
      <c r="B111" s="779"/>
      <c r="C111" s="779"/>
      <c r="D111" s="779"/>
      <c r="X111" s="779"/>
      <c r="AA111" s="779"/>
      <c r="AU111" s="779"/>
      <c r="AV111" s="779"/>
      <c r="AW111" s="779"/>
      <c r="AX111" s="779"/>
    </row>
    <row r="112">
      <c r="B112" s="779"/>
      <c r="C112" s="779"/>
      <c r="D112" s="779"/>
      <c r="X112" s="779"/>
      <c r="AA112" s="779"/>
      <c r="AU112" s="779"/>
      <c r="AV112" s="779"/>
      <c r="AW112" s="779"/>
      <c r="AX112" s="779"/>
    </row>
    <row r="113">
      <c r="B113" s="779"/>
      <c r="C113" s="779"/>
      <c r="D113" s="779"/>
      <c r="X113" s="779"/>
      <c r="AA113" s="779"/>
      <c r="AU113" s="779"/>
      <c r="AV113" s="779"/>
      <c r="AW113" s="779"/>
      <c r="AX113" s="779"/>
    </row>
    <row r="114">
      <c r="B114" s="779"/>
      <c r="C114" s="779"/>
      <c r="D114" s="779"/>
      <c r="X114" s="779"/>
      <c r="AA114" s="779"/>
      <c r="AU114" s="779"/>
      <c r="AV114" s="779"/>
      <c r="AW114" s="779"/>
      <c r="AX114" s="779"/>
    </row>
    <row r="115">
      <c r="B115" s="779"/>
      <c r="C115" s="779"/>
      <c r="D115" s="779"/>
      <c r="X115" s="779"/>
      <c r="AA115" s="779"/>
      <c r="AU115" s="779"/>
      <c r="AV115" s="779"/>
      <c r="AW115" s="779"/>
      <c r="AX115" s="779"/>
    </row>
    <row r="116">
      <c r="B116" s="779"/>
      <c r="C116" s="779"/>
      <c r="D116" s="779"/>
      <c r="X116" s="779"/>
      <c r="AA116" s="779"/>
      <c r="AU116" s="779"/>
      <c r="AV116" s="779"/>
      <c r="AW116" s="779"/>
      <c r="AX116" s="779"/>
    </row>
    <row r="117">
      <c r="B117" s="779"/>
      <c r="C117" s="779"/>
      <c r="D117" s="779"/>
      <c r="X117" s="779"/>
      <c r="AA117" s="779"/>
      <c r="AU117" s="779"/>
      <c r="AV117" s="779"/>
      <c r="AW117" s="779"/>
      <c r="AX117" s="779"/>
    </row>
    <row r="118">
      <c r="B118" s="779"/>
      <c r="C118" s="779"/>
      <c r="D118" s="779"/>
      <c r="X118" s="779"/>
      <c r="AA118" s="779"/>
      <c r="AU118" s="779"/>
      <c r="AV118" s="779"/>
      <c r="AW118" s="779"/>
      <c r="AX118" s="779"/>
    </row>
    <row r="119">
      <c r="B119" s="779"/>
      <c r="C119" s="779"/>
      <c r="D119" s="779"/>
      <c r="X119" s="779"/>
      <c r="AA119" s="779"/>
      <c r="AU119" s="779"/>
      <c r="AV119" s="779"/>
      <c r="AW119" s="779"/>
      <c r="AX119" s="779"/>
    </row>
    <row r="120">
      <c r="B120" s="779"/>
      <c r="C120" s="779"/>
      <c r="D120" s="779"/>
      <c r="X120" s="779"/>
      <c r="AA120" s="779"/>
      <c r="AU120" s="779"/>
      <c r="AV120" s="779"/>
      <c r="AW120" s="779"/>
      <c r="AX120" s="779"/>
    </row>
    <row r="121">
      <c r="B121" s="779"/>
      <c r="C121" s="779"/>
      <c r="D121" s="779"/>
      <c r="X121" s="779"/>
      <c r="AA121" s="779"/>
      <c r="AU121" s="779"/>
      <c r="AV121" s="779"/>
      <c r="AW121" s="779"/>
      <c r="AX121" s="779"/>
    </row>
    <row r="122">
      <c r="B122" s="779"/>
      <c r="C122" s="779"/>
      <c r="D122" s="779"/>
      <c r="X122" s="779"/>
      <c r="AA122" s="779"/>
      <c r="AU122" s="779"/>
      <c r="AV122" s="779"/>
      <c r="AW122" s="779"/>
      <c r="AX122" s="779"/>
    </row>
    <row r="123">
      <c r="B123" s="779"/>
      <c r="C123" s="779"/>
      <c r="D123" s="779"/>
      <c r="X123" s="779"/>
      <c r="AA123" s="779"/>
      <c r="AU123" s="779"/>
      <c r="AV123" s="779"/>
      <c r="AW123" s="779"/>
      <c r="AX123" s="779"/>
    </row>
    <row r="124">
      <c r="B124" s="779"/>
      <c r="C124" s="779"/>
      <c r="D124" s="779"/>
      <c r="X124" s="779"/>
      <c r="AA124" s="779"/>
      <c r="AU124" s="779"/>
      <c r="AV124" s="779"/>
      <c r="AW124" s="779"/>
      <c r="AX124" s="779"/>
    </row>
    <row r="125">
      <c r="B125" s="779"/>
      <c r="C125" s="779"/>
      <c r="D125" s="779"/>
      <c r="X125" s="779"/>
      <c r="AA125" s="779"/>
      <c r="AU125" s="779"/>
      <c r="AV125" s="779"/>
      <c r="AW125" s="779"/>
      <c r="AX125" s="779"/>
    </row>
    <row r="126">
      <c r="B126" s="779"/>
      <c r="C126" s="779"/>
      <c r="D126" s="779"/>
      <c r="X126" s="779"/>
      <c r="AA126" s="779"/>
      <c r="AU126" s="779"/>
      <c r="AV126" s="779"/>
      <c r="AW126" s="779"/>
      <c r="AX126" s="779"/>
    </row>
    <row r="127">
      <c r="B127" s="779"/>
      <c r="C127" s="779"/>
      <c r="D127" s="779"/>
      <c r="X127" s="779"/>
      <c r="AA127" s="779"/>
      <c r="AU127" s="779"/>
      <c r="AV127" s="779"/>
      <c r="AW127" s="779"/>
      <c r="AX127" s="779"/>
    </row>
    <row r="128">
      <c r="B128" s="779"/>
      <c r="C128" s="779"/>
      <c r="D128" s="779"/>
      <c r="X128" s="779"/>
      <c r="AA128" s="779"/>
      <c r="AU128" s="779"/>
      <c r="AV128" s="779"/>
      <c r="AW128" s="779"/>
      <c r="AX128" s="779"/>
    </row>
    <row r="129">
      <c r="B129" s="779"/>
      <c r="C129" s="779"/>
      <c r="D129" s="779"/>
      <c r="X129" s="779"/>
      <c r="AA129" s="779"/>
      <c r="AU129" s="779"/>
      <c r="AV129" s="779"/>
      <c r="AW129" s="779"/>
      <c r="AX129" s="779"/>
    </row>
    <row r="130">
      <c r="B130" s="779"/>
      <c r="C130" s="779"/>
      <c r="D130" s="779"/>
      <c r="X130" s="779"/>
      <c r="AA130" s="779"/>
      <c r="AU130" s="779"/>
      <c r="AV130" s="779"/>
      <c r="AW130" s="779"/>
      <c r="AX130" s="779"/>
    </row>
    <row r="131">
      <c r="B131" s="779"/>
      <c r="C131" s="779"/>
      <c r="D131" s="779"/>
      <c r="X131" s="779"/>
      <c r="AA131" s="779"/>
      <c r="AU131" s="779"/>
      <c r="AV131" s="779"/>
      <c r="AW131" s="779"/>
      <c r="AX131" s="779"/>
    </row>
    <row r="132">
      <c r="B132" s="779"/>
      <c r="C132" s="779"/>
      <c r="D132" s="779"/>
      <c r="X132" s="779"/>
      <c r="AA132" s="779"/>
      <c r="AU132" s="779"/>
      <c r="AV132" s="779"/>
      <c r="AW132" s="779"/>
      <c r="AX132" s="779"/>
    </row>
    <row r="133">
      <c r="B133" s="779"/>
      <c r="C133" s="779"/>
      <c r="D133" s="779"/>
      <c r="X133" s="779"/>
      <c r="AA133" s="779"/>
      <c r="AU133" s="779"/>
      <c r="AV133" s="779"/>
      <c r="AW133" s="779"/>
      <c r="AX133" s="779"/>
    </row>
    <row r="134">
      <c r="B134" s="779"/>
      <c r="C134" s="779"/>
      <c r="D134" s="779"/>
      <c r="X134" s="779"/>
      <c r="AA134" s="779"/>
      <c r="AU134" s="779"/>
      <c r="AV134" s="779"/>
      <c r="AW134" s="779"/>
      <c r="AX134" s="779"/>
    </row>
    <row r="135">
      <c r="B135" s="779"/>
      <c r="C135" s="779"/>
      <c r="D135" s="779"/>
      <c r="X135" s="779"/>
      <c r="AA135" s="779"/>
      <c r="AU135" s="779"/>
      <c r="AV135" s="779"/>
      <c r="AW135" s="779"/>
      <c r="AX135" s="779"/>
    </row>
    <row r="136">
      <c r="B136" s="779"/>
      <c r="C136" s="779"/>
      <c r="D136" s="779"/>
      <c r="X136" s="779"/>
      <c r="AA136" s="779"/>
      <c r="AU136" s="779"/>
      <c r="AV136" s="779"/>
      <c r="AW136" s="779"/>
      <c r="AX136" s="779"/>
    </row>
    <row r="137">
      <c r="B137" s="779"/>
      <c r="C137" s="779"/>
      <c r="D137" s="779"/>
      <c r="X137" s="779"/>
      <c r="AA137" s="779"/>
      <c r="AU137" s="779"/>
      <c r="AV137" s="779"/>
      <c r="AW137" s="779"/>
      <c r="AX137" s="779"/>
    </row>
    <row r="138">
      <c r="B138" s="779"/>
      <c r="C138" s="779"/>
      <c r="D138" s="779"/>
      <c r="X138" s="779"/>
      <c r="AA138" s="779"/>
      <c r="AU138" s="779"/>
      <c r="AV138" s="779"/>
      <c r="AW138" s="779"/>
      <c r="AX138" s="779"/>
    </row>
    <row r="139">
      <c r="B139" s="779"/>
      <c r="C139" s="779"/>
      <c r="D139" s="779"/>
      <c r="X139" s="779"/>
      <c r="AA139" s="779"/>
      <c r="AU139" s="779"/>
      <c r="AV139" s="779"/>
      <c r="AW139" s="779"/>
      <c r="AX139" s="779"/>
    </row>
    <row r="140">
      <c r="B140" s="779"/>
      <c r="C140" s="779"/>
      <c r="D140" s="779"/>
      <c r="X140" s="779"/>
      <c r="AA140" s="779"/>
      <c r="AU140" s="779"/>
      <c r="AV140" s="779"/>
      <c r="AW140" s="779"/>
      <c r="AX140" s="779"/>
    </row>
    <row r="141">
      <c r="B141" s="779"/>
      <c r="C141" s="779"/>
      <c r="D141" s="779"/>
      <c r="X141" s="779"/>
      <c r="AA141" s="779"/>
      <c r="AU141" s="779"/>
      <c r="AV141" s="779"/>
      <c r="AW141" s="779"/>
      <c r="AX141" s="779"/>
    </row>
    <row r="142">
      <c r="B142" s="779"/>
      <c r="C142" s="779"/>
      <c r="D142" s="779"/>
      <c r="X142" s="779"/>
      <c r="AA142" s="779"/>
      <c r="AU142" s="779"/>
      <c r="AV142" s="779"/>
      <c r="AW142" s="779"/>
      <c r="AX142" s="779"/>
    </row>
    <row r="143">
      <c r="B143" s="779"/>
      <c r="C143" s="779"/>
      <c r="D143" s="779"/>
      <c r="X143" s="779"/>
      <c r="AA143" s="779"/>
      <c r="AU143" s="779"/>
      <c r="AV143" s="779"/>
      <c r="AW143" s="779"/>
      <c r="AX143" s="779"/>
    </row>
    <row r="144">
      <c r="B144" s="779"/>
      <c r="C144" s="779"/>
      <c r="D144" s="779"/>
      <c r="X144" s="779"/>
      <c r="AA144" s="779"/>
      <c r="AU144" s="779"/>
      <c r="AV144" s="779"/>
      <c r="AW144" s="779"/>
      <c r="AX144" s="779"/>
    </row>
    <row r="145">
      <c r="B145" s="779"/>
      <c r="C145" s="779"/>
      <c r="D145" s="779"/>
      <c r="X145" s="779"/>
      <c r="AA145" s="779"/>
      <c r="AU145" s="779"/>
      <c r="AV145" s="779"/>
      <c r="AW145" s="779"/>
      <c r="AX145" s="779"/>
    </row>
    <row r="146">
      <c r="B146" s="779"/>
      <c r="C146" s="779"/>
      <c r="D146" s="779"/>
      <c r="X146" s="779"/>
      <c r="AA146" s="779"/>
      <c r="AU146" s="779"/>
      <c r="AV146" s="779"/>
      <c r="AW146" s="779"/>
      <c r="AX146" s="779"/>
    </row>
    <row r="147">
      <c r="B147" s="779"/>
      <c r="C147" s="779"/>
      <c r="D147" s="779"/>
      <c r="X147" s="779"/>
      <c r="AA147" s="779"/>
      <c r="AU147" s="779"/>
      <c r="AV147" s="779"/>
      <c r="AW147" s="779"/>
      <c r="AX147" s="779"/>
    </row>
    <row r="148">
      <c r="B148" s="779"/>
      <c r="C148" s="779"/>
      <c r="D148" s="779"/>
      <c r="X148" s="779"/>
      <c r="AA148" s="779"/>
      <c r="AU148" s="779"/>
      <c r="AV148" s="779"/>
      <c r="AW148" s="779"/>
      <c r="AX148" s="779"/>
    </row>
    <row r="149">
      <c r="B149" s="779"/>
      <c r="C149" s="779"/>
      <c r="D149" s="779"/>
      <c r="X149" s="779"/>
      <c r="AA149" s="779"/>
      <c r="AU149" s="779"/>
      <c r="AV149" s="779"/>
      <c r="AW149" s="779"/>
      <c r="AX149" s="779"/>
    </row>
    <row r="150">
      <c r="B150" s="779"/>
      <c r="C150" s="779"/>
      <c r="D150" s="779"/>
      <c r="X150" s="779"/>
      <c r="AA150" s="779"/>
      <c r="AU150" s="779"/>
      <c r="AV150" s="779"/>
      <c r="AW150" s="779"/>
      <c r="AX150" s="779"/>
    </row>
    <row r="151">
      <c r="B151" s="779"/>
      <c r="C151" s="779"/>
      <c r="D151" s="779"/>
      <c r="X151" s="779"/>
      <c r="AA151" s="779"/>
      <c r="AU151" s="779"/>
      <c r="AV151" s="779"/>
      <c r="AW151" s="779"/>
      <c r="AX151" s="779"/>
    </row>
    <row r="152">
      <c r="B152" s="779"/>
      <c r="C152" s="779"/>
      <c r="D152" s="779"/>
      <c r="X152" s="779"/>
      <c r="AA152" s="779"/>
      <c r="AU152" s="779"/>
      <c r="AV152" s="779"/>
      <c r="AW152" s="779"/>
      <c r="AX152" s="779"/>
    </row>
    <row r="153">
      <c r="B153" s="779"/>
      <c r="C153" s="779"/>
      <c r="D153" s="779"/>
      <c r="X153" s="779"/>
      <c r="AA153" s="779"/>
      <c r="AU153" s="779"/>
      <c r="AV153" s="779"/>
      <c r="AW153" s="779"/>
      <c r="AX153" s="779"/>
    </row>
    <row r="154">
      <c r="B154" s="779"/>
      <c r="C154" s="779"/>
      <c r="D154" s="779"/>
      <c r="X154" s="779"/>
      <c r="AA154" s="779"/>
      <c r="AU154" s="779"/>
      <c r="AV154" s="779"/>
      <c r="AW154" s="779"/>
      <c r="AX154" s="779"/>
    </row>
    <row r="155">
      <c r="B155" s="779"/>
      <c r="C155" s="779"/>
      <c r="D155" s="779"/>
      <c r="X155" s="779"/>
      <c r="AA155" s="779"/>
      <c r="AU155" s="779"/>
      <c r="AV155" s="779"/>
      <c r="AW155" s="779"/>
      <c r="AX155" s="779"/>
    </row>
    <row r="156">
      <c r="B156" s="779"/>
      <c r="C156" s="779"/>
      <c r="D156" s="779"/>
      <c r="X156" s="779"/>
      <c r="AA156" s="779"/>
      <c r="AU156" s="779"/>
      <c r="AV156" s="779"/>
      <c r="AW156" s="779"/>
      <c r="AX156" s="779"/>
    </row>
    <row r="157">
      <c r="B157" s="779"/>
      <c r="C157" s="779"/>
      <c r="D157" s="779"/>
      <c r="X157" s="779"/>
      <c r="AA157" s="779"/>
      <c r="AU157" s="779"/>
      <c r="AV157" s="779"/>
      <c r="AW157" s="779"/>
      <c r="AX157" s="779"/>
    </row>
    <row r="158">
      <c r="B158" s="779"/>
      <c r="C158" s="779"/>
      <c r="D158" s="779"/>
      <c r="X158" s="779"/>
      <c r="AA158" s="779"/>
      <c r="AU158" s="779"/>
      <c r="AV158" s="779"/>
      <c r="AW158" s="779"/>
      <c r="AX158" s="779"/>
    </row>
    <row r="159">
      <c r="B159" s="779"/>
      <c r="C159" s="779"/>
      <c r="D159" s="779"/>
      <c r="X159" s="779"/>
      <c r="AA159" s="779"/>
      <c r="AU159" s="779"/>
      <c r="AV159" s="779"/>
      <c r="AW159" s="779"/>
      <c r="AX159" s="779"/>
    </row>
    <row r="160">
      <c r="B160" s="779"/>
      <c r="C160" s="779"/>
      <c r="D160" s="779"/>
      <c r="X160" s="779"/>
      <c r="AA160" s="779"/>
      <c r="AU160" s="779"/>
      <c r="AV160" s="779"/>
      <c r="AW160" s="779"/>
      <c r="AX160" s="779"/>
    </row>
    <row r="161">
      <c r="B161" s="779"/>
      <c r="C161" s="779"/>
      <c r="D161" s="779"/>
      <c r="X161" s="779"/>
      <c r="AA161" s="779"/>
      <c r="AU161" s="779"/>
      <c r="AV161" s="779"/>
      <c r="AW161" s="779"/>
      <c r="AX161" s="779"/>
    </row>
    <row r="162">
      <c r="B162" s="779"/>
      <c r="C162" s="779"/>
      <c r="D162" s="779"/>
      <c r="X162" s="779"/>
      <c r="AA162" s="779"/>
      <c r="AU162" s="779"/>
      <c r="AV162" s="779"/>
      <c r="AW162" s="779"/>
      <c r="AX162" s="779"/>
    </row>
    <row r="163">
      <c r="B163" s="779"/>
      <c r="C163" s="779"/>
      <c r="D163" s="779"/>
      <c r="X163" s="779"/>
      <c r="AA163" s="779"/>
      <c r="AU163" s="779"/>
      <c r="AV163" s="779"/>
      <c r="AW163" s="779"/>
      <c r="AX163" s="779"/>
    </row>
    <row r="164">
      <c r="B164" s="779"/>
      <c r="C164" s="779"/>
      <c r="D164" s="779"/>
      <c r="X164" s="779"/>
      <c r="AA164" s="779"/>
      <c r="AU164" s="779"/>
      <c r="AV164" s="779"/>
      <c r="AW164" s="779"/>
      <c r="AX164" s="779"/>
    </row>
    <row r="165">
      <c r="B165" s="779"/>
      <c r="C165" s="779"/>
      <c r="D165" s="779"/>
      <c r="X165" s="779"/>
      <c r="AA165" s="779"/>
      <c r="AU165" s="779"/>
      <c r="AV165" s="779"/>
      <c r="AW165" s="779"/>
      <c r="AX165" s="779"/>
    </row>
    <row r="166">
      <c r="B166" s="779"/>
      <c r="C166" s="779"/>
      <c r="D166" s="779"/>
      <c r="X166" s="779"/>
      <c r="AA166" s="779"/>
      <c r="AU166" s="779"/>
      <c r="AV166" s="779"/>
      <c r="AW166" s="779"/>
      <c r="AX166" s="779"/>
    </row>
    <row r="167">
      <c r="B167" s="779"/>
      <c r="C167" s="779"/>
      <c r="D167" s="779"/>
      <c r="X167" s="779"/>
      <c r="AA167" s="779"/>
      <c r="AU167" s="779"/>
      <c r="AV167" s="779"/>
      <c r="AW167" s="779"/>
      <c r="AX167" s="779"/>
    </row>
    <row r="168">
      <c r="B168" s="779"/>
      <c r="C168" s="779"/>
      <c r="D168" s="779"/>
      <c r="X168" s="779"/>
      <c r="AA168" s="779"/>
      <c r="AU168" s="779"/>
      <c r="AV168" s="779"/>
      <c r="AW168" s="779"/>
      <c r="AX168" s="779"/>
    </row>
    <row r="169">
      <c r="B169" s="779"/>
      <c r="C169" s="779"/>
      <c r="D169" s="779"/>
      <c r="X169" s="779"/>
      <c r="AA169" s="779"/>
      <c r="AU169" s="779"/>
      <c r="AV169" s="779"/>
      <c r="AW169" s="779"/>
      <c r="AX169" s="779"/>
    </row>
    <row r="170">
      <c r="B170" s="779"/>
      <c r="C170" s="779"/>
      <c r="D170" s="779"/>
      <c r="X170" s="779"/>
      <c r="AA170" s="779"/>
      <c r="AU170" s="779"/>
      <c r="AV170" s="779"/>
      <c r="AW170" s="779"/>
      <c r="AX170" s="779"/>
    </row>
    <row r="171">
      <c r="B171" s="779"/>
      <c r="C171" s="779"/>
      <c r="D171" s="779"/>
      <c r="X171" s="779"/>
      <c r="AA171" s="779"/>
      <c r="AU171" s="779"/>
      <c r="AV171" s="779"/>
      <c r="AW171" s="779"/>
      <c r="AX171" s="779"/>
    </row>
    <row r="172">
      <c r="B172" s="779"/>
      <c r="C172" s="779"/>
      <c r="D172" s="779"/>
      <c r="X172" s="779"/>
      <c r="AA172" s="779"/>
      <c r="AU172" s="779"/>
      <c r="AV172" s="779"/>
      <c r="AW172" s="779"/>
      <c r="AX172" s="779"/>
    </row>
    <row r="173">
      <c r="B173" s="779"/>
      <c r="C173" s="779"/>
      <c r="D173" s="779"/>
      <c r="X173" s="779"/>
      <c r="AA173" s="779"/>
      <c r="AU173" s="779"/>
      <c r="AV173" s="779"/>
      <c r="AW173" s="779"/>
      <c r="AX173" s="779"/>
    </row>
    <row r="174">
      <c r="B174" s="779"/>
      <c r="C174" s="779"/>
      <c r="D174" s="779"/>
      <c r="X174" s="779"/>
      <c r="AA174" s="779"/>
      <c r="AU174" s="779"/>
      <c r="AV174" s="779"/>
      <c r="AW174" s="779"/>
      <c r="AX174" s="779"/>
    </row>
    <row r="175">
      <c r="B175" s="779"/>
      <c r="C175" s="779"/>
      <c r="D175" s="779"/>
      <c r="X175" s="779"/>
      <c r="AA175" s="779"/>
      <c r="AU175" s="779"/>
      <c r="AV175" s="779"/>
      <c r="AW175" s="779"/>
      <c r="AX175" s="779"/>
    </row>
    <row r="176">
      <c r="B176" s="779"/>
      <c r="C176" s="779"/>
      <c r="D176" s="779"/>
      <c r="X176" s="779"/>
      <c r="AA176" s="779"/>
      <c r="AU176" s="779"/>
      <c r="AV176" s="779"/>
      <c r="AW176" s="779"/>
      <c r="AX176" s="779"/>
    </row>
    <row r="177">
      <c r="B177" s="779"/>
      <c r="C177" s="779"/>
      <c r="D177" s="779"/>
      <c r="X177" s="779"/>
      <c r="AA177" s="779"/>
      <c r="AU177" s="779"/>
      <c r="AV177" s="779"/>
      <c r="AW177" s="779"/>
      <c r="AX177" s="779"/>
    </row>
    <row r="178">
      <c r="B178" s="779"/>
      <c r="C178" s="779"/>
      <c r="D178" s="779"/>
      <c r="X178" s="779"/>
      <c r="AA178" s="779"/>
      <c r="AU178" s="779"/>
      <c r="AV178" s="779"/>
      <c r="AW178" s="779"/>
      <c r="AX178" s="779"/>
    </row>
    <row r="179">
      <c r="B179" s="779"/>
      <c r="C179" s="779"/>
      <c r="D179" s="779"/>
      <c r="X179" s="779"/>
      <c r="AA179" s="779"/>
      <c r="AU179" s="779"/>
      <c r="AV179" s="779"/>
      <c r="AW179" s="779"/>
      <c r="AX179" s="779"/>
    </row>
    <row r="180">
      <c r="B180" s="779"/>
      <c r="C180" s="779"/>
      <c r="D180" s="779"/>
      <c r="X180" s="779"/>
      <c r="AA180" s="779"/>
      <c r="AU180" s="779"/>
      <c r="AV180" s="779"/>
      <c r="AW180" s="779"/>
      <c r="AX180" s="779"/>
    </row>
    <row r="181">
      <c r="B181" s="779"/>
      <c r="C181" s="779"/>
      <c r="D181" s="779"/>
      <c r="X181" s="779"/>
      <c r="AA181" s="779"/>
      <c r="AU181" s="779"/>
      <c r="AV181" s="779"/>
      <c r="AW181" s="779"/>
      <c r="AX181" s="779"/>
    </row>
    <row r="182">
      <c r="B182" s="779"/>
      <c r="C182" s="779"/>
      <c r="D182" s="779"/>
      <c r="X182" s="779"/>
      <c r="AA182" s="779"/>
      <c r="AU182" s="779"/>
      <c r="AV182" s="779"/>
      <c r="AW182" s="779"/>
      <c r="AX182" s="779"/>
    </row>
    <row r="183">
      <c r="B183" s="779"/>
      <c r="C183" s="779"/>
      <c r="D183" s="779"/>
      <c r="X183" s="779"/>
      <c r="AA183" s="779"/>
      <c r="AU183" s="779"/>
      <c r="AV183" s="779"/>
      <c r="AW183" s="779"/>
      <c r="AX183" s="779"/>
    </row>
    <row r="184">
      <c r="B184" s="779"/>
      <c r="C184" s="779"/>
      <c r="D184" s="779"/>
      <c r="X184" s="779"/>
      <c r="AA184" s="779"/>
      <c r="AU184" s="779"/>
      <c r="AV184" s="779"/>
      <c r="AW184" s="779"/>
      <c r="AX184" s="779"/>
    </row>
    <row r="185">
      <c r="B185" s="779"/>
      <c r="C185" s="779"/>
      <c r="D185" s="779"/>
      <c r="X185" s="779"/>
      <c r="AA185" s="779"/>
      <c r="AU185" s="779"/>
      <c r="AV185" s="779"/>
      <c r="AW185" s="779"/>
      <c r="AX185" s="779"/>
    </row>
    <row r="186">
      <c r="B186" s="779"/>
      <c r="C186" s="779"/>
      <c r="D186" s="779"/>
      <c r="X186" s="779"/>
      <c r="AA186" s="779"/>
      <c r="AU186" s="779"/>
      <c r="AV186" s="779"/>
      <c r="AW186" s="779"/>
      <c r="AX186" s="779"/>
    </row>
    <row r="187">
      <c r="B187" s="779"/>
      <c r="C187" s="779"/>
      <c r="D187" s="779"/>
      <c r="X187" s="779"/>
      <c r="AA187" s="779"/>
      <c r="AU187" s="779"/>
      <c r="AV187" s="779"/>
      <c r="AW187" s="779"/>
      <c r="AX187" s="779"/>
    </row>
    <row r="188">
      <c r="B188" s="779"/>
      <c r="C188" s="779"/>
      <c r="D188" s="779"/>
      <c r="X188" s="779"/>
      <c r="AA188" s="779"/>
      <c r="AU188" s="779"/>
      <c r="AV188" s="779"/>
      <c r="AW188" s="779"/>
      <c r="AX188" s="779"/>
    </row>
    <row r="189">
      <c r="B189" s="779"/>
      <c r="C189" s="779"/>
      <c r="D189" s="779"/>
      <c r="X189" s="779"/>
      <c r="AA189" s="779"/>
      <c r="AU189" s="779"/>
      <c r="AV189" s="779"/>
      <c r="AW189" s="779"/>
      <c r="AX189" s="779"/>
    </row>
    <row r="190">
      <c r="B190" s="779"/>
      <c r="C190" s="779"/>
      <c r="D190" s="779"/>
      <c r="X190" s="779"/>
      <c r="AA190" s="779"/>
      <c r="AU190" s="779"/>
      <c r="AV190" s="779"/>
      <c r="AW190" s="779"/>
      <c r="AX190" s="779"/>
    </row>
    <row r="191">
      <c r="B191" s="779"/>
      <c r="C191" s="779"/>
      <c r="D191" s="779"/>
      <c r="X191" s="779"/>
      <c r="AA191" s="779"/>
      <c r="AU191" s="779"/>
      <c r="AV191" s="779"/>
      <c r="AW191" s="779"/>
      <c r="AX191" s="779"/>
    </row>
    <row r="192">
      <c r="B192" s="779"/>
      <c r="C192" s="779"/>
      <c r="D192" s="779"/>
      <c r="X192" s="779"/>
      <c r="AA192" s="779"/>
      <c r="AU192" s="779"/>
      <c r="AV192" s="779"/>
      <c r="AW192" s="779"/>
      <c r="AX192" s="779"/>
    </row>
    <row r="193">
      <c r="B193" s="779"/>
      <c r="C193" s="779"/>
      <c r="D193" s="779"/>
      <c r="X193" s="779"/>
      <c r="AA193" s="779"/>
      <c r="AU193" s="779"/>
      <c r="AV193" s="779"/>
      <c r="AW193" s="779"/>
      <c r="AX193" s="779"/>
    </row>
    <row r="194">
      <c r="B194" s="779"/>
      <c r="C194" s="779"/>
      <c r="D194" s="779"/>
      <c r="X194" s="779"/>
      <c r="AA194" s="779"/>
      <c r="AU194" s="779"/>
      <c r="AV194" s="779"/>
      <c r="AW194" s="779"/>
      <c r="AX194" s="779"/>
    </row>
    <row r="195">
      <c r="B195" s="779"/>
      <c r="C195" s="779"/>
      <c r="D195" s="779"/>
      <c r="X195" s="779"/>
      <c r="AA195" s="779"/>
      <c r="AU195" s="779"/>
      <c r="AV195" s="779"/>
      <c r="AW195" s="779"/>
      <c r="AX195" s="779"/>
    </row>
    <row r="196">
      <c r="B196" s="779"/>
      <c r="C196" s="779"/>
      <c r="D196" s="779"/>
      <c r="X196" s="779"/>
      <c r="AA196" s="779"/>
      <c r="AU196" s="779"/>
      <c r="AV196" s="779"/>
      <c r="AW196" s="779"/>
      <c r="AX196" s="779"/>
    </row>
    <row r="197">
      <c r="B197" s="779"/>
      <c r="C197" s="779"/>
      <c r="D197" s="779"/>
      <c r="X197" s="779"/>
      <c r="AA197" s="779"/>
      <c r="AU197" s="779"/>
      <c r="AV197" s="779"/>
      <c r="AW197" s="779"/>
      <c r="AX197" s="779"/>
    </row>
    <row r="198">
      <c r="B198" s="779"/>
      <c r="C198" s="779"/>
      <c r="D198" s="779"/>
      <c r="X198" s="779"/>
      <c r="AA198" s="779"/>
      <c r="AU198" s="779"/>
      <c r="AV198" s="779"/>
      <c r="AW198" s="779"/>
      <c r="AX198" s="779"/>
    </row>
    <row r="199">
      <c r="B199" s="779"/>
      <c r="C199" s="779"/>
      <c r="D199" s="779"/>
      <c r="X199" s="779"/>
      <c r="AA199" s="779"/>
      <c r="AU199" s="779"/>
      <c r="AV199" s="779"/>
      <c r="AW199" s="779"/>
      <c r="AX199" s="779"/>
    </row>
    <row r="200">
      <c r="B200" s="779"/>
      <c r="C200" s="779"/>
      <c r="D200" s="779"/>
      <c r="X200" s="779"/>
      <c r="AA200" s="779"/>
      <c r="AU200" s="779"/>
      <c r="AV200" s="779"/>
      <c r="AW200" s="779"/>
      <c r="AX200" s="779"/>
    </row>
    <row r="201">
      <c r="B201" s="779"/>
      <c r="C201" s="779"/>
      <c r="D201" s="779"/>
      <c r="X201" s="779"/>
      <c r="AA201" s="779"/>
      <c r="AU201" s="779"/>
      <c r="AV201" s="779"/>
      <c r="AW201" s="779"/>
      <c r="AX201" s="779"/>
    </row>
    <row r="202">
      <c r="B202" s="779"/>
      <c r="C202" s="779"/>
      <c r="D202" s="779"/>
      <c r="X202" s="779"/>
      <c r="AA202" s="779"/>
      <c r="AU202" s="779"/>
      <c r="AV202" s="779"/>
      <c r="AW202" s="779"/>
      <c r="AX202" s="779"/>
    </row>
    <row r="203">
      <c r="B203" s="779"/>
      <c r="C203" s="779"/>
      <c r="D203" s="779"/>
      <c r="X203" s="779"/>
      <c r="AA203" s="779"/>
      <c r="AU203" s="779"/>
      <c r="AV203" s="779"/>
      <c r="AW203" s="779"/>
      <c r="AX203" s="779"/>
    </row>
    <row r="204">
      <c r="B204" s="779"/>
      <c r="C204" s="779"/>
      <c r="D204" s="779"/>
      <c r="X204" s="779"/>
      <c r="AA204" s="779"/>
      <c r="AU204" s="779"/>
      <c r="AV204" s="779"/>
      <c r="AW204" s="779"/>
      <c r="AX204" s="779"/>
    </row>
    <row r="205">
      <c r="B205" s="779"/>
      <c r="C205" s="779"/>
      <c r="D205" s="779"/>
      <c r="X205" s="779"/>
      <c r="AA205" s="779"/>
      <c r="AU205" s="779"/>
      <c r="AV205" s="779"/>
      <c r="AW205" s="779"/>
      <c r="AX205" s="779"/>
    </row>
    <row r="206">
      <c r="B206" s="779"/>
      <c r="C206" s="779"/>
      <c r="D206" s="779"/>
      <c r="X206" s="779"/>
      <c r="AA206" s="779"/>
      <c r="AU206" s="779"/>
      <c r="AV206" s="779"/>
      <c r="AW206" s="779"/>
      <c r="AX206" s="779"/>
    </row>
    <row r="207">
      <c r="B207" s="779"/>
      <c r="C207" s="779"/>
      <c r="D207" s="779"/>
      <c r="X207" s="779"/>
      <c r="AA207" s="779"/>
      <c r="AU207" s="779"/>
      <c r="AV207" s="779"/>
      <c r="AW207" s="779"/>
      <c r="AX207" s="779"/>
    </row>
    <row r="208">
      <c r="B208" s="779"/>
      <c r="C208" s="779"/>
      <c r="D208" s="779"/>
      <c r="X208" s="779"/>
      <c r="AA208" s="779"/>
      <c r="AU208" s="779"/>
      <c r="AV208" s="779"/>
      <c r="AW208" s="779"/>
      <c r="AX208" s="779"/>
    </row>
    <row r="209">
      <c r="B209" s="779"/>
      <c r="C209" s="779"/>
      <c r="D209" s="779"/>
      <c r="X209" s="779"/>
      <c r="AA209" s="779"/>
      <c r="AU209" s="779"/>
      <c r="AV209" s="779"/>
      <c r="AW209" s="779"/>
      <c r="AX209" s="779"/>
    </row>
    <row r="210">
      <c r="B210" s="779"/>
      <c r="C210" s="779"/>
      <c r="D210" s="779"/>
      <c r="X210" s="779"/>
      <c r="AA210" s="779"/>
      <c r="AU210" s="779"/>
      <c r="AV210" s="779"/>
      <c r="AW210" s="779"/>
      <c r="AX210" s="779"/>
    </row>
    <row r="211">
      <c r="B211" s="779"/>
      <c r="C211" s="779"/>
      <c r="D211" s="779"/>
      <c r="X211" s="779"/>
      <c r="AA211" s="779"/>
      <c r="AU211" s="779"/>
      <c r="AV211" s="779"/>
      <c r="AW211" s="779"/>
      <c r="AX211" s="779"/>
    </row>
    <row r="212">
      <c r="B212" s="779"/>
      <c r="C212" s="779"/>
      <c r="D212" s="779"/>
      <c r="X212" s="779"/>
      <c r="AA212" s="779"/>
      <c r="AU212" s="779"/>
      <c r="AV212" s="779"/>
      <c r="AW212" s="779"/>
      <c r="AX212" s="779"/>
    </row>
    <row r="213">
      <c r="B213" s="779"/>
      <c r="C213" s="779"/>
      <c r="D213" s="779"/>
      <c r="X213" s="779"/>
      <c r="AA213" s="779"/>
      <c r="AU213" s="779"/>
      <c r="AV213" s="779"/>
      <c r="AW213" s="779"/>
      <c r="AX213" s="779"/>
    </row>
    <row r="214">
      <c r="B214" s="779"/>
      <c r="C214" s="779"/>
      <c r="D214" s="779"/>
      <c r="X214" s="779"/>
      <c r="AA214" s="779"/>
      <c r="AU214" s="779"/>
      <c r="AV214" s="779"/>
      <c r="AW214" s="779"/>
      <c r="AX214" s="779"/>
    </row>
    <row r="215">
      <c r="B215" s="779"/>
      <c r="C215" s="779"/>
      <c r="D215" s="779"/>
      <c r="X215" s="779"/>
      <c r="AA215" s="779"/>
      <c r="AU215" s="779"/>
      <c r="AV215" s="779"/>
      <c r="AW215" s="779"/>
      <c r="AX215" s="779"/>
    </row>
    <row r="216">
      <c r="B216" s="779"/>
      <c r="C216" s="779"/>
      <c r="D216" s="779"/>
      <c r="X216" s="779"/>
      <c r="AA216" s="779"/>
      <c r="AU216" s="779"/>
      <c r="AV216" s="779"/>
      <c r="AW216" s="779"/>
      <c r="AX216" s="779"/>
    </row>
    <row r="217">
      <c r="B217" s="779"/>
      <c r="C217" s="779"/>
      <c r="D217" s="779"/>
      <c r="X217" s="779"/>
      <c r="AA217" s="779"/>
      <c r="AU217" s="779"/>
      <c r="AV217" s="779"/>
      <c r="AW217" s="779"/>
      <c r="AX217" s="779"/>
    </row>
    <row r="218">
      <c r="B218" s="779"/>
      <c r="C218" s="779"/>
      <c r="D218" s="779"/>
      <c r="X218" s="779"/>
      <c r="AA218" s="779"/>
      <c r="AU218" s="779"/>
      <c r="AV218" s="779"/>
      <c r="AW218" s="779"/>
      <c r="AX218" s="779"/>
    </row>
    <row r="219">
      <c r="B219" s="779"/>
      <c r="C219" s="779"/>
      <c r="D219" s="779"/>
      <c r="X219" s="779"/>
      <c r="AA219" s="779"/>
      <c r="AU219" s="779"/>
      <c r="AV219" s="779"/>
      <c r="AW219" s="779"/>
      <c r="AX219" s="779"/>
    </row>
    <row r="220">
      <c r="B220" s="779"/>
      <c r="C220" s="779"/>
      <c r="D220" s="779"/>
      <c r="X220" s="779"/>
      <c r="AA220" s="779"/>
      <c r="AU220" s="779"/>
      <c r="AV220" s="779"/>
      <c r="AW220" s="779"/>
      <c r="AX220" s="779"/>
    </row>
    <row r="221">
      <c r="B221" s="779"/>
      <c r="C221" s="779"/>
      <c r="D221" s="779"/>
      <c r="X221" s="779"/>
      <c r="AA221" s="779"/>
      <c r="AU221" s="779"/>
      <c r="AV221" s="779"/>
      <c r="AW221" s="779"/>
      <c r="AX221" s="779"/>
    </row>
    <row r="222">
      <c r="B222" s="779"/>
      <c r="C222" s="779"/>
      <c r="D222" s="779"/>
      <c r="X222" s="779"/>
      <c r="AA222" s="779"/>
      <c r="AU222" s="779"/>
      <c r="AV222" s="779"/>
      <c r="AW222" s="779"/>
      <c r="AX222" s="779"/>
    </row>
    <row r="223">
      <c r="B223" s="779"/>
      <c r="C223" s="779"/>
      <c r="D223" s="779"/>
      <c r="X223" s="779"/>
      <c r="AA223" s="779"/>
      <c r="AU223" s="779"/>
      <c r="AV223" s="779"/>
      <c r="AW223" s="779"/>
      <c r="AX223" s="779"/>
    </row>
    <row r="224">
      <c r="B224" s="779"/>
      <c r="C224" s="779"/>
      <c r="D224" s="779"/>
      <c r="X224" s="779"/>
      <c r="AA224" s="779"/>
      <c r="AU224" s="779"/>
      <c r="AV224" s="779"/>
      <c r="AW224" s="779"/>
      <c r="AX224" s="779"/>
    </row>
    <row r="225">
      <c r="B225" s="779"/>
      <c r="C225" s="779"/>
      <c r="D225" s="779"/>
      <c r="X225" s="779"/>
      <c r="AA225" s="779"/>
      <c r="AU225" s="779"/>
      <c r="AV225" s="779"/>
      <c r="AW225" s="779"/>
      <c r="AX225" s="779"/>
    </row>
    <row r="226">
      <c r="B226" s="779"/>
      <c r="C226" s="779"/>
      <c r="D226" s="779"/>
      <c r="X226" s="779"/>
      <c r="AA226" s="779"/>
      <c r="AU226" s="779"/>
      <c r="AV226" s="779"/>
      <c r="AW226" s="779"/>
      <c r="AX226" s="779"/>
    </row>
    <row r="227">
      <c r="B227" s="779"/>
      <c r="C227" s="779"/>
      <c r="D227" s="779"/>
      <c r="X227" s="779"/>
      <c r="AA227" s="779"/>
      <c r="AU227" s="779"/>
      <c r="AV227" s="779"/>
      <c r="AW227" s="779"/>
      <c r="AX227" s="779"/>
    </row>
    <row r="228">
      <c r="B228" s="779"/>
      <c r="C228" s="779"/>
      <c r="D228" s="779"/>
      <c r="X228" s="779"/>
      <c r="AA228" s="779"/>
      <c r="AU228" s="779"/>
      <c r="AV228" s="779"/>
      <c r="AW228" s="779"/>
      <c r="AX228" s="779"/>
    </row>
    <row r="229">
      <c r="B229" s="779"/>
      <c r="C229" s="779"/>
      <c r="D229" s="779"/>
      <c r="X229" s="779"/>
      <c r="AA229" s="779"/>
      <c r="AU229" s="779"/>
      <c r="AV229" s="779"/>
      <c r="AW229" s="779"/>
      <c r="AX229" s="779"/>
    </row>
    <row r="230">
      <c r="B230" s="779"/>
      <c r="C230" s="779"/>
      <c r="D230" s="779"/>
      <c r="X230" s="779"/>
      <c r="AA230" s="779"/>
      <c r="AU230" s="779"/>
      <c r="AV230" s="779"/>
      <c r="AW230" s="779"/>
      <c r="AX230" s="779"/>
    </row>
    <row r="231">
      <c r="B231" s="779"/>
      <c r="C231" s="779"/>
      <c r="D231" s="779"/>
      <c r="X231" s="779"/>
      <c r="AA231" s="779"/>
      <c r="AU231" s="779"/>
      <c r="AV231" s="779"/>
      <c r="AW231" s="779"/>
      <c r="AX231" s="779"/>
    </row>
    <row r="232">
      <c r="B232" s="779"/>
      <c r="C232" s="779"/>
      <c r="D232" s="779"/>
      <c r="X232" s="779"/>
      <c r="AA232" s="779"/>
      <c r="AU232" s="779"/>
      <c r="AV232" s="779"/>
      <c r="AW232" s="779"/>
      <c r="AX232" s="779"/>
    </row>
    <row r="233">
      <c r="B233" s="779"/>
      <c r="C233" s="779"/>
      <c r="D233" s="779"/>
      <c r="X233" s="779"/>
      <c r="AA233" s="779"/>
      <c r="AU233" s="779"/>
      <c r="AV233" s="779"/>
      <c r="AW233" s="779"/>
      <c r="AX233" s="779"/>
    </row>
    <row r="234">
      <c r="B234" s="779"/>
      <c r="C234" s="779"/>
      <c r="D234" s="779"/>
      <c r="X234" s="779"/>
      <c r="AA234" s="779"/>
      <c r="AU234" s="779"/>
      <c r="AV234" s="779"/>
      <c r="AW234" s="779"/>
      <c r="AX234" s="779"/>
    </row>
    <row r="235">
      <c r="B235" s="779"/>
      <c r="C235" s="779"/>
      <c r="D235" s="779"/>
      <c r="X235" s="779"/>
      <c r="AA235" s="779"/>
      <c r="AU235" s="779"/>
      <c r="AV235" s="779"/>
      <c r="AW235" s="779"/>
      <c r="AX235" s="779"/>
    </row>
    <row r="236">
      <c r="B236" s="779"/>
      <c r="C236" s="779"/>
      <c r="D236" s="779"/>
      <c r="X236" s="779"/>
      <c r="AA236" s="779"/>
      <c r="AU236" s="779"/>
      <c r="AV236" s="779"/>
      <c r="AW236" s="779"/>
      <c r="AX236" s="779"/>
    </row>
    <row r="237">
      <c r="B237" s="779"/>
      <c r="C237" s="779"/>
      <c r="D237" s="779"/>
      <c r="X237" s="779"/>
      <c r="AA237" s="779"/>
      <c r="AU237" s="779"/>
      <c r="AV237" s="779"/>
      <c r="AW237" s="779"/>
      <c r="AX237" s="779"/>
    </row>
    <row r="238">
      <c r="B238" s="779"/>
      <c r="C238" s="779"/>
      <c r="D238" s="779"/>
      <c r="X238" s="779"/>
      <c r="AA238" s="779"/>
      <c r="AU238" s="779"/>
      <c r="AV238" s="779"/>
      <c r="AW238" s="779"/>
      <c r="AX238" s="779"/>
    </row>
    <row r="239">
      <c r="B239" s="779"/>
      <c r="C239" s="779"/>
      <c r="D239" s="779"/>
      <c r="X239" s="779"/>
      <c r="AA239" s="779"/>
      <c r="AU239" s="779"/>
      <c r="AV239" s="779"/>
      <c r="AW239" s="779"/>
      <c r="AX239" s="779"/>
    </row>
    <row r="240">
      <c r="B240" s="779"/>
      <c r="C240" s="779"/>
      <c r="D240" s="779"/>
      <c r="X240" s="779"/>
      <c r="AA240" s="779"/>
      <c r="AU240" s="779"/>
      <c r="AV240" s="779"/>
      <c r="AW240" s="779"/>
      <c r="AX240" s="779"/>
    </row>
    <row r="241">
      <c r="B241" s="779"/>
      <c r="C241" s="779"/>
      <c r="D241" s="779"/>
      <c r="X241" s="779"/>
      <c r="AA241" s="779"/>
      <c r="AU241" s="779"/>
      <c r="AV241" s="779"/>
      <c r="AW241" s="779"/>
      <c r="AX241" s="779"/>
    </row>
    <row r="242">
      <c r="B242" s="779"/>
      <c r="C242" s="779"/>
      <c r="D242" s="779"/>
      <c r="X242" s="779"/>
      <c r="AA242" s="779"/>
      <c r="AU242" s="779"/>
      <c r="AV242" s="779"/>
      <c r="AW242" s="779"/>
      <c r="AX242" s="779"/>
    </row>
    <row r="243">
      <c r="B243" s="779"/>
      <c r="C243" s="779"/>
      <c r="D243" s="779"/>
      <c r="X243" s="779"/>
      <c r="AA243" s="779"/>
      <c r="AU243" s="779"/>
      <c r="AV243" s="779"/>
      <c r="AW243" s="779"/>
      <c r="AX243" s="779"/>
    </row>
    <row r="244">
      <c r="B244" s="779"/>
      <c r="C244" s="779"/>
      <c r="D244" s="779"/>
      <c r="X244" s="779"/>
      <c r="AA244" s="779"/>
      <c r="AU244" s="779"/>
      <c r="AV244" s="779"/>
      <c r="AW244" s="779"/>
      <c r="AX244" s="779"/>
    </row>
    <row r="245">
      <c r="B245" s="779"/>
      <c r="C245" s="779"/>
      <c r="D245" s="779"/>
      <c r="X245" s="779"/>
      <c r="AA245" s="779"/>
      <c r="AU245" s="779"/>
      <c r="AV245" s="779"/>
      <c r="AW245" s="779"/>
      <c r="AX245" s="779"/>
    </row>
    <row r="246">
      <c r="B246" s="779"/>
      <c r="C246" s="779"/>
      <c r="D246" s="779"/>
      <c r="X246" s="779"/>
      <c r="AA246" s="779"/>
      <c r="AU246" s="779"/>
      <c r="AV246" s="779"/>
      <c r="AW246" s="779"/>
      <c r="AX246" s="779"/>
    </row>
    <row r="247">
      <c r="B247" s="779"/>
      <c r="C247" s="779"/>
      <c r="D247" s="779"/>
      <c r="X247" s="779"/>
      <c r="AA247" s="779"/>
      <c r="AU247" s="779"/>
      <c r="AV247" s="779"/>
      <c r="AW247" s="779"/>
      <c r="AX247" s="779"/>
    </row>
    <row r="248">
      <c r="B248" s="779"/>
      <c r="C248" s="779"/>
      <c r="D248" s="779"/>
      <c r="X248" s="779"/>
      <c r="AA248" s="779"/>
      <c r="AU248" s="779"/>
      <c r="AV248" s="779"/>
      <c r="AW248" s="779"/>
      <c r="AX248" s="779"/>
    </row>
    <row r="249">
      <c r="B249" s="779"/>
      <c r="C249" s="779"/>
      <c r="D249" s="779"/>
      <c r="X249" s="779"/>
      <c r="AA249" s="779"/>
      <c r="AU249" s="779"/>
      <c r="AV249" s="779"/>
      <c r="AW249" s="779"/>
      <c r="AX249" s="779"/>
    </row>
    <row r="250">
      <c r="B250" s="779"/>
      <c r="C250" s="779"/>
      <c r="D250" s="779"/>
      <c r="X250" s="779"/>
      <c r="AA250" s="779"/>
      <c r="AU250" s="779"/>
      <c r="AV250" s="779"/>
      <c r="AW250" s="779"/>
      <c r="AX250" s="779"/>
    </row>
    <row r="251">
      <c r="B251" s="779"/>
      <c r="C251" s="779"/>
      <c r="D251" s="779"/>
      <c r="X251" s="779"/>
      <c r="AA251" s="779"/>
      <c r="AU251" s="779"/>
      <c r="AV251" s="779"/>
      <c r="AW251" s="779"/>
      <c r="AX251" s="779"/>
    </row>
    <row r="252">
      <c r="B252" s="779"/>
      <c r="C252" s="779"/>
      <c r="D252" s="779"/>
      <c r="X252" s="779"/>
      <c r="AA252" s="779"/>
      <c r="AU252" s="779"/>
      <c r="AV252" s="779"/>
      <c r="AW252" s="779"/>
      <c r="AX252" s="779"/>
    </row>
    <row r="253">
      <c r="B253" s="779"/>
      <c r="C253" s="779"/>
      <c r="D253" s="779"/>
      <c r="X253" s="779"/>
      <c r="AA253" s="779"/>
      <c r="AU253" s="779"/>
      <c r="AV253" s="779"/>
      <c r="AW253" s="779"/>
      <c r="AX253" s="779"/>
    </row>
    <row r="254">
      <c r="B254" s="779"/>
      <c r="C254" s="779"/>
      <c r="D254" s="779"/>
      <c r="X254" s="779"/>
      <c r="AA254" s="779"/>
      <c r="AU254" s="779"/>
      <c r="AV254" s="779"/>
      <c r="AW254" s="779"/>
      <c r="AX254" s="779"/>
    </row>
    <row r="255">
      <c r="B255" s="779"/>
      <c r="C255" s="779"/>
      <c r="D255" s="779"/>
      <c r="X255" s="779"/>
      <c r="AA255" s="779"/>
      <c r="AU255" s="779"/>
      <c r="AV255" s="779"/>
      <c r="AW255" s="779"/>
      <c r="AX255" s="779"/>
    </row>
    <row r="256">
      <c r="B256" s="779"/>
      <c r="C256" s="779"/>
      <c r="D256" s="779"/>
      <c r="X256" s="779"/>
      <c r="AA256" s="779"/>
      <c r="AU256" s="779"/>
      <c r="AV256" s="779"/>
      <c r="AW256" s="779"/>
      <c r="AX256" s="779"/>
    </row>
    <row r="257">
      <c r="B257" s="779"/>
      <c r="C257" s="779"/>
      <c r="D257" s="779"/>
      <c r="X257" s="779"/>
      <c r="AA257" s="779"/>
      <c r="AU257" s="779"/>
      <c r="AV257" s="779"/>
      <c r="AW257" s="779"/>
      <c r="AX257" s="779"/>
    </row>
    <row r="258">
      <c r="B258" s="779"/>
      <c r="C258" s="779"/>
      <c r="D258" s="779"/>
      <c r="X258" s="779"/>
      <c r="AA258" s="779"/>
      <c r="AU258" s="779"/>
      <c r="AV258" s="779"/>
      <c r="AW258" s="779"/>
      <c r="AX258" s="779"/>
    </row>
    <row r="259">
      <c r="B259" s="779"/>
      <c r="C259" s="779"/>
      <c r="D259" s="779"/>
      <c r="X259" s="779"/>
      <c r="AA259" s="779"/>
      <c r="AU259" s="779"/>
      <c r="AV259" s="779"/>
      <c r="AW259" s="779"/>
      <c r="AX259" s="779"/>
    </row>
    <row r="260">
      <c r="B260" s="779"/>
      <c r="C260" s="779"/>
      <c r="D260" s="779"/>
      <c r="X260" s="779"/>
      <c r="AA260" s="779"/>
      <c r="AU260" s="779"/>
      <c r="AV260" s="779"/>
      <c r="AW260" s="779"/>
      <c r="AX260" s="779"/>
    </row>
    <row r="261">
      <c r="B261" s="779"/>
      <c r="C261" s="779"/>
      <c r="D261" s="779"/>
      <c r="X261" s="779"/>
      <c r="AA261" s="779"/>
      <c r="AU261" s="779"/>
      <c r="AV261" s="779"/>
      <c r="AW261" s="779"/>
      <c r="AX261" s="779"/>
    </row>
    <row r="262">
      <c r="B262" s="779"/>
      <c r="C262" s="779"/>
      <c r="D262" s="779"/>
      <c r="X262" s="779"/>
      <c r="AA262" s="779"/>
      <c r="AU262" s="779"/>
      <c r="AV262" s="779"/>
      <c r="AW262" s="779"/>
      <c r="AX262" s="779"/>
    </row>
    <row r="263">
      <c r="B263" s="779"/>
      <c r="C263" s="779"/>
      <c r="D263" s="779"/>
      <c r="X263" s="779"/>
      <c r="AA263" s="779"/>
      <c r="AU263" s="779"/>
      <c r="AV263" s="779"/>
      <c r="AW263" s="779"/>
      <c r="AX263" s="779"/>
    </row>
    <row r="264">
      <c r="B264" s="779"/>
      <c r="C264" s="779"/>
      <c r="D264" s="779"/>
      <c r="X264" s="779"/>
      <c r="AA264" s="779"/>
      <c r="AU264" s="779"/>
      <c r="AV264" s="779"/>
      <c r="AW264" s="779"/>
      <c r="AX264" s="779"/>
    </row>
    <row r="265">
      <c r="B265" s="779"/>
      <c r="C265" s="779"/>
      <c r="D265" s="779"/>
      <c r="X265" s="779"/>
      <c r="AA265" s="779"/>
      <c r="AU265" s="779"/>
      <c r="AV265" s="779"/>
      <c r="AW265" s="779"/>
      <c r="AX265" s="779"/>
    </row>
    <row r="266">
      <c r="B266" s="779"/>
      <c r="C266" s="779"/>
      <c r="D266" s="779"/>
      <c r="X266" s="779"/>
      <c r="AA266" s="779"/>
      <c r="AU266" s="779"/>
      <c r="AV266" s="779"/>
      <c r="AW266" s="779"/>
      <c r="AX266" s="779"/>
    </row>
    <row r="267">
      <c r="B267" s="779"/>
      <c r="C267" s="779"/>
      <c r="D267" s="779"/>
      <c r="X267" s="779"/>
      <c r="AA267" s="779"/>
      <c r="AU267" s="779"/>
      <c r="AV267" s="779"/>
      <c r="AW267" s="779"/>
      <c r="AX267" s="779"/>
    </row>
    <row r="268">
      <c r="B268" s="779"/>
      <c r="C268" s="779"/>
      <c r="D268" s="779"/>
      <c r="X268" s="779"/>
      <c r="AA268" s="779"/>
      <c r="AU268" s="779"/>
      <c r="AV268" s="779"/>
      <c r="AW268" s="779"/>
      <c r="AX268" s="779"/>
    </row>
    <row r="269">
      <c r="B269" s="779"/>
      <c r="C269" s="779"/>
      <c r="D269" s="779"/>
      <c r="X269" s="779"/>
      <c r="AA269" s="779"/>
      <c r="AU269" s="779"/>
      <c r="AV269" s="779"/>
      <c r="AW269" s="779"/>
      <c r="AX269" s="779"/>
    </row>
    <row r="270">
      <c r="B270" s="779"/>
      <c r="C270" s="779"/>
      <c r="D270" s="779"/>
      <c r="X270" s="779"/>
      <c r="AA270" s="779"/>
      <c r="AU270" s="779"/>
      <c r="AV270" s="779"/>
      <c r="AW270" s="779"/>
      <c r="AX270" s="779"/>
    </row>
    <row r="271">
      <c r="B271" s="779"/>
      <c r="C271" s="779"/>
      <c r="D271" s="779"/>
      <c r="X271" s="779"/>
      <c r="AA271" s="779"/>
      <c r="AU271" s="779"/>
      <c r="AV271" s="779"/>
      <c r="AW271" s="779"/>
      <c r="AX271" s="779"/>
    </row>
    <row r="272">
      <c r="B272" s="779"/>
      <c r="C272" s="779"/>
      <c r="D272" s="779"/>
      <c r="X272" s="779"/>
      <c r="AA272" s="779"/>
      <c r="AU272" s="779"/>
      <c r="AV272" s="779"/>
      <c r="AW272" s="779"/>
      <c r="AX272" s="779"/>
    </row>
    <row r="273">
      <c r="B273" s="779"/>
      <c r="C273" s="779"/>
      <c r="D273" s="779"/>
      <c r="X273" s="779"/>
      <c r="AA273" s="779"/>
      <c r="AU273" s="779"/>
      <c r="AV273" s="779"/>
      <c r="AW273" s="779"/>
      <c r="AX273" s="779"/>
    </row>
    <row r="274">
      <c r="B274" s="779"/>
      <c r="C274" s="779"/>
      <c r="D274" s="779"/>
      <c r="X274" s="779"/>
      <c r="AA274" s="779"/>
      <c r="AU274" s="779"/>
      <c r="AV274" s="779"/>
      <c r="AW274" s="779"/>
      <c r="AX274" s="779"/>
    </row>
    <row r="275">
      <c r="B275" s="779"/>
      <c r="C275" s="779"/>
      <c r="D275" s="779"/>
      <c r="X275" s="779"/>
      <c r="AA275" s="779"/>
      <c r="AU275" s="779"/>
      <c r="AV275" s="779"/>
      <c r="AW275" s="779"/>
      <c r="AX275" s="779"/>
    </row>
    <row r="276">
      <c r="B276" s="779"/>
      <c r="C276" s="779"/>
      <c r="D276" s="779"/>
      <c r="X276" s="779"/>
      <c r="AA276" s="779"/>
      <c r="AU276" s="779"/>
      <c r="AV276" s="779"/>
      <c r="AW276" s="779"/>
      <c r="AX276" s="779"/>
    </row>
    <row r="277">
      <c r="B277" s="779"/>
      <c r="C277" s="779"/>
      <c r="D277" s="779"/>
      <c r="X277" s="779"/>
      <c r="AA277" s="779"/>
      <c r="AU277" s="779"/>
      <c r="AV277" s="779"/>
      <c r="AW277" s="779"/>
      <c r="AX277" s="779"/>
    </row>
    <row r="278">
      <c r="B278" s="779"/>
      <c r="C278" s="779"/>
      <c r="D278" s="779"/>
      <c r="X278" s="779"/>
      <c r="AA278" s="779"/>
      <c r="AU278" s="779"/>
      <c r="AV278" s="779"/>
      <c r="AW278" s="779"/>
      <c r="AX278" s="779"/>
    </row>
    <row r="279">
      <c r="B279" s="779"/>
      <c r="C279" s="779"/>
      <c r="D279" s="779"/>
      <c r="X279" s="779"/>
      <c r="AA279" s="779"/>
      <c r="AU279" s="779"/>
      <c r="AV279" s="779"/>
      <c r="AW279" s="779"/>
      <c r="AX279" s="779"/>
    </row>
    <row r="280">
      <c r="B280" s="779"/>
      <c r="C280" s="779"/>
      <c r="D280" s="779"/>
      <c r="X280" s="779"/>
      <c r="AA280" s="779"/>
      <c r="AU280" s="779"/>
      <c r="AV280" s="779"/>
      <c r="AW280" s="779"/>
      <c r="AX280" s="779"/>
    </row>
    <row r="281">
      <c r="B281" s="779"/>
      <c r="C281" s="779"/>
      <c r="D281" s="779"/>
      <c r="X281" s="779"/>
      <c r="AA281" s="779"/>
      <c r="AU281" s="779"/>
      <c r="AV281" s="779"/>
      <c r="AW281" s="779"/>
      <c r="AX281" s="779"/>
    </row>
    <row r="282">
      <c r="B282" s="779"/>
      <c r="C282" s="779"/>
      <c r="D282" s="779"/>
      <c r="X282" s="779"/>
      <c r="AA282" s="779"/>
      <c r="AU282" s="779"/>
      <c r="AV282" s="779"/>
      <c r="AW282" s="779"/>
      <c r="AX282" s="779"/>
    </row>
    <row r="283">
      <c r="B283" s="779"/>
      <c r="C283" s="779"/>
      <c r="D283" s="779"/>
      <c r="X283" s="779"/>
      <c r="AA283" s="779"/>
      <c r="AU283" s="779"/>
      <c r="AV283" s="779"/>
      <c r="AW283" s="779"/>
      <c r="AX283" s="779"/>
    </row>
    <row r="284">
      <c r="B284" s="779"/>
      <c r="C284" s="779"/>
      <c r="D284" s="779"/>
      <c r="X284" s="779"/>
      <c r="AA284" s="779"/>
      <c r="AU284" s="779"/>
      <c r="AV284" s="779"/>
      <c r="AW284" s="779"/>
      <c r="AX284" s="779"/>
    </row>
    <row r="285">
      <c r="B285" s="779"/>
      <c r="C285" s="779"/>
      <c r="D285" s="779"/>
      <c r="X285" s="779"/>
      <c r="AA285" s="779"/>
      <c r="AU285" s="779"/>
      <c r="AV285" s="779"/>
      <c r="AW285" s="779"/>
      <c r="AX285" s="779"/>
    </row>
    <row r="286">
      <c r="B286" s="779"/>
      <c r="C286" s="779"/>
      <c r="D286" s="779"/>
      <c r="X286" s="779"/>
      <c r="AA286" s="779"/>
      <c r="AU286" s="779"/>
      <c r="AV286" s="779"/>
      <c r="AW286" s="779"/>
      <c r="AX286" s="779"/>
    </row>
    <row r="287">
      <c r="B287" s="779"/>
      <c r="C287" s="779"/>
      <c r="D287" s="779"/>
      <c r="X287" s="779"/>
      <c r="AA287" s="779"/>
      <c r="AU287" s="779"/>
      <c r="AV287" s="779"/>
      <c r="AW287" s="779"/>
      <c r="AX287" s="779"/>
    </row>
    <row r="288">
      <c r="B288" s="779"/>
      <c r="C288" s="779"/>
      <c r="D288" s="779"/>
      <c r="X288" s="779"/>
      <c r="AA288" s="779"/>
      <c r="AU288" s="779"/>
      <c r="AV288" s="779"/>
      <c r="AW288" s="779"/>
      <c r="AX288" s="779"/>
    </row>
    <row r="289">
      <c r="B289" s="779"/>
      <c r="C289" s="779"/>
      <c r="D289" s="779"/>
      <c r="X289" s="779"/>
      <c r="AA289" s="779"/>
      <c r="AU289" s="779"/>
      <c r="AV289" s="779"/>
      <c r="AW289" s="779"/>
      <c r="AX289" s="779"/>
    </row>
    <row r="290">
      <c r="B290" s="779"/>
      <c r="C290" s="779"/>
      <c r="D290" s="779"/>
      <c r="X290" s="779"/>
      <c r="AA290" s="779"/>
      <c r="AU290" s="779"/>
      <c r="AV290" s="779"/>
      <c r="AW290" s="779"/>
      <c r="AX290" s="779"/>
    </row>
    <row r="291">
      <c r="B291" s="779"/>
      <c r="C291" s="779"/>
      <c r="D291" s="779"/>
      <c r="X291" s="779"/>
      <c r="AA291" s="779"/>
      <c r="AU291" s="779"/>
      <c r="AV291" s="779"/>
      <c r="AW291" s="779"/>
      <c r="AX291" s="779"/>
    </row>
    <row r="292">
      <c r="B292" s="779"/>
      <c r="C292" s="779"/>
      <c r="D292" s="779"/>
      <c r="X292" s="779"/>
      <c r="AA292" s="779"/>
      <c r="AU292" s="779"/>
      <c r="AV292" s="779"/>
      <c r="AW292" s="779"/>
      <c r="AX292" s="779"/>
    </row>
    <row r="293">
      <c r="B293" s="779"/>
      <c r="C293" s="779"/>
      <c r="D293" s="779"/>
      <c r="X293" s="779"/>
      <c r="AA293" s="779"/>
      <c r="AU293" s="779"/>
      <c r="AV293" s="779"/>
      <c r="AW293" s="779"/>
      <c r="AX293" s="779"/>
    </row>
    <row r="294">
      <c r="B294" s="779"/>
      <c r="C294" s="779"/>
      <c r="D294" s="779"/>
      <c r="X294" s="779"/>
      <c r="AA294" s="779"/>
      <c r="AU294" s="779"/>
      <c r="AV294" s="779"/>
      <c r="AW294" s="779"/>
      <c r="AX294" s="779"/>
    </row>
    <row r="295">
      <c r="B295" s="779"/>
      <c r="C295" s="779"/>
      <c r="D295" s="779"/>
      <c r="X295" s="779"/>
      <c r="AA295" s="779"/>
      <c r="AU295" s="779"/>
      <c r="AV295" s="779"/>
      <c r="AW295" s="779"/>
      <c r="AX295" s="779"/>
    </row>
    <row r="296">
      <c r="B296" s="779"/>
      <c r="C296" s="779"/>
      <c r="D296" s="779"/>
      <c r="X296" s="779"/>
      <c r="AA296" s="779"/>
      <c r="AU296" s="779"/>
      <c r="AV296" s="779"/>
      <c r="AW296" s="779"/>
      <c r="AX296" s="779"/>
    </row>
    <row r="297">
      <c r="B297" s="779"/>
      <c r="C297" s="779"/>
      <c r="D297" s="779"/>
      <c r="X297" s="779"/>
      <c r="AA297" s="779"/>
      <c r="AU297" s="779"/>
      <c r="AV297" s="779"/>
      <c r="AW297" s="779"/>
      <c r="AX297" s="779"/>
    </row>
    <row r="298">
      <c r="B298" s="779"/>
      <c r="C298" s="779"/>
      <c r="D298" s="779"/>
      <c r="X298" s="779"/>
      <c r="AA298" s="779"/>
      <c r="AU298" s="779"/>
      <c r="AV298" s="779"/>
      <c r="AW298" s="779"/>
      <c r="AX298" s="779"/>
    </row>
    <row r="299">
      <c r="B299" s="779"/>
      <c r="C299" s="779"/>
      <c r="D299" s="779"/>
      <c r="X299" s="779"/>
      <c r="AA299" s="779"/>
      <c r="AU299" s="779"/>
      <c r="AV299" s="779"/>
      <c r="AW299" s="779"/>
      <c r="AX299" s="779"/>
    </row>
    <row r="300">
      <c r="B300" s="779"/>
      <c r="C300" s="779"/>
      <c r="D300" s="779"/>
      <c r="X300" s="779"/>
      <c r="AA300" s="779"/>
      <c r="AU300" s="779"/>
      <c r="AV300" s="779"/>
      <c r="AW300" s="779"/>
      <c r="AX300" s="779"/>
    </row>
    <row r="301">
      <c r="B301" s="779"/>
      <c r="C301" s="779"/>
      <c r="D301" s="779"/>
      <c r="X301" s="779"/>
      <c r="AA301" s="779"/>
      <c r="AU301" s="779"/>
      <c r="AV301" s="779"/>
      <c r="AW301" s="779"/>
      <c r="AX301" s="779"/>
    </row>
    <row r="302">
      <c r="B302" s="779"/>
      <c r="C302" s="779"/>
      <c r="D302" s="779"/>
      <c r="X302" s="779"/>
      <c r="AA302" s="779"/>
      <c r="AU302" s="779"/>
      <c r="AV302" s="779"/>
      <c r="AW302" s="779"/>
      <c r="AX302" s="779"/>
    </row>
    <row r="303">
      <c r="B303" s="779"/>
      <c r="C303" s="779"/>
      <c r="D303" s="779"/>
      <c r="X303" s="779"/>
      <c r="AA303" s="779"/>
      <c r="AU303" s="779"/>
      <c r="AV303" s="779"/>
      <c r="AW303" s="779"/>
      <c r="AX303" s="779"/>
    </row>
    <row r="304">
      <c r="B304" s="779"/>
      <c r="C304" s="779"/>
      <c r="D304" s="779"/>
      <c r="X304" s="779"/>
      <c r="AA304" s="779"/>
      <c r="AU304" s="779"/>
      <c r="AV304" s="779"/>
      <c r="AW304" s="779"/>
      <c r="AX304" s="779"/>
    </row>
    <row r="305">
      <c r="B305" s="779"/>
      <c r="C305" s="779"/>
      <c r="D305" s="779"/>
      <c r="X305" s="779"/>
      <c r="AA305" s="779"/>
      <c r="AU305" s="779"/>
      <c r="AV305" s="779"/>
      <c r="AW305" s="779"/>
      <c r="AX305" s="779"/>
    </row>
    <row r="306">
      <c r="B306" s="779"/>
      <c r="C306" s="779"/>
      <c r="D306" s="779"/>
      <c r="X306" s="779"/>
      <c r="AA306" s="779"/>
      <c r="AU306" s="779"/>
      <c r="AV306" s="779"/>
      <c r="AW306" s="779"/>
      <c r="AX306" s="779"/>
    </row>
    <row r="307">
      <c r="B307" s="779"/>
      <c r="C307" s="779"/>
      <c r="D307" s="779"/>
      <c r="X307" s="779"/>
      <c r="AA307" s="779"/>
      <c r="AU307" s="779"/>
      <c r="AV307" s="779"/>
      <c r="AW307" s="779"/>
      <c r="AX307" s="779"/>
    </row>
    <row r="308">
      <c r="B308" s="779"/>
      <c r="C308" s="779"/>
      <c r="D308" s="779"/>
      <c r="X308" s="779"/>
      <c r="AA308" s="779"/>
      <c r="AU308" s="779"/>
      <c r="AV308" s="779"/>
      <c r="AW308" s="779"/>
      <c r="AX308" s="779"/>
    </row>
    <row r="309">
      <c r="B309" s="779"/>
      <c r="C309" s="779"/>
      <c r="D309" s="779"/>
      <c r="X309" s="779"/>
      <c r="AA309" s="779"/>
      <c r="AU309" s="779"/>
      <c r="AV309" s="779"/>
      <c r="AW309" s="779"/>
      <c r="AX309" s="779"/>
    </row>
    <row r="310">
      <c r="B310" s="779"/>
      <c r="C310" s="779"/>
      <c r="D310" s="779"/>
      <c r="X310" s="779"/>
      <c r="AA310" s="779"/>
      <c r="AU310" s="779"/>
      <c r="AV310" s="779"/>
      <c r="AW310" s="779"/>
      <c r="AX310" s="779"/>
    </row>
    <row r="311">
      <c r="B311" s="779"/>
      <c r="C311" s="779"/>
      <c r="D311" s="779"/>
      <c r="X311" s="779"/>
      <c r="AA311" s="779"/>
      <c r="AU311" s="779"/>
      <c r="AV311" s="779"/>
      <c r="AW311" s="779"/>
      <c r="AX311" s="779"/>
    </row>
    <row r="312">
      <c r="B312" s="779"/>
      <c r="C312" s="779"/>
      <c r="D312" s="779"/>
      <c r="X312" s="779"/>
      <c r="AA312" s="779"/>
      <c r="AU312" s="779"/>
      <c r="AV312" s="779"/>
      <c r="AW312" s="779"/>
      <c r="AX312" s="779"/>
    </row>
    <row r="313">
      <c r="B313" s="779"/>
      <c r="C313" s="779"/>
      <c r="D313" s="779"/>
      <c r="X313" s="779"/>
      <c r="AA313" s="779"/>
      <c r="AU313" s="779"/>
      <c r="AV313" s="779"/>
      <c r="AW313" s="779"/>
      <c r="AX313" s="779"/>
    </row>
    <row r="314">
      <c r="B314" s="779"/>
      <c r="C314" s="779"/>
      <c r="D314" s="779"/>
      <c r="X314" s="779"/>
      <c r="AA314" s="779"/>
      <c r="AU314" s="779"/>
      <c r="AV314" s="779"/>
      <c r="AW314" s="779"/>
      <c r="AX314" s="779"/>
    </row>
    <row r="315">
      <c r="B315" s="779"/>
      <c r="C315" s="779"/>
      <c r="D315" s="779"/>
      <c r="X315" s="779"/>
      <c r="AA315" s="779"/>
      <c r="AU315" s="779"/>
      <c r="AV315" s="779"/>
      <c r="AW315" s="779"/>
      <c r="AX315" s="779"/>
    </row>
    <row r="316">
      <c r="B316" s="779"/>
      <c r="C316" s="779"/>
      <c r="D316" s="779"/>
      <c r="X316" s="779"/>
      <c r="AA316" s="779"/>
      <c r="AU316" s="779"/>
      <c r="AV316" s="779"/>
      <c r="AW316" s="779"/>
      <c r="AX316" s="779"/>
    </row>
    <row r="317">
      <c r="B317" s="779"/>
      <c r="C317" s="779"/>
      <c r="D317" s="779"/>
      <c r="X317" s="779"/>
      <c r="AA317" s="779"/>
      <c r="AU317" s="779"/>
      <c r="AV317" s="779"/>
      <c r="AW317" s="779"/>
      <c r="AX317" s="779"/>
    </row>
    <row r="318">
      <c r="B318" s="779"/>
      <c r="C318" s="779"/>
      <c r="D318" s="779"/>
      <c r="X318" s="779"/>
      <c r="AA318" s="779"/>
      <c r="AU318" s="779"/>
      <c r="AV318" s="779"/>
      <c r="AW318" s="779"/>
      <c r="AX318" s="779"/>
    </row>
    <row r="319">
      <c r="B319" s="779"/>
      <c r="C319" s="779"/>
      <c r="D319" s="779"/>
      <c r="X319" s="779"/>
      <c r="AA319" s="779"/>
      <c r="AU319" s="779"/>
      <c r="AV319" s="779"/>
      <c r="AW319" s="779"/>
      <c r="AX319" s="779"/>
    </row>
    <row r="320">
      <c r="B320" s="779"/>
      <c r="C320" s="779"/>
      <c r="D320" s="779"/>
      <c r="X320" s="779"/>
      <c r="AA320" s="779"/>
      <c r="AU320" s="779"/>
      <c r="AV320" s="779"/>
      <c r="AW320" s="779"/>
      <c r="AX320" s="779"/>
    </row>
    <row r="321">
      <c r="B321" s="779"/>
      <c r="C321" s="779"/>
      <c r="D321" s="779"/>
      <c r="X321" s="779"/>
      <c r="AA321" s="779"/>
      <c r="AU321" s="779"/>
      <c r="AV321" s="779"/>
      <c r="AW321" s="779"/>
      <c r="AX321" s="779"/>
    </row>
    <row r="322">
      <c r="B322" s="779"/>
      <c r="C322" s="779"/>
      <c r="D322" s="779"/>
      <c r="X322" s="779"/>
      <c r="AA322" s="779"/>
      <c r="AU322" s="779"/>
      <c r="AV322" s="779"/>
      <c r="AW322" s="779"/>
      <c r="AX322" s="779"/>
    </row>
    <row r="323">
      <c r="B323" s="779"/>
      <c r="C323" s="779"/>
      <c r="D323" s="779"/>
      <c r="X323" s="779"/>
      <c r="AA323" s="779"/>
      <c r="AU323" s="779"/>
      <c r="AV323" s="779"/>
      <c r="AW323" s="779"/>
      <c r="AX323" s="779"/>
    </row>
    <row r="324">
      <c r="B324" s="779"/>
      <c r="C324" s="779"/>
      <c r="D324" s="779"/>
      <c r="X324" s="779"/>
      <c r="AA324" s="779"/>
      <c r="AU324" s="779"/>
      <c r="AV324" s="779"/>
      <c r="AW324" s="779"/>
      <c r="AX324" s="779"/>
    </row>
    <row r="325">
      <c r="B325" s="779"/>
      <c r="C325" s="779"/>
      <c r="D325" s="779"/>
      <c r="X325" s="779"/>
      <c r="AA325" s="779"/>
      <c r="AU325" s="779"/>
      <c r="AV325" s="779"/>
      <c r="AW325" s="779"/>
      <c r="AX325" s="779"/>
    </row>
    <row r="326">
      <c r="B326" s="779"/>
      <c r="C326" s="779"/>
      <c r="D326" s="779"/>
      <c r="X326" s="779"/>
      <c r="AA326" s="779"/>
      <c r="AU326" s="779"/>
      <c r="AV326" s="779"/>
      <c r="AW326" s="779"/>
      <c r="AX326" s="779"/>
    </row>
    <row r="327">
      <c r="B327" s="779"/>
      <c r="C327" s="779"/>
      <c r="D327" s="779"/>
      <c r="X327" s="779"/>
      <c r="AA327" s="779"/>
      <c r="AU327" s="779"/>
      <c r="AV327" s="779"/>
      <c r="AW327" s="779"/>
      <c r="AX327" s="779"/>
    </row>
    <row r="328">
      <c r="B328" s="779"/>
      <c r="C328" s="779"/>
      <c r="D328" s="779"/>
      <c r="X328" s="779"/>
      <c r="AA328" s="779"/>
      <c r="AU328" s="779"/>
      <c r="AV328" s="779"/>
      <c r="AW328" s="779"/>
      <c r="AX328" s="779"/>
    </row>
    <row r="329">
      <c r="B329" s="779"/>
      <c r="C329" s="779"/>
      <c r="D329" s="779"/>
      <c r="X329" s="779"/>
      <c r="AA329" s="779"/>
      <c r="AU329" s="779"/>
      <c r="AV329" s="779"/>
      <c r="AW329" s="779"/>
      <c r="AX329" s="779"/>
    </row>
    <row r="330">
      <c r="B330" s="779"/>
      <c r="C330" s="779"/>
      <c r="D330" s="779"/>
      <c r="X330" s="779"/>
      <c r="AA330" s="779"/>
      <c r="AU330" s="779"/>
      <c r="AV330" s="779"/>
      <c r="AW330" s="779"/>
      <c r="AX330" s="779"/>
    </row>
    <row r="331">
      <c r="B331" s="779"/>
      <c r="C331" s="779"/>
      <c r="D331" s="779"/>
      <c r="X331" s="779"/>
      <c r="AA331" s="779"/>
      <c r="AU331" s="779"/>
      <c r="AV331" s="779"/>
      <c r="AW331" s="779"/>
      <c r="AX331" s="779"/>
    </row>
    <row r="332">
      <c r="B332" s="779"/>
      <c r="C332" s="779"/>
      <c r="D332" s="779"/>
      <c r="X332" s="779"/>
      <c r="AA332" s="779"/>
      <c r="AU332" s="779"/>
      <c r="AV332" s="779"/>
      <c r="AW332" s="779"/>
      <c r="AX332" s="779"/>
    </row>
    <row r="333">
      <c r="B333" s="779"/>
      <c r="C333" s="779"/>
      <c r="D333" s="779"/>
      <c r="X333" s="779"/>
      <c r="AA333" s="779"/>
      <c r="AU333" s="779"/>
      <c r="AV333" s="779"/>
      <c r="AW333" s="779"/>
      <c r="AX333" s="779"/>
    </row>
    <row r="334">
      <c r="B334" s="779"/>
      <c r="C334" s="779"/>
      <c r="D334" s="779"/>
      <c r="X334" s="779"/>
      <c r="AA334" s="779"/>
      <c r="AU334" s="779"/>
      <c r="AV334" s="779"/>
      <c r="AW334" s="779"/>
      <c r="AX334" s="779"/>
    </row>
    <row r="335">
      <c r="B335" s="779"/>
      <c r="C335" s="779"/>
      <c r="D335" s="779"/>
      <c r="X335" s="779"/>
      <c r="AA335" s="779"/>
      <c r="AU335" s="779"/>
      <c r="AV335" s="779"/>
      <c r="AW335" s="779"/>
      <c r="AX335" s="779"/>
    </row>
    <row r="336">
      <c r="B336" s="779"/>
      <c r="C336" s="779"/>
      <c r="D336" s="779"/>
      <c r="X336" s="779"/>
      <c r="AA336" s="779"/>
      <c r="AU336" s="779"/>
      <c r="AV336" s="779"/>
      <c r="AW336" s="779"/>
      <c r="AX336" s="779"/>
    </row>
    <row r="337">
      <c r="B337" s="779"/>
      <c r="C337" s="779"/>
      <c r="D337" s="779"/>
      <c r="X337" s="779"/>
      <c r="AA337" s="779"/>
      <c r="AU337" s="779"/>
      <c r="AV337" s="779"/>
      <c r="AW337" s="779"/>
      <c r="AX337" s="779"/>
    </row>
    <row r="338">
      <c r="B338" s="779"/>
      <c r="C338" s="779"/>
      <c r="D338" s="779"/>
      <c r="X338" s="779"/>
      <c r="AA338" s="779"/>
      <c r="AU338" s="779"/>
      <c r="AV338" s="779"/>
      <c r="AW338" s="779"/>
      <c r="AX338" s="779"/>
    </row>
    <row r="339">
      <c r="B339" s="779"/>
      <c r="C339" s="779"/>
      <c r="D339" s="779"/>
      <c r="X339" s="779"/>
      <c r="AA339" s="779"/>
      <c r="AU339" s="779"/>
      <c r="AV339" s="779"/>
      <c r="AW339" s="779"/>
      <c r="AX339" s="779"/>
    </row>
    <row r="340">
      <c r="B340" s="779"/>
      <c r="C340" s="779"/>
      <c r="D340" s="779"/>
      <c r="X340" s="779"/>
      <c r="AA340" s="779"/>
      <c r="AU340" s="779"/>
      <c r="AV340" s="779"/>
      <c r="AW340" s="779"/>
      <c r="AX340" s="779"/>
    </row>
    <row r="341">
      <c r="B341" s="779"/>
      <c r="C341" s="779"/>
      <c r="D341" s="779"/>
      <c r="X341" s="779"/>
      <c r="AA341" s="779"/>
      <c r="AU341" s="779"/>
      <c r="AV341" s="779"/>
      <c r="AW341" s="779"/>
      <c r="AX341" s="779"/>
    </row>
    <row r="342">
      <c r="B342" s="779"/>
      <c r="C342" s="779"/>
      <c r="D342" s="779"/>
      <c r="X342" s="779"/>
      <c r="AA342" s="779"/>
      <c r="AU342" s="779"/>
      <c r="AV342" s="779"/>
      <c r="AW342" s="779"/>
      <c r="AX342" s="779"/>
    </row>
    <row r="343">
      <c r="B343" s="779"/>
      <c r="C343" s="779"/>
      <c r="D343" s="779"/>
      <c r="X343" s="779"/>
      <c r="AA343" s="779"/>
      <c r="AU343" s="779"/>
      <c r="AV343" s="779"/>
      <c r="AW343" s="779"/>
      <c r="AX343" s="779"/>
    </row>
    <row r="344">
      <c r="B344" s="779"/>
      <c r="C344" s="779"/>
      <c r="D344" s="779"/>
      <c r="X344" s="779"/>
      <c r="AA344" s="779"/>
      <c r="AU344" s="779"/>
      <c r="AV344" s="779"/>
      <c r="AW344" s="779"/>
      <c r="AX344" s="779"/>
    </row>
    <row r="345">
      <c r="B345" s="779"/>
      <c r="C345" s="779"/>
      <c r="D345" s="779"/>
      <c r="X345" s="779"/>
      <c r="AA345" s="779"/>
      <c r="AU345" s="779"/>
      <c r="AV345" s="779"/>
      <c r="AW345" s="779"/>
      <c r="AX345" s="779"/>
    </row>
    <row r="346">
      <c r="B346" s="779"/>
      <c r="C346" s="779"/>
      <c r="D346" s="779"/>
      <c r="X346" s="779"/>
      <c r="AA346" s="779"/>
      <c r="AU346" s="779"/>
      <c r="AV346" s="779"/>
      <c r="AW346" s="779"/>
      <c r="AX346" s="779"/>
    </row>
    <row r="347">
      <c r="B347" s="779"/>
      <c r="C347" s="779"/>
      <c r="D347" s="779"/>
      <c r="X347" s="779"/>
      <c r="AA347" s="779"/>
      <c r="AU347" s="779"/>
      <c r="AV347" s="779"/>
      <c r="AW347" s="779"/>
      <c r="AX347" s="779"/>
    </row>
    <row r="348">
      <c r="B348" s="779"/>
      <c r="C348" s="779"/>
      <c r="D348" s="779"/>
      <c r="X348" s="779"/>
      <c r="AA348" s="779"/>
      <c r="AU348" s="779"/>
      <c r="AV348" s="779"/>
      <c r="AW348" s="779"/>
      <c r="AX348" s="779"/>
    </row>
    <row r="349">
      <c r="B349" s="779"/>
      <c r="C349" s="779"/>
      <c r="D349" s="779"/>
      <c r="X349" s="779"/>
      <c r="AA349" s="779"/>
      <c r="AU349" s="779"/>
      <c r="AV349" s="779"/>
      <c r="AW349" s="779"/>
      <c r="AX349" s="779"/>
    </row>
    <row r="350">
      <c r="B350" s="779"/>
      <c r="C350" s="779"/>
      <c r="D350" s="779"/>
      <c r="X350" s="779"/>
      <c r="AA350" s="779"/>
      <c r="AU350" s="779"/>
      <c r="AV350" s="779"/>
      <c r="AW350" s="779"/>
      <c r="AX350" s="779"/>
    </row>
    <row r="351">
      <c r="B351" s="779"/>
      <c r="C351" s="779"/>
      <c r="D351" s="779"/>
      <c r="X351" s="779"/>
      <c r="AA351" s="779"/>
      <c r="AU351" s="779"/>
      <c r="AV351" s="779"/>
      <c r="AW351" s="779"/>
      <c r="AX351" s="779"/>
    </row>
    <row r="352">
      <c r="B352" s="779"/>
      <c r="C352" s="779"/>
      <c r="D352" s="779"/>
      <c r="X352" s="779"/>
      <c r="AA352" s="779"/>
      <c r="AU352" s="779"/>
      <c r="AV352" s="779"/>
      <c r="AW352" s="779"/>
      <c r="AX352" s="779"/>
    </row>
    <row r="353">
      <c r="B353" s="779"/>
      <c r="C353" s="779"/>
      <c r="D353" s="779"/>
      <c r="X353" s="779"/>
      <c r="AA353" s="779"/>
      <c r="AU353" s="779"/>
      <c r="AV353" s="779"/>
      <c r="AW353" s="779"/>
      <c r="AX353" s="779"/>
    </row>
    <row r="354">
      <c r="B354" s="779"/>
      <c r="C354" s="779"/>
      <c r="D354" s="779"/>
      <c r="X354" s="779"/>
      <c r="AA354" s="779"/>
      <c r="AU354" s="779"/>
      <c r="AV354" s="779"/>
      <c r="AW354" s="779"/>
      <c r="AX354" s="779"/>
    </row>
    <row r="355">
      <c r="B355" s="779"/>
      <c r="C355" s="779"/>
      <c r="D355" s="779"/>
      <c r="X355" s="779"/>
      <c r="AA355" s="779"/>
      <c r="AU355" s="779"/>
      <c r="AV355" s="779"/>
      <c r="AW355" s="779"/>
      <c r="AX355" s="779"/>
    </row>
    <row r="356">
      <c r="B356" s="779"/>
      <c r="C356" s="779"/>
      <c r="D356" s="779"/>
      <c r="X356" s="779"/>
      <c r="AA356" s="779"/>
      <c r="AU356" s="779"/>
      <c r="AV356" s="779"/>
      <c r="AW356" s="779"/>
      <c r="AX356" s="779"/>
    </row>
    <row r="357">
      <c r="B357" s="779"/>
      <c r="C357" s="779"/>
      <c r="D357" s="779"/>
      <c r="X357" s="779"/>
      <c r="AA357" s="779"/>
      <c r="AU357" s="779"/>
      <c r="AV357" s="779"/>
      <c r="AW357" s="779"/>
      <c r="AX357" s="779"/>
    </row>
    <row r="358">
      <c r="B358" s="779"/>
      <c r="C358" s="779"/>
      <c r="D358" s="779"/>
      <c r="X358" s="779"/>
      <c r="AA358" s="779"/>
      <c r="AU358" s="779"/>
      <c r="AV358" s="779"/>
      <c r="AW358" s="779"/>
      <c r="AX358" s="779"/>
    </row>
    <row r="359">
      <c r="B359" s="779"/>
      <c r="C359" s="779"/>
      <c r="D359" s="779"/>
      <c r="X359" s="779"/>
      <c r="AA359" s="779"/>
      <c r="AU359" s="779"/>
      <c r="AV359" s="779"/>
      <c r="AW359" s="779"/>
      <c r="AX359" s="779"/>
    </row>
    <row r="360">
      <c r="B360" s="779"/>
      <c r="C360" s="779"/>
      <c r="D360" s="779"/>
      <c r="X360" s="779"/>
      <c r="AA360" s="779"/>
      <c r="AU360" s="779"/>
      <c r="AV360" s="779"/>
      <c r="AW360" s="779"/>
      <c r="AX360" s="779"/>
    </row>
    <row r="361">
      <c r="B361" s="779"/>
      <c r="C361" s="779"/>
      <c r="D361" s="779"/>
      <c r="X361" s="779"/>
      <c r="AA361" s="779"/>
      <c r="AU361" s="779"/>
      <c r="AV361" s="779"/>
      <c r="AW361" s="779"/>
      <c r="AX361" s="779"/>
    </row>
    <row r="362">
      <c r="B362" s="779"/>
      <c r="C362" s="779"/>
      <c r="D362" s="779"/>
      <c r="X362" s="779"/>
      <c r="AA362" s="779"/>
      <c r="AU362" s="779"/>
      <c r="AV362" s="779"/>
      <c r="AW362" s="779"/>
      <c r="AX362" s="779"/>
    </row>
    <row r="363">
      <c r="B363" s="779"/>
      <c r="C363" s="779"/>
      <c r="D363" s="779"/>
      <c r="X363" s="779"/>
      <c r="AA363" s="779"/>
      <c r="AU363" s="779"/>
      <c r="AV363" s="779"/>
      <c r="AW363" s="779"/>
      <c r="AX363" s="779"/>
    </row>
    <row r="364">
      <c r="B364" s="779"/>
      <c r="C364" s="779"/>
      <c r="D364" s="779"/>
      <c r="X364" s="779"/>
      <c r="AA364" s="779"/>
      <c r="AU364" s="779"/>
      <c r="AV364" s="779"/>
      <c r="AW364" s="779"/>
      <c r="AX364" s="779"/>
    </row>
    <row r="365">
      <c r="B365" s="779"/>
      <c r="C365" s="779"/>
      <c r="D365" s="779"/>
      <c r="X365" s="779"/>
      <c r="AA365" s="779"/>
      <c r="AU365" s="779"/>
      <c r="AV365" s="779"/>
      <c r="AW365" s="779"/>
      <c r="AX365" s="779"/>
    </row>
    <row r="366">
      <c r="B366" s="779"/>
      <c r="C366" s="779"/>
      <c r="D366" s="779"/>
      <c r="X366" s="779"/>
      <c r="AA366" s="779"/>
      <c r="AU366" s="779"/>
      <c r="AV366" s="779"/>
      <c r="AW366" s="779"/>
      <c r="AX366" s="779"/>
    </row>
    <row r="367">
      <c r="B367" s="779"/>
      <c r="C367" s="779"/>
      <c r="D367" s="779"/>
      <c r="X367" s="779"/>
      <c r="AA367" s="779"/>
      <c r="AU367" s="779"/>
      <c r="AV367" s="779"/>
      <c r="AW367" s="779"/>
      <c r="AX367" s="779"/>
    </row>
    <row r="368">
      <c r="B368" s="779"/>
      <c r="C368" s="779"/>
      <c r="D368" s="779"/>
      <c r="X368" s="779"/>
      <c r="AA368" s="779"/>
      <c r="AU368" s="779"/>
      <c r="AV368" s="779"/>
      <c r="AW368" s="779"/>
      <c r="AX368" s="779"/>
    </row>
    <row r="369">
      <c r="B369" s="779"/>
      <c r="C369" s="779"/>
      <c r="D369" s="779"/>
      <c r="X369" s="779"/>
      <c r="AA369" s="779"/>
      <c r="AU369" s="779"/>
      <c r="AV369" s="779"/>
      <c r="AW369" s="779"/>
      <c r="AX369" s="779"/>
    </row>
    <row r="370">
      <c r="B370" s="779"/>
      <c r="C370" s="779"/>
      <c r="D370" s="779"/>
      <c r="X370" s="779"/>
      <c r="AA370" s="779"/>
      <c r="AU370" s="779"/>
      <c r="AV370" s="779"/>
      <c r="AW370" s="779"/>
      <c r="AX370" s="779"/>
    </row>
    <row r="371">
      <c r="B371" s="779"/>
      <c r="C371" s="779"/>
      <c r="D371" s="779"/>
      <c r="X371" s="779"/>
      <c r="AA371" s="779"/>
      <c r="AU371" s="779"/>
      <c r="AV371" s="779"/>
      <c r="AW371" s="779"/>
      <c r="AX371" s="779"/>
    </row>
    <row r="372">
      <c r="B372" s="779"/>
      <c r="C372" s="779"/>
      <c r="D372" s="779"/>
      <c r="X372" s="779"/>
      <c r="AA372" s="779"/>
      <c r="AU372" s="779"/>
      <c r="AV372" s="779"/>
      <c r="AW372" s="779"/>
      <c r="AX372" s="779"/>
    </row>
    <row r="373">
      <c r="B373" s="779"/>
      <c r="C373" s="779"/>
      <c r="D373" s="779"/>
      <c r="X373" s="779"/>
      <c r="AA373" s="779"/>
      <c r="AU373" s="779"/>
      <c r="AV373" s="779"/>
      <c r="AW373" s="779"/>
      <c r="AX373" s="779"/>
    </row>
    <row r="374">
      <c r="B374" s="779"/>
      <c r="C374" s="779"/>
      <c r="D374" s="779"/>
      <c r="X374" s="779"/>
      <c r="AA374" s="779"/>
      <c r="AU374" s="779"/>
      <c r="AV374" s="779"/>
      <c r="AW374" s="779"/>
      <c r="AX374" s="779"/>
    </row>
    <row r="375">
      <c r="B375" s="779"/>
      <c r="C375" s="779"/>
      <c r="D375" s="779"/>
      <c r="X375" s="779"/>
      <c r="AA375" s="779"/>
      <c r="AU375" s="779"/>
      <c r="AV375" s="779"/>
      <c r="AW375" s="779"/>
      <c r="AX375" s="779"/>
    </row>
    <row r="376">
      <c r="B376" s="779"/>
      <c r="C376" s="779"/>
      <c r="D376" s="779"/>
      <c r="X376" s="779"/>
      <c r="AA376" s="779"/>
      <c r="AU376" s="779"/>
      <c r="AV376" s="779"/>
      <c r="AW376" s="779"/>
      <c r="AX376" s="779"/>
    </row>
    <row r="377">
      <c r="B377" s="779"/>
      <c r="C377" s="779"/>
      <c r="D377" s="779"/>
      <c r="X377" s="779"/>
      <c r="AA377" s="779"/>
      <c r="AU377" s="779"/>
      <c r="AV377" s="779"/>
      <c r="AW377" s="779"/>
      <c r="AX377" s="779"/>
    </row>
    <row r="378">
      <c r="B378" s="779"/>
      <c r="C378" s="779"/>
      <c r="D378" s="779"/>
      <c r="X378" s="779"/>
      <c r="AA378" s="779"/>
      <c r="AU378" s="779"/>
      <c r="AV378" s="779"/>
      <c r="AW378" s="779"/>
      <c r="AX378" s="779"/>
    </row>
    <row r="379">
      <c r="B379" s="779"/>
      <c r="C379" s="779"/>
      <c r="D379" s="779"/>
      <c r="X379" s="779"/>
      <c r="AA379" s="779"/>
      <c r="AU379" s="779"/>
      <c r="AV379" s="779"/>
      <c r="AW379" s="779"/>
      <c r="AX379" s="779"/>
    </row>
    <row r="380">
      <c r="B380" s="779"/>
      <c r="C380" s="779"/>
      <c r="D380" s="779"/>
      <c r="X380" s="779"/>
      <c r="AA380" s="779"/>
      <c r="AU380" s="779"/>
      <c r="AV380" s="779"/>
      <c r="AW380" s="779"/>
      <c r="AX380" s="779"/>
    </row>
    <row r="381">
      <c r="B381" s="779"/>
      <c r="C381" s="779"/>
      <c r="D381" s="779"/>
      <c r="X381" s="779"/>
      <c r="AA381" s="779"/>
      <c r="AU381" s="779"/>
      <c r="AV381" s="779"/>
      <c r="AW381" s="779"/>
      <c r="AX381" s="779"/>
    </row>
    <row r="382">
      <c r="B382" s="779"/>
      <c r="C382" s="779"/>
      <c r="D382" s="779"/>
      <c r="X382" s="779"/>
      <c r="AA382" s="779"/>
      <c r="AU382" s="779"/>
      <c r="AV382" s="779"/>
      <c r="AW382" s="779"/>
      <c r="AX382" s="779"/>
    </row>
    <row r="383">
      <c r="B383" s="779"/>
      <c r="C383" s="779"/>
      <c r="D383" s="779"/>
      <c r="X383" s="779"/>
      <c r="AA383" s="779"/>
      <c r="AU383" s="779"/>
      <c r="AV383" s="779"/>
      <c r="AW383" s="779"/>
      <c r="AX383" s="779"/>
    </row>
    <row r="384">
      <c r="B384" s="779"/>
      <c r="C384" s="779"/>
      <c r="D384" s="779"/>
      <c r="X384" s="779"/>
      <c r="AA384" s="779"/>
      <c r="AU384" s="779"/>
      <c r="AV384" s="779"/>
      <c r="AW384" s="779"/>
      <c r="AX384" s="779"/>
    </row>
    <row r="385">
      <c r="B385" s="779"/>
      <c r="C385" s="779"/>
      <c r="D385" s="779"/>
      <c r="X385" s="779"/>
      <c r="AA385" s="779"/>
      <c r="AU385" s="779"/>
      <c r="AV385" s="779"/>
      <c r="AW385" s="779"/>
      <c r="AX385" s="779"/>
    </row>
    <row r="386">
      <c r="B386" s="779"/>
      <c r="C386" s="779"/>
      <c r="D386" s="779"/>
      <c r="X386" s="779"/>
      <c r="AA386" s="779"/>
      <c r="AU386" s="779"/>
      <c r="AV386" s="779"/>
      <c r="AW386" s="779"/>
      <c r="AX386" s="779"/>
    </row>
    <row r="387">
      <c r="B387" s="779"/>
      <c r="C387" s="779"/>
      <c r="D387" s="779"/>
      <c r="X387" s="779"/>
      <c r="AA387" s="779"/>
      <c r="AU387" s="779"/>
      <c r="AV387" s="779"/>
      <c r="AW387" s="779"/>
      <c r="AX387" s="779"/>
    </row>
    <row r="388">
      <c r="B388" s="779"/>
      <c r="C388" s="779"/>
      <c r="D388" s="779"/>
      <c r="X388" s="779"/>
      <c r="AA388" s="779"/>
      <c r="AU388" s="779"/>
      <c r="AV388" s="779"/>
      <c r="AW388" s="779"/>
      <c r="AX388" s="779"/>
    </row>
    <row r="389">
      <c r="B389" s="779"/>
      <c r="C389" s="779"/>
      <c r="D389" s="779"/>
      <c r="X389" s="779"/>
      <c r="AA389" s="779"/>
      <c r="AU389" s="779"/>
      <c r="AV389" s="779"/>
      <c r="AW389" s="779"/>
      <c r="AX389" s="779"/>
    </row>
    <row r="390">
      <c r="B390" s="779"/>
      <c r="C390" s="779"/>
      <c r="D390" s="779"/>
      <c r="X390" s="779"/>
      <c r="AA390" s="779"/>
      <c r="AU390" s="779"/>
      <c r="AV390" s="779"/>
      <c r="AW390" s="779"/>
      <c r="AX390" s="779"/>
    </row>
    <row r="391">
      <c r="B391" s="779"/>
      <c r="C391" s="779"/>
      <c r="D391" s="779"/>
      <c r="X391" s="779"/>
      <c r="AA391" s="779"/>
      <c r="AU391" s="779"/>
      <c r="AV391" s="779"/>
      <c r="AW391" s="779"/>
      <c r="AX391" s="779"/>
    </row>
    <row r="392">
      <c r="B392" s="779"/>
      <c r="C392" s="779"/>
      <c r="D392" s="779"/>
      <c r="X392" s="779"/>
      <c r="AA392" s="779"/>
      <c r="AU392" s="779"/>
      <c r="AV392" s="779"/>
      <c r="AW392" s="779"/>
      <c r="AX392" s="779"/>
    </row>
    <row r="393">
      <c r="B393" s="779"/>
      <c r="C393" s="779"/>
      <c r="D393" s="779"/>
      <c r="X393" s="779"/>
      <c r="AA393" s="779"/>
      <c r="AU393" s="779"/>
      <c r="AV393" s="779"/>
      <c r="AW393" s="779"/>
      <c r="AX393" s="779"/>
    </row>
    <row r="394">
      <c r="B394" s="779"/>
      <c r="C394" s="779"/>
      <c r="D394" s="779"/>
      <c r="X394" s="779"/>
      <c r="AA394" s="779"/>
      <c r="AU394" s="779"/>
      <c r="AV394" s="779"/>
      <c r="AW394" s="779"/>
      <c r="AX394" s="779"/>
    </row>
    <row r="395">
      <c r="B395" s="779"/>
      <c r="C395" s="779"/>
      <c r="D395" s="779"/>
      <c r="X395" s="779"/>
      <c r="AA395" s="779"/>
      <c r="AU395" s="779"/>
      <c r="AV395" s="779"/>
      <c r="AW395" s="779"/>
      <c r="AX395" s="779"/>
    </row>
    <row r="396">
      <c r="B396" s="779"/>
      <c r="C396" s="779"/>
      <c r="D396" s="779"/>
      <c r="X396" s="779"/>
      <c r="AA396" s="779"/>
      <c r="AU396" s="779"/>
      <c r="AV396" s="779"/>
      <c r="AW396" s="779"/>
      <c r="AX396" s="779"/>
    </row>
    <row r="397">
      <c r="B397" s="779"/>
      <c r="C397" s="779"/>
      <c r="D397" s="779"/>
      <c r="X397" s="779"/>
      <c r="AA397" s="779"/>
      <c r="AU397" s="779"/>
      <c r="AV397" s="779"/>
      <c r="AW397" s="779"/>
      <c r="AX397" s="779"/>
    </row>
    <row r="398">
      <c r="B398" s="779"/>
      <c r="C398" s="779"/>
      <c r="D398" s="779"/>
      <c r="X398" s="779"/>
      <c r="AA398" s="779"/>
      <c r="AU398" s="779"/>
      <c r="AV398" s="779"/>
      <c r="AW398" s="779"/>
      <c r="AX398" s="779"/>
    </row>
    <row r="399">
      <c r="B399" s="779"/>
      <c r="C399" s="779"/>
      <c r="D399" s="779"/>
      <c r="X399" s="779"/>
      <c r="AA399" s="779"/>
      <c r="AU399" s="779"/>
      <c r="AV399" s="779"/>
      <c r="AW399" s="779"/>
      <c r="AX399" s="779"/>
    </row>
    <row r="400">
      <c r="B400" s="779"/>
      <c r="C400" s="779"/>
      <c r="D400" s="779"/>
      <c r="X400" s="779"/>
      <c r="AA400" s="779"/>
      <c r="AU400" s="779"/>
      <c r="AV400" s="779"/>
      <c r="AW400" s="779"/>
      <c r="AX400" s="779"/>
    </row>
    <row r="401">
      <c r="B401" s="779"/>
      <c r="C401" s="779"/>
      <c r="D401" s="779"/>
      <c r="X401" s="779"/>
      <c r="AA401" s="779"/>
      <c r="AU401" s="779"/>
      <c r="AV401" s="779"/>
      <c r="AW401" s="779"/>
      <c r="AX401" s="779"/>
    </row>
    <row r="402">
      <c r="B402" s="779"/>
      <c r="C402" s="779"/>
      <c r="D402" s="779"/>
      <c r="X402" s="779"/>
      <c r="AA402" s="779"/>
      <c r="AU402" s="779"/>
      <c r="AV402" s="779"/>
      <c r="AW402" s="779"/>
      <c r="AX402" s="779"/>
    </row>
    <row r="403">
      <c r="B403" s="779"/>
      <c r="C403" s="779"/>
      <c r="D403" s="779"/>
      <c r="X403" s="779"/>
      <c r="AA403" s="779"/>
      <c r="AU403" s="779"/>
      <c r="AV403" s="779"/>
      <c r="AW403" s="779"/>
      <c r="AX403" s="779"/>
    </row>
    <row r="404">
      <c r="B404" s="779"/>
      <c r="C404" s="779"/>
      <c r="D404" s="779"/>
      <c r="X404" s="779"/>
      <c r="AA404" s="779"/>
      <c r="AU404" s="779"/>
      <c r="AV404" s="779"/>
      <c r="AW404" s="779"/>
      <c r="AX404" s="779"/>
    </row>
    <row r="405">
      <c r="B405" s="779"/>
      <c r="C405" s="779"/>
      <c r="D405" s="779"/>
      <c r="X405" s="779"/>
      <c r="AA405" s="779"/>
      <c r="AU405" s="779"/>
      <c r="AV405" s="779"/>
      <c r="AW405" s="779"/>
      <c r="AX405" s="779"/>
    </row>
    <row r="406">
      <c r="B406" s="779"/>
      <c r="C406" s="779"/>
      <c r="D406" s="779"/>
      <c r="X406" s="779"/>
      <c r="AA406" s="779"/>
      <c r="AU406" s="779"/>
      <c r="AV406" s="779"/>
      <c r="AW406" s="779"/>
      <c r="AX406" s="779"/>
    </row>
    <row r="407">
      <c r="B407" s="779"/>
      <c r="C407" s="779"/>
      <c r="D407" s="779"/>
      <c r="X407" s="779"/>
      <c r="AA407" s="779"/>
      <c r="AU407" s="779"/>
      <c r="AV407" s="779"/>
      <c r="AW407" s="779"/>
      <c r="AX407" s="779"/>
    </row>
    <row r="408">
      <c r="B408" s="779"/>
      <c r="C408" s="779"/>
      <c r="D408" s="779"/>
      <c r="X408" s="779"/>
      <c r="AA408" s="779"/>
      <c r="AU408" s="779"/>
      <c r="AV408" s="779"/>
      <c r="AW408" s="779"/>
      <c r="AX408" s="779"/>
    </row>
    <row r="409">
      <c r="B409" s="779"/>
      <c r="C409" s="779"/>
      <c r="D409" s="779"/>
      <c r="X409" s="779"/>
      <c r="AA409" s="779"/>
      <c r="AU409" s="779"/>
      <c r="AV409" s="779"/>
      <c r="AW409" s="779"/>
      <c r="AX409" s="779"/>
    </row>
    <row r="410">
      <c r="B410" s="779"/>
      <c r="C410" s="779"/>
      <c r="D410" s="779"/>
      <c r="X410" s="779"/>
      <c r="AA410" s="779"/>
      <c r="AU410" s="779"/>
      <c r="AV410" s="779"/>
      <c r="AW410" s="779"/>
      <c r="AX410" s="779"/>
    </row>
    <row r="411">
      <c r="B411" s="779"/>
      <c r="C411" s="779"/>
      <c r="D411" s="779"/>
      <c r="X411" s="779"/>
      <c r="AA411" s="779"/>
      <c r="AU411" s="779"/>
      <c r="AV411" s="779"/>
      <c r="AW411" s="779"/>
      <c r="AX411" s="779"/>
    </row>
    <row r="412">
      <c r="B412" s="779"/>
      <c r="C412" s="779"/>
      <c r="D412" s="779"/>
      <c r="X412" s="779"/>
      <c r="AA412" s="779"/>
      <c r="AU412" s="779"/>
      <c r="AV412" s="779"/>
      <c r="AW412" s="779"/>
      <c r="AX412" s="779"/>
    </row>
    <row r="413">
      <c r="B413" s="779"/>
      <c r="C413" s="779"/>
      <c r="D413" s="779"/>
      <c r="X413" s="779"/>
      <c r="AA413" s="779"/>
      <c r="AU413" s="779"/>
      <c r="AV413" s="779"/>
      <c r="AW413" s="779"/>
      <c r="AX413" s="779"/>
    </row>
    <row r="414">
      <c r="B414" s="779"/>
      <c r="C414" s="779"/>
      <c r="D414" s="779"/>
      <c r="X414" s="779"/>
      <c r="AA414" s="779"/>
      <c r="AU414" s="779"/>
      <c r="AV414" s="779"/>
      <c r="AW414" s="779"/>
      <c r="AX414" s="779"/>
    </row>
    <row r="415">
      <c r="B415" s="779"/>
      <c r="C415" s="779"/>
      <c r="D415" s="779"/>
      <c r="X415" s="779"/>
      <c r="AA415" s="779"/>
      <c r="AU415" s="779"/>
      <c r="AV415" s="779"/>
      <c r="AW415" s="779"/>
      <c r="AX415" s="779"/>
    </row>
    <row r="416">
      <c r="B416" s="779"/>
      <c r="C416" s="779"/>
      <c r="D416" s="779"/>
      <c r="X416" s="779"/>
      <c r="AA416" s="779"/>
      <c r="AU416" s="779"/>
      <c r="AV416" s="779"/>
      <c r="AW416" s="779"/>
      <c r="AX416" s="779"/>
    </row>
    <row r="417">
      <c r="B417" s="779"/>
      <c r="C417" s="779"/>
      <c r="D417" s="779"/>
      <c r="X417" s="779"/>
      <c r="AA417" s="779"/>
      <c r="AU417" s="779"/>
      <c r="AV417" s="779"/>
      <c r="AW417" s="779"/>
      <c r="AX417" s="779"/>
    </row>
    <row r="418">
      <c r="B418" s="779"/>
      <c r="C418" s="779"/>
      <c r="D418" s="779"/>
      <c r="X418" s="779"/>
      <c r="AA418" s="779"/>
      <c r="AU418" s="779"/>
      <c r="AV418" s="779"/>
      <c r="AW418" s="779"/>
      <c r="AX418" s="779"/>
    </row>
    <row r="419">
      <c r="B419" s="779"/>
      <c r="C419" s="779"/>
      <c r="D419" s="779"/>
      <c r="X419" s="779"/>
      <c r="AA419" s="779"/>
      <c r="AU419" s="779"/>
      <c r="AV419" s="779"/>
      <c r="AW419" s="779"/>
      <c r="AX419" s="779"/>
    </row>
    <row r="420">
      <c r="B420" s="779"/>
      <c r="C420" s="779"/>
      <c r="D420" s="779"/>
      <c r="X420" s="779"/>
      <c r="AA420" s="779"/>
      <c r="AU420" s="779"/>
      <c r="AV420" s="779"/>
      <c r="AW420" s="779"/>
      <c r="AX420" s="779"/>
    </row>
    <row r="421">
      <c r="B421" s="779"/>
      <c r="C421" s="779"/>
      <c r="D421" s="779"/>
      <c r="X421" s="779"/>
      <c r="AA421" s="779"/>
      <c r="AU421" s="779"/>
      <c r="AV421" s="779"/>
      <c r="AW421" s="779"/>
      <c r="AX421" s="779"/>
    </row>
    <row r="422">
      <c r="B422" s="779"/>
      <c r="C422" s="779"/>
      <c r="D422" s="779"/>
      <c r="X422" s="779"/>
      <c r="AA422" s="779"/>
      <c r="AU422" s="779"/>
      <c r="AV422" s="779"/>
      <c r="AW422" s="779"/>
      <c r="AX422" s="779"/>
    </row>
    <row r="423">
      <c r="B423" s="779"/>
      <c r="C423" s="779"/>
      <c r="D423" s="779"/>
      <c r="X423" s="779"/>
      <c r="AA423" s="779"/>
      <c r="AU423" s="779"/>
      <c r="AV423" s="779"/>
      <c r="AW423" s="779"/>
      <c r="AX423" s="779"/>
    </row>
    <row r="424">
      <c r="B424" s="779"/>
      <c r="C424" s="779"/>
      <c r="D424" s="779"/>
      <c r="X424" s="779"/>
      <c r="AA424" s="779"/>
      <c r="AU424" s="779"/>
      <c r="AV424" s="779"/>
      <c r="AW424" s="779"/>
      <c r="AX424" s="779"/>
    </row>
    <row r="425">
      <c r="B425" s="779"/>
      <c r="C425" s="779"/>
      <c r="D425" s="779"/>
      <c r="X425" s="779"/>
      <c r="AA425" s="779"/>
      <c r="AU425" s="779"/>
      <c r="AV425" s="779"/>
      <c r="AW425" s="779"/>
      <c r="AX425" s="779"/>
    </row>
    <row r="426">
      <c r="B426" s="779"/>
      <c r="C426" s="779"/>
      <c r="D426" s="779"/>
      <c r="X426" s="779"/>
      <c r="AA426" s="779"/>
      <c r="AU426" s="779"/>
      <c r="AV426" s="779"/>
      <c r="AW426" s="779"/>
      <c r="AX426" s="779"/>
    </row>
    <row r="427">
      <c r="B427" s="779"/>
      <c r="C427" s="779"/>
      <c r="D427" s="779"/>
      <c r="X427" s="779"/>
      <c r="AA427" s="779"/>
      <c r="AU427" s="779"/>
      <c r="AV427" s="779"/>
      <c r="AW427" s="779"/>
      <c r="AX427" s="779"/>
    </row>
    <row r="428">
      <c r="B428" s="779"/>
      <c r="C428" s="779"/>
      <c r="D428" s="779"/>
      <c r="X428" s="779"/>
      <c r="AA428" s="779"/>
      <c r="AU428" s="779"/>
      <c r="AV428" s="779"/>
      <c r="AW428" s="779"/>
      <c r="AX428" s="779"/>
    </row>
    <row r="429">
      <c r="B429" s="779"/>
      <c r="C429" s="779"/>
      <c r="D429" s="779"/>
      <c r="X429" s="779"/>
      <c r="AA429" s="779"/>
      <c r="AU429" s="779"/>
      <c r="AV429" s="779"/>
      <c r="AW429" s="779"/>
      <c r="AX429" s="779"/>
    </row>
    <row r="430">
      <c r="B430" s="779"/>
      <c r="C430" s="779"/>
      <c r="D430" s="779"/>
      <c r="X430" s="779"/>
      <c r="AA430" s="779"/>
      <c r="AU430" s="779"/>
      <c r="AV430" s="779"/>
      <c r="AW430" s="779"/>
      <c r="AX430" s="779"/>
    </row>
    <row r="431">
      <c r="B431" s="779"/>
      <c r="C431" s="779"/>
      <c r="D431" s="779"/>
      <c r="X431" s="779"/>
      <c r="AA431" s="779"/>
      <c r="AU431" s="779"/>
      <c r="AV431" s="779"/>
      <c r="AW431" s="779"/>
      <c r="AX431" s="779"/>
    </row>
    <row r="432">
      <c r="B432" s="779"/>
      <c r="C432" s="779"/>
      <c r="D432" s="779"/>
      <c r="X432" s="779"/>
      <c r="AA432" s="779"/>
      <c r="AU432" s="779"/>
      <c r="AV432" s="779"/>
      <c r="AW432" s="779"/>
      <c r="AX432" s="779"/>
    </row>
    <row r="433">
      <c r="B433" s="779"/>
      <c r="C433" s="779"/>
      <c r="D433" s="779"/>
      <c r="X433" s="779"/>
      <c r="AA433" s="779"/>
      <c r="AU433" s="779"/>
      <c r="AV433" s="779"/>
      <c r="AW433" s="779"/>
      <c r="AX433" s="779"/>
    </row>
    <row r="434">
      <c r="B434" s="779"/>
      <c r="C434" s="779"/>
      <c r="D434" s="779"/>
      <c r="X434" s="779"/>
      <c r="AA434" s="779"/>
      <c r="AU434" s="779"/>
      <c r="AV434" s="779"/>
      <c r="AW434" s="779"/>
      <c r="AX434" s="779"/>
    </row>
    <row r="435">
      <c r="B435" s="779"/>
      <c r="C435" s="779"/>
      <c r="D435" s="779"/>
      <c r="X435" s="779"/>
      <c r="AA435" s="779"/>
      <c r="AU435" s="779"/>
      <c r="AV435" s="779"/>
      <c r="AW435" s="779"/>
      <c r="AX435" s="779"/>
    </row>
    <row r="436">
      <c r="B436" s="779"/>
      <c r="C436" s="779"/>
      <c r="D436" s="779"/>
      <c r="X436" s="779"/>
      <c r="AA436" s="779"/>
      <c r="AU436" s="779"/>
      <c r="AV436" s="779"/>
      <c r="AW436" s="779"/>
      <c r="AX436" s="779"/>
    </row>
    <row r="437">
      <c r="B437" s="779"/>
      <c r="C437" s="779"/>
      <c r="D437" s="779"/>
      <c r="X437" s="779"/>
      <c r="AA437" s="779"/>
      <c r="AU437" s="779"/>
      <c r="AV437" s="779"/>
      <c r="AW437" s="779"/>
      <c r="AX437" s="779"/>
    </row>
    <row r="438">
      <c r="B438" s="779"/>
      <c r="C438" s="779"/>
      <c r="D438" s="779"/>
      <c r="X438" s="779"/>
      <c r="AA438" s="779"/>
      <c r="AU438" s="779"/>
      <c r="AV438" s="779"/>
      <c r="AW438" s="779"/>
      <c r="AX438" s="779"/>
    </row>
    <row r="439">
      <c r="B439" s="779"/>
      <c r="C439" s="779"/>
      <c r="D439" s="779"/>
      <c r="X439" s="779"/>
      <c r="AA439" s="779"/>
      <c r="AU439" s="779"/>
      <c r="AV439" s="779"/>
      <c r="AW439" s="779"/>
      <c r="AX439" s="779"/>
    </row>
    <row r="440">
      <c r="B440" s="779"/>
      <c r="C440" s="779"/>
      <c r="D440" s="779"/>
      <c r="X440" s="779"/>
      <c r="AA440" s="779"/>
      <c r="AU440" s="779"/>
      <c r="AV440" s="779"/>
      <c r="AW440" s="779"/>
      <c r="AX440" s="779"/>
    </row>
    <row r="441">
      <c r="B441" s="779"/>
      <c r="C441" s="779"/>
      <c r="D441" s="779"/>
      <c r="X441" s="779"/>
      <c r="AA441" s="779"/>
      <c r="AU441" s="779"/>
      <c r="AV441" s="779"/>
      <c r="AW441" s="779"/>
      <c r="AX441" s="779"/>
    </row>
    <row r="442">
      <c r="B442" s="779"/>
      <c r="C442" s="779"/>
      <c r="D442" s="779"/>
      <c r="X442" s="779"/>
      <c r="AA442" s="779"/>
      <c r="AU442" s="779"/>
      <c r="AV442" s="779"/>
      <c r="AW442" s="779"/>
      <c r="AX442" s="779"/>
    </row>
    <row r="443">
      <c r="B443" s="779"/>
      <c r="C443" s="779"/>
      <c r="D443" s="779"/>
      <c r="X443" s="779"/>
      <c r="AA443" s="779"/>
      <c r="AU443" s="779"/>
      <c r="AV443" s="779"/>
      <c r="AW443" s="779"/>
      <c r="AX443" s="779"/>
    </row>
    <row r="444">
      <c r="B444" s="779"/>
      <c r="C444" s="779"/>
      <c r="D444" s="779"/>
      <c r="X444" s="779"/>
      <c r="AA444" s="779"/>
      <c r="AU444" s="779"/>
      <c r="AV444" s="779"/>
      <c r="AW444" s="779"/>
      <c r="AX444" s="779"/>
    </row>
    <row r="445">
      <c r="B445" s="779"/>
      <c r="C445" s="779"/>
      <c r="D445" s="779"/>
      <c r="X445" s="779"/>
      <c r="AA445" s="779"/>
      <c r="AU445" s="779"/>
      <c r="AV445" s="779"/>
      <c r="AW445" s="779"/>
      <c r="AX445" s="779"/>
    </row>
    <row r="446">
      <c r="B446" s="779"/>
      <c r="C446" s="779"/>
      <c r="D446" s="779"/>
      <c r="X446" s="779"/>
      <c r="AA446" s="779"/>
      <c r="AU446" s="779"/>
      <c r="AV446" s="779"/>
      <c r="AW446" s="779"/>
      <c r="AX446" s="779"/>
    </row>
    <row r="447">
      <c r="B447" s="779"/>
      <c r="C447" s="779"/>
      <c r="D447" s="779"/>
      <c r="X447" s="779"/>
      <c r="AA447" s="779"/>
      <c r="AU447" s="779"/>
      <c r="AV447" s="779"/>
      <c r="AW447" s="779"/>
      <c r="AX447" s="779"/>
    </row>
    <row r="448">
      <c r="B448" s="779"/>
      <c r="C448" s="779"/>
      <c r="D448" s="779"/>
      <c r="X448" s="779"/>
      <c r="AA448" s="779"/>
      <c r="AU448" s="779"/>
      <c r="AV448" s="779"/>
      <c r="AW448" s="779"/>
      <c r="AX448" s="779"/>
    </row>
    <row r="449">
      <c r="B449" s="779"/>
      <c r="C449" s="779"/>
      <c r="D449" s="779"/>
      <c r="X449" s="779"/>
      <c r="AA449" s="779"/>
      <c r="AU449" s="779"/>
      <c r="AV449" s="779"/>
      <c r="AW449" s="779"/>
      <c r="AX449" s="779"/>
    </row>
    <row r="450">
      <c r="B450" s="779"/>
      <c r="C450" s="779"/>
      <c r="D450" s="779"/>
      <c r="X450" s="779"/>
      <c r="AA450" s="779"/>
      <c r="AU450" s="779"/>
      <c r="AV450" s="779"/>
      <c r="AW450" s="779"/>
      <c r="AX450" s="779"/>
    </row>
    <row r="451">
      <c r="B451" s="779"/>
      <c r="C451" s="779"/>
      <c r="D451" s="779"/>
      <c r="X451" s="779"/>
      <c r="AA451" s="779"/>
      <c r="AU451" s="779"/>
      <c r="AV451" s="779"/>
      <c r="AW451" s="779"/>
      <c r="AX451" s="779"/>
    </row>
    <row r="452">
      <c r="B452" s="779"/>
      <c r="C452" s="779"/>
      <c r="D452" s="779"/>
      <c r="X452" s="779"/>
      <c r="AA452" s="779"/>
      <c r="AU452" s="779"/>
      <c r="AV452" s="779"/>
      <c r="AW452" s="779"/>
      <c r="AX452" s="779"/>
    </row>
    <row r="453">
      <c r="B453" s="779"/>
      <c r="C453" s="779"/>
      <c r="D453" s="779"/>
      <c r="X453" s="779"/>
      <c r="AA453" s="779"/>
      <c r="AU453" s="779"/>
      <c r="AV453" s="779"/>
      <c r="AW453" s="779"/>
      <c r="AX453" s="779"/>
    </row>
    <row r="454">
      <c r="B454" s="779"/>
      <c r="C454" s="779"/>
      <c r="D454" s="779"/>
      <c r="X454" s="779"/>
      <c r="AA454" s="779"/>
      <c r="AU454" s="779"/>
      <c r="AV454" s="779"/>
      <c r="AW454" s="779"/>
      <c r="AX454" s="779"/>
    </row>
    <row r="455">
      <c r="B455" s="779"/>
      <c r="C455" s="779"/>
      <c r="D455" s="779"/>
      <c r="X455" s="779"/>
      <c r="AA455" s="779"/>
      <c r="AU455" s="779"/>
      <c r="AV455" s="779"/>
      <c r="AW455" s="779"/>
      <c r="AX455" s="779"/>
    </row>
    <row r="456">
      <c r="B456" s="779"/>
      <c r="C456" s="779"/>
      <c r="D456" s="779"/>
      <c r="X456" s="779"/>
      <c r="AA456" s="779"/>
      <c r="AU456" s="779"/>
      <c r="AV456" s="779"/>
      <c r="AW456" s="779"/>
      <c r="AX456" s="779"/>
    </row>
    <row r="457">
      <c r="B457" s="779"/>
      <c r="C457" s="779"/>
      <c r="D457" s="779"/>
      <c r="X457" s="779"/>
      <c r="AA457" s="779"/>
      <c r="AU457" s="779"/>
      <c r="AV457" s="779"/>
      <c r="AW457" s="779"/>
      <c r="AX457" s="779"/>
    </row>
    <row r="458">
      <c r="B458" s="779"/>
      <c r="C458" s="779"/>
      <c r="D458" s="779"/>
      <c r="X458" s="779"/>
      <c r="AA458" s="779"/>
      <c r="AU458" s="779"/>
      <c r="AV458" s="779"/>
      <c r="AW458" s="779"/>
      <c r="AX458" s="779"/>
    </row>
    <row r="459">
      <c r="B459" s="779"/>
      <c r="C459" s="779"/>
      <c r="D459" s="779"/>
      <c r="X459" s="779"/>
      <c r="AA459" s="779"/>
      <c r="AU459" s="779"/>
      <c r="AV459" s="779"/>
      <c r="AW459" s="779"/>
      <c r="AX459" s="779"/>
    </row>
    <row r="460">
      <c r="B460" s="779"/>
      <c r="C460" s="779"/>
      <c r="D460" s="779"/>
      <c r="X460" s="779"/>
      <c r="AA460" s="779"/>
      <c r="AU460" s="779"/>
      <c r="AV460" s="779"/>
      <c r="AW460" s="779"/>
      <c r="AX460" s="779"/>
    </row>
    <row r="461">
      <c r="B461" s="779"/>
      <c r="C461" s="779"/>
      <c r="D461" s="779"/>
      <c r="X461" s="779"/>
      <c r="AA461" s="779"/>
      <c r="AU461" s="779"/>
      <c r="AV461" s="779"/>
      <c r="AW461" s="779"/>
      <c r="AX461" s="779"/>
    </row>
    <row r="462">
      <c r="B462" s="779"/>
      <c r="C462" s="779"/>
      <c r="D462" s="779"/>
      <c r="X462" s="779"/>
      <c r="AA462" s="779"/>
      <c r="AU462" s="779"/>
      <c r="AV462" s="779"/>
      <c r="AW462" s="779"/>
      <c r="AX462" s="779"/>
    </row>
    <row r="463">
      <c r="B463" s="779"/>
      <c r="C463" s="779"/>
      <c r="D463" s="779"/>
      <c r="X463" s="779"/>
      <c r="AA463" s="779"/>
      <c r="AU463" s="779"/>
      <c r="AV463" s="779"/>
      <c r="AW463" s="779"/>
      <c r="AX463" s="779"/>
    </row>
    <row r="464">
      <c r="B464" s="779"/>
      <c r="C464" s="779"/>
      <c r="D464" s="779"/>
      <c r="X464" s="779"/>
      <c r="AA464" s="779"/>
      <c r="AU464" s="779"/>
      <c r="AV464" s="779"/>
      <c r="AW464" s="779"/>
      <c r="AX464" s="779"/>
    </row>
    <row r="465">
      <c r="B465" s="779"/>
      <c r="C465" s="779"/>
      <c r="D465" s="779"/>
      <c r="X465" s="779"/>
      <c r="AA465" s="779"/>
      <c r="AU465" s="779"/>
      <c r="AV465" s="779"/>
      <c r="AW465" s="779"/>
      <c r="AX465" s="779"/>
    </row>
    <row r="466">
      <c r="B466" s="779"/>
      <c r="C466" s="779"/>
      <c r="D466" s="779"/>
      <c r="X466" s="779"/>
      <c r="AA466" s="779"/>
      <c r="AU466" s="779"/>
      <c r="AV466" s="779"/>
      <c r="AW466" s="779"/>
      <c r="AX466" s="779"/>
    </row>
    <row r="467">
      <c r="B467" s="779"/>
      <c r="C467" s="779"/>
      <c r="D467" s="779"/>
      <c r="X467" s="779"/>
      <c r="AA467" s="779"/>
      <c r="AU467" s="779"/>
      <c r="AV467" s="779"/>
      <c r="AW467" s="779"/>
      <c r="AX467" s="779"/>
    </row>
    <row r="468">
      <c r="B468" s="779"/>
      <c r="C468" s="779"/>
      <c r="D468" s="779"/>
      <c r="X468" s="779"/>
      <c r="AA468" s="779"/>
      <c r="AU468" s="779"/>
      <c r="AV468" s="779"/>
      <c r="AW468" s="779"/>
      <c r="AX468" s="779"/>
    </row>
    <row r="469">
      <c r="B469" s="779"/>
      <c r="C469" s="779"/>
      <c r="D469" s="779"/>
      <c r="X469" s="779"/>
      <c r="AA469" s="779"/>
      <c r="AU469" s="779"/>
      <c r="AV469" s="779"/>
      <c r="AW469" s="779"/>
      <c r="AX469" s="779"/>
    </row>
    <row r="470">
      <c r="B470" s="779"/>
      <c r="C470" s="779"/>
      <c r="D470" s="779"/>
      <c r="X470" s="779"/>
      <c r="AA470" s="779"/>
      <c r="AU470" s="779"/>
      <c r="AV470" s="779"/>
      <c r="AW470" s="779"/>
      <c r="AX470" s="779"/>
    </row>
    <row r="471">
      <c r="B471" s="779"/>
      <c r="C471" s="779"/>
      <c r="D471" s="779"/>
      <c r="X471" s="779"/>
      <c r="AA471" s="779"/>
      <c r="AU471" s="779"/>
      <c r="AV471" s="779"/>
      <c r="AW471" s="779"/>
      <c r="AX471" s="779"/>
    </row>
    <row r="472">
      <c r="B472" s="779"/>
      <c r="C472" s="779"/>
      <c r="D472" s="779"/>
      <c r="X472" s="779"/>
      <c r="AA472" s="779"/>
      <c r="AU472" s="779"/>
      <c r="AV472" s="779"/>
      <c r="AW472" s="779"/>
      <c r="AX472" s="779"/>
    </row>
    <row r="473">
      <c r="B473" s="779"/>
      <c r="C473" s="779"/>
      <c r="D473" s="779"/>
      <c r="X473" s="779"/>
      <c r="AA473" s="779"/>
      <c r="AU473" s="779"/>
      <c r="AV473" s="779"/>
      <c r="AW473" s="779"/>
      <c r="AX473" s="779"/>
    </row>
    <row r="474">
      <c r="B474" s="779"/>
      <c r="C474" s="779"/>
      <c r="D474" s="779"/>
      <c r="X474" s="779"/>
      <c r="AA474" s="779"/>
      <c r="AU474" s="779"/>
      <c r="AV474" s="779"/>
      <c r="AW474" s="779"/>
      <c r="AX474" s="779"/>
    </row>
    <row r="475">
      <c r="B475" s="779"/>
      <c r="C475" s="779"/>
      <c r="D475" s="779"/>
      <c r="X475" s="779"/>
      <c r="AA475" s="779"/>
      <c r="AU475" s="779"/>
      <c r="AV475" s="779"/>
      <c r="AW475" s="779"/>
      <c r="AX475" s="779"/>
    </row>
    <row r="476">
      <c r="B476" s="779"/>
      <c r="C476" s="779"/>
      <c r="D476" s="779"/>
      <c r="X476" s="779"/>
      <c r="AA476" s="779"/>
      <c r="AU476" s="779"/>
      <c r="AV476" s="779"/>
      <c r="AW476" s="779"/>
      <c r="AX476" s="779"/>
    </row>
    <row r="477">
      <c r="B477" s="779"/>
      <c r="C477" s="779"/>
      <c r="D477" s="779"/>
      <c r="X477" s="779"/>
      <c r="AA477" s="779"/>
      <c r="AU477" s="779"/>
      <c r="AV477" s="779"/>
      <c r="AW477" s="779"/>
      <c r="AX477" s="779"/>
    </row>
    <row r="478">
      <c r="B478" s="779"/>
      <c r="C478" s="779"/>
      <c r="D478" s="779"/>
      <c r="X478" s="779"/>
      <c r="AA478" s="779"/>
      <c r="AU478" s="779"/>
      <c r="AV478" s="779"/>
      <c r="AW478" s="779"/>
      <c r="AX478" s="779"/>
    </row>
    <row r="479">
      <c r="B479" s="779"/>
      <c r="C479" s="779"/>
      <c r="D479" s="779"/>
      <c r="X479" s="779"/>
      <c r="AA479" s="779"/>
      <c r="AU479" s="779"/>
      <c r="AV479" s="779"/>
      <c r="AW479" s="779"/>
      <c r="AX479" s="779"/>
    </row>
    <row r="480">
      <c r="B480" s="779"/>
      <c r="C480" s="779"/>
      <c r="D480" s="779"/>
      <c r="X480" s="779"/>
      <c r="AA480" s="779"/>
      <c r="AU480" s="779"/>
      <c r="AV480" s="779"/>
      <c r="AW480" s="779"/>
      <c r="AX480" s="779"/>
    </row>
    <row r="481">
      <c r="B481" s="779"/>
      <c r="C481" s="779"/>
      <c r="D481" s="779"/>
      <c r="X481" s="779"/>
      <c r="AA481" s="779"/>
      <c r="AU481" s="779"/>
      <c r="AV481" s="779"/>
      <c r="AW481" s="779"/>
      <c r="AX481" s="779"/>
    </row>
    <row r="482">
      <c r="B482" s="779"/>
      <c r="C482" s="779"/>
      <c r="D482" s="779"/>
      <c r="X482" s="779"/>
      <c r="AA482" s="779"/>
      <c r="AU482" s="779"/>
      <c r="AV482" s="779"/>
      <c r="AW482" s="779"/>
      <c r="AX482" s="779"/>
    </row>
    <row r="483">
      <c r="B483" s="779"/>
      <c r="C483" s="779"/>
      <c r="D483" s="779"/>
      <c r="X483" s="779"/>
      <c r="AA483" s="779"/>
      <c r="AU483" s="779"/>
      <c r="AV483" s="779"/>
      <c r="AW483" s="779"/>
      <c r="AX483" s="779"/>
    </row>
    <row r="484">
      <c r="B484" s="779"/>
      <c r="C484" s="779"/>
      <c r="D484" s="779"/>
      <c r="X484" s="779"/>
      <c r="AA484" s="779"/>
      <c r="AU484" s="779"/>
      <c r="AV484" s="779"/>
      <c r="AW484" s="779"/>
      <c r="AX484" s="779"/>
    </row>
    <row r="485">
      <c r="B485" s="779"/>
      <c r="C485" s="779"/>
      <c r="D485" s="779"/>
      <c r="X485" s="779"/>
      <c r="AA485" s="779"/>
      <c r="AU485" s="779"/>
      <c r="AV485" s="779"/>
      <c r="AW485" s="779"/>
      <c r="AX485" s="779"/>
    </row>
    <row r="486">
      <c r="B486" s="779"/>
      <c r="C486" s="779"/>
      <c r="D486" s="779"/>
      <c r="X486" s="779"/>
      <c r="AA486" s="779"/>
      <c r="AU486" s="779"/>
      <c r="AV486" s="779"/>
      <c r="AW486" s="779"/>
      <c r="AX486" s="779"/>
    </row>
    <row r="487">
      <c r="B487" s="779"/>
      <c r="C487" s="779"/>
      <c r="D487" s="779"/>
      <c r="X487" s="779"/>
      <c r="AA487" s="779"/>
      <c r="AU487" s="779"/>
      <c r="AV487" s="779"/>
      <c r="AW487" s="779"/>
      <c r="AX487" s="779"/>
    </row>
    <row r="488">
      <c r="B488" s="779"/>
      <c r="C488" s="779"/>
      <c r="D488" s="779"/>
      <c r="X488" s="779"/>
      <c r="AA488" s="779"/>
      <c r="AU488" s="779"/>
      <c r="AV488" s="779"/>
      <c r="AW488" s="779"/>
      <c r="AX488" s="779"/>
    </row>
    <row r="489">
      <c r="B489" s="779"/>
      <c r="C489" s="779"/>
      <c r="D489" s="779"/>
      <c r="X489" s="779"/>
      <c r="AA489" s="779"/>
      <c r="AU489" s="779"/>
      <c r="AV489" s="779"/>
      <c r="AW489" s="779"/>
      <c r="AX489" s="779"/>
    </row>
    <row r="490">
      <c r="B490" s="779"/>
      <c r="C490" s="779"/>
      <c r="D490" s="779"/>
      <c r="X490" s="779"/>
      <c r="AA490" s="779"/>
      <c r="AU490" s="779"/>
      <c r="AV490" s="779"/>
      <c r="AW490" s="779"/>
      <c r="AX490" s="779"/>
    </row>
    <row r="491">
      <c r="B491" s="779"/>
      <c r="C491" s="779"/>
      <c r="D491" s="779"/>
      <c r="X491" s="779"/>
      <c r="AA491" s="779"/>
      <c r="AU491" s="779"/>
      <c r="AV491" s="779"/>
      <c r="AW491" s="779"/>
      <c r="AX491" s="779"/>
    </row>
    <row r="492">
      <c r="B492" s="779"/>
      <c r="C492" s="779"/>
      <c r="D492" s="779"/>
      <c r="X492" s="779"/>
      <c r="AA492" s="779"/>
      <c r="AU492" s="779"/>
      <c r="AV492" s="779"/>
      <c r="AW492" s="779"/>
      <c r="AX492" s="779"/>
    </row>
    <row r="493">
      <c r="B493" s="779"/>
      <c r="C493" s="779"/>
      <c r="D493" s="779"/>
      <c r="X493" s="779"/>
      <c r="AA493" s="779"/>
      <c r="AU493" s="779"/>
      <c r="AV493" s="779"/>
      <c r="AW493" s="779"/>
      <c r="AX493" s="779"/>
    </row>
    <row r="494">
      <c r="B494" s="779"/>
      <c r="C494" s="779"/>
      <c r="D494" s="779"/>
      <c r="X494" s="779"/>
      <c r="AA494" s="779"/>
      <c r="AU494" s="779"/>
      <c r="AV494" s="779"/>
      <c r="AW494" s="779"/>
      <c r="AX494" s="779"/>
    </row>
    <row r="495">
      <c r="B495" s="779"/>
      <c r="C495" s="779"/>
      <c r="D495" s="779"/>
      <c r="X495" s="779"/>
      <c r="AA495" s="779"/>
      <c r="AU495" s="779"/>
      <c r="AV495" s="779"/>
      <c r="AW495" s="779"/>
      <c r="AX495" s="779"/>
    </row>
    <row r="496">
      <c r="B496" s="779"/>
      <c r="C496" s="779"/>
      <c r="D496" s="779"/>
      <c r="X496" s="779"/>
      <c r="AA496" s="779"/>
      <c r="AU496" s="779"/>
      <c r="AV496" s="779"/>
      <c r="AW496" s="779"/>
      <c r="AX496" s="779"/>
    </row>
    <row r="497">
      <c r="B497" s="779"/>
      <c r="C497" s="779"/>
      <c r="D497" s="779"/>
      <c r="X497" s="779"/>
      <c r="AA497" s="779"/>
      <c r="AU497" s="779"/>
      <c r="AV497" s="779"/>
      <c r="AW497" s="779"/>
      <c r="AX497" s="779"/>
    </row>
    <row r="498">
      <c r="B498" s="779"/>
      <c r="C498" s="779"/>
      <c r="D498" s="779"/>
      <c r="X498" s="779"/>
      <c r="AA498" s="779"/>
      <c r="AU498" s="779"/>
      <c r="AV498" s="779"/>
      <c r="AW498" s="779"/>
      <c r="AX498" s="779"/>
    </row>
    <row r="499">
      <c r="B499" s="779"/>
      <c r="C499" s="779"/>
      <c r="D499" s="779"/>
      <c r="X499" s="779"/>
      <c r="AA499" s="779"/>
      <c r="AU499" s="779"/>
      <c r="AV499" s="779"/>
      <c r="AW499" s="779"/>
      <c r="AX499" s="779"/>
    </row>
    <row r="500">
      <c r="B500" s="779"/>
      <c r="C500" s="779"/>
      <c r="D500" s="779"/>
      <c r="X500" s="779"/>
      <c r="AA500" s="779"/>
      <c r="AU500" s="779"/>
      <c r="AV500" s="779"/>
      <c r="AW500" s="779"/>
      <c r="AX500" s="779"/>
    </row>
    <row r="501">
      <c r="B501" s="779"/>
      <c r="C501" s="779"/>
      <c r="D501" s="779"/>
      <c r="X501" s="779"/>
      <c r="AA501" s="779"/>
      <c r="AU501" s="779"/>
      <c r="AV501" s="779"/>
      <c r="AW501" s="779"/>
      <c r="AX501" s="779"/>
    </row>
    <row r="502">
      <c r="B502" s="779"/>
      <c r="C502" s="779"/>
      <c r="D502" s="779"/>
      <c r="X502" s="779"/>
      <c r="AA502" s="779"/>
      <c r="AU502" s="779"/>
      <c r="AV502" s="779"/>
      <c r="AW502" s="779"/>
      <c r="AX502" s="779"/>
    </row>
    <row r="503">
      <c r="B503" s="779"/>
      <c r="C503" s="779"/>
      <c r="D503" s="779"/>
      <c r="X503" s="779"/>
      <c r="AA503" s="779"/>
      <c r="AU503" s="779"/>
      <c r="AV503" s="779"/>
      <c r="AW503" s="779"/>
      <c r="AX503" s="779"/>
    </row>
    <row r="504">
      <c r="B504" s="779"/>
      <c r="C504" s="779"/>
      <c r="D504" s="779"/>
      <c r="X504" s="779"/>
      <c r="AA504" s="779"/>
      <c r="AU504" s="779"/>
      <c r="AV504" s="779"/>
      <c r="AW504" s="779"/>
      <c r="AX504" s="779"/>
    </row>
    <row r="505">
      <c r="B505" s="779"/>
      <c r="C505" s="779"/>
      <c r="D505" s="779"/>
      <c r="X505" s="779"/>
      <c r="AA505" s="779"/>
      <c r="AU505" s="779"/>
      <c r="AV505" s="779"/>
      <c r="AW505" s="779"/>
      <c r="AX505" s="779"/>
    </row>
    <row r="506">
      <c r="B506" s="779"/>
      <c r="C506" s="779"/>
      <c r="D506" s="779"/>
      <c r="X506" s="779"/>
      <c r="AA506" s="779"/>
      <c r="AU506" s="779"/>
      <c r="AV506" s="779"/>
      <c r="AW506" s="779"/>
      <c r="AX506" s="779"/>
    </row>
    <row r="507">
      <c r="B507" s="779"/>
      <c r="C507" s="779"/>
      <c r="D507" s="779"/>
      <c r="X507" s="779"/>
      <c r="AA507" s="779"/>
      <c r="AU507" s="779"/>
      <c r="AV507" s="779"/>
      <c r="AW507" s="779"/>
      <c r="AX507" s="779"/>
    </row>
    <row r="508">
      <c r="B508" s="779"/>
      <c r="C508" s="779"/>
      <c r="D508" s="779"/>
      <c r="X508" s="779"/>
      <c r="AA508" s="779"/>
      <c r="AU508" s="779"/>
      <c r="AV508" s="779"/>
      <c r="AW508" s="779"/>
      <c r="AX508" s="779"/>
    </row>
    <row r="509">
      <c r="B509" s="779"/>
      <c r="C509" s="779"/>
      <c r="D509" s="779"/>
      <c r="X509" s="779"/>
      <c r="AA509" s="779"/>
      <c r="AU509" s="779"/>
      <c r="AV509" s="779"/>
      <c r="AW509" s="779"/>
      <c r="AX509" s="779"/>
    </row>
    <row r="510">
      <c r="B510" s="779"/>
      <c r="C510" s="779"/>
      <c r="D510" s="779"/>
      <c r="X510" s="779"/>
      <c r="AA510" s="779"/>
      <c r="AU510" s="779"/>
      <c r="AV510" s="779"/>
      <c r="AW510" s="779"/>
      <c r="AX510" s="779"/>
    </row>
    <row r="511">
      <c r="B511" s="779"/>
      <c r="C511" s="779"/>
      <c r="D511" s="779"/>
      <c r="X511" s="779"/>
      <c r="AA511" s="779"/>
      <c r="AU511" s="779"/>
      <c r="AV511" s="779"/>
      <c r="AW511" s="779"/>
      <c r="AX511" s="779"/>
    </row>
    <row r="512">
      <c r="B512" s="779"/>
      <c r="C512" s="779"/>
      <c r="D512" s="779"/>
      <c r="X512" s="779"/>
      <c r="AA512" s="779"/>
      <c r="AU512" s="779"/>
      <c r="AV512" s="779"/>
      <c r="AW512" s="779"/>
      <c r="AX512" s="779"/>
    </row>
    <row r="513">
      <c r="B513" s="779"/>
      <c r="C513" s="779"/>
      <c r="D513" s="779"/>
      <c r="X513" s="779"/>
      <c r="AA513" s="779"/>
      <c r="AU513" s="779"/>
      <c r="AV513" s="779"/>
      <c r="AW513" s="779"/>
      <c r="AX513" s="779"/>
    </row>
    <row r="514">
      <c r="B514" s="779"/>
      <c r="C514" s="779"/>
      <c r="D514" s="779"/>
      <c r="X514" s="779"/>
      <c r="AA514" s="779"/>
      <c r="AU514" s="779"/>
      <c r="AV514" s="779"/>
      <c r="AW514" s="779"/>
      <c r="AX514" s="779"/>
    </row>
    <row r="515">
      <c r="B515" s="779"/>
      <c r="C515" s="779"/>
      <c r="D515" s="779"/>
      <c r="X515" s="779"/>
      <c r="AA515" s="779"/>
      <c r="AU515" s="779"/>
      <c r="AV515" s="779"/>
      <c r="AW515" s="779"/>
      <c r="AX515" s="779"/>
    </row>
    <row r="516">
      <c r="B516" s="779"/>
      <c r="C516" s="779"/>
      <c r="D516" s="779"/>
      <c r="X516" s="779"/>
      <c r="AA516" s="779"/>
      <c r="AU516" s="779"/>
      <c r="AV516" s="779"/>
      <c r="AW516" s="779"/>
      <c r="AX516" s="779"/>
    </row>
    <row r="517">
      <c r="B517" s="779"/>
      <c r="C517" s="779"/>
      <c r="D517" s="779"/>
      <c r="X517" s="779"/>
      <c r="AA517" s="779"/>
      <c r="AU517" s="779"/>
      <c r="AV517" s="779"/>
      <c r="AW517" s="779"/>
      <c r="AX517" s="779"/>
    </row>
    <row r="518">
      <c r="B518" s="779"/>
      <c r="C518" s="779"/>
      <c r="D518" s="779"/>
      <c r="X518" s="779"/>
      <c r="AA518" s="779"/>
      <c r="AU518" s="779"/>
      <c r="AV518" s="779"/>
      <c r="AW518" s="779"/>
      <c r="AX518" s="779"/>
    </row>
    <row r="519">
      <c r="B519" s="779"/>
      <c r="C519" s="779"/>
      <c r="D519" s="779"/>
      <c r="X519" s="779"/>
      <c r="AA519" s="779"/>
      <c r="AU519" s="779"/>
      <c r="AV519" s="779"/>
      <c r="AW519" s="779"/>
      <c r="AX519" s="779"/>
    </row>
    <row r="520">
      <c r="B520" s="779"/>
      <c r="C520" s="779"/>
      <c r="D520" s="779"/>
      <c r="X520" s="779"/>
      <c r="AA520" s="779"/>
      <c r="AU520" s="779"/>
      <c r="AV520" s="779"/>
      <c r="AW520" s="779"/>
      <c r="AX520" s="779"/>
    </row>
    <row r="521">
      <c r="B521" s="779"/>
      <c r="C521" s="779"/>
      <c r="D521" s="779"/>
      <c r="X521" s="779"/>
      <c r="AA521" s="779"/>
      <c r="AU521" s="779"/>
      <c r="AV521" s="779"/>
      <c r="AW521" s="779"/>
      <c r="AX521" s="779"/>
    </row>
    <row r="522">
      <c r="B522" s="779"/>
      <c r="C522" s="779"/>
      <c r="D522" s="779"/>
      <c r="X522" s="779"/>
      <c r="AA522" s="779"/>
      <c r="AU522" s="779"/>
      <c r="AV522" s="779"/>
      <c r="AW522" s="779"/>
      <c r="AX522" s="779"/>
    </row>
    <row r="523">
      <c r="B523" s="779"/>
      <c r="C523" s="779"/>
      <c r="D523" s="779"/>
      <c r="X523" s="779"/>
      <c r="AA523" s="779"/>
      <c r="AU523" s="779"/>
      <c r="AV523" s="779"/>
      <c r="AW523" s="779"/>
      <c r="AX523" s="779"/>
    </row>
    <row r="524">
      <c r="B524" s="779"/>
      <c r="C524" s="779"/>
      <c r="D524" s="779"/>
      <c r="X524" s="779"/>
      <c r="AA524" s="779"/>
      <c r="AU524" s="779"/>
      <c r="AV524" s="779"/>
      <c r="AW524" s="779"/>
      <c r="AX524" s="779"/>
    </row>
    <row r="525">
      <c r="B525" s="779"/>
      <c r="C525" s="779"/>
      <c r="D525" s="779"/>
      <c r="X525" s="779"/>
      <c r="AA525" s="779"/>
      <c r="AU525" s="779"/>
      <c r="AV525" s="779"/>
      <c r="AW525" s="779"/>
      <c r="AX525" s="779"/>
    </row>
    <row r="526">
      <c r="B526" s="779"/>
      <c r="C526" s="779"/>
      <c r="D526" s="779"/>
      <c r="X526" s="779"/>
      <c r="AA526" s="779"/>
      <c r="AU526" s="779"/>
      <c r="AV526" s="779"/>
      <c r="AW526" s="779"/>
      <c r="AX526" s="779"/>
    </row>
    <row r="527">
      <c r="B527" s="779"/>
      <c r="C527" s="779"/>
      <c r="D527" s="779"/>
      <c r="X527" s="779"/>
      <c r="AA527" s="779"/>
      <c r="AU527" s="779"/>
      <c r="AV527" s="779"/>
      <c r="AW527" s="779"/>
      <c r="AX527" s="779"/>
    </row>
    <row r="528">
      <c r="B528" s="779"/>
      <c r="C528" s="779"/>
      <c r="D528" s="779"/>
      <c r="X528" s="779"/>
      <c r="AA528" s="779"/>
      <c r="AU528" s="779"/>
      <c r="AV528" s="779"/>
      <c r="AW528" s="779"/>
      <c r="AX528" s="779"/>
    </row>
    <row r="529">
      <c r="B529" s="779"/>
      <c r="C529" s="779"/>
      <c r="D529" s="779"/>
      <c r="X529" s="779"/>
      <c r="AA529" s="779"/>
      <c r="AU529" s="779"/>
      <c r="AV529" s="779"/>
      <c r="AW529" s="779"/>
      <c r="AX529" s="779"/>
    </row>
    <row r="530">
      <c r="B530" s="779"/>
      <c r="C530" s="779"/>
      <c r="D530" s="779"/>
      <c r="X530" s="779"/>
      <c r="AA530" s="779"/>
      <c r="AU530" s="779"/>
      <c r="AV530" s="779"/>
      <c r="AW530" s="779"/>
      <c r="AX530" s="779"/>
    </row>
    <row r="531">
      <c r="B531" s="779"/>
      <c r="C531" s="779"/>
      <c r="D531" s="779"/>
      <c r="X531" s="779"/>
      <c r="AA531" s="779"/>
      <c r="AU531" s="779"/>
      <c r="AV531" s="779"/>
      <c r="AW531" s="779"/>
      <c r="AX531" s="779"/>
    </row>
    <row r="532">
      <c r="B532" s="779"/>
      <c r="C532" s="779"/>
      <c r="D532" s="779"/>
      <c r="X532" s="779"/>
      <c r="AA532" s="779"/>
      <c r="AU532" s="779"/>
      <c r="AV532" s="779"/>
      <c r="AW532" s="779"/>
      <c r="AX532" s="779"/>
    </row>
    <row r="533">
      <c r="B533" s="779"/>
      <c r="C533" s="779"/>
      <c r="D533" s="779"/>
      <c r="X533" s="779"/>
      <c r="AA533" s="779"/>
      <c r="AU533" s="779"/>
      <c r="AV533" s="779"/>
      <c r="AW533" s="779"/>
      <c r="AX533" s="779"/>
    </row>
    <row r="534">
      <c r="B534" s="779"/>
      <c r="C534" s="779"/>
      <c r="D534" s="779"/>
      <c r="X534" s="779"/>
      <c r="AA534" s="779"/>
      <c r="AU534" s="779"/>
      <c r="AV534" s="779"/>
      <c r="AW534" s="779"/>
      <c r="AX534" s="779"/>
    </row>
    <row r="535">
      <c r="B535" s="779"/>
      <c r="C535" s="779"/>
      <c r="D535" s="779"/>
      <c r="X535" s="779"/>
      <c r="AA535" s="779"/>
      <c r="AU535" s="779"/>
      <c r="AV535" s="779"/>
      <c r="AW535" s="779"/>
      <c r="AX535" s="779"/>
    </row>
    <row r="536">
      <c r="B536" s="779"/>
      <c r="C536" s="779"/>
      <c r="D536" s="779"/>
      <c r="X536" s="779"/>
      <c r="AA536" s="779"/>
      <c r="AU536" s="779"/>
      <c r="AV536" s="779"/>
      <c r="AW536" s="779"/>
      <c r="AX536" s="779"/>
    </row>
    <row r="537">
      <c r="B537" s="779"/>
      <c r="C537" s="779"/>
      <c r="D537" s="779"/>
      <c r="X537" s="779"/>
      <c r="AA537" s="779"/>
      <c r="AU537" s="779"/>
      <c r="AV537" s="779"/>
      <c r="AW537" s="779"/>
      <c r="AX537" s="779"/>
    </row>
    <row r="538">
      <c r="B538" s="779"/>
      <c r="C538" s="779"/>
      <c r="D538" s="779"/>
      <c r="X538" s="779"/>
      <c r="AA538" s="779"/>
      <c r="AU538" s="779"/>
      <c r="AV538" s="779"/>
      <c r="AW538" s="779"/>
      <c r="AX538" s="779"/>
    </row>
    <row r="539">
      <c r="B539" s="779"/>
      <c r="C539" s="779"/>
      <c r="D539" s="779"/>
      <c r="X539" s="779"/>
      <c r="AA539" s="779"/>
      <c r="AU539" s="779"/>
      <c r="AV539" s="779"/>
      <c r="AW539" s="779"/>
      <c r="AX539" s="779"/>
    </row>
    <row r="540">
      <c r="B540" s="779"/>
      <c r="C540" s="779"/>
      <c r="D540" s="779"/>
      <c r="X540" s="779"/>
      <c r="AA540" s="779"/>
      <c r="AU540" s="779"/>
      <c r="AV540" s="779"/>
      <c r="AW540" s="779"/>
      <c r="AX540" s="779"/>
    </row>
    <row r="541">
      <c r="B541" s="779"/>
      <c r="C541" s="779"/>
      <c r="D541" s="779"/>
      <c r="X541" s="779"/>
      <c r="AA541" s="779"/>
      <c r="AU541" s="779"/>
      <c r="AV541" s="779"/>
      <c r="AW541" s="779"/>
      <c r="AX541" s="779"/>
    </row>
    <row r="542">
      <c r="B542" s="779"/>
      <c r="C542" s="779"/>
      <c r="D542" s="779"/>
      <c r="X542" s="779"/>
      <c r="AA542" s="779"/>
      <c r="AU542" s="779"/>
      <c r="AV542" s="779"/>
      <c r="AW542" s="779"/>
      <c r="AX542" s="779"/>
    </row>
    <row r="543">
      <c r="B543" s="779"/>
      <c r="C543" s="779"/>
      <c r="D543" s="779"/>
      <c r="X543" s="779"/>
      <c r="AA543" s="779"/>
      <c r="AU543" s="779"/>
      <c r="AV543" s="779"/>
      <c r="AW543" s="779"/>
      <c r="AX543" s="779"/>
    </row>
    <row r="544">
      <c r="B544" s="779"/>
      <c r="C544" s="779"/>
      <c r="D544" s="779"/>
      <c r="X544" s="779"/>
      <c r="AA544" s="779"/>
      <c r="AU544" s="779"/>
      <c r="AV544" s="779"/>
      <c r="AW544" s="779"/>
      <c r="AX544" s="779"/>
    </row>
    <row r="545">
      <c r="B545" s="779"/>
      <c r="C545" s="779"/>
      <c r="D545" s="779"/>
      <c r="X545" s="779"/>
      <c r="AA545" s="779"/>
      <c r="AU545" s="779"/>
      <c r="AV545" s="779"/>
      <c r="AW545" s="779"/>
      <c r="AX545" s="779"/>
    </row>
    <row r="546">
      <c r="B546" s="779"/>
      <c r="C546" s="779"/>
      <c r="D546" s="779"/>
      <c r="X546" s="779"/>
      <c r="AA546" s="779"/>
      <c r="AU546" s="779"/>
      <c r="AV546" s="779"/>
      <c r="AW546" s="779"/>
      <c r="AX546" s="779"/>
    </row>
    <row r="547">
      <c r="B547" s="779"/>
      <c r="C547" s="779"/>
      <c r="D547" s="779"/>
      <c r="X547" s="779"/>
      <c r="AA547" s="779"/>
      <c r="AU547" s="779"/>
      <c r="AV547" s="779"/>
      <c r="AW547" s="779"/>
      <c r="AX547" s="779"/>
    </row>
    <row r="548">
      <c r="B548" s="779"/>
      <c r="C548" s="779"/>
      <c r="D548" s="779"/>
      <c r="X548" s="779"/>
      <c r="AA548" s="779"/>
      <c r="AU548" s="779"/>
      <c r="AV548" s="779"/>
      <c r="AW548" s="779"/>
      <c r="AX548" s="779"/>
    </row>
    <row r="549">
      <c r="B549" s="779"/>
      <c r="C549" s="779"/>
      <c r="D549" s="779"/>
      <c r="X549" s="779"/>
      <c r="AA549" s="779"/>
      <c r="AU549" s="779"/>
      <c r="AV549" s="779"/>
      <c r="AW549" s="779"/>
      <c r="AX549" s="779"/>
    </row>
    <row r="550">
      <c r="B550" s="779"/>
      <c r="C550" s="779"/>
      <c r="D550" s="779"/>
      <c r="X550" s="779"/>
      <c r="AA550" s="779"/>
      <c r="AU550" s="779"/>
      <c r="AV550" s="779"/>
      <c r="AW550" s="779"/>
      <c r="AX550" s="779"/>
    </row>
    <row r="551">
      <c r="B551" s="779"/>
      <c r="C551" s="779"/>
      <c r="D551" s="779"/>
      <c r="X551" s="779"/>
      <c r="AA551" s="779"/>
      <c r="AU551" s="779"/>
      <c r="AV551" s="779"/>
      <c r="AW551" s="779"/>
      <c r="AX551" s="779"/>
    </row>
    <row r="552">
      <c r="B552" s="779"/>
      <c r="C552" s="779"/>
      <c r="D552" s="779"/>
      <c r="X552" s="779"/>
      <c r="AA552" s="779"/>
      <c r="AU552" s="779"/>
      <c r="AV552" s="779"/>
      <c r="AW552" s="779"/>
      <c r="AX552" s="779"/>
    </row>
    <row r="553">
      <c r="B553" s="779"/>
      <c r="C553" s="779"/>
      <c r="D553" s="779"/>
      <c r="X553" s="779"/>
      <c r="AA553" s="779"/>
      <c r="AU553" s="779"/>
      <c r="AV553" s="779"/>
      <c r="AW553" s="779"/>
      <c r="AX553" s="779"/>
    </row>
    <row r="554">
      <c r="B554" s="779"/>
      <c r="C554" s="779"/>
      <c r="D554" s="779"/>
      <c r="X554" s="779"/>
      <c r="AA554" s="779"/>
      <c r="AU554" s="779"/>
      <c r="AV554" s="779"/>
      <c r="AW554" s="779"/>
      <c r="AX554" s="779"/>
    </row>
    <row r="555">
      <c r="B555" s="779"/>
      <c r="C555" s="779"/>
      <c r="D555" s="779"/>
      <c r="X555" s="779"/>
      <c r="AA555" s="779"/>
      <c r="AU555" s="779"/>
      <c r="AV555" s="779"/>
      <c r="AW555" s="779"/>
      <c r="AX555" s="779"/>
    </row>
    <row r="556">
      <c r="B556" s="779"/>
      <c r="C556" s="779"/>
      <c r="D556" s="779"/>
      <c r="X556" s="779"/>
      <c r="AA556" s="779"/>
      <c r="AU556" s="779"/>
      <c r="AV556" s="779"/>
      <c r="AW556" s="779"/>
      <c r="AX556" s="779"/>
    </row>
    <row r="557">
      <c r="B557" s="779"/>
      <c r="C557" s="779"/>
      <c r="D557" s="779"/>
      <c r="X557" s="779"/>
      <c r="AA557" s="779"/>
      <c r="AU557" s="779"/>
      <c r="AV557" s="779"/>
      <c r="AW557" s="779"/>
      <c r="AX557" s="779"/>
    </row>
    <row r="558">
      <c r="B558" s="779"/>
      <c r="C558" s="779"/>
      <c r="D558" s="779"/>
      <c r="X558" s="779"/>
      <c r="AA558" s="779"/>
      <c r="AU558" s="779"/>
      <c r="AV558" s="779"/>
      <c r="AW558" s="779"/>
      <c r="AX558" s="779"/>
    </row>
    <row r="559">
      <c r="B559" s="779"/>
      <c r="C559" s="779"/>
      <c r="D559" s="779"/>
      <c r="X559" s="779"/>
      <c r="AA559" s="779"/>
      <c r="AU559" s="779"/>
      <c r="AV559" s="779"/>
      <c r="AW559" s="779"/>
      <c r="AX559" s="779"/>
    </row>
    <row r="560">
      <c r="B560" s="779"/>
      <c r="C560" s="779"/>
      <c r="D560" s="779"/>
      <c r="X560" s="779"/>
      <c r="AA560" s="779"/>
      <c r="AU560" s="779"/>
      <c r="AV560" s="779"/>
      <c r="AW560" s="779"/>
      <c r="AX560" s="779"/>
    </row>
    <row r="561">
      <c r="B561" s="779"/>
      <c r="C561" s="779"/>
      <c r="D561" s="779"/>
      <c r="X561" s="779"/>
      <c r="AA561" s="779"/>
      <c r="AU561" s="779"/>
      <c r="AV561" s="779"/>
      <c r="AW561" s="779"/>
      <c r="AX561" s="779"/>
    </row>
    <row r="562">
      <c r="B562" s="779"/>
      <c r="C562" s="779"/>
      <c r="D562" s="779"/>
      <c r="X562" s="779"/>
      <c r="AA562" s="779"/>
      <c r="AU562" s="779"/>
      <c r="AV562" s="779"/>
      <c r="AW562" s="779"/>
      <c r="AX562" s="779"/>
    </row>
    <row r="563">
      <c r="B563" s="779"/>
      <c r="C563" s="779"/>
      <c r="D563" s="779"/>
      <c r="X563" s="779"/>
      <c r="AA563" s="779"/>
      <c r="AU563" s="779"/>
      <c r="AV563" s="779"/>
      <c r="AW563" s="779"/>
      <c r="AX563" s="779"/>
    </row>
    <row r="564">
      <c r="B564" s="779"/>
      <c r="C564" s="779"/>
      <c r="D564" s="779"/>
      <c r="X564" s="779"/>
      <c r="AA564" s="779"/>
      <c r="AU564" s="779"/>
      <c r="AV564" s="779"/>
      <c r="AW564" s="779"/>
      <c r="AX564" s="779"/>
    </row>
    <row r="565">
      <c r="B565" s="779"/>
      <c r="C565" s="779"/>
      <c r="D565" s="779"/>
      <c r="X565" s="779"/>
      <c r="AA565" s="779"/>
      <c r="AU565" s="779"/>
      <c r="AV565" s="779"/>
      <c r="AW565" s="779"/>
      <c r="AX565" s="779"/>
    </row>
    <row r="566">
      <c r="B566" s="779"/>
      <c r="C566" s="779"/>
      <c r="D566" s="779"/>
      <c r="X566" s="779"/>
      <c r="AA566" s="779"/>
      <c r="AU566" s="779"/>
      <c r="AV566" s="779"/>
      <c r="AW566" s="779"/>
      <c r="AX566" s="779"/>
    </row>
    <row r="567">
      <c r="B567" s="779"/>
      <c r="C567" s="779"/>
      <c r="D567" s="779"/>
      <c r="X567" s="779"/>
      <c r="AA567" s="779"/>
      <c r="AU567" s="779"/>
      <c r="AV567" s="779"/>
      <c r="AW567" s="779"/>
      <c r="AX567" s="779"/>
    </row>
    <row r="568">
      <c r="B568" s="779"/>
      <c r="C568" s="779"/>
      <c r="D568" s="779"/>
      <c r="X568" s="779"/>
      <c r="AA568" s="779"/>
      <c r="AU568" s="779"/>
      <c r="AV568" s="779"/>
      <c r="AW568" s="779"/>
      <c r="AX568" s="779"/>
    </row>
    <row r="569">
      <c r="B569" s="779"/>
      <c r="C569" s="779"/>
      <c r="D569" s="779"/>
      <c r="X569" s="779"/>
      <c r="AA569" s="779"/>
      <c r="AU569" s="779"/>
      <c r="AV569" s="779"/>
      <c r="AW569" s="779"/>
      <c r="AX569" s="779"/>
    </row>
    <row r="570">
      <c r="B570" s="779"/>
      <c r="C570" s="779"/>
      <c r="D570" s="779"/>
      <c r="X570" s="779"/>
      <c r="AA570" s="779"/>
      <c r="AU570" s="779"/>
      <c r="AV570" s="779"/>
      <c r="AW570" s="779"/>
      <c r="AX570" s="779"/>
    </row>
    <row r="571">
      <c r="B571" s="779"/>
      <c r="C571" s="779"/>
      <c r="D571" s="779"/>
      <c r="X571" s="779"/>
      <c r="AA571" s="779"/>
      <c r="AU571" s="779"/>
      <c r="AV571" s="779"/>
      <c r="AW571" s="779"/>
      <c r="AX571" s="779"/>
    </row>
    <row r="572">
      <c r="B572" s="779"/>
      <c r="C572" s="779"/>
      <c r="D572" s="779"/>
      <c r="X572" s="779"/>
      <c r="AA572" s="779"/>
      <c r="AU572" s="779"/>
      <c r="AV572" s="779"/>
      <c r="AW572" s="779"/>
      <c r="AX572" s="779"/>
    </row>
    <row r="573">
      <c r="B573" s="779"/>
      <c r="C573" s="779"/>
      <c r="D573" s="779"/>
      <c r="X573" s="779"/>
      <c r="AA573" s="779"/>
      <c r="AU573" s="779"/>
      <c r="AV573" s="779"/>
      <c r="AW573" s="779"/>
      <c r="AX573" s="779"/>
    </row>
    <row r="574">
      <c r="B574" s="779"/>
      <c r="C574" s="779"/>
      <c r="D574" s="779"/>
      <c r="X574" s="779"/>
      <c r="AA574" s="779"/>
      <c r="AU574" s="779"/>
      <c r="AV574" s="779"/>
      <c r="AW574" s="779"/>
      <c r="AX574" s="779"/>
    </row>
    <row r="575">
      <c r="B575" s="779"/>
      <c r="C575" s="779"/>
      <c r="D575" s="779"/>
      <c r="X575" s="779"/>
      <c r="AA575" s="779"/>
      <c r="AU575" s="779"/>
      <c r="AV575" s="779"/>
      <c r="AW575" s="779"/>
      <c r="AX575" s="779"/>
    </row>
    <row r="576">
      <c r="B576" s="779"/>
      <c r="C576" s="779"/>
      <c r="D576" s="779"/>
      <c r="X576" s="779"/>
      <c r="AA576" s="779"/>
      <c r="AU576" s="779"/>
      <c r="AV576" s="779"/>
      <c r="AW576" s="779"/>
      <c r="AX576" s="779"/>
    </row>
    <row r="577">
      <c r="B577" s="779"/>
      <c r="C577" s="779"/>
      <c r="D577" s="779"/>
      <c r="X577" s="779"/>
      <c r="AA577" s="779"/>
      <c r="AU577" s="779"/>
      <c r="AV577" s="779"/>
      <c r="AW577" s="779"/>
      <c r="AX577" s="779"/>
    </row>
    <row r="578">
      <c r="B578" s="779"/>
      <c r="C578" s="779"/>
      <c r="D578" s="779"/>
      <c r="X578" s="779"/>
      <c r="AA578" s="779"/>
      <c r="AU578" s="779"/>
      <c r="AV578" s="779"/>
      <c r="AW578" s="779"/>
      <c r="AX578" s="779"/>
    </row>
    <row r="579">
      <c r="B579" s="779"/>
      <c r="C579" s="779"/>
      <c r="D579" s="779"/>
      <c r="X579" s="779"/>
      <c r="AA579" s="779"/>
      <c r="AU579" s="779"/>
      <c r="AV579" s="779"/>
      <c r="AW579" s="779"/>
      <c r="AX579" s="779"/>
    </row>
    <row r="580">
      <c r="B580" s="779"/>
      <c r="C580" s="779"/>
      <c r="D580" s="779"/>
      <c r="X580" s="779"/>
      <c r="AA580" s="779"/>
      <c r="AU580" s="779"/>
      <c r="AV580" s="779"/>
      <c r="AW580" s="779"/>
      <c r="AX580" s="779"/>
    </row>
    <row r="581">
      <c r="B581" s="779"/>
      <c r="C581" s="779"/>
      <c r="D581" s="779"/>
      <c r="X581" s="779"/>
      <c r="AA581" s="779"/>
      <c r="AU581" s="779"/>
      <c r="AV581" s="779"/>
      <c r="AW581" s="779"/>
      <c r="AX581" s="779"/>
    </row>
    <row r="582">
      <c r="B582" s="779"/>
      <c r="C582" s="779"/>
      <c r="D582" s="779"/>
      <c r="X582" s="779"/>
      <c r="AA582" s="779"/>
      <c r="AU582" s="779"/>
      <c r="AV582" s="779"/>
      <c r="AW582" s="779"/>
      <c r="AX582" s="779"/>
    </row>
    <row r="583">
      <c r="B583" s="779"/>
      <c r="C583" s="779"/>
      <c r="D583" s="779"/>
      <c r="X583" s="779"/>
      <c r="AA583" s="779"/>
      <c r="AU583" s="779"/>
      <c r="AV583" s="779"/>
      <c r="AW583" s="779"/>
      <c r="AX583" s="779"/>
    </row>
    <row r="584">
      <c r="B584" s="779"/>
      <c r="C584" s="779"/>
      <c r="D584" s="779"/>
      <c r="X584" s="779"/>
      <c r="AA584" s="779"/>
      <c r="AU584" s="779"/>
      <c r="AV584" s="779"/>
      <c r="AW584" s="779"/>
      <c r="AX584" s="779"/>
    </row>
    <row r="585">
      <c r="B585" s="779"/>
      <c r="C585" s="779"/>
      <c r="D585" s="779"/>
      <c r="X585" s="779"/>
      <c r="AA585" s="779"/>
      <c r="AU585" s="779"/>
      <c r="AV585" s="779"/>
      <c r="AW585" s="779"/>
      <c r="AX585" s="779"/>
    </row>
    <row r="586">
      <c r="B586" s="779"/>
      <c r="C586" s="779"/>
      <c r="D586" s="779"/>
      <c r="X586" s="779"/>
      <c r="AA586" s="779"/>
      <c r="AU586" s="779"/>
      <c r="AV586" s="779"/>
      <c r="AW586" s="779"/>
      <c r="AX586" s="779"/>
    </row>
    <row r="587">
      <c r="B587" s="779"/>
      <c r="C587" s="779"/>
      <c r="D587" s="779"/>
      <c r="X587" s="779"/>
      <c r="AA587" s="779"/>
      <c r="AU587" s="779"/>
      <c r="AV587" s="779"/>
      <c r="AW587" s="779"/>
      <c r="AX587" s="779"/>
    </row>
    <row r="588">
      <c r="B588" s="779"/>
      <c r="C588" s="779"/>
      <c r="D588" s="779"/>
      <c r="X588" s="779"/>
      <c r="AA588" s="779"/>
      <c r="AU588" s="779"/>
      <c r="AV588" s="779"/>
      <c r="AW588" s="779"/>
      <c r="AX588" s="779"/>
    </row>
    <row r="589">
      <c r="B589" s="779"/>
      <c r="C589" s="779"/>
      <c r="D589" s="779"/>
      <c r="X589" s="779"/>
      <c r="AA589" s="779"/>
      <c r="AU589" s="779"/>
      <c r="AV589" s="779"/>
      <c r="AW589" s="779"/>
      <c r="AX589" s="779"/>
    </row>
    <row r="590">
      <c r="B590" s="779"/>
      <c r="C590" s="779"/>
      <c r="D590" s="779"/>
      <c r="X590" s="779"/>
      <c r="AA590" s="779"/>
      <c r="AU590" s="779"/>
      <c r="AV590" s="779"/>
      <c r="AW590" s="779"/>
      <c r="AX590" s="779"/>
    </row>
    <row r="591">
      <c r="B591" s="779"/>
      <c r="C591" s="779"/>
      <c r="D591" s="779"/>
      <c r="X591" s="779"/>
      <c r="AA591" s="779"/>
      <c r="AU591" s="779"/>
      <c r="AV591" s="779"/>
      <c r="AW591" s="779"/>
      <c r="AX591" s="779"/>
    </row>
    <row r="592">
      <c r="B592" s="779"/>
      <c r="C592" s="779"/>
      <c r="D592" s="779"/>
      <c r="X592" s="779"/>
      <c r="AA592" s="779"/>
      <c r="AU592" s="779"/>
      <c r="AV592" s="779"/>
      <c r="AW592" s="779"/>
      <c r="AX592" s="779"/>
    </row>
    <row r="593">
      <c r="B593" s="779"/>
      <c r="C593" s="779"/>
      <c r="D593" s="779"/>
      <c r="X593" s="779"/>
      <c r="AA593" s="779"/>
      <c r="AU593" s="779"/>
      <c r="AV593" s="779"/>
      <c r="AW593" s="779"/>
      <c r="AX593" s="779"/>
    </row>
    <row r="594">
      <c r="B594" s="779"/>
      <c r="C594" s="779"/>
      <c r="D594" s="779"/>
      <c r="X594" s="779"/>
      <c r="AA594" s="779"/>
      <c r="AU594" s="779"/>
      <c r="AV594" s="779"/>
      <c r="AW594" s="779"/>
      <c r="AX594" s="779"/>
    </row>
    <row r="595">
      <c r="B595" s="779"/>
      <c r="C595" s="779"/>
      <c r="D595" s="779"/>
      <c r="X595" s="779"/>
      <c r="AA595" s="779"/>
      <c r="AU595" s="779"/>
      <c r="AV595" s="779"/>
      <c r="AW595" s="779"/>
      <c r="AX595" s="779"/>
    </row>
    <row r="596">
      <c r="B596" s="779"/>
      <c r="C596" s="779"/>
      <c r="D596" s="779"/>
      <c r="X596" s="779"/>
      <c r="AA596" s="779"/>
      <c r="AU596" s="779"/>
      <c r="AV596" s="779"/>
      <c r="AW596" s="779"/>
      <c r="AX596" s="779"/>
    </row>
    <row r="597">
      <c r="B597" s="779"/>
      <c r="C597" s="779"/>
      <c r="D597" s="779"/>
      <c r="X597" s="779"/>
      <c r="AA597" s="779"/>
      <c r="AU597" s="779"/>
      <c r="AV597" s="779"/>
      <c r="AW597" s="779"/>
      <c r="AX597" s="779"/>
    </row>
    <row r="598">
      <c r="B598" s="779"/>
      <c r="C598" s="779"/>
      <c r="D598" s="779"/>
      <c r="X598" s="779"/>
      <c r="AA598" s="779"/>
      <c r="AU598" s="779"/>
      <c r="AV598" s="779"/>
      <c r="AW598" s="779"/>
      <c r="AX598" s="779"/>
    </row>
    <row r="599">
      <c r="B599" s="779"/>
      <c r="C599" s="779"/>
      <c r="D599" s="779"/>
      <c r="X599" s="779"/>
      <c r="AA599" s="779"/>
      <c r="AU599" s="779"/>
      <c r="AV599" s="779"/>
      <c r="AW599" s="779"/>
      <c r="AX599" s="779"/>
    </row>
    <row r="600">
      <c r="B600" s="779"/>
      <c r="C600" s="779"/>
      <c r="D600" s="779"/>
      <c r="X600" s="779"/>
      <c r="AA600" s="779"/>
      <c r="AU600" s="779"/>
      <c r="AV600" s="779"/>
      <c r="AW600" s="779"/>
      <c r="AX600" s="779"/>
    </row>
    <row r="601">
      <c r="B601" s="779"/>
      <c r="C601" s="779"/>
      <c r="D601" s="779"/>
      <c r="X601" s="779"/>
      <c r="AA601" s="779"/>
      <c r="AU601" s="779"/>
      <c r="AV601" s="779"/>
      <c r="AW601" s="779"/>
      <c r="AX601" s="779"/>
    </row>
    <row r="602">
      <c r="B602" s="779"/>
      <c r="C602" s="779"/>
      <c r="D602" s="779"/>
      <c r="X602" s="779"/>
      <c r="AA602" s="779"/>
      <c r="AU602" s="779"/>
      <c r="AV602" s="779"/>
      <c r="AW602" s="779"/>
      <c r="AX602" s="779"/>
    </row>
    <row r="603">
      <c r="B603" s="779"/>
      <c r="C603" s="779"/>
      <c r="D603" s="779"/>
      <c r="X603" s="779"/>
      <c r="AA603" s="779"/>
      <c r="AU603" s="779"/>
      <c r="AV603" s="779"/>
      <c r="AW603" s="779"/>
      <c r="AX603" s="779"/>
    </row>
    <row r="604">
      <c r="B604" s="779"/>
      <c r="C604" s="779"/>
      <c r="D604" s="779"/>
      <c r="X604" s="779"/>
      <c r="AA604" s="779"/>
      <c r="AU604" s="779"/>
      <c r="AV604" s="779"/>
      <c r="AW604" s="779"/>
      <c r="AX604" s="779"/>
    </row>
    <row r="605">
      <c r="B605" s="779"/>
      <c r="C605" s="779"/>
      <c r="D605" s="779"/>
      <c r="X605" s="779"/>
      <c r="AA605" s="779"/>
      <c r="AU605" s="779"/>
      <c r="AV605" s="779"/>
      <c r="AW605" s="779"/>
      <c r="AX605" s="779"/>
    </row>
    <row r="606">
      <c r="B606" s="779"/>
      <c r="C606" s="779"/>
      <c r="D606" s="779"/>
      <c r="X606" s="779"/>
      <c r="AA606" s="779"/>
      <c r="AU606" s="779"/>
      <c r="AV606" s="779"/>
      <c r="AW606" s="779"/>
      <c r="AX606" s="779"/>
    </row>
    <row r="607">
      <c r="B607" s="779"/>
      <c r="C607" s="779"/>
      <c r="D607" s="779"/>
      <c r="X607" s="779"/>
      <c r="AA607" s="779"/>
      <c r="AU607" s="779"/>
      <c r="AV607" s="779"/>
      <c r="AW607" s="779"/>
      <c r="AX607" s="779"/>
    </row>
    <row r="608">
      <c r="B608" s="779"/>
      <c r="C608" s="779"/>
      <c r="D608" s="779"/>
      <c r="X608" s="779"/>
      <c r="AA608" s="779"/>
      <c r="AU608" s="779"/>
      <c r="AV608" s="779"/>
      <c r="AW608" s="779"/>
      <c r="AX608" s="779"/>
    </row>
    <row r="609">
      <c r="B609" s="779"/>
      <c r="C609" s="779"/>
      <c r="D609" s="779"/>
      <c r="X609" s="779"/>
      <c r="AA609" s="779"/>
      <c r="AU609" s="779"/>
      <c r="AV609" s="779"/>
      <c r="AW609" s="779"/>
      <c r="AX609" s="779"/>
    </row>
    <row r="610">
      <c r="B610" s="779"/>
      <c r="C610" s="779"/>
      <c r="D610" s="779"/>
      <c r="X610" s="779"/>
      <c r="AA610" s="779"/>
      <c r="AU610" s="779"/>
      <c r="AV610" s="779"/>
      <c r="AW610" s="779"/>
      <c r="AX610" s="779"/>
    </row>
    <row r="611">
      <c r="B611" s="779"/>
      <c r="C611" s="779"/>
      <c r="D611" s="779"/>
      <c r="X611" s="779"/>
      <c r="AA611" s="779"/>
      <c r="AU611" s="779"/>
      <c r="AV611" s="779"/>
      <c r="AW611" s="779"/>
      <c r="AX611" s="779"/>
    </row>
    <row r="612">
      <c r="B612" s="779"/>
      <c r="C612" s="779"/>
      <c r="D612" s="779"/>
      <c r="X612" s="779"/>
      <c r="AA612" s="779"/>
      <c r="AU612" s="779"/>
      <c r="AV612" s="779"/>
      <c r="AW612" s="779"/>
      <c r="AX612" s="779"/>
    </row>
    <row r="613">
      <c r="B613" s="779"/>
      <c r="C613" s="779"/>
      <c r="D613" s="779"/>
      <c r="X613" s="779"/>
      <c r="AA613" s="779"/>
      <c r="AU613" s="779"/>
      <c r="AV613" s="779"/>
      <c r="AW613" s="779"/>
      <c r="AX613" s="779"/>
    </row>
    <row r="614">
      <c r="B614" s="779"/>
      <c r="C614" s="779"/>
      <c r="D614" s="779"/>
      <c r="X614" s="779"/>
      <c r="AA614" s="779"/>
      <c r="AU614" s="779"/>
      <c r="AV614" s="779"/>
      <c r="AW614" s="779"/>
      <c r="AX614" s="779"/>
    </row>
    <row r="615">
      <c r="B615" s="779"/>
      <c r="C615" s="779"/>
      <c r="D615" s="779"/>
      <c r="X615" s="779"/>
      <c r="AA615" s="779"/>
      <c r="AU615" s="779"/>
      <c r="AV615" s="779"/>
      <c r="AW615" s="779"/>
      <c r="AX615" s="779"/>
    </row>
    <row r="616">
      <c r="B616" s="779"/>
      <c r="C616" s="779"/>
      <c r="D616" s="779"/>
      <c r="X616" s="779"/>
      <c r="AA616" s="779"/>
      <c r="AU616" s="779"/>
      <c r="AV616" s="779"/>
      <c r="AW616" s="779"/>
      <c r="AX616" s="779"/>
    </row>
    <row r="617">
      <c r="B617" s="779"/>
      <c r="C617" s="779"/>
      <c r="D617" s="779"/>
      <c r="X617" s="779"/>
      <c r="AA617" s="779"/>
      <c r="AU617" s="779"/>
      <c r="AV617" s="779"/>
      <c r="AW617" s="779"/>
      <c r="AX617" s="779"/>
    </row>
    <row r="618">
      <c r="B618" s="779"/>
      <c r="C618" s="779"/>
      <c r="D618" s="779"/>
      <c r="X618" s="779"/>
      <c r="AA618" s="779"/>
      <c r="AU618" s="779"/>
      <c r="AV618" s="779"/>
      <c r="AW618" s="779"/>
      <c r="AX618" s="779"/>
    </row>
    <row r="619">
      <c r="B619" s="779"/>
      <c r="C619" s="779"/>
      <c r="D619" s="779"/>
      <c r="X619" s="779"/>
      <c r="AA619" s="779"/>
      <c r="AU619" s="779"/>
      <c r="AV619" s="779"/>
      <c r="AW619" s="779"/>
      <c r="AX619" s="779"/>
    </row>
    <row r="620">
      <c r="B620" s="779"/>
      <c r="C620" s="779"/>
      <c r="D620" s="779"/>
      <c r="X620" s="779"/>
      <c r="AA620" s="779"/>
      <c r="AU620" s="779"/>
      <c r="AV620" s="779"/>
      <c r="AW620" s="779"/>
      <c r="AX620" s="779"/>
    </row>
    <row r="621">
      <c r="B621" s="779"/>
      <c r="C621" s="779"/>
      <c r="D621" s="779"/>
      <c r="X621" s="779"/>
      <c r="AA621" s="779"/>
      <c r="AU621" s="779"/>
      <c r="AV621" s="779"/>
      <c r="AW621" s="779"/>
      <c r="AX621" s="779"/>
    </row>
    <row r="622">
      <c r="B622" s="779"/>
      <c r="C622" s="779"/>
      <c r="D622" s="779"/>
      <c r="X622" s="779"/>
      <c r="AA622" s="779"/>
      <c r="AU622" s="779"/>
      <c r="AV622" s="779"/>
      <c r="AW622" s="779"/>
      <c r="AX622" s="779"/>
    </row>
    <row r="623">
      <c r="B623" s="779"/>
      <c r="C623" s="779"/>
      <c r="D623" s="779"/>
      <c r="X623" s="779"/>
      <c r="AA623" s="779"/>
      <c r="AU623" s="779"/>
      <c r="AV623" s="779"/>
      <c r="AW623" s="779"/>
      <c r="AX623" s="779"/>
    </row>
    <row r="624">
      <c r="B624" s="779"/>
      <c r="C624" s="779"/>
      <c r="D624" s="779"/>
      <c r="X624" s="779"/>
      <c r="AA624" s="779"/>
      <c r="AU624" s="779"/>
      <c r="AV624" s="779"/>
      <c r="AW624" s="779"/>
      <c r="AX624" s="779"/>
    </row>
    <row r="625">
      <c r="B625" s="779"/>
      <c r="C625" s="779"/>
      <c r="D625" s="779"/>
      <c r="X625" s="779"/>
      <c r="AA625" s="779"/>
      <c r="AU625" s="779"/>
      <c r="AV625" s="779"/>
      <c r="AW625" s="779"/>
      <c r="AX625" s="779"/>
    </row>
    <row r="626">
      <c r="B626" s="779"/>
      <c r="C626" s="779"/>
      <c r="D626" s="779"/>
      <c r="X626" s="779"/>
      <c r="AA626" s="779"/>
      <c r="AU626" s="779"/>
      <c r="AV626" s="779"/>
      <c r="AW626" s="779"/>
      <c r="AX626" s="779"/>
    </row>
    <row r="627">
      <c r="B627" s="779"/>
      <c r="C627" s="779"/>
      <c r="D627" s="779"/>
      <c r="X627" s="779"/>
      <c r="AA627" s="779"/>
      <c r="AU627" s="779"/>
      <c r="AV627" s="779"/>
      <c r="AW627" s="779"/>
      <c r="AX627" s="779"/>
    </row>
    <row r="628">
      <c r="B628" s="779"/>
      <c r="C628" s="779"/>
      <c r="D628" s="779"/>
      <c r="X628" s="779"/>
      <c r="AA628" s="779"/>
      <c r="AU628" s="779"/>
      <c r="AV628" s="779"/>
      <c r="AW628" s="779"/>
      <c r="AX628" s="779"/>
    </row>
    <row r="629">
      <c r="B629" s="779"/>
      <c r="C629" s="779"/>
      <c r="D629" s="779"/>
      <c r="X629" s="779"/>
      <c r="AA629" s="779"/>
      <c r="AU629" s="779"/>
      <c r="AV629" s="779"/>
      <c r="AW629" s="779"/>
      <c r="AX629" s="779"/>
    </row>
    <row r="630">
      <c r="B630" s="779"/>
      <c r="C630" s="779"/>
      <c r="D630" s="779"/>
      <c r="X630" s="779"/>
      <c r="AA630" s="779"/>
      <c r="AU630" s="779"/>
      <c r="AV630" s="779"/>
      <c r="AW630" s="779"/>
      <c r="AX630" s="779"/>
    </row>
    <row r="631">
      <c r="B631" s="779"/>
      <c r="C631" s="779"/>
      <c r="D631" s="779"/>
      <c r="X631" s="779"/>
      <c r="AA631" s="779"/>
      <c r="AU631" s="779"/>
      <c r="AV631" s="779"/>
      <c r="AW631" s="779"/>
      <c r="AX631" s="779"/>
    </row>
    <row r="632">
      <c r="B632" s="779"/>
      <c r="C632" s="779"/>
      <c r="D632" s="779"/>
      <c r="X632" s="779"/>
      <c r="AA632" s="779"/>
      <c r="AU632" s="779"/>
      <c r="AV632" s="779"/>
      <c r="AW632" s="779"/>
      <c r="AX632" s="779"/>
    </row>
    <row r="633">
      <c r="B633" s="779"/>
      <c r="C633" s="779"/>
      <c r="D633" s="779"/>
      <c r="X633" s="779"/>
      <c r="AA633" s="779"/>
      <c r="AU633" s="779"/>
      <c r="AV633" s="779"/>
      <c r="AW633" s="779"/>
      <c r="AX633" s="779"/>
    </row>
    <row r="634">
      <c r="B634" s="779"/>
      <c r="C634" s="779"/>
      <c r="D634" s="779"/>
      <c r="X634" s="779"/>
      <c r="AA634" s="779"/>
      <c r="AU634" s="779"/>
      <c r="AV634" s="779"/>
      <c r="AW634" s="779"/>
      <c r="AX634" s="779"/>
    </row>
    <row r="635">
      <c r="B635" s="779"/>
      <c r="C635" s="779"/>
      <c r="D635" s="779"/>
      <c r="X635" s="779"/>
      <c r="AA635" s="779"/>
      <c r="AU635" s="779"/>
      <c r="AV635" s="779"/>
      <c r="AW635" s="779"/>
      <c r="AX635" s="779"/>
    </row>
    <row r="636">
      <c r="B636" s="779"/>
      <c r="C636" s="779"/>
      <c r="D636" s="779"/>
      <c r="X636" s="779"/>
      <c r="AA636" s="779"/>
      <c r="AU636" s="779"/>
      <c r="AV636" s="779"/>
      <c r="AW636" s="779"/>
      <c r="AX636" s="779"/>
    </row>
    <row r="637">
      <c r="B637" s="779"/>
      <c r="C637" s="779"/>
      <c r="D637" s="779"/>
      <c r="X637" s="779"/>
      <c r="AA637" s="779"/>
      <c r="AU637" s="779"/>
      <c r="AV637" s="779"/>
      <c r="AW637" s="779"/>
      <c r="AX637" s="779"/>
    </row>
    <row r="638">
      <c r="B638" s="779"/>
      <c r="C638" s="779"/>
      <c r="D638" s="779"/>
      <c r="X638" s="779"/>
      <c r="AA638" s="779"/>
      <c r="AU638" s="779"/>
      <c r="AV638" s="779"/>
      <c r="AW638" s="779"/>
      <c r="AX638" s="779"/>
    </row>
    <row r="639">
      <c r="B639" s="779"/>
      <c r="C639" s="779"/>
      <c r="D639" s="779"/>
      <c r="X639" s="779"/>
      <c r="AA639" s="779"/>
      <c r="AU639" s="779"/>
      <c r="AV639" s="779"/>
      <c r="AW639" s="779"/>
      <c r="AX639" s="779"/>
    </row>
    <row r="640">
      <c r="B640" s="779"/>
      <c r="C640" s="779"/>
      <c r="D640" s="779"/>
      <c r="X640" s="779"/>
      <c r="AA640" s="779"/>
      <c r="AU640" s="779"/>
      <c r="AV640" s="779"/>
      <c r="AW640" s="779"/>
      <c r="AX640" s="779"/>
    </row>
    <row r="641">
      <c r="B641" s="779"/>
      <c r="C641" s="779"/>
      <c r="D641" s="779"/>
      <c r="X641" s="779"/>
      <c r="AA641" s="779"/>
      <c r="AU641" s="779"/>
      <c r="AV641" s="779"/>
      <c r="AW641" s="779"/>
      <c r="AX641" s="779"/>
    </row>
    <row r="642">
      <c r="B642" s="779"/>
      <c r="C642" s="779"/>
      <c r="D642" s="779"/>
      <c r="X642" s="779"/>
      <c r="AA642" s="779"/>
      <c r="AU642" s="779"/>
      <c r="AV642" s="779"/>
      <c r="AW642" s="779"/>
      <c r="AX642" s="779"/>
    </row>
    <row r="643">
      <c r="B643" s="779"/>
      <c r="C643" s="779"/>
      <c r="D643" s="779"/>
      <c r="X643" s="779"/>
      <c r="AA643" s="779"/>
      <c r="AU643" s="779"/>
      <c r="AV643" s="779"/>
      <c r="AW643" s="779"/>
      <c r="AX643" s="779"/>
    </row>
    <row r="644">
      <c r="B644" s="779"/>
      <c r="C644" s="779"/>
      <c r="D644" s="779"/>
      <c r="X644" s="779"/>
      <c r="AA644" s="779"/>
      <c r="AU644" s="779"/>
      <c r="AV644" s="779"/>
      <c r="AW644" s="779"/>
      <c r="AX644" s="779"/>
    </row>
    <row r="645">
      <c r="B645" s="779"/>
      <c r="C645" s="779"/>
      <c r="D645" s="779"/>
      <c r="X645" s="779"/>
      <c r="AA645" s="779"/>
      <c r="AU645" s="779"/>
      <c r="AV645" s="779"/>
      <c r="AW645" s="779"/>
      <c r="AX645" s="779"/>
    </row>
    <row r="646">
      <c r="B646" s="779"/>
      <c r="C646" s="779"/>
      <c r="D646" s="779"/>
      <c r="X646" s="779"/>
      <c r="AA646" s="779"/>
      <c r="AU646" s="779"/>
      <c r="AV646" s="779"/>
      <c r="AW646" s="779"/>
      <c r="AX646" s="779"/>
    </row>
    <row r="647">
      <c r="B647" s="779"/>
      <c r="C647" s="779"/>
      <c r="D647" s="779"/>
      <c r="X647" s="779"/>
      <c r="AA647" s="779"/>
      <c r="AU647" s="779"/>
      <c r="AV647" s="779"/>
      <c r="AW647" s="779"/>
      <c r="AX647" s="779"/>
    </row>
    <row r="648">
      <c r="B648" s="779"/>
      <c r="C648" s="779"/>
      <c r="D648" s="779"/>
      <c r="X648" s="779"/>
      <c r="AA648" s="779"/>
      <c r="AU648" s="779"/>
      <c r="AV648" s="779"/>
      <c r="AW648" s="779"/>
      <c r="AX648" s="779"/>
    </row>
    <row r="649">
      <c r="B649" s="779"/>
      <c r="C649" s="779"/>
      <c r="D649" s="779"/>
      <c r="X649" s="779"/>
      <c r="AA649" s="779"/>
      <c r="AU649" s="779"/>
      <c r="AV649" s="779"/>
      <c r="AW649" s="779"/>
      <c r="AX649" s="779"/>
    </row>
    <row r="650">
      <c r="B650" s="779"/>
      <c r="C650" s="779"/>
      <c r="D650" s="779"/>
      <c r="X650" s="779"/>
      <c r="AA650" s="779"/>
      <c r="AU650" s="779"/>
      <c r="AV650" s="779"/>
      <c r="AW650" s="779"/>
      <c r="AX650" s="779"/>
    </row>
    <row r="651">
      <c r="B651" s="779"/>
      <c r="C651" s="779"/>
      <c r="D651" s="779"/>
      <c r="X651" s="779"/>
      <c r="AA651" s="779"/>
      <c r="AU651" s="779"/>
      <c r="AV651" s="779"/>
      <c r="AW651" s="779"/>
      <c r="AX651" s="779"/>
    </row>
    <row r="652">
      <c r="B652" s="779"/>
      <c r="C652" s="779"/>
      <c r="D652" s="779"/>
      <c r="X652" s="779"/>
      <c r="AA652" s="779"/>
      <c r="AU652" s="779"/>
      <c r="AV652" s="779"/>
      <c r="AW652" s="779"/>
      <c r="AX652" s="779"/>
    </row>
    <row r="653">
      <c r="B653" s="779"/>
      <c r="C653" s="779"/>
      <c r="D653" s="779"/>
      <c r="X653" s="779"/>
      <c r="AA653" s="779"/>
      <c r="AU653" s="779"/>
      <c r="AV653" s="779"/>
      <c r="AW653" s="779"/>
      <c r="AX653" s="779"/>
    </row>
    <row r="654">
      <c r="B654" s="779"/>
      <c r="C654" s="779"/>
      <c r="D654" s="779"/>
      <c r="X654" s="779"/>
      <c r="AA654" s="779"/>
      <c r="AU654" s="779"/>
      <c r="AV654" s="779"/>
      <c r="AW654" s="779"/>
      <c r="AX654" s="779"/>
    </row>
    <row r="655">
      <c r="B655" s="779"/>
      <c r="C655" s="779"/>
      <c r="D655" s="779"/>
      <c r="X655" s="779"/>
      <c r="AA655" s="779"/>
      <c r="AU655" s="779"/>
      <c r="AV655" s="779"/>
      <c r="AW655" s="779"/>
      <c r="AX655" s="779"/>
    </row>
    <row r="656">
      <c r="B656" s="779"/>
      <c r="C656" s="779"/>
      <c r="D656" s="779"/>
      <c r="X656" s="779"/>
      <c r="AA656" s="779"/>
      <c r="AU656" s="779"/>
      <c r="AV656" s="779"/>
      <c r="AW656" s="779"/>
      <c r="AX656" s="779"/>
    </row>
    <row r="657">
      <c r="B657" s="779"/>
      <c r="C657" s="779"/>
      <c r="D657" s="779"/>
      <c r="X657" s="779"/>
      <c r="AA657" s="779"/>
      <c r="AU657" s="779"/>
      <c r="AV657" s="779"/>
      <c r="AW657" s="779"/>
      <c r="AX657" s="779"/>
    </row>
    <row r="658">
      <c r="B658" s="779"/>
      <c r="C658" s="779"/>
      <c r="D658" s="779"/>
      <c r="X658" s="779"/>
      <c r="AA658" s="779"/>
      <c r="AU658" s="779"/>
      <c r="AV658" s="779"/>
      <c r="AW658" s="779"/>
      <c r="AX658" s="779"/>
    </row>
    <row r="659">
      <c r="B659" s="779"/>
      <c r="C659" s="779"/>
      <c r="D659" s="779"/>
      <c r="X659" s="779"/>
      <c r="AA659" s="779"/>
      <c r="AU659" s="779"/>
      <c r="AV659" s="779"/>
      <c r="AW659" s="779"/>
      <c r="AX659" s="779"/>
    </row>
    <row r="660">
      <c r="B660" s="779"/>
      <c r="C660" s="779"/>
      <c r="D660" s="779"/>
      <c r="X660" s="779"/>
      <c r="AA660" s="779"/>
      <c r="AU660" s="779"/>
      <c r="AV660" s="779"/>
      <c r="AW660" s="779"/>
      <c r="AX660" s="779"/>
    </row>
    <row r="661">
      <c r="B661" s="779"/>
      <c r="C661" s="779"/>
      <c r="D661" s="779"/>
      <c r="X661" s="779"/>
      <c r="AA661" s="779"/>
      <c r="AU661" s="779"/>
      <c r="AV661" s="779"/>
      <c r="AW661" s="779"/>
      <c r="AX661" s="779"/>
    </row>
    <row r="662">
      <c r="B662" s="779"/>
      <c r="C662" s="779"/>
      <c r="D662" s="779"/>
      <c r="X662" s="779"/>
      <c r="AA662" s="779"/>
      <c r="AU662" s="779"/>
      <c r="AV662" s="779"/>
      <c r="AW662" s="779"/>
      <c r="AX662" s="779"/>
    </row>
    <row r="663">
      <c r="B663" s="779"/>
      <c r="C663" s="779"/>
      <c r="D663" s="779"/>
      <c r="X663" s="779"/>
      <c r="AA663" s="779"/>
      <c r="AU663" s="779"/>
      <c r="AV663" s="779"/>
      <c r="AW663" s="779"/>
      <c r="AX663" s="779"/>
    </row>
    <row r="664">
      <c r="B664" s="779"/>
      <c r="C664" s="779"/>
      <c r="D664" s="779"/>
      <c r="X664" s="779"/>
      <c r="AA664" s="779"/>
      <c r="AU664" s="779"/>
      <c r="AV664" s="779"/>
      <c r="AW664" s="779"/>
      <c r="AX664" s="779"/>
    </row>
    <row r="665">
      <c r="B665" s="779"/>
      <c r="C665" s="779"/>
      <c r="D665" s="779"/>
      <c r="X665" s="779"/>
      <c r="AA665" s="779"/>
      <c r="AU665" s="779"/>
      <c r="AV665" s="779"/>
      <c r="AW665" s="779"/>
      <c r="AX665" s="779"/>
    </row>
    <row r="666">
      <c r="B666" s="779"/>
      <c r="C666" s="779"/>
      <c r="D666" s="779"/>
      <c r="X666" s="779"/>
      <c r="AA666" s="779"/>
      <c r="AU666" s="779"/>
      <c r="AV666" s="779"/>
      <c r="AW666" s="779"/>
      <c r="AX666" s="779"/>
    </row>
    <row r="667">
      <c r="B667" s="779"/>
      <c r="C667" s="779"/>
      <c r="D667" s="779"/>
      <c r="X667" s="779"/>
      <c r="AA667" s="779"/>
      <c r="AU667" s="779"/>
      <c r="AV667" s="779"/>
      <c r="AW667" s="779"/>
      <c r="AX667" s="779"/>
    </row>
    <row r="668">
      <c r="B668" s="779"/>
      <c r="C668" s="779"/>
      <c r="D668" s="779"/>
      <c r="X668" s="779"/>
      <c r="AA668" s="779"/>
      <c r="AU668" s="779"/>
      <c r="AV668" s="779"/>
      <c r="AW668" s="779"/>
      <c r="AX668" s="779"/>
    </row>
    <row r="669">
      <c r="B669" s="779"/>
      <c r="C669" s="779"/>
      <c r="D669" s="779"/>
      <c r="X669" s="779"/>
      <c r="AA669" s="779"/>
      <c r="AU669" s="779"/>
      <c r="AV669" s="779"/>
      <c r="AW669" s="779"/>
      <c r="AX669" s="779"/>
    </row>
    <row r="670">
      <c r="B670" s="779"/>
      <c r="C670" s="779"/>
      <c r="D670" s="779"/>
      <c r="X670" s="779"/>
      <c r="AA670" s="779"/>
      <c r="AU670" s="779"/>
      <c r="AV670" s="779"/>
      <c r="AW670" s="779"/>
      <c r="AX670" s="779"/>
    </row>
    <row r="671">
      <c r="B671" s="779"/>
      <c r="C671" s="779"/>
      <c r="D671" s="779"/>
      <c r="X671" s="779"/>
      <c r="AA671" s="779"/>
      <c r="AU671" s="779"/>
      <c r="AV671" s="779"/>
      <c r="AW671" s="779"/>
      <c r="AX671" s="779"/>
    </row>
    <row r="672">
      <c r="B672" s="779"/>
      <c r="C672" s="779"/>
      <c r="D672" s="779"/>
      <c r="X672" s="779"/>
      <c r="AA672" s="779"/>
      <c r="AU672" s="779"/>
      <c r="AV672" s="779"/>
      <c r="AW672" s="779"/>
      <c r="AX672" s="779"/>
    </row>
    <row r="673">
      <c r="B673" s="779"/>
      <c r="C673" s="779"/>
      <c r="D673" s="779"/>
      <c r="X673" s="779"/>
      <c r="AA673" s="779"/>
      <c r="AU673" s="779"/>
      <c r="AV673" s="779"/>
      <c r="AW673" s="779"/>
      <c r="AX673" s="779"/>
    </row>
    <row r="674">
      <c r="B674" s="779"/>
      <c r="C674" s="779"/>
      <c r="D674" s="779"/>
      <c r="X674" s="779"/>
      <c r="AA674" s="779"/>
      <c r="AU674" s="779"/>
      <c r="AV674" s="779"/>
      <c r="AW674" s="779"/>
      <c r="AX674" s="779"/>
    </row>
    <row r="675">
      <c r="B675" s="779"/>
      <c r="C675" s="779"/>
      <c r="D675" s="779"/>
      <c r="X675" s="779"/>
      <c r="AA675" s="779"/>
      <c r="AU675" s="779"/>
      <c r="AV675" s="779"/>
      <c r="AW675" s="779"/>
      <c r="AX675" s="779"/>
    </row>
    <row r="676">
      <c r="B676" s="779"/>
      <c r="C676" s="779"/>
      <c r="D676" s="779"/>
      <c r="X676" s="779"/>
      <c r="AA676" s="779"/>
      <c r="AU676" s="779"/>
      <c r="AV676" s="779"/>
      <c r="AW676" s="779"/>
      <c r="AX676" s="779"/>
    </row>
    <row r="677">
      <c r="B677" s="779"/>
      <c r="C677" s="779"/>
      <c r="D677" s="779"/>
      <c r="X677" s="779"/>
      <c r="AA677" s="779"/>
      <c r="AU677" s="779"/>
      <c r="AV677" s="779"/>
      <c r="AW677" s="779"/>
      <c r="AX677" s="779"/>
    </row>
    <row r="678">
      <c r="B678" s="779"/>
      <c r="C678" s="779"/>
      <c r="D678" s="779"/>
      <c r="X678" s="779"/>
      <c r="AA678" s="779"/>
      <c r="AU678" s="779"/>
      <c r="AV678" s="779"/>
      <c r="AW678" s="779"/>
      <c r="AX678" s="779"/>
    </row>
    <row r="679">
      <c r="B679" s="779"/>
      <c r="C679" s="779"/>
      <c r="D679" s="779"/>
      <c r="X679" s="779"/>
      <c r="AA679" s="779"/>
      <c r="AU679" s="779"/>
      <c r="AV679" s="779"/>
      <c r="AW679" s="779"/>
      <c r="AX679" s="779"/>
    </row>
    <row r="680">
      <c r="B680" s="779"/>
      <c r="C680" s="779"/>
      <c r="D680" s="779"/>
      <c r="X680" s="779"/>
      <c r="AA680" s="779"/>
      <c r="AU680" s="779"/>
      <c r="AV680" s="779"/>
      <c r="AW680" s="779"/>
      <c r="AX680" s="779"/>
    </row>
    <row r="681">
      <c r="B681" s="779"/>
      <c r="C681" s="779"/>
      <c r="D681" s="779"/>
      <c r="X681" s="779"/>
      <c r="AA681" s="779"/>
      <c r="AU681" s="779"/>
      <c r="AV681" s="779"/>
      <c r="AW681" s="779"/>
      <c r="AX681" s="779"/>
    </row>
    <row r="682">
      <c r="B682" s="779"/>
      <c r="C682" s="779"/>
      <c r="D682" s="779"/>
      <c r="X682" s="779"/>
      <c r="AA682" s="779"/>
      <c r="AU682" s="779"/>
      <c r="AV682" s="779"/>
      <c r="AW682" s="779"/>
      <c r="AX682" s="779"/>
    </row>
    <row r="683">
      <c r="B683" s="779"/>
      <c r="C683" s="779"/>
      <c r="D683" s="779"/>
      <c r="X683" s="779"/>
      <c r="AA683" s="779"/>
      <c r="AU683" s="779"/>
      <c r="AV683" s="779"/>
      <c r="AW683" s="779"/>
      <c r="AX683" s="779"/>
    </row>
    <row r="684">
      <c r="B684" s="779"/>
      <c r="C684" s="779"/>
      <c r="D684" s="779"/>
      <c r="X684" s="779"/>
      <c r="AA684" s="779"/>
      <c r="AU684" s="779"/>
      <c r="AV684" s="779"/>
      <c r="AW684" s="779"/>
      <c r="AX684" s="779"/>
    </row>
    <row r="685">
      <c r="B685" s="779"/>
      <c r="C685" s="779"/>
      <c r="D685" s="779"/>
      <c r="X685" s="779"/>
      <c r="AA685" s="779"/>
      <c r="AU685" s="779"/>
      <c r="AV685" s="779"/>
      <c r="AW685" s="779"/>
      <c r="AX685" s="779"/>
    </row>
    <row r="686">
      <c r="B686" s="779"/>
      <c r="C686" s="779"/>
      <c r="D686" s="779"/>
      <c r="X686" s="779"/>
      <c r="AA686" s="779"/>
      <c r="AU686" s="779"/>
      <c r="AV686" s="779"/>
      <c r="AW686" s="779"/>
      <c r="AX686" s="779"/>
    </row>
    <row r="687">
      <c r="B687" s="779"/>
      <c r="C687" s="779"/>
      <c r="D687" s="779"/>
      <c r="X687" s="779"/>
      <c r="AA687" s="779"/>
      <c r="AU687" s="779"/>
      <c r="AV687" s="779"/>
      <c r="AW687" s="779"/>
      <c r="AX687" s="779"/>
    </row>
    <row r="688">
      <c r="B688" s="779"/>
      <c r="C688" s="779"/>
      <c r="D688" s="779"/>
      <c r="X688" s="779"/>
      <c r="AA688" s="779"/>
      <c r="AU688" s="779"/>
      <c r="AV688" s="779"/>
      <c r="AW688" s="779"/>
      <c r="AX688" s="779"/>
    </row>
    <row r="689">
      <c r="B689" s="779"/>
      <c r="C689" s="779"/>
      <c r="D689" s="779"/>
      <c r="X689" s="779"/>
      <c r="AA689" s="779"/>
      <c r="AU689" s="779"/>
      <c r="AV689" s="779"/>
      <c r="AW689" s="779"/>
      <c r="AX689" s="779"/>
    </row>
    <row r="690">
      <c r="B690" s="779"/>
      <c r="C690" s="779"/>
      <c r="D690" s="779"/>
      <c r="X690" s="779"/>
      <c r="AA690" s="779"/>
      <c r="AU690" s="779"/>
      <c r="AV690" s="779"/>
      <c r="AW690" s="779"/>
      <c r="AX690" s="779"/>
    </row>
    <row r="691">
      <c r="B691" s="779"/>
      <c r="C691" s="779"/>
      <c r="D691" s="779"/>
      <c r="X691" s="779"/>
      <c r="AA691" s="779"/>
      <c r="AU691" s="779"/>
      <c r="AV691" s="779"/>
      <c r="AW691" s="779"/>
      <c r="AX691" s="779"/>
    </row>
    <row r="692">
      <c r="B692" s="779"/>
      <c r="C692" s="779"/>
      <c r="D692" s="779"/>
      <c r="X692" s="779"/>
      <c r="AA692" s="779"/>
      <c r="AU692" s="779"/>
      <c r="AV692" s="779"/>
      <c r="AW692" s="779"/>
      <c r="AX692" s="779"/>
    </row>
    <row r="693">
      <c r="B693" s="779"/>
      <c r="C693" s="779"/>
      <c r="D693" s="779"/>
      <c r="X693" s="779"/>
      <c r="AA693" s="779"/>
      <c r="AU693" s="779"/>
      <c r="AV693" s="779"/>
      <c r="AW693" s="779"/>
      <c r="AX693" s="779"/>
    </row>
    <row r="694">
      <c r="B694" s="779"/>
      <c r="C694" s="779"/>
      <c r="D694" s="779"/>
      <c r="X694" s="779"/>
      <c r="AA694" s="779"/>
      <c r="AU694" s="779"/>
      <c r="AV694" s="779"/>
      <c r="AW694" s="779"/>
      <c r="AX694" s="779"/>
    </row>
    <row r="695">
      <c r="B695" s="779"/>
      <c r="C695" s="779"/>
      <c r="D695" s="779"/>
      <c r="X695" s="779"/>
      <c r="AA695" s="779"/>
      <c r="AU695" s="779"/>
      <c r="AV695" s="779"/>
      <c r="AW695" s="779"/>
      <c r="AX695" s="779"/>
    </row>
    <row r="696">
      <c r="B696" s="779"/>
      <c r="C696" s="779"/>
      <c r="D696" s="779"/>
      <c r="X696" s="779"/>
      <c r="AA696" s="779"/>
      <c r="AU696" s="779"/>
      <c r="AV696" s="779"/>
      <c r="AW696" s="779"/>
      <c r="AX696" s="779"/>
    </row>
    <row r="697">
      <c r="B697" s="779"/>
      <c r="C697" s="779"/>
      <c r="D697" s="779"/>
      <c r="X697" s="779"/>
      <c r="AA697" s="779"/>
      <c r="AU697" s="779"/>
      <c r="AV697" s="779"/>
      <c r="AW697" s="779"/>
      <c r="AX697" s="779"/>
    </row>
    <row r="698">
      <c r="B698" s="779"/>
      <c r="C698" s="779"/>
      <c r="D698" s="779"/>
      <c r="X698" s="779"/>
      <c r="AA698" s="779"/>
      <c r="AU698" s="779"/>
      <c r="AV698" s="779"/>
      <c r="AW698" s="779"/>
      <c r="AX698" s="779"/>
    </row>
    <row r="699">
      <c r="B699" s="779"/>
      <c r="C699" s="779"/>
      <c r="D699" s="779"/>
      <c r="X699" s="779"/>
      <c r="AA699" s="779"/>
      <c r="AU699" s="779"/>
      <c r="AV699" s="779"/>
      <c r="AW699" s="779"/>
      <c r="AX699" s="779"/>
    </row>
    <row r="700">
      <c r="B700" s="779"/>
      <c r="C700" s="779"/>
      <c r="D700" s="779"/>
      <c r="X700" s="779"/>
      <c r="AA700" s="779"/>
      <c r="AU700" s="779"/>
      <c r="AV700" s="779"/>
      <c r="AW700" s="779"/>
      <c r="AX700" s="779"/>
    </row>
    <row r="701">
      <c r="B701" s="779"/>
      <c r="C701" s="779"/>
      <c r="D701" s="779"/>
      <c r="X701" s="779"/>
      <c r="AA701" s="779"/>
      <c r="AU701" s="779"/>
      <c r="AV701" s="779"/>
      <c r="AW701" s="779"/>
      <c r="AX701" s="779"/>
    </row>
    <row r="702">
      <c r="B702" s="779"/>
      <c r="C702" s="779"/>
      <c r="D702" s="779"/>
      <c r="X702" s="779"/>
      <c r="AA702" s="779"/>
      <c r="AU702" s="779"/>
      <c r="AV702" s="779"/>
      <c r="AW702" s="779"/>
      <c r="AX702" s="779"/>
    </row>
    <row r="703">
      <c r="B703" s="779"/>
      <c r="C703" s="779"/>
      <c r="D703" s="779"/>
      <c r="X703" s="779"/>
      <c r="AA703" s="779"/>
      <c r="AU703" s="779"/>
      <c r="AV703" s="779"/>
      <c r="AW703" s="779"/>
      <c r="AX703" s="779"/>
    </row>
    <row r="704">
      <c r="B704" s="779"/>
      <c r="C704" s="779"/>
      <c r="D704" s="779"/>
      <c r="X704" s="779"/>
      <c r="AA704" s="779"/>
      <c r="AU704" s="779"/>
      <c r="AV704" s="779"/>
      <c r="AW704" s="779"/>
      <c r="AX704" s="779"/>
    </row>
    <row r="705">
      <c r="B705" s="779"/>
      <c r="C705" s="779"/>
      <c r="D705" s="779"/>
      <c r="X705" s="779"/>
      <c r="AA705" s="779"/>
      <c r="AU705" s="779"/>
      <c r="AV705" s="779"/>
      <c r="AW705" s="779"/>
      <c r="AX705" s="779"/>
    </row>
    <row r="706">
      <c r="B706" s="779"/>
      <c r="C706" s="779"/>
      <c r="D706" s="779"/>
      <c r="X706" s="779"/>
      <c r="AA706" s="779"/>
      <c r="AU706" s="779"/>
      <c r="AV706" s="779"/>
      <c r="AW706" s="779"/>
      <c r="AX706" s="779"/>
    </row>
    <row r="707">
      <c r="B707" s="779"/>
      <c r="C707" s="779"/>
      <c r="D707" s="779"/>
      <c r="X707" s="779"/>
      <c r="AA707" s="779"/>
      <c r="AU707" s="779"/>
      <c r="AV707" s="779"/>
      <c r="AW707" s="779"/>
      <c r="AX707" s="779"/>
    </row>
    <row r="708">
      <c r="B708" s="779"/>
      <c r="C708" s="779"/>
      <c r="D708" s="779"/>
      <c r="X708" s="779"/>
      <c r="AA708" s="779"/>
      <c r="AU708" s="779"/>
      <c r="AV708" s="779"/>
      <c r="AW708" s="779"/>
      <c r="AX708" s="779"/>
    </row>
    <row r="709">
      <c r="B709" s="779"/>
      <c r="C709" s="779"/>
      <c r="D709" s="779"/>
      <c r="X709" s="779"/>
      <c r="AA709" s="779"/>
      <c r="AU709" s="779"/>
      <c r="AV709" s="779"/>
      <c r="AW709" s="779"/>
      <c r="AX709" s="779"/>
    </row>
    <row r="710">
      <c r="B710" s="779"/>
      <c r="C710" s="779"/>
      <c r="D710" s="779"/>
      <c r="X710" s="779"/>
      <c r="AA710" s="779"/>
      <c r="AU710" s="779"/>
      <c r="AV710" s="779"/>
      <c r="AW710" s="779"/>
      <c r="AX710" s="779"/>
    </row>
    <row r="711">
      <c r="B711" s="779"/>
      <c r="C711" s="779"/>
      <c r="D711" s="779"/>
      <c r="X711" s="779"/>
      <c r="AA711" s="779"/>
      <c r="AU711" s="779"/>
      <c r="AV711" s="779"/>
      <c r="AW711" s="779"/>
      <c r="AX711" s="779"/>
    </row>
    <row r="712">
      <c r="B712" s="779"/>
      <c r="C712" s="779"/>
      <c r="D712" s="779"/>
      <c r="X712" s="779"/>
      <c r="AA712" s="779"/>
      <c r="AU712" s="779"/>
      <c r="AV712" s="779"/>
      <c r="AW712" s="779"/>
      <c r="AX712" s="779"/>
    </row>
    <row r="713">
      <c r="B713" s="779"/>
      <c r="C713" s="779"/>
      <c r="D713" s="779"/>
      <c r="X713" s="779"/>
      <c r="AA713" s="779"/>
      <c r="AU713" s="779"/>
      <c r="AV713" s="779"/>
      <c r="AW713" s="779"/>
      <c r="AX713" s="779"/>
    </row>
    <row r="714">
      <c r="B714" s="779"/>
      <c r="C714" s="779"/>
      <c r="D714" s="779"/>
      <c r="X714" s="779"/>
      <c r="AA714" s="779"/>
      <c r="AU714" s="779"/>
      <c r="AV714" s="779"/>
      <c r="AW714" s="779"/>
      <c r="AX714" s="779"/>
    </row>
    <row r="715">
      <c r="B715" s="779"/>
      <c r="C715" s="779"/>
      <c r="D715" s="779"/>
      <c r="X715" s="779"/>
      <c r="AA715" s="779"/>
      <c r="AU715" s="779"/>
      <c r="AV715" s="779"/>
      <c r="AW715" s="779"/>
      <c r="AX715" s="779"/>
    </row>
    <row r="716">
      <c r="B716" s="779"/>
      <c r="C716" s="779"/>
      <c r="D716" s="779"/>
      <c r="X716" s="779"/>
      <c r="AA716" s="779"/>
      <c r="AU716" s="779"/>
      <c r="AV716" s="779"/>
      <c r="AW716" s="779"/>
      <c r="AX716" s="779"/>
    </row>
    <row r="717">
      <c r="B717" s="779"/>
      <c r="C717" s="779"/>
      <c r="D717" s="779"/>
      <c r="X717" s="779"/>
      <c r="AA717" s="779"/>
      <c r="AU717" s="779"/>
      <c r="AV717" s="779"/>
      <c r="AW717" s="779"/>
      <c r="AX717" s="779"/>
    </row>
    <row r="718">
      <c r="B718" s="779"/>
      <c r="C718" s="779"/>
      <c r="D718" s="779"/>
      <c r="X718" s="779"/>
      <c r="AA718" s="779"/>
      <c r="AU718" s="779"/>
      <c r="AV718" s="779"/>
      <c r="AW718" s="779"/>
      <c r="AX718" s="779"/>
    </row>
    <row r="719">
      <c r="B719" s="779"/>
      <c r="C719" s="779"/>
      <c r="D719" s="779"/>
      <c r="X719" s="779"/>
      <c r="AA719" s="779"/>
      <c r="AU719" s="779"/>
      <c r="AV719" s="779"/>
      <c r="AW719" s="779"/>
      <c r="AX719" s="779"/>
    </row>
    <row r="720">
      <c r="B720" s="779"/>
      <c r="C720" s="779"/>
      <c r="D720" s="779"/>
      <c r="X720" s="779"/>
      <c r="AA720" s="779"/>
      <c r="AU720" s="779"/>
      <c r="AV720" s="779"/>
      <c r="AW720" s="779"/>
      <c r="AX720" s="779"/>
    </row>
    <row r="721">
      <c r="B721" s="779"/>
      <c r="C721" s="779"/>
      <c r="D721" s="779"/>
      <c r="X721" s="779"/>
      <c r="AA721" s="779"/>
      <c r="AU721" s="779"/>
      <c r="AV721" s="779"/>
      <c r="AW721" s="779"/>
      <c r="AX721" s="779"/>
    </row>
    <row r="722">
      <c r="B722" s="779"/>
      <c r="C722" s="779"/>
      <c r="D722" s="779"/>
      <c r="X722" s="779"/>
      <c r="AA722" s="779"/>
      <c r="AU722" s="779"/>
      <c r="AV722" s="779"/>
      <c r="AW722" s="779"/>
      <c r="AX722" s="779"/>
    </row>
    <row r="723">
      <c r="B723" s="779"/>
      <c r="C723" s="779"/>
      <c r="D723" s="779"/>
      <c r="X723" s="779"/>
      <c r="AA723" s="779"/>
      <c r="AU723" s="779"/>
      <c r="AV723" s="779"/>
      <c r="AW723" s="779"/>
      <c r="AX723" s="779"/>
    </row>
    <row r="724">
      <c r="B724" s="779"/>
      <c r="C724" s="779"/>
      <c r="D724" s="779"/>
      <c r="X724" s="779"/>
      <c r="AA724" s="779"/>
      <c r="AU724" s="779"/>
      <c r="AV724" s="779"/>
      <c r="AW724" s="779"/>
      <c r="AX724" s="779"/>
    </row>
    <row r="725">
      <c r="B725" s="779"/>
      <c r="C725" s="779"/>
      <c r="D725" s="779"/>
      <c r="X725" s="779"/>
      <c r="AA725" s="779"/>
      <c r="AU725" s="779"/>
      <c r="AV725" s="779"/>
      <c r="AW725" s="779"/>
      <c r="AX725" s="779"/>
    </row>
    <row r="726">
      <c r="B726" s="779"/>
      <c r="C726" s="779"/>
      <c r="D726" s="779"/>
      <c r="X726" s="779"/>
      <c r="AA726" s="779"/>
      <c r="AU726" s="779"/>
      <c r="AV726" s="779"/>
      <c r="AW726" s="779"/>
      <c r="AX726" s="779"/>
    </row>
    <row r="727">
      <c r="B727" s="779"/>
      <c r="C727" s="779"/>
      <c r="D727" s="779"/>
      <c r="X727" s="779"/>
      <c r="AA727" s="779"/>
      <c r="AU727" s="779"/>
      <c r="AV727" s="779"/>
      <c r="AW727" s="779"/>
      <c r="AX727" s="779"/>
    </row>
    <row r="728">
      <c r="B728" s="779"/>
      <c r="C728" s="779"/>
      <c r="D728" s="779"/>
      <c r="X728" s="779"/>
      <c r="AA728" s="779"/>
      <c r="AU728" s="779"/>
      <c r="AV728" s="779"/>
      <c r="AW728" s="779"/>
      <c r="AX728" s="779"/>
    </row>
    <row r="729">
      <c r="B729" s="779"/>
      <c r="C729" s="779"/>
      <c r="D729" s="779"/>
      <c r="X729" s="779"/>
      <c r="AA729" s="779"/>
      <c r="AU729" s="779"/>
      <c r="AV729" s="779"/>
      <c r="AW729" s="779"/>
      <c r="AX729" s="779"/>
    </row>
    <row r="730">
      <c r="B730" s="779"/>
      <c r="C730" s="779"/>
      <c r="D730" s="779"/>
      <c r="X730" s="779"/>
      <c r="AA730" s="779"/>
      <c r="AU730" s="779"/>
      <c r="AV730" s="779"/>
      <c r="AW730" s="779"/>
      <c r="AX730" s="779"/>
    </row>
    <row r="731">
      <c r="B731" s="779"/>
      <c r="C731" s="779"/>
      <c r="D731" s="779"/>
      <c r="X731" s="779"/>
      <c r="AA731" s="779"/>
      <c r="AU731" s="779"/>
      <c r="AV731" s="779"/>
      <c r="AW731" s="779"/>
      <c r="AX731" s="779"/>
    </row>
    <row r="732">
      <c r="B732" s="779"/>
      <c r="C732" s="779"/>
      <c r="D732" s="779"/>
      <c r="X732" s="779"/>
      <c r="AA732" s="779"/>
      <c r="AU732" s="779"/>
      <c r="AV732" s="779"/>
      <c r="AW732" s="779"/>
      <c r="AX732" s="779"/>
    </row>
    <row r="733">
      <c r="B733" s="779"/>
      <c r="C733" s="779"/>
      <c r="D733" s="779"/>
      <c r="X733" s="779"/>
      <c r="AA733" s="779"/>
      <c r="AU733" s="779"/>
      <c r="AV733" s="779"/>
      <c r="AW733" s="779"/>
      <c r="AX733" s="779"/>
    </row>
    <row r="734">
      <c r="B734" s="779"/>
      <c r="C734" s="779"/>
      <c r="D734" s="779"/>
      <c r="X734" s="779"/>
      <c r="AA734" s="779"/>
      <c r="AU734" s="779"/>
      <c r="AV734" s="779"/>
      <c r="AW734" s="779"/>
      <c r="AX734" s="779"/>
    </row>
    <row r="735">
      <c r="B735" s="779"/>
      <c r="C735" s="779"/>
      <c r="D735" s="779"/>
      <c r="X735" s="779"/>
      <c r="AA735" s="779"/>
      <c r="AU735" s="779"/>
      <c r="AV735" s="779"/>
      <c r="AW735" s="779"/>
      <c r="AX735" s="779"/>
    </row>
    <row r="736">
      <c r="B736" s="779"/>
      <c r="C736" s="779"/>
      <c r="D736" s="779"/>
      <c r="X736" s="779"/>
      <c r="AA736" s="779"/>
      <c r="AU736" s="779"/>
      <c r="AV736" s="779"/>
      <c r="AW736" s="779"/>
      <c r="AX736" s="779"/>
    </row>
    <row r="737">
      <c r="B737" s="779"/>
      <c r="C737" s="779"/>
      <c r="D737" s="779"/>
      <c r="X737" s="779"/>
      <c r="AA737" s="779"/>
      <c r="AU737" s="779"/>
      <c r="AV737" s="779"/>
      <c r="AW737" s="779"/>
      <c r="AX737" s="779"/>
    </row>
    <row r="738">
      <c r="B738" s="779"/>
      <c r="C738" s="779"/>
      <c r="D738" s="779"/>
      <c r="X738" s="779"/>
      <c r="AA738" s="779"/>
      <c r="AU738" s="779"/>
      <c r="AV738" s="779"/>
      <c r="AW738" s="779"/>
      <c r="AX738" s="779"/>
    </row>
    <row r="739">
      <c r="B739" s="779"/>
      <c r="C739" s="779"/>
      <c r="D739" s="779"/>
      <c r="X739" s="779"/>
      <c r="AA739" s="779"/>
      <c r="AU739" s="779"/>
      <c r="AV739" s="779"/>
      <c r="AW739" s="779"/>
      <c r="AX739" s="779"/>
    </row>
    <row r="740">
      <c r="B740" s="779"/>
      <c r="C740" s="779"/>
      <c r="D740" s="779"/>
      <c r="X740" s="779"/>
      <c r="AA740" s="779"/>
      <c r="AU740" s="779"/>
      <c r="AV740" s="779"/>
      <c r="AW740" s="779"/>
      <c r="AX740" s="779"/>
    </row>
    <row r="741">
      <c r="B741" s="779"/>
      <c r="C741" s="779"/>
      <c r="D741" s="779"/>
      <c r="X741" s="779"/>
      <c r="AA741" s="779"/>
      <c r="AU741" s="779"/>
      <c r="AV741" s="779"/>
      <c r="AW741" s="779"/>
      <c r="AX741" s="779"/>
    </row>
    <row r="742">
      <c r="B742" s="779"/>
      <c r="C742" s="779"/>
      <c r="D742" s="779"/>
      <c r="X742" s="779"/>
      <c r="AA742" s="779"/>
      <c r="AU742" s="779"/>
      <c r="AV742" s="779"/>
      <c r="AW742" s="779"/>
      <c r="AX742" s="779"/>
    </row>
    <row r="743">
      <c r="B743" s="779"/>
      <c r="C743" s="779"/>
      <c r="D743" s="779"/>
      <c r="X743" s="779"/>
      <c r="AA743" s="779"/>
      <c r="AU743" s="779"/>
      <c r="AV743" s="779"/>
      <c r="AW743" s="779"/>
      <c r="AX743" s="779"/>
    </row>
    <row r="744">
      <c r="B744" s="779"/>
      <c r="C744" s="779"/>
      <c r="D744" s="779"/>
      <c r="X744" s="779"/>
      <c r="AA744" s="779"/>
      <c r="AU744" s="779"/>
      <c r="AV744" s="779"/>
      <c r="AW744" s="779"/>
      <c r="AX744" s="779"/>
    </row>
    <row r="745">
      <c r="B745" s="779"/>
      <c r="C745" s="779"/>
      <c r="D745" s="779"/>
      <c r="X745" s="779"/>
      <c r="AA745" s="779"/>
      <c r="AU745" s="779"/>
      <c r="AV745" s="779"/>
      <c r="AW745" s="779"/>
      <c r="AX745" s="779"/>
    </row>
    <row r="746">
      <c r="B746" s="779"/>
      <c r="C746" s="779"/>
      <c r="D746" s="779"/>
      <c r="X746" s="779"/>
      <c r="AA746" s="779"/>
      <c r="AU746" s="779"/>
      <c r="AV746" s="779"/>
      <c r="AW746" s="779"/>
      <c r="AX746" s="779"/>
    </row>
    <row r="747">
      <c r="B747" s="779"/>
      <c r="C747" s="779"/>
      <c r="D747" s="779"/>
      <c r="X747" s="779"/>
      <c r="AA747" s="779"/>
      <c r="AU747" s="779"/>
      <c r="AV747" s="779"/>
      <c r="AW747" s="779"/>
      <c r="AX747" s="779"/>
    </row>
    <row r="748">
      <c r="B748" s="779"/>
      <c r="C748" s="779"/>
      <c r="D748" s="779"/>
      <c r="X748" s="779"/>
      <c r="AA748" s="779"/>
      <c r="AU748" s="779"/>
      <c r="AV748" s="779"/>
      <c r="AW748" s="779"/>
      <c r="AX748" s="779"/>
    </row>
    <row r="749">
      <c r="B749" s="779"/>
      <c r="C749" s="779"/>
      <c r="D749" s="779"/>
      <c r="X749" s="779"/>
      <c r="AA749" s="779"/>
      <c r="AU749" s="779"/>
      <c r="AV749" s="779"/>
      <c r="AW749" s="779"/>
      <c r="AX749" s="779"/>
    </row>
    <row r="750">
      <c r="B750" s="779"/>
      <c r="C750" s="779"/>
      <c r="D750" s="779"/>
      <c r="X750" s="779"/>
      <c r="AA750" s="779"/>
      <c r="AU750" s="779"/>
      <c r="AV750" s="779"/>
      <c r="AW750" s="779"/>
      <c r="AX750" s="779"/>
    </row>
    <row r="751">
      <c r="B751" s="779"/>
      <c r="C751" s="779"/>
      <c r="D751" s="779"/>
      <c r="X751" s="779"/>
      <c r="AA751" s="779"/>
      <c r="AU751" s="779"/>
      <c r="AV751" s="779"/>
      <c r="AW751" s="779"/>
      <c r="AX751" s="779"/>
    </row>
    <row r="752">
      <c r="B752" s="779"/>
      <c r="C752" s="779"/>
      <c r="D752" s="779"/>
      <c r="X752" s="779"/>
      <c r="AA752" s="779"/>
      <c r="AU752" s="779"/>
      <c r="AV752" s="779"/>
      <c r="AW752" s="779"/>
      <c r="AX752" s="779"/>
    </row>
    <row r="753">
      <c r="B753" s="779"/>
      <c r="C753" s="779"/>
      <c r="D753" s="779"/>
      <c r="X753" s="779"/>
      <c r="AA753" s="779"/>
      <c r="AU753" s="779"/>
      <c r="AV753" s="779"/>
      <c r="AW753" s="779"/>
      <c r="AX753" s="779"/>
    </row>
    <row r="754">
      <c r="B754" s="779"/>
      <c r="C754" s="779"/>
      <c r="D754" s="779"/>
      <c r="X754" s="779"/>
      <c r="AA754" s="779"/>
      <c r="AU754" s="779"/>
      <c r="AV754" s="779"/>
      <c r="AW754" s="779"/>
      <c r="AX754" s="779"/>
    </row>
    <row r="755">
      <c r="B755" s="779"/>
      <c r="C755" s="779"/>
      <c r="D755" s="779"/>
      <c r="X755" s="779"/>
      <c r="AA755" s="779"/>
      <c r="AU755" s="779"/>
      <c r="AV755" s="779"/>
      <c r="AW755" s="779"/>
      <c r="AX755" s="779"/>
    </row>
    <row r="756">
      <c r="B756" s="779"/>
      <c r="C756" s="779"/>
      <c r="D756" s="779"/>
      <c r="X756" s="779"/>
      <c r="AA756" s="779"/>
      <c r="AU756" s="779"/>
      <c r="AV756" s="779"/>
      <c r="AW756" s="779"/>
      <c r="AX756" s="779"/>
    </row>
    <row r="757">
      <c r="B757" s="779"/>
      <c r="C757" s="779"/>
      <c r="D757" s="779"/>
      <c r="X757" s="779"/>
      <c r="AA757" s="779"/>
      <c r="AU757" s="779"/>
      <c r="AV757" s="779"/>
      <c r="AW757" s="779"/>
      <c r="AX757" s="779"/>
    </row>
    <row r="758">
      <c r="B758" s="779"/>
      <c r="C758" s="779"/>
      <c r="D758" s="779"/>
      <c r="X758" s="779"/>
      <c r="AA758" s="779"/>
      <c r="AU758" s="779"/>
      <c r="AV758" s="779"/>
      <c r="AW758" s="779"/>
      <c r="AX758" s="779"/>
    </row>
    <row r="759">
      <c r="B759" s="779"/>
      <c r="C759" s="779"/>
      <c r="D759" s="779"/>
      <c r="X759" s="779"/>
      <c r="AA759" s="779"/>
      <c r="AU759" s="779"/>
      <c r="AV759" s="779"/>
      <c r="AW759" s="779"/>
      <c r="AX759" s="779"/>
    </row>
    <row r="760">
      <c r="B760" s="779"/>
      <c r="C760" s="779"/>
      <c r="D760" s="779"/>
      <c r="X760" s="779"/>
      <c r="AA760" s="779"/>
      <c r="AU760" s="779"/>
      <c r="AV760" s="779"/>
      <c r="AW760" s="779"/>
      <c r="AX760" s="779"/>
    </row>
    <row r="761">
      <c r="B761" s="779"/>
      <c r="C761" s="779"/>
      <c r="D761" s="779"/>
      <c r="X761" s="779"/>
      <c r="AA761" s="779"/>
      <c r="AU761" s="779"/>
      <c r="AV761" s="779"/>
      <c r="AW761" s="779"/>
      <c r="AX761" s="779"/>
    </row>
    <row r="762">
      <c r="B762" s="779"/>
      <c r="C762" s="779"/>
      <c r="D762" s="779"/>
      <c r="X762" s="779"/>
      <c r="AA762" s="779"/>
      <c r="AU762" s="779"/>
      <c r="AV762" s="779"/>
      <c r="AW762" s="779"/>
      <c r="AX762" s="779"/>
    </row>
    <row r="763">
      <c r="B763" s="779"/>
      <c r="C763" s="779"/>
      <c r="D763" s="779"/>
      <c r="X763" s="779"/>
      <c r="AA763" s="779"/>
      <c r="AU763" s="779"/>
      <c r="AV763" s="779"/>
      <c r="AW763" s="779"/>
      <c r="AX763" s="779"/>
    </row>
    <row r="764">
      <c r="B764" s="779"/>
      <c r="C764" s="779"/>
      <c r="D764" s="779"/>
      <c r="X764" s="779"/>
      <c r="AA764" s="779"/>
      <c r="AU764" s="779"/>
      <c r="AV764" s="779"/>
      <c r="AW764" s="779"/>
      <c r="AX764" s="779"/>
    </row>
    <row r="765">
      <c r="B765" s="779"/>
      <c r="C765" s="779"/>
      <c r="D765" s="779"/>
      <c r="X765" s="779"/>
      <c r="AA765" s="779"/>
      <c r="AU765" s="779"/>
      <c r="AV765" s="779"/>
      <c r="AW765" s="779"/>
      <c r="AX765" s="779"/>
    </row>
    <row r="766">
      <c r="B766" s="779"/>
      <c r="C766" s="779"/>
      <c r="D766" s="779"/>
      <c r="X766" s="779"/>
      <c r="AA766" s="779"/>
      <c r="AU766" s="779"/>
      <c r="AV766" s="779"/>
      <c r="AW766" s="779"/>
      <c r="AX766" s="779"/>
    </row>
    <row r="767">
      <c r="B767" s="779"/>
      <c r="C767" s="779"/>
      <c r="D767" s="779"/>
      <c r="X767" s="779"/>
      <c r="AA767" s="779"/>
      <c r="AU767" s="779"/>
      <c r="AV767" s="779"/>
      <c r="AW767" s="779"/>
      <c r="AX767" s="779"/>
    </row>
    <row r="768">
      <c r="B768" s="779"/>
      <c r="C768" s="779"/>
      <c r="D768" s="779"/>
      <c r="X768" s="779"/>
      <c r="AA768" s="779"/>
      <c r="AU768" s="779"/>
      <c r="AV768" s="779"/>
      <c r="AW768" s="779"/>
      <c r="AX768" s="779"/>
    </row>
    <row r="769">
      <c r="B769" s="779"/>
      <c r="C769" s="779"/>
      <c r="D769" s="779"/>
      <c r="X769" s="779"/>
      <c r="AA769" s="779"/>
      <c r="AU769" s="779"/>
      <c r="AV769" s="779"/>
      <c r="AW769" s="779"/>
      <c r="AX769" s="779"/>
    </row>
    <row r="770">
      <c r="B770" s="779"/>
      <c r="C770" s="779"/>
      <c r="D770" s="779"/>
      <c r="X770" s="779"/>
      <c r="AA770" s="779"/>
      <c r="AU770" s="779"/>
      <c r="AV770" s="779"/>
      <c r="AW770" s="779"/>
      <c r="AX770" s="779"/>
    </row>
    <row r="771">
      <c r="B771" s="779"/>
      <c r="C771" s="779"/>
      <c r="D771" s="779"/>
      <c r="X771" s="779"/>
      <c r="AA771" s="779"/>
      <c r="AU771" s="779"/>
      <c r="AV771" s="779"/>
      <c r="AW771" s="779"/>
      <c r="AX771" s="779"/>
    </row>
    <row r="772">
      <c r="B772" s="779"/>
      <c r="C772" s="779"/>
      <c r="D772" s="779"/>
      <c r="X772" s="779"/>
      <c r="AA772" s="779"/>
      <c r="AU772" s="779"/>
      <c r="AV772" s="779"/>
      <c r="AW772" s="779"/>
      <c r="AX772" s="779"/>
    </row>
    <row r="773">
      <c r="B773" s="779"/>
      <c r="C773" s="779"/>
      <c r="D773" s="779"/>
      <c r="X773" s="779"/>
      <c r="AA773" s="779"/>
      <c r="AU773" s="779"/>
      <c r="AV773" s="779"/>
      <c r="AW773" s="779"/>
      <c r="AX773" s="779"/>
    </row>
    <row r="774">
      <c r="B774" s="779"/>
      <c r="C774" s="779"/>
      <c r="D774" s="779"/>
      <c r="X774" s="779"/>
      <c r="AA774" s="779"/>
      <c r="AU774" s="779"/>
      <c r="AV774" s="779"/>
      <c r="AW774" s="779"/>
      <c r="AX774" s="779"/>
    </row>
    <row r="775">
      <c r="B775" s="779"/>
      <c r="C775" s="779"/>
      <c r="D775" s="779"/>
      <c r="X775" s="779"/>
      <c r="AA775" s="779"/>
      <c r="AU775" s="779"/>
      <c r="AV775" s="779"/>
      <c r="AW775" s="779"/>
      <c r="AX775" s="779"/>
    </row>
    <row r="776">
      <c r="B776" s="779"/>
      <c r="C776" s="779"/>
      <c r="D776" s="779"/>
      <c r="X776" s="779"/>
      <c r="AA776" s="779"/>
      <c r="AU776" s="779"/>
      <c r="AV776" s="779"/>
      <c r="AW776" s="779"/>
      <c r="AX776" s="779"/>
    </row>
    <row r="777">
      <c r="B777" s="779"/>
      <c r="C777" s="779"/>
      <c r="D777" s="779"/>
      <c r="X777" s="779"/>
      <c r="AA777" s="779"/>
      <c r="AU777" s="779"/>
      <c r="AV777" s="779"/>
      <c r="AW777" s="779"/>
      <c r="AX777" s="779"/>
    </row>
    <row r="778">
      <c r="B778" s="779"/>
      <c r="C778" s="779"/>
      <c r="D778" s="779"/>
      <c r="X778" s="779"/>
      <c r="AA778" s="779"/>
      <c r="AU778" s="779"/>
      <c r="AV778" s="779"/>
      <c r="AW778" s="779"/>
      <c r="AX778" s="779"/>
    </row>
    <row r="779">
      <c r="B779" s="779"/>
      <c r="C779" s="779"/>
      <c r="D779" s="779"/>
      <c r="X779" s="779"/>
      <c r="AA779" s="779"/>
      <c r="AU779" s="779"/>
      <c r="AV779" s="779"/>
      <c r="AW779" s="779"/>
      <c r="AX779" s="779"/>
    </row>
    <row r="780">
      <c r="B780" s="779"/>
      <c r="C780" s="779"/>
      <c r="D780" s="779"/>
      <c r="X780" s="779"/>
      <c r="AA780" s="779"/>
      <c r="AU780" s="779"/>
      <c r="AV780" s="779"/>
      <c r="AW780" s="779"/>
      <c r="AX780" s="779"/>
    </row>
    <row r="781">
      <c r="B781" s="779"/>
      <c r="C781" s="779"/>
      <c r="D781" s="779"/>
      <c r="X781" s="779"/>
      <c r="AA781" s="779"/>
      <c r="AU781" s="779"/>
      <c r="AV781" s="779"/>
      <c r="AW781" s="779"/>
      <c r="AX781" s="779"/>
    </row>
    <row r="782">
      <c r="B782" s="779"/>
      <c r="C782" s="779"/>
      <c r="D782" s="779"/>
      <c r="X782" s="779"/>
      <c r="AA782" s="779"/>
      <c r="AU782" s="779"/>
      <c r="AV782" s="779"/>
      <c r="AW782" s="779"/>
      <c r="AX782" s="779"/>
    </row>
    <row r="783">
      <c r="B783" s="779"/>
      <c r="C783" s="779"/>
      <c r="D783" s="779"/>
      <c r="X783" s="779"/>
      <c r="AA783" s="779"/>
      <c r="AU783" s="779"/>
      <c r="AV783" s="779"/>
      <c r="AW783" s="779"/>
      <c r="AX783" s="779"/>
    </row>
    <row r="784">
      <c r="B784" s="779"/>
      <c r="C784" s="779"/>
      <c r="D784" s="779"/>
      <c r="X784" s="779"/>
      <c r="AA784" s="779"/>
      <c r="AU784" s="779"/>
      <c r="AV784" s="779"/>
      <c r="AW784" s="779"/>
      <c r="AX784" s="779"/>
    </row>
    <row r="785">
      <c r="B785" s="779"/>
      <c r="C785" s="779"/>
      <c r="D785" s="779"/>
      <c r="X785" s="779"/>
      <c r="AA785" s="779"/>
      <c r="AU785" s="779"/>
      <c r="AV785" s="779"/>
      <c r="AW785" s="779"/>
      <c r="AX785" s="779"/>
    </row>
    <row r="786">
      <c r="B786" s="779"/>
      <c r="C786" s="779"/>
      <c r="D786" s="779"/>
      <c r="X786" s="779"/>
      <c r="AA786" s="779"/>
      <c r="AU786" s="779"/>
      <c r="AV786" s="779"/>
      <c r="AW786" s="779"/>
      <c r="AX786" s="779"/>
    </row>
    <row r="787">
      <c r="B787" s="779"/>
      <c r="C787" s="779"/>
      <c r="D787" s="779"/>
      <c r="X787" s="779"/>
      <c r="AA787" s="779"/>
      <c r="AU787" s="779"/>
      <c r="AV787" s="779"/>
      <c r="AW787" s="779"/>
      <c r="AX787" s="779"/>
    </row>
    <row r="788">
      <c r="B788" s="779"/>
      <c r="C788" s="779"/>
      <c r="D788" s="779"/>
      <c r="X788" s="779"/>
      <c r="AA788" s="779"/>
      <c r="AU788" s="779"/>
      <c r="AV788" s="779"/>
      <c r="AW788" s="779"/>
      <c r="AX788" s="779"/>
    </row>
    <row r="789">
      <c r="B789" s="779"/>
      <c r="C789" s="779"/>
      <c r="D789" s="779"/>
      <c r="X789" s="779"/>
      <c r="AA789" s="779"/>
      <c r="AU789" s="779"/>
      <c r="AV789" s="779"/>
      <c r="AW789" s="779"/>
      <c r="AX789" s="779"/>
    </row>
    <row r="790">
      <c r="B790" s="779"/>
      <c r="C790" s="779"/>
      <c r="D790" s="779"/>
      <c r="X790" s="779"/>
      <c r="AA790" s="779"/>
      <c r="AU790" s="779"/>
      <c r="AV790" s="779"/>
      <c r="AW790" s="779"/>
      <c r="AX790" s="779"/>
    </row>
    <row r="791">
      <c r="B791" s="779"/>
      <c r="C791" s="779"/>
      <c r="D791" s="779"/>
      <c r="X791" s="779"/>
      <c r="AA791" s="779"/>
      <c r="AU791" s="779"/>
      <c r="AV791" s="779"/>
      <c r="AW791" s="779"/>
      <c r="AX791" s="779"/>
    </row>
    <row r="792">
      <c r="B792" s="779"/>
      <c r="C792" s="779"/>
      <c r="D792" s="779"/>
      <c r="X792" s="779"/>
      <c r="AA792" s="779"/>
      <c r="AU792" s="779"/>
      <c r="AV792" s="779"/>
      <c r="AW792" s="779"/>
      <c r="AX792" s="779"/>
    </row>
    <row r="793">
      <c r="B793" s="779"/>
      <c r="C793" s="779"/>
      <c r="D793" s="779"/>
      <c r="X793" s="779"/>
      <c r="AA793" s="779"/>
      <c r="AU793" s="779"/>
      <c r="AV793" s="779"/>
      <c r="AW793" s="779"/>
      <c r="AX793" s="779"/>
    </row>
    <row r="794">
      <c r="B794" s="779"/>
      <c r="C794" s="779"/>
      <c r="D794" s="779"/>
      <c r="X794" s="779"/>
      <c r="AA794" s="779"/>
      <c r="AU794" s="779"/>
      <c r="AV794" s="779"/>
      <c r="AW794" s="779"/>
      <c r="AX794" s="779"/>
    </row>
    <row r="795">
      <c r="B795" s="779"/>
      <c r="C795" s="779"/>
      <c r="D795" s="779"/>
      <c r="X795" s="779"/>
      <c r="AA795" s="779"/>
      <c r="AU795" s="779"/>
      <c r="AV795" s="779"/>
      <c r="AW795" s="779"/>
      <c r="AX795" s="779"/>
    </row>
    <row r="796">
      <c r="B796" s="779"/>
      <c r="C796" s="779"/>
      <c r="D796" s="779"/>
      <c r="X796" s="779"/>
      <c r="AA796" s="779"/>
      <c r="AU796" s="779"/>
      <c r="AV796" s="779"/>
      <c r="AW796" s="779"/>
      <c r="AX796" s="779"/>
    </row>
    <row r="797">
      <c r="B797" s="779"/>
      <c r="C797" s="779"/>
      <c r="D797" s="779"/>
      <c r="X797" s="779"/>
      <c r="AA797" s="779"/>
      <c r="AU797" s="779"/>
      <c r="AV797" s="779"/>
      <c r="AW797" s="779"/>
      <c r="AX797" s="779"/>
    </row>
    <row r="798">
      <c r="B798" s="779"/>
      <c r="C798" s="779"/>
      <c r="D798" s="779"/>
      <c r="X798" s="779"/>
      <c r="AA798" s="779"/>
      <c r="AU798" s="779"/>
      <c r="AV798" s="779"/>
      <c r="AW798" s="779"/>
      <c r="AX798" s="779"/>
    </row>
    <row r="799">
      <c r="B799" s="779"/>
      <c r="C799" s="779"/>
      <c r="D799" s="779"/>
      <c r="X799" s="779"/>
      <c r="AA799" s="779"/>
      <c r="AU799" s="779"/>
      <c r="AV799" s="779"/>
      <c r="AW799" s="779"/>
      <c r="AX799" s="779"/>
    </row>
    <row r="800">
      <c r="B800" s="779"/>
      <c r="C800" s="779"/>
      <c r="D800" s="779"/>
      <c r="X800" s="779"/>
      <c r="AA800" s="779"/>
      <c r="AU800" s="779"/>
      <c r="AV800" s="779"/>
      <c r="AW800" s="779"/>
      <c r="AX800" s="779"/>
    </row>
    <row r="801">
      <c r="B801" s="779"/>
      <c r="C801" s="779"/>
      <c r="D801" s="779"/>
      <c r="X801" s="779"/>
      <c r="AA801" s="779"/>
      <c r="AU801" s="779"/>
      <c r="AV801" s="779"/>
      <c r="AW801" s="779"/>
      <c r="AX801" s="779"/>
    </row>
    <row r="802">
      <c r="B802" s="779"/>
      <c r="C802" s="779"/>
      <c r="D802" s="779"/>
      <c r="X802" s="779"/>
      <c r="AA802" s="779"/>
      <c r="AU802" s="779"/>
      <c r="AV802" s="779"/>
      <c r="AW802" s="779"/>
      <c r="AX802" s="779"/>
    </row>
    <row r="803">
      <c r="B803" s="779"/>
      <c r="C803" s="779"/>
      <c r="D803" s="779"/>
      <c r="X803" s="779"/>
      <c r="AA803" s="779"/>
      <c r="AU803" s="779"/>
      <c r="AV803" s="779"/>
      <c r="AW803" s="779"/>
      <c r="AX803" s="779"/>
    </row>
    <row r="804">
      <c r="B804" s="779"/>
      <c r="C804" s="779"/>
      <c r="D804" s="779"/>
      <c r="X804" s="779"/>
      <c r="AA804" s="779"/>
      <c r="AU804" s="779"/>
      <c r="AV804" s="779"/>
      <c r="AW804" s="779"/>
      <c r="AX804" s="779"/>
    </row>
    <row r="805">
      <c r="B805" s="779"/>
      <c r="C805" s="779"/>
      <c r="D805" s="779"/>
      <c r="X805" s="779"/>
      <c r="AA805" s="779"/>
      <c r="AU805" s="779"/>
      <c r="AV805" s="779"/>
      <c r="AW805" s="779"/>
      <c r="AX805" s="779"/>
    </row>
    <row r="806">
      <c r="B806" s="779"/>
      <c r="C806" s="779"/>
      <c r="D806" s="779"/>
      <c r="X806" s="779"/>
      <c r="AA806" s="779"/>
      <c r="AU806" s="779"/>
      <c r="AV806" s="779"/>
      <c r="AW806" s="779"/>
      <c r="AX806" s="779"/>
    </row>
    <row r="807">
      <c r="B807" s="779"/>
      <c r="C807" s="779"/>
      <c r="D807" s="779"/>
      <c r="X807" s="779"/>
      <c r="AA807" s="779"/>
      <c r="AU807" s="779"/>
      <c r="AV807" s="779"/>
      <c r="AW807" s="779"/>
      <c r="AX807" s="779"/>
    </row>
    <row r="808">
      <c r="B808" s="779"/>
      <c r="C808" s="779"/>
      <c r="D808" s="779"/>
      <c r="X808" s="779"/>
      <c r="AA808" s="779"/>
      <c r="AU808" s="779"/>
      <c r="AV808" s="779"/>
      <c r="AW808" s="779"/>
      <c r="AX808" s="779"/>
    </row>
    <row r="809">
      <c r="B809" s="779"/>
      <c r="C809" s="779"/>
      <c r="D809" s="779"/>
      <c r="X809" s="779"/>
      <c r="AA809" s="779"/>
      <c r="AU809" s="779"/>
      <c r="AV809" s="779"/>
      <c r="AW809" s="779"/>
      <c r="AX809" s="779"/>
    </row>
    <row r="810">
      <c r="B810" s="779"/>
      <c r="C810" s="779"/>
      <c r="D810" s="779"/>
      <c r="X810" s="779"/>
      <c r="AA810" s="779"/>
      <c r="AU810" s="779"/>
      <c r="AV810" s="779"/>
      <c r="AW810" s="779"/>
      <c r="AX810" s="779"/>
    </row>
    <row r="811">
      <c r="B811" s="779"/>
      <c r="C811" s="779"/>
      <c r="D811" s="779"/>
      <c r="X811" s="779"/>
      <c r="AA811" s="779"/>
      <c r="AU811" s="779"/>
      <c r="AV811" s="779"/>
      <c r="AW811" s="779"/>
      <c r="AX811" s="779"/>
    </row>
    <row r="812">
      <c r="B812" s="779"/>
      <c r="C812" s="779"/>
      <c r="D812" s="779"/>
      <c r="X812" s="779"/>
      <c r="AA812" s="779"/>
      <c r="AU812" s="779"/>
      <c r="AV812" s="779"/>
      <c r="AW812" s="779"/>
      <c r="AX812" s="779"/>
    </row>
    <row r="813">
      <c r="B813" s="779"/>
      <c r="C813" s="779"/>
      <c r="D813" s="779"/>
      <c r="X813" s="779"/>
      <c r="AA813" s="779"/>
      <c r="AU813" s="779"/>
      <c r="AV813" s="779"/>
      <c r="AW813" s="779"/>
      <c r="AX813" s="779"/>
    </row>
    <row r="814">
      <c r="B814" s="779"/>
      <c r="C814" s="779"/>
      <c r="D814" s="779"/>
      <c r="X814" s="779"/>
      <c r="AA814" s="779"/>
      <c r="AU814" s="779"/>
      <c r="AV814" s="779"/>
      <c r="AW814" s="779"/>
      <c r="AX814" s="779"/>
    </row>
    <row r="815">
      <c r="B815" s="779"/>
      <c r="C815" s="779"/>
      <c r="D815" s="779"/>
      <c r="X815" s="779"/>
      <c r="AA815" s="779"/>
      <c r="AU815" s="779"/>
      <c r="AV815" s="779"/>
      <c r="AW815" s="779"/>
      <c r="AX815" s="779"/>
    </row>
    <row r="816">
      <c r="B816" s="779"/>
      <c r="C816" s="779"/>
      <c r="D816" s="779"/>
      <c r="X816" s="779"/>
      <c r="AA816" s="779"/>
      <c r="AU816" s="779"/>
      <c r="AV816" s="779"/>
      <c r="AW816" s="779"/>
      <c r="AX816" s="779"/>
    </row>
    <row r="817">
      <c r="B817" s="779"/>
      <c r="C817" s="779"/>
      <c r="D817" s="779"/>
      <c r="X817" s="779"/>
      <c r="AA817" s="779"/>
      <c r="AU817" s="779"/>
      <c r="AV817" s="779"/>
      <c r="AW817" s="779"/>
      <c r="AX817" s="779"/>
    </row>
    <row r="818">
      <c r="B818" s="779"/>
      <c r="C818" s="779"/>
      <c r="D818" s="779"/>
      <c r="X818" s="779"/>
      <c r="AA818" s="779"/>
      <c r="AU818" s="779"/>
      <c r="AV818" s="779"/>
      <c r="AW818" s="779"/>
      <c r="AX818" s="779"/>
    </row>
    <row r="819">
      <c r="B819" s="779"/>
      <c r="C819" s="779"/>
      <c r="D819" s="779"/>
      <c r="X819" s="779"/>
      <c r="AA819" s="779"/>
      <c r="AU819" s="779"/>
      <c r="AV819" s="779"/>
      <c r="AW819" s="779"/>
      <c r="AX819" s="779"/>
    </row>
    <row r="820">
      <c r="B820" s="779"/>
      <c r="C820" s="779"/>
      <c r="D820" s="779"/>
      <c r="X820" s="779"/>
      <c r="AA820" s="779"/>
      <c r="AU820" s="779"/>
      <c r="AV820" s="779"/>
      <c r="AW820" s="779"/>
      <c r="AX820" s="779"/>
    </row>
    <row r="821">
      <c r="B821" s="779"/>
      <c r="C821" s="779"/>
      <c r="D821" s="779"/>
      <c r="X821" s="779"/>
      <c r="AA821" s="779"/>
      <c r="AU821" s="779"/>
      <c r="AV821" s="779"/>
      <c r="AW821" s="779"/>
      <c r="AX821" s="779"/>
    </row>
    <row r="822">
      <c r="B822" s="779"/>
      <c r="C822" s="779"/>
      <c r="D822" s="779"/>
      <c r="X822" s="779"/>
      <c r="AA822" s="779"/>
      <c r="AU822" s="779"/>
      <c r="AV822" s="779"/>
      <c r="AW822" s="779"/>
      <c r="AX822" s="779"/>
    </row>
    <row r="823">
      <c r="B823" s="779"/>
      <c r="C823" s="779"/>
      <c r="D823" s="779"/>
      <c r="X823" s="779"/>
      <c r="AA823" s="779"/>
      <c r="AU823" s="779"/>
      <c r="AV823" s="779"/>
      <c r="AW823" s="779"/>
      <c r="AX823" s="779"/>
    </row>
    <row r="824">
      <c r="B824" s="779"/>
      <c r="C824" s="779"/>
      <c r="D824" s="779"/>
      <c r="X824" s="779"/>
      <c r="AA824" s="779"/>
      <c r="AU824" s="779"/>
      <c r="AV824" s="779"/>
      <c r="AW824" s="779"/>
      <c r="AX824" s="779"/>
    </row>
    <row r="825">
      <c r="B825" s="779"/>
      <c r="C825" s="779"/>
      <c r="D825" s="779"/>
      <c r="X825" s="779"/>
      <c r="AA825" s="779"/>
      <c r="AU825" s="779"/>
      <c r="AV825" s="779"/>
      <c r="AW825" s="779"/>
      <c r="AX825" s="779"/>
    </row>
    <row r="826">
      <c r="B826" s="779"/>
      <c r="C826" s="779"/>
      <c r="D826" s="779"/>
      <c r="X826" s="779"/>
      <c r="AA826" s="779"/>
      <c r="AU826" s="779"/>
      <c r="AV826" s="779"/>
      <c r="AW826" s="779"/>
      <c r="AX826" s="779"/>
    </row>
    <row r="827">
      <c r="B827" s="779"/>
      <c r="C827" s="779"/>
      <c r="D827" s="779"/>
      <c r="X827" s="779"/>
      <c r="AA827" s="779"/>
      <c r="AU827" s="779"/>
      <c r="AV827" s="779"/>
      <c r="AW827" s="779"/>
      <c r="AX827" s="779"/>
    </row>
    <row r="828">
      <c r="B828" s="779"/>
      <c r="C828" s="779"/>
      <c r="D828" s="779"/>
      <c r="X828" s="779"/>
      <c r="AA828" s="779"/>
      <c r="AU828" s="779"/>
      <c r="AV828" s="779"/>
      <c r="AW828" s="779"/>
      <c r="AX828" s="779"/>
    </row>
    <row r="829">
      <c r="B829" s="779"/>
      <c r="C829" s="779"/>
      <c r="D829" s="779"/>
      <c r="X829" s="779"/>
      <c r="AA829" s="779"/>
      <c r="AU829" s="779"/>
      <c r="AV829" s="779"/>
      <c r="AW829" s="779"/>
      <c r="AX829" s="779"/>
    </row>
    <row r="830">
      <c r="B830" s="779"/>
      <c r="C830" s="779"/>
      <c r="D830" s="779"/>
      <c r="X830" s="779"/>
      <c r="AA830" s="779"/>
      <c r="AU830" s="779"/>
      <c r="AV830" s="779"/>
      <c r="AW830" s="779"/>
      <c r="AX830" s="779"/>
    </row>
    <row r="831">
      <c r="B831" s="779"/>
      <c r="C831" s="779"/>
      <c r="D831" s="779"/>
      <c r="X831" s="779"/>
      <c r="AA831" s="779"/>
      <c r="AU831" s="779"/>
      <c r="AV831" s="779"/>
      <c r="AW831" s="779"/>
      <c r="AX831" s="779"/>
    </row>
    <row r="832">
      <c r="B832" s="779"/>
      <c r="C832" s="779"/>
      <c r="D832" s="779"/>
      <c r="X832" s="779"/>
      <c r="AA832" s="779"/>
      <c r="AU832" s="779"/>
      <c r="AV832" s="779"/>
      <c r="AW832" s="779"/>
      <c r="AX832" s="779"/>
    </row>
    <row r="833">
      <c r="B833" s="779"/>
      <c r="C833" s="779"/>
      <c r="D833" s="779"/>
      <c r="X833" s="779"/>
      <c r="AA833" s="779"/>
      <c r="AU833" s="779"/>
      <c r="AV833" s="779"/>
      <c r="AW833" s="779"/>
      <c r="AX833" s="779"/>
    </row>
    <row r="834">
      <c r="B834" s="779"/>
      <c r="C834" s="779"/>
      <c r="D834" s="779"/>
      <c r="X834" s="779"/>
      <c r="AA834" s="779"/>
      <c r="AU834" s="779"/>
      <c r="AV834" s="779"/>
      <c r="AW834" s="779"/>
      <c r="AX834" s="779"/>
    </row>
    <row r="835">
      <c r="B835" s="779"/>
      <c r="C835" s="779"/>
      <c r="D835" s="779"/>
      <c r="X835" s="779"/>
      <c r="AA835" s="779"/>
      <c r="AU835" s="779"/>
      <c r="AV835" s="779"/>
      <c r="AW835" s="779"/>
      <c r="AX835" s="779"/>
    </row>
    <row r="836">
      <c r="B836" s="779"/>
      <c r="C836" s="779"/>
      <c r="D836" s="779"/>
      <c r="X836" s="779"/>
      <c r="AA836" s="779"/>
      <c r="AU836" s="779"/>
      <c r="AV836" s="779"/>
      <c r="AW836" s="779"/>
      <c r="AX836" s="779"/>
    </row>
    <row r="837">
      <c r="B837" s="779"/>
      <c r="C837" s="779"/>
      <c r="D837" s="779"/>
      <c r="X837" s="779"/>
      <c r="AA837" s="779"/>
      <c r="AU837" s="779"/>
      <c r="AV837" s="779"/>
      <c r="AW837" s="779"/>
      <c r="AX837" s="779"/>
    </row>
    <row r="838">
      <c r="B838" s="779"/>
      <c r="C838" s="779"/>
      <c r="D838" s="779"/>
      <c r="X838" s="779"/>
      <c r="AA838" s="779"/>
      <c r="AU838" s="779"/>
      <c r="AV838" s="779"/>
      <c r="AW838" s="779"/>
      <c r="AX838" s="779"/>
    </row>
    <row r="839">
      <c r="B839" s="779"/>
      <c r="C839" s="779"/>
      <c r="D839" s="779"/>
      <c r="X839" s="779"/>
      <c r="AA839" s="779"/>
      <c r="AU839" s="779"/>
      <c r="AV839" s="779"/>
      <c r="AW839" s="779"/>
      <c r="AX839" s="779"/>
    </row>
    <row r="840">
      <c r="B840" s="779"/>
      <c r="C840" s="779"/>
      <c r="D840" s="779"/>
      <c r="X840" s="779"/>
      <c r="AA840" s="779"/>
      <c r="AU840" s="779"/>
      <c r="AV840" s="779"/>
      <c r="AW840" s="779"/>
      <c r="AX840" s="779"/>
    </row>
    <row r="841">
      <c r="B841" s="779"/>
      <c r="C841" s="779"/>
      <c r="D841" s="779"/>
      <c r="X841" s="779"/>
      <c r="AA841" s="779"/>
      <c r="AU841" s="779"/>
      <c r="AV841" s="779"/>
      <c r="AW841" s="779"/>
      <c r="AX841" s="779"/>
    </row>
    <row r="842">
      <c r="B842" s="779"/>
      <c r="C842" s="779"/>
      <c r="D842" s="779"/>
      <c r="X842" s="779"/>
      <c r="AA842" s="779"/>
      <c r="AU842" s="779"/>
      <c r="AV842" s="779"/>
      <c r="AW842" s="779"/>
      <c r="AX842" s="779"/>
    </row>
    <row r="843">
      <c r="B843" s="779"/>
      <c r="C843" s="779"/>
      <c r="D843" s="779"/>
      <c r="X843" s="779"/>
      <c r="AA843" s="779"/>
      <c r="AU843" s="779"/>
      <c r="AV843" s="779"/>
      <c r="AW843" s="779"/>
      <c r="AX843" s="779"/>
    </row>
    <row r="844">
      <c r="B844" s="779"/>
      <c r="C844" s="779"/>
      <c r="D844" s="779"/>
      <c r="X844" s="779"/>
      <c r="AA844" s="779"/>
      <c r="AU844" s="779"/>
      <c r="AV844" s="779"/>
      <c r="AW844" s="779"/>
      <c r="AX844" s="779"/>
    </row>
    <row r="845">
      <c r="B845" s="779"/>
      <c r="C845" s="779"/>
      <c r="D845" s="779"/>
      <c r="X845" s="779"/>
      <c r="AA845" s="779"/>
      <c r="AU845" s="779"/>
      <c r="AV845" s="779"/>
      <c r="AW845" s="779"/>
      <c r="AX845" s="779"/>
    </row>
    <row r="846">
      <c r="B846" s="779"/>
      <c r="C846" s="779"/>
      <c r="D846" s="779"/>
      <c r="X846" s="779"/>
      <c r="AA846" s="779"/>
      <c r="AU846" s="779"/>
      <c r="AV846" s="779"/>
      <c r="AW846" s="779"/>
      <c r="AX846" s="779"/>
    </row>
    <row r="847">
      <c r="B847" s="779"/>
      <c r="C847" s="779"/>
      <c r="D847" s="779"/>
      <c r="X847" s="779"/>
      <c r="AA847" s="779"/>
      <c r="AU847" s="779"/>
      <c r="AV847" s="779"/>
      <c r="AW847" s="779"/>
      <c r="AX847" s="779"/>
    </row>
    <row r="848">
      <c r="B848" s="779"/>
      <c r="C848" s="779"/>
      <c r="D848" s="779"/>
      <c r="X848" s="779"/>
      <c r="AA848" s="779"/>
      <c r="AU848" s="779"/>
      <c r="AV848" s="779"/>
      <c r="AW848" s="779"/>
      <c r="AX848" s="779"/>
    </row>
    <row r="849">
      <c r="B849" s="779"/>
      <c r="C849" s="779"/>
      <c r="D849" s="779"/>
      <c r="X849" s="779"/>
      <c r="AA849" s="779"/>
      <c r="AU849" s="779"/>
      <c r="AV849" s="779"/>
      <c r="AW849" s="779"/>
      <c r="AX849" s="779"/>
    </row>
    <row r="850">
      <c r="B850" s="779"/>
      <c r="C850" s="779"/>
      <c r="D850" s="779"/>
      <c r="X850" s="779"/>
      <c r="AA850" s="779"/>
      <c r="AU850" s="779"/>
      <c r="AV850" s="779"/>
      <c r="AW850" s="779"/>
      <c r="AX850" s="779"/>
    </row>
    <row r="851">
      <c r="B851" s="779"/>
      <c r="C851" s="779"/>
      <c r="D851" s="779"/>
      <c r="X851" s="779"/>
      <c r="AA851" s="779"/>
      <c r="AU851" s="779"/>
      <c r="AV851" s="779"/>
      <c r="AW851" s="779"/>
      <c r="AX851" s="779"/>
    </row>
    <row r="852">
      <c r="B852" s="779"/>
      <c r="C852" s="779"/>
      <c r="D852" s="779"/>
      <c r="X852" s="779"/>
      <c r="AA852" s="779"/>
      <c r="AU852" s="779"/>
      <c r="AV852" s="779"/>
      <c r="AW852" s="779"/>
      <c r="AX852" s="779"/>
    </row>
    <row r="853">
      <c r="B853" s="779"/>
      <c r="C853" s="779"/>
      <c r="D853" s="779"/>
      <c r="X853" s="779"/>
      <c r="AA853" s="779"/>
      <c r="AU853" s="779"/>
      <c r="AV853" s="779"/>
      <c r="AW853" s="779"/>
      <c r="AX853" s="779"/>
    </row>
    <row r="854">
      <c r="B854" s="779"/>
      <c r="C854" s="779"/>
      <c r="D854" s="779"/>
      <c r="X854" s="779"/>
      <c r="AA854" s="779"/>
      <c r="AU854" s="779"/>
      <c r="AV854" s="779"/>
      <c r="AW854" s="779"/>
      <c r="AX854" s="779"/>
    </row>
    <row r="855">
      <c r="B855" s="779"/>
      <c r="C855" s="779"/>
      <c r="D855" s="779"/>
      <c r="X855" s="779"/>
      <c r="AA855" s="779"/>
      <c r="AU855" s="779"/>
      <c r="AV855" s="779"/>
      <c r="AW855" s="779"/>
      <c r="AX855" s="779"/>
    </row>
    <row r="856">
      <c r="B856" s="779"/>
      <c r="C856" s="779"/>
      <c r="D856" s="779"/>
      <c r="X856" s="779"/>
      <c r="AA856" s="779"/>
      <c r="AU856" s="779"/>
      <c r="AV856" s="779"/>
      <c r="AW856" s="779"/>
      <c r="AX856" s="779"/>
    </row>
    <row r="857">
      <c r="B857" s="779"/>
      <c r="C857" s="779"/>
      <c r="D857" s="779"/>
      <c r="X857" s="779"/>
      <c r="AA857" s="779"/>
      <c r="AU857" s="779"/>
      <c r="AV857" s="779"/>
      <c r="AW857" s="779"/>
      <c r="AX857" s="779"/>
    </row>
    <row r="858">
      <c r="B858" s="779"/>
      <c r="C858" s="779"/>
      <c r="D858" s="779"/>
      <c r="X858" s="779"/>
      <c r="AA858" s="779"/>
      <c r="AU858" s="779"/>
      <c r="AV858" s="779"/>
      <c r="AW858" s="779"/>
      <c r="AX858" s="779"/>
    </row>
    <row r="859">
      <c r="B859" s="779"/>
      <c r="C859" s="779"/>
      <c r="D859" s="779"/>
      <c r="X859" s="779"/>
      <c r="AA859" s="779"/>
      <c r="AU859" s="779"/>
      <c r="AV859" s="779"/>
      <c r="AW859" s="779"/>
      <c r="AX859" s="779"/>
    </row>
    <row r="860">
      <c r="B860" s="779"/>
      <c r="C860" s="779"/>
      <c r="D860" s="779"/>
      <c r="X860" s="779"/>
      <c r="AA860" s="779"/>
      <c r="AU860" s="779"/>
      <c r="AV860" s="779"/>
      <c r="AW860" s="779"/>
      <c r="AX860" s="779"/>
    </row>
    <row r="861">
      <c r="B861" s="779"/>
      <c r="C861" s="779"/>
      <c r="D861" s="779"/>
      <c r="X861" s="779"/>
      <c r="AA861" s="779"/>
      <c r="AU861" s="779"/>
      <c r="AV861" s="779"/>
      <c r="AW861" s="779"/>
      <c r="AX861" s="779"/>
    </row>
    <row r="862">
      <c r="B862" s="779"/>
      <c r="C862" s="779"/>
      <c r="D862" s="779"/>
      <c r="X862" s="779"/>
      <c r="AA862" s="779"/>
      <c r="AU862" s="779"/>
      <c r="AV862" s="779"/>
      <c r="AW862" s="779"/>
      <c r="AX862" s="779"/>
    </row>
    <row r="863">
      <c r="B863" s="779"/>
      <c r="C863" s="779"/>
      <c r="D863" s="779"/>
      <c r="X863" s="779"/>
      <c r="AA863" s="779"/>
      <c r="AU863" s="779"/>
      <c r="AV863" s="779"/>
      <c r="AW863" s="779"/>
      <c r="AX863" s="779"/>
    </row>
    <row r="864">
      <c r="B864" s="779"/>
      <c r="C864" s="779"/>
      <c r="D864" s="779"/>
      <c r="X864" s="779"/>
      <c r="AA864" s="779"/>
      <c r="AU864" s="779"/>
      <c r="AV864" s="779"/>
      <c r="AW864" s="779"/>
      <c r="AX864" s="779"/>
    </row>
    <row r="865">
      <c r="B865" s="779"/>
      <c r="C865" s="779"/>
      <c r="D865" s="779"/>
      <c r="X865" s="779"/>
      <c r="AA865" s="779"/>
      <c r="AU865" s="779"/>
      <c r="AV865" s="779"/>
      <c r="AW865" s="779"/>
      <c r="AX865" s="779"/>
    </row>
    <row r="866">
      <c r="B866" s="779"/>
      <c r="C866" s="779"/>
      <c r="D866" s="779"/>
      <c r="X866" s="779"/>
      <c r="AA866" s="779"/>
      <c r="AU866" s="779"/>
      <c r="AV866" s="779"/>
      <c r="AW866" s="779"/>
      <c r="AX866" s="779"/>
    </row>
    <row r="867">
      <c r="B867" s="779"/>
      <c r="C867" s="779"/>
      <c r="D867" s="779"/>
      <c r="X867" s="779"/>
      <c r="AA867" s="779"/>
      <c r="AU867" s="779"/>
      <c r="AV867" s="779"/>
      <c r="AW867" s="779"/>
      <c r="AX867" s="779"/>
    </row>
    <row r="868">
      <c r="B868" s="779"/>
      <c r="C868" s="779"/>
      <c r="D868" s="779"/>
      <c r="X868" s="779"/>
      <c r="AA868" s="779"/>
      <c r="AU868" s="779"/>
      <c r="AV868" s="779"/>
      <c r="AW868" s="779"/>
      <c r="AX868" s="779"/>
    </row>
    <row r="869">
      <c r="B869" s="779"/>
      <c r="C869" s="779"/>
      <c r="D869" s="779"/>
      <c r="X869" s="779"/>
      <c r="AA869" s="779"/>
      <c r="AU869" s="779"/>
      <c r="AV869" s="779"/>
      <c r="AW869" s="779"/>
      <c r="AX869" s="779"/>
    </row>
    <row r="870">
      <c r="B870" s="779"/>
      <c r="C870" s="779"/>
      <c r="D870" s="779"/>
      <c r="X870" s="779"/>
      <c r="AA870" s="779"/>
      <c r="AU870" s="779"/>
      <c r="AV870" s="779"/>
      <c r="AW870" s="779"/>
      <c r="AX870" s="779"/>
    </row>
    <row r="871">
      <c r="B871" s="779"/>
      <c r="C871" s="779"/>
      <c r="D871" s="779"/>
      <c r="X871" s="779"/>
      <c r="AA871" s="779"/>
      <c r="AU871" s="779"/>
      <c r="AV871" s="779"/>
      <c r="AW871" s="779"/>
      <c r="AX871" s="779"/>
    </row>
    <row r="872">
      <c r="B872" s="779"/>
      <c r="C872" s="779"/>
      <c r="D872" s="779"/>
      <c r="X872" s="779"/>
      <c r="AA872" s="779"/>
      <c r="AU872" s="779"/>
      <c r="AV872" s="779"/>
      <c r="AW872" s="779"/>
      <c r="AX872" s="779"/>
    </row>
    <row r="873">
      <c r="B873" s="779"/>
      <c r="C873" s="779"/>
      <c r="D873" s="779"/>
      <c r="X873" s="779"/>
      <c r="AA873" s="779"/>
      <c r="AU873" s="779"/>
      <c r="AV873" s="779"/>
      <c r="AW873" s="779"/>
      <c r="AX873" s="779"/>
    </row>
    <row r="874">
      <c r="B874" s="779"/>
      <c r="C874" s="779"/>
      <c r="D874" s="779"/>
      <c r="X874" s="779"/>
      <c r="AA874" s="779"/>
      <c r="AU874" s="779"/>
      <c r="AV874" s="779"/>
      <c r="AW874" s="779"/>
      <c r="AX874" s="779"/>
    </row>
    <row r="875">
      <c r="B875" s="779"/>
      <c r="C875" s="779"/>
      <c r="D875" s="779"/>
      <c r="X875" s="779"/>
      <c r="AA875" s="779"/>
      <c r="AU875" s="779"/>
      <c r="AV875" s="779"/>
      <c r="AW875" s="779"/>
      <c r="AX875" s="779"/>
    </row>
    <row r="876">
      <c r="B876" s="779"/>
      <c r="C876" s="779"/>
      <c r="D876" s="779"/>
      <c r="X876" s="779"/>
      <c r="AA876" s="779"/>
      <c r="AU876" s="779"/>
      <c r="AV876" s="779"/>
      <c r="AW876" s="779"/>
      <c r="AX876" s="779"/>
    </row>
    <row r="877">
      <c r="B877" s="779"/>
      <c r="C877" s="779"/>
      <c r="D877" s="779"/>
      <c r="X877" s="779"/>
      <c r="AA877" s="779"/>
      <c r="AU877" s="779"/>
      <c r="AV877" s="779"/>
      <c r="AW877" s="779"/>
      <c r="AX877" s="779"/>
    </row>
    <row r="878">
      <c r="B878" s="779"/>
      <c r="C878" s="779"/>
      <c r="D878" s="779"/>
      <c r="X878" s="779"/>
      <c r="AA878" s="779"/>
      <c r="AU878" s="779"/>
      <c r="AV878" s="779"/>
      <c r="AW878" s="779"/>
      <c r="AX878" s="779"/>
    </row>
    <row r="879">
      <c r="B879" s="779"/>
      <c r="C879" s="779"/>
      <c r="D879" s="779"/>
      <c r="X879" s="779"/>
      <c r="AA879" s="779"/>
      <c r="AU879" s="779"/>
      <c r="AV879" s="779"/>
      <c r="AW879" s="779"/>
      <c r="AX879" s="779"/>
    </row>
    <row r="880">
      <c r="B880" s="779"/>
      <c r="C880" s="779"/>
      <c r="D880" s="779"/>
      <c r="X880" s="779"/>
      <c r="AA880" s="779"/>
      <c r="AU880" s="779"/>
      <c r="AV880" s="779"/>
      <c r="AW880" s="779"/>
      <c r="AX880" s="779"/>
    </row>
    <row r="881">
      <c r="B881" s="779"/>
      <c r="C881" s="779"/>
      <c r="D881" s="779"/>
      <c r="X881" s="779"/>
      <c r="AA881" s="779"/>
      <c r="AU881" s="779"/>
      <c r="AV881" s="779"/>
      <c r="AW881" s="779"/>
      <c r="AX881" s="779"/>
    </row>
    <row r="882">
      <c r="B882" s="779"/>
      <c r="C882" s="779"/>
      <c r="D882" s="779"/>
      <c r="X882" s="779"/>
      <c r="AA882" s="779"/>
      <c r="AU882" s="779"/>
      <c r="AV882" s="779"/>
      <c r="AW882" s="779"/>
      <c r="AX882" s="779"/>
    </row>
    <row r="883">
      <c r="B883" s="779"/>
      <c r="C883" s="779"/>
      <c r="D883" s="779"/>
      <c r="X883" s="779"/>
      <c r="AA883" s="779"/>
      <c r="AU883" s="779"/>
      <c r="AV883" s="779"/>
      <c r="AW883" s="779"/>
      <c r="AX883" s="779"/>
    </row>
    <row r="884">
      <c r="B884" s="779"/>
      <c r="C884" s="779"/>
      <c r="D884" s="779"/>
      <c r="X884" s="779"/>
      <c r="AA884" s="779"/>
      <c r="AU884" s="779"/>
      <c r="AV884" s="779"/>
      <c r="AW884" s="779"/>
      <c r="AX884" s="779"/>
    </row>
    <row r="885">
      <c r="B885" s="779"/>
      <c r="C885" s="779"/>
      <c r="D885" s="779"/>
      <c r="X885" s="779"/>
      <c r="AA885" s="779"/>
      <c r="AU885" s="779"/>
      <c r="AV885" s="779"/>
      <c r="AW885" s="779"/>
      <c r="AX885" s="779"/>
    </row>
    <row r="886">
      <c r="B886" s="779"/>
      <c r="C886" s="779"/>
      <c r="D886" s="779"/>
      <c r="X886" s="779"/>
      <c r="AA886" s="779"/>
      <c r="AU886" s="779"/>
      <c r="AV886" s="779"/>
      <c r="AW886" s="779"/>
      <c r="AX886" s="779"/>
    </row>
    <row r="887">
      <c r="B887" s="779"/>
      <c r="C887" s="779"/>
      <c r="D887" s="779"/>
      <c r="X887" s="779"/>
      <c r="AA887" s="779"/>
      <c r="AU887" s="779"/>
      <c r="AV887" s="779"/>
      <c r="AW887" s="779"/>
      <c r="AX887" s="779"/>
    </row>
    <row r="888">
      <c r="B888" s="779"/>
      <c r="C888" s="779"/>
      <c r="D888" s="779"/>
      <c r="X888" s="779"/>
      <c r="AA888" s="779"/>
      <c r="AU888" s="779"/>
      <c r="AV888" s="779"/>
      <c r="AW888" s="779"/>
      <c r="AX888" s="779"/>
    </row>
    <row r="889">
      <c r="B889" s="779"/>
      <c r="C889" s="779"/>
      <c r="D889" s="779"/>
      <c r="X889" s="779"/>
      <c r="AA889" s="779"/>
      <c r="AU889" s="779"/>
      <c r="AV889" s="779"/>
      <c r="AW889" s="779"/>
      <c r="AX889" s="779"/>
    </row>
    <row r="890">
      <c r="B890" s="779"/>
      <c r="C890" s="779"/>
      <c r="D890" s="779"/>
      <c r="X890" s="779"/>
      <c r="AA890" s="779"/>
      <c r="AU890" s="779"/>
      <c r="AV890" s="779"/>
      <c r="AW890" s="779"/>
      <c r="AX890" s="779"/>
    </row>
    <row r="891">
      <c r="B891" s="779"/>
      <c r="C891" s="779"/>
      <c r="D891" s="779"/>
      <c r="X891" s="779"/>
      <c r="AA891" s="779"/>
      <c r="AU891" s="779"/>
      <c r="AV891" s="779"/>
      <c r="AW891" s="779"/>
      <c r="AX891" s="779"/>
    </row>
    <row r="892">
      <c r="B892" s="779"/>
      <c r="C892" s="779"/>
      <c r="D892" s="779"/>
      <c r="X892" s="779"/>
      <c r="AA892" s="779"/>
      <c r="AU892" s="779"/>
      <c r="AV892" s="779"/>
      <c r="AW892" s="779"/>
      <c r="AX892" s="779"/>
    </row>
    <row r="893">
      <c r="B893" s="779"/>
      <c r="C893" s="779"/>
      <c r="D893" s="779"/>
      <c r="X893" s="779"/>
      <c r="AA893" s="779"/>
      <c r="AU893" s="779"/>
      <c r="AV893" s="779"/>
      <c r="AW893" s="779"/>
      <c r="AX893" s="779"/>
    </row>
    <row r="894">
      <c r="B894" s="779"/>
      <c r="C894" s="779"/>
      <c r="D894" s="779"/>
      <c r="X894" s="779"/>
      <c r="AA894" s="779"/>
      <c r="AU894" s="779"/>
      <c r="AV894" s="779"/>
      <c r="AW894" s="779"/>
      <c r="AX894" s="779"/>
    </row>
    <row r="895">
      <c r="B895" s="779"/>
      <c r="C895" s="779"/>
      <c r="D895" s="779"/>
      <c r="X895" s="779"/>
      <c r="AA895" s="779"/>
      <c r="AU895" s="779"/>
      <c r="AV895" s="779"/>
      <c r="AW895" s="779"/>
      <c r="AX895" s="779"/>
    </row>
    <row r="896">
      <c r="B896" s="779"/>
      <c r="C896" s="779"/>
      <c r="D896" s="779"/>
      <c r="X896" s="779"/>
      <c r="AA896" s="779"/>
      <c r="AU896" s="779"/>
      <c r="AV896" s="779"/>
      <c r="AW896" s="779"/>
      <c r="AX896" s="779"/>
    </row>
    <row r="897">
      <c r="B897" s="779"/>
      <c r="C897" s="779"/>
      <c r="D897" s="779"/>
      <c r="X897" s="779"/>
      <c r="AA897" s="779"/>
      <c r="AU897" s="779"/>
      <c r="AV897" s="779"/>
      <c r="AW897" s="779"/>
      <c r="AX897" s="779"/>
    </row>
    <row r="898">
      <c r="B898" s="779"/>
      <c r="C898" s="779"/>
      <c r="D898" s="779"/>
      <c r="X898" s="779"/>
      <c r="AA898" s="779"/>
      <c r="AU898" s="779"/>
      <c r="AV898" s="779"/>
      <c r="AW898" s="779"/>
      <c r="AX898" s="779"/>
    </row>
    <row r="899">
      <c r="B899" s="779"/>
      <c r="C899" s="779"/>
      <c r="D899" s="779"/>
      <c r="X899" s="779"/>
      <c r="AA899" s="779"/>
      <c r="AU899" s="779"/>
      <c r="AV899" s="779"/>
      <c r="AW899" s="779"/>
      <c r="AX899" s="779"/>
    </row>
    <row r="900">
      <c r="B900" s="779"/>
      <c r="C900" s="779"/>
      <c r="D900" s="779"/>
      <c r="X900" s="779"/>
      <c r="AA900" s="779"/>
      <c r="AU900" s="779"/>
      <c r="AV900" s="779"/>
      <c r="AW900" s="779"/>
      <c r="AX900" s="779"/>
    </row>
    <row r="901">
      <c r="B901" s="779"/>
      <c r="C901" s="779"/>
      <c r="D901" s="779"/>
      <c r="X901" s="779"/>
      <c r="AA901" s="779"/>
      <c r="AU901" s="779"/>
      <c r="AV901" s="779"/>
      <c r="AW901" s="779"/>
      <c r="AX901" s="779"/>
    </row>
    <row r="902">
      <c r="B902" s="779"/>
      <c r="C902" s="779"/>
      <c r="D902" s="779"/>
      <c r="X902" s="779"/>
      <c r="AA902" s="779"/>
      <c r="AU902" s="779"/>
      <c r="AV902" s="779"/>
      <c r="AW902" s="779"/>
      <c r="AX902" s="779"/>
    </row>
    <row r="903">
      <c r="B903" s="779"/>
      <c r="C903" s="779"/>
      <c r="D903" s="779"/>
      <c r="X903" s="779"/>
      <c r="AA903" s="779"/>
      <c r="AU903" s="779"/>
      <c r="AV903" s="779"/>
      <c r="AW903" s="779"/>
      <c r="AX903" s="779"/>
    </row>
    <row r="904">
      <c r="B904" s="779"/>
      <c r="C904" s="779"/>
      <c r="D904" s="779"/>
      <c r="X904" s="779"/>
      <c r="AA904" s="779"/>
      <c r="AU904" s="779"/>
      <c r="AV904" s="779"/>
      <c r="AW904" s="779"/>
      <c r="AX904" s="779"/>
    </row>
    <row r="905">
      <c r="B905" s="779"/>
      <c r="C905" s="779"/>
      <c r="D905" s="779"/>
      <c r="X905" s="779"/>
      <c r="AA905" s="779"/>
      <c r="AU905" s="779"/>
      <c r="AV905" s="779"/>
      <c r="AW905" s="779"/>
      <c r="AX905" s="779"/>
    </row>
    <row r="906">
      <c r="B906" s="779"/>
      <c r="C906" s="779"/>
      <c r="D906" s="779"/>
      <c r="X906" s="779"/>
      <c r="AA906" s="779"/>
      <c r="AU906" s="779"/>
      <c r="AV906" s="779"/>
      <c r="AW906" s="779"/>
      <c r="AX906" s="779"/>
    </row>
    <row r="907">
      <c r="B907" s="779"/>
      <c r="C907" s="779"/>
      <c r="D907" s="779"/>
      <c r="X907" s="779"/>
      <c r="AA907" s="779"/>
      <c r="AU907" s="779"/>
      <c r="AV907" s="779"/>
      <c r="AW907" s="779"/>
      <c r="AX907" s="779"/>
    </row>
    <row r="908">
      <c r="B908" s="779"/>
      <c r="C908" s="779"/>
      <c r="D908" s="779"/>
      <c r="X908" s="779"/>
      <c r="AA908" s="779"/>
      <c r="AU908" s="779"/>
      <c r="AV908" s="779"/>
      <c r="AW908" s="779"/>
      <c r="AX908" s="779"/>
    </row>
    <row r="909">
      <c r="B909" s="779"/>
      <c r="C909" s="779"/>
      <c r="D909" s="779"/>
      <c r="X909" s="779"/>
      <c r="AA909" s="779"/>
      <c r="AU909" s="779"/>
      <c r="AV909" s="779"/>
      <c r="AW909" s="779"/>
      <c r="AX909" s="779"/>
    </row>
    <row r="910">
      <c r="B910" s="779"/>
      <c r="C910" s="779"/>
      <c r="D910" s="779"/>
      <c r="X910" s="779"/>
      <c r="AA910" s="779"/>
      <c r="AU910" s="779"/>
      <c r="AV910" s="779"/>
      <c r="AW910" s="779"/>
      <c r="AX910" s="779"/>
    </row>
    <row r="911">
      <c r="B911" s="779"/>
      <c r="C911" s="779"/>
      <c r="D911" s="779"/>
      <c r="X911" s="779"/>
      <c r="AA911" s="779"/>
      <c r="AU911" s="779"/>
      <c r="AV911" s="779"/>
      <c r="AW911" s="779"/>
      <c r="AX911" s="779"/>
    </row>
    <row r="912">
      <c r="B912" s="779"/>
      <c r="C912" s="779"/>
      <c r="D912" s="779"/>
      <c r="X912" s="779"/>
      <c r="AA912" s="779"/>
      <c r="AU912" s="779"/>
      <c r="AV912" s="779"/>
      <c r="AW912" s="779"/>
      <c r="AX912" s="779"/>
    </row>
    <row r="913">
      <c r="B913" s="779"/>
      <c r="C913" s="779"/>
      <c r="D913" s="779"/>
      <c r="X913" s="779"/>
      <c r="AA913" s="779"/>
      <c r="AU913" s="779"/>
      <c r="AV913" s="779"/>
      <c r="AW913" s="779"/>
      <c r="AX913" s="779"/>
    </row>
    <row r="914">
      <c r="B914" s="779"/>
      <c r="C914" s="779"/>
      <c r="D914" s="779"/>
      <c r="X914" s="779"/>
      <c r="AA914" s="779"/>
      <c r="AU914" s="779"/>
      <c r="AV914" s="779"/>
      <c r="AW914" s="779"/>
      <c r="AX914" s="779"/>
    </row>
    <row r="915">
      <c r="B915" s="779"/>
      <c r="C915" s="779"/>
      <c r="D915" s="779"/>
      <c r="X915" s="779"/>
      <c r="AA915" s="779"/>
      <c r="AU915" s="779"/>
      <c r="AV915" s="779"/>
      <c r="AW915" s="779"/>
      <c r="AX915" s="779"/>
    </row>
    <row r="916">
      <c r="B916" s="779"/>
      <c r="C916" s="779"/>
      <c r="D916" s="779"/>
      <c r="X916" s="779"/>
      <c r="AA916" s="779"/>
      <c r="AU916" s="779"/>
      <c r="AV916" s="779"/>
      <c r="AW916" s="779"/>
      <c r="AX916" s="779"/>
    </row>
    <row r="917">
      <c r="B917" s="779"/>
      <c r="C917" s="779"/>
      <c r="D917" s="779"/>
      <c r="X917" s="779"/>
      <c r="AA917" s="779"/>
      <c r="AU917" s="779"/>
      <c r="AV917" s="779"/>
      <c r="AW917" s="779"/>
      <c r="AX917" s="779"/>
    </row>
    <row r="918">
      <c r="B918" s="779"/>
      <c r="C918" s="779"/>
      <c r="D918" s="779"/>
      <c r="X918" s="779"/>
      <c r="AA918" s="779"/>
      <c r="AU918" s="779"/>
      <c r="AV918" s="779"/>
      <c r="AW918" s="779"/>
      <c r="AX918" s="779"/>
    </row>
    <row r="919">
      <c r="B919" s="779"/>
      <c r="C919" s="779"/>
      <c r="D919" s="779"/>
      <c r="X919" s="779"/>
      <c r="AA919" s="779"/>
      <c r="AU919" s="779"/>
      <c r="AV919" s="779"/>
      <c r="AW919" s="779"/>
      <c r="AX919" s="779"/>
    </row>
    <row r="920">
      <c r="B920" s="779"/>
      <c r="C920" s="779"/>
      <c r="D920" s="779"/>
      <c r="X920" s="779"/>
      <c r="AA920" s="779"/>
      <c r="AU920" s="779"/>
      <c r="AV920" s="779"/>
      <c r="AW920" s="779"/>
      <c r="AX920" s="779"/>
    </row>
    <row r="921">
      <c r="B921" s="779"/>
      <c r="C921" s="779"/>
      <c r="D921" s="779"/>
      <c r="X921" s="779"/>
      <c r="AA921" s="779"/>
      <c r="AU921" s="779"/>
      <c r="AV921" s="779"/>
      <c r="AW921" s="779"/>
      <c r="AX921" s="779"/>
    </row>
    <row r="922">
      <c r="B922" s="779"/>
      <c r="C922" s="779"/>
      <c r="D922" s="779"/>
      <c r="X922" s="779"/>
      <c r="AA922" s="779"/>
      <c r="AU922" s="779"/>
      <c r="AV922" s="779"/>
      <c r="AW922" s="779"/>
      <c r="AX922" s="779"/>
    </row>
    <row r="923">
      <c r="B923" s="779"/>
      <c r="C923" s="779"/>
      <c r="D923" s="779"/>
      <c r="X923" s="779"/>
      <c r="AA923" s="779"/>
      <c r="AU923" s="779"/>
      <c r="AV923" s="779"/>
      <c r="AW923" s="779"/>
      <c r="AX923" s="779"/>
    </row>
    <row r="924">
      <c r="B924" s="779"/>
      <c r="C924" s="779"/>
      <c r="D924" s="779"/>
      <c r="X924" s="779"/>
      <c r="AA924" s="779"/>
      <c r="AU924" s="779"/>
      <c r="AV924" s="779"/>
      <c r="AW924" s="779"/>
      <c r="AX924" s="779"/>
    </row>
    <row r="925">
      <c r="B925" s="779"/>
      <c r="C925" s="779"/>
      <c r="D925" s="779"/>
      <c r="X925" s="779"/>
      <c r="AA925" s="779"/>
      <c r="AU925" s="779"/>
      <c r="AV925" s="779"/>
      <c r="AW925" s="779"/>
      <c r="AX925" s="779"/>
    </row>
    <row r="926">
      <c r="B926" s="779"/>
      <c r="C926" s="779"/>
      <c r="D926" s="779"/>
      <c r="X926" s="779"/>
      <c r="AA926" s="779"/>
      <c r="AU926" s="779"/>
      <c r="AV926" s="779"/>
      <c r="AW926" s="779"/>
      <c r="AX926" s="779"/>
    </row>
    <row r="927">
      <c r="B927" s="779"/>
      <c r="C927" s="779"/>
      <c r="D927" s="779"/>
      <c r="X927" s="779"/>
      <c r="AA927" s="779"/>
      <c r="AU927" s="779"/>
      <c r="AV927" s="779"/>
      <c r="AW927" s="779"/>
      <c r="AX927" s="779"/>
    </row>
    <row r="928">
      <c r="B928" s="779"/>
      <c r="C928" s="779"/>
      <c r="D928" s="779"/>
      <c r="X928" s="779"/>
      <c r="AA928" s="779"/>
      <c r="AU928" s="779"/>
      <c r="AV928" s="779"/>
      <c r="AW928" s="779"/>
      <c r="AX928" s="779"/>
    </row>
    <row r="929">
      <c r="B929" s="779"/>
      <c r="C929" s="779"/>
      <c r="D929" s="779"/>
      <c r="X929" s="779"/>
      <c r="AA929" s="779"/>
      <c r="AU929" s="779"/>
      <c r="AV929" s="779"/>
      <c r="AW929" s="779"/>
      <c r="AX929" s="779"/>
    </row>
    <row r="930">
      <c r="B930" s="779"/>
      <c r="C930" s="779"/>
      <c r="D930" s="779"/>
      <c r="X930" s="779"/>
      <c r="AA930" s="779"/>
      <c r="AU930" s="779"/>
      <c r="AV930" s="779"/>
      <c r="AW930" s="779"/>
      <c r="AX930" s="779"/>
    </row>
    <row r="931">
      <c r="B931" s="779"/>
      <c r="C931" s="779"/>
      <c r="D931" s="779"/>
      <c r="X931" s="779"/>
      <c r="AA931" s="779"/>
      <c r="AU931" s="779"/>
      <c r="AV931" s="779"/>
      <c r="AW931" s="779"/>
      <c r="AX931" s="779"/>
    </row>
    <row r="932">
      <c r="B932" s="779"/>
      <c r="C932" s="779"/>
      <c r="D932" s="779"/>
      <c r="X932" s="779"/>
      <c r="AA932" s="779"/>
      <c r="AU932" s="779"/>
      <c r="AV932" s="779"/>
      <c r="AW932" s="779"/>
      <c r="AX932" s="779"/>
    </row>
    <row r="933">
      <c r="B933" s="779"/>
      <c r="C933" s="779"/>
      <c r="D933" s="779"/>
      <c r="X933" s="779"/>
      <c r="AA933" s="779"/>
      <c r="AU933" s="779"/>
      <c r="AV933" s="779"/>
      <c r="AW933" s="779"/>
      <c r="AX933" s="779"/>
    </row>
    <row r="934">
      <c r="B934" s="779"/>
      <c r="C934" s="779"/>
      <c r="D934" s="779"/>
      <c r="X934" s="779"/>
      <c r="AA934" s="779"/>
      <c r="AU934" s="779"/>
      <c r="AV934" s="779"/>
      <c r="AW934" s="779"/>
      <c r="AX934" s="779"/>
    </row>
    <row r="935">
      <c r="B935" s="779"/>
      <c r="C935" s="779"/>
      <c r="D935" s="779"/>
      <c r="X935" s="779"/>
      <c r="AA935" s="779"/>
      <c r="AU935" s="779"/>
      <c r="AV935" s="779"/>
      <c r="AW935" s="779"/>
      <c r="AX935" s="779"/>
    </row>
    <row r="936">
      <c r="B936" s="779"/>
      <c r="C936" s="779"/>
      <c r="D936" s="779"/>
      <c r="X936" s="779"/>
      <c r="AA936" s="779"/>
      <c r="AU936" s="779"/>
      <c r="AV936" s="779"/>
      <c r="AW936" s="779"/>
      <c r="AX936" s="779"/>
    </row>
    <row r="937">
      <c r="B937" s="779"/>
      <c r="C937" s="779"/>
      <c r="D937" s="779"/>
      <c r="X937" s="779"/>
      <c r="AA937" s="779"/>
      <c r="AU937" s="779"/>
      <c r="AV937" s="779"/>
      <c r="AW937" s="779"/>
      <c r="AX937" s="779"/>
    </row>
    <row r="938">
      <c r="B938" s="779"/>
      <c r="C938" s="779"/>
      <c r="D938" s="779"/>
      <c r="X938" s="779"/>
      <c r="AA938" s="779"/>
      <c r="AU938" s="779"/>
      <c r="AV938" s="779"/>
      <c r="AW938" s="779"/>
      <c r="AX938" s="779"/>
    </row>
    <row r="939">
      <c r="B939" s="779"/>
      <c r="C939" s="779"/>
      <c r="D939" s="779"/>
      <c r="X939" s="779"/>
      <c r="AA939" s="779"/>
      <c r="AU939" s="779"/>
      <c r="AV939" s="779"/>
      <c r="AW939" s="779"/>
      <c r="AX939" s="779"/>
    </row>
    <row r="940">
      <c r="B940" s="779"/>
      <c r="C940" s="779"/>
      <c r="D940" s="779"/>
      <c r="X940" s="779"/>
      <c r="AA940" s="779"/>
      <c r="AU940" s="779"/>
      <c r="AV940" s="779"/>
      <c r="AW940" s="779"/>
      <c r="AX940" s="779"/>
    </row>
    <row r="941">
      <c r="B941" s="779"/>
      <c r="C941" s="779"/>
      <c r="D941" s="779"/>
      <c r="X941" s="779"/>
      <c r="AA941" s="779"/>
      <c r="AU941" s="779"/>
      <c r="AV941" s="779"/>
      <c r="AW941" s="779"/>
      <c r="AX941" s="779"/>
    </row>
    <row r="942">
      <c r="B942" s="779"/>
      <c r="C942" s="779"/>
      <c r="D942" s="779"/>
      <c r="X942" s="779"/>
      <c r="AA942" s="779"/>
      <c r="AU942" s="779"/>
      <c r="AV942" s="779"/>
      <c r="AW942" s="779"/>
      <c r="AX942" s="779"/>
    </row>
    <row r="943">
      <c r="B943" s="779"/>
      <c r="C943" s="779"/>
      <c r="D943" s="779"/>
      <c r="X943" s="779"/>
      <c r="AA943" s="779"/>
      <c r="AU943" s="779"/>
      <c r="AV943" s="779"/>
      <c r="AW943" s="779"/>
      <c r="AX943" s="779"/>
    </row>
    <row r="944">
      <c r="B944" s="779"/>
      <c r="C944" s="779"/>
      <c r="D944" s="779"/>
      <c r="X944" s="779"/>
      <c r="AA944" s="779"/>
      <c r="AU944" s="779"/>
      <c r="AV944" s="779"/>
      <c r="AW944" s="779"/>
      <c r="AX944" s="779"/>
    </row>
    <row r="945">
      <c r="B945" s="779"/>
      <c r="C945" s="779"/>
      <c r="D945" s="779"/>
      <c r="X945" s="779"/>
      <c r="AA945" s="779"/>
      <c r="AU945" s="779"/>
      <c r="AV945" s="779"/>
      <c r="AW945" s="779"/>
      <c r="AX945" s="779"/>
    </row>
    <row r="946">
      <c r="B946" s="779"/>
      <c r="C946" s="779"/>
      <c r="D946" s="779"/>
      <c r="X946" s="779"/>
      <c r="AA946" s="779"/>
      <c r="AU946" s="779"/>
      <c r="AV946" s="779"/>
      <c r="AW946" s="779"/>
      <c r="AX946" s="779"/>
    </row>
    <row r="947">
      <c r="B947" s="779"/>
      <c r="C947" s="779"/>
      <c r="D947" s="779"/>
      <c r="X947" s="779"/>
      <c r="AA947" s="779"/>
      <c r="AU947" s="779"/>
      <c r="AV947" s="779"/>
      <c r="AW947" s="779"/>
      <c r="AX947" s="779"/>
    </row>
    <row r="948">
      <c r="B948" s="779"/>
      <c r="C948" s="779"/>
      <c r="D948" s="779"/>
      <c r="X948" s="779"/>
      <c r="AA948" s="779"/>
      <c r="AU948" s="779"/>
      <c r="AV948" s="779"/>
      <c r="AW948" s="779"/>
      <c r="AX948" s="779"/>
    </row>
    <row r="949">
      <c r="B949" s="779"/>
      <c r="C949" s="779"/>
      <c r="D949" s="779"/>
      <c r="X949" s="779"/>
      <c r="AA949" s="779"/>
      <c r="AU949" s="779"/>
      <c r="AV949" s="779"/>
      <c r="AW949" s="779"/>
      <c r="AX949" s="779"/>
    </row>
    <row r="950">
      <c r="B950" s="779"/>
      <c r="C950" s="779"/>
      <c r="D950" s="779"/>
      <c r="X950" s="779"/>
      <c r="AA950" s="779"/>
      <c r="AU950" s="779"/>
      <c r="AV950" s="779"/>
      <c r="AW950" s="779"/>
      <c r="AX950" s="779"/>
    </row>
    <row r="951">
      <c r="B951" s="779"/>
      <c r="C951" s="779"/>
      <c r="D951" s="779"/>
      <c r="X951" s="779"/>
      <c r="AA951" s="779"/>
      <c r="AU951" s="779"/>
      <c r="AV951" s="779"/>
      <c r="AW951" s="779"/>
      <c r="AX951" s="779"/>
    </row>
    <row r="952">
      <c r="B952" s="779"/>
      <c r="C952" s="779"/>
      <c r="D952" s="779"/>
      <c r="X952" s="779"/>
      <c r="AA952" s="779"/>
      <c r="AU952" s="779"/>
      <c r="AV952" s="779"/>
      <c r="AW952" s="779"/>
      <c r="AX952" s="779"/>
    </row>
    <row r="953">
      <c r="B953" s="779"/>
      <c r="C953" s="779"/>
      <c r="D953" s="779"/>
      <c r="X953" s="779"/>
      <c r="AA953" s="779"/>
      <c r="AU953" s="779"/>
      <c r="AV953" s="779"/>
      <c r="AW953" s="779"/>
      <c r="AX953" s="779"/>
    </row>
    <row r="954">
      <c r="B954" s="779"/>
      <c r="C954" s="779"/>
      <c r="D954" s="779"/>
      <c r="X954" s="779"/>
      <c r="AA954" s="779"/>
      <c r="AU954" s="779"/>
      <c r="AV954" s="779"/>
      <c r="AW954" s="779"/>
      <c r="AX954" s="779"/>
    </row>
    <row r="955">
      <c r="B955" s="779"/>
      <c r="C955" s="779"/>
      <c r="D955" s="779"/>
      <c r="X955" s="779"/>
      <c r="AA955" s="779"/>
      <c r="AU955" s="779"/>
      <c r="AV955" s="779"/>
      <c r="AW955" s="779"/>
      <c r="AX955" s="779"/>
    </row>
    <row r="956">
      <c r="B956" s="779"/>
      <c r="C956" s="779"/>
      <c r="D956" s="779"/>
      <c r="X956" s="779"/>
      <c r="AA956" s="779"/>
      <c r="AU956" s="779"/>
      <c r="AV956" s="779"/>
      <c r="AW956" s="779"/>
      <c r="AX956" s="779"/>
    </row>
    <row r="957">
      <c r="B957" s="779"/>
      <c r="C957" s="779"/>
      <c r="D957" s="779"/>
      <c r="X957" s="779"/>
      <c r="AA957" s="779"/>
      <c r="AU957" s="779"/>
      <c r="AV957" s="779"/>
      <c r="AW957" s="779"/>
      <c r="AX957" s="779"/>
    </row>
    <row r="958">
      <c r="B958" s="779"/>
      <c r="C958" s="779"/>
      <c r="D958" s="779"/>
      <c r="X958" s="779"/>
      <c r="AA958" s="779"/>
      <c r="AU958" s="779"/>
      <c r="AV958" s="779"/>
      <c r="AW958" s="779"/>
      <c r="AX958" s="779"/>
    </row>
    <row r="959">
      <c r="B959" s="779"/>
      <c r="C959" s="779"/>
      <c r="D959" s="779"/>
      <c r="X959" s="779"/>
      <c r="AA959" s="779"/>
      <c r="AU959" s="779"/>
      <c r="AV959" s="779"/>
      <c r="AW959" s="779"/>
      <c r="AX959" s="779"/>
    </row>
    <row r="960">
      <c r="B960" s="779"/>
      <c r="C960" s="779"/>
      <c r="D960" s="779"/>
      <c r="X960" s="779"/>
      <c r="AA960" s="779"/>
      <c r="AU960" s="779"/>
      <c r="AV960" s="779"/>
      <c r="AW960" s="779"/>
      <c r="AX960" s="779"/>
    </row>
    <row r="961">
      <c r="B961" s="779"/>
      <c r="C961" s="779"/>
      <c r="D961" s="779"/>
      <c r="X961" s="779"/>
      <c r="AA961" s="779"/>
      <c r="AU961" s="779"/>
      <c r="AV961" s="779"/>
      <c r="AW961" s="779"/>
      <c r="AX961" s="779"/>
    </row>
    <row r="962">
      <c r="B962" s="779"/>
      <c r="C962" s="779"/>
      <c r="D962" s="779"/>
      <c r="X962" s="779"/>
      <c r="AA962" s="779"/>
      <c r="AU962" s="779"/>
      <c r="AV962" s="779"/>
      <c r="AW962" s="779"/>
      <c r="AX962" s="779"/>
    </row>
    <row r="963">
      <c r="B963" s="779"/>
      <c r="C963" s="779"/>
      <c r="D963" s="779"/>
      <c r="X963" s="779"/>
      <c r="AA963" s="779"/>
      <c r="AU963" s="779"/>
      <c r="AV963" s="779"/>
      <c r="AW963" s="779"/>
      <c r="AX963" s="779"/>
    </row>
    <row r="964">
      <c r="B964" s="779"/>
      <c r="C964" s="779"/>
      <c r="D964" s="779"/>
      <c r="X964" s="779"/>
      <c r="AA964" s="779"/>
      <c r="AU964" s="779"/>
      <c r="AV964" s="779"/>
      <c r="AW964" s="779"/>
      <c r="AX964" s="779"/>
    </row>
    <row r="965">
      <c r="B965" s="779"/>
      <c r="C965" s="779"/>
      <c r="D965" s="779"/>
      <c r="X965" s="779"/>
      <c r="AA965" s="779"/>
      <c r="AU965" s="779"/>
      <c r="AV965" s="779"/>
      <c r="AW965" s="779"/>
      <c r="AX965" s="779"/>
    </row>
    <row r="966">
      <c r="B966" s="779"/>
      <c r="C966" s="779"/>
      <c r="D966" s="779"/>
      <c r="X966" s="779"/>
      <c r="AA966" s="779"/>
      <c r="AU966" s="779"/>
      <c r="AV966" s="779"/>
      <c r="AW966" s="779"/>
      <c r="AX966" s="779"/>
    </row>
    <row r="967">
      <c r="B967" s="779"/>
      <c r="C967" s="779"/>
      <c r="D967" s="779"/>
      <c r="X967" s="779"/>
      <c r="AA967" s="779"/>
      <c r="AU967" s="779"/>
      <c r="AV967" s="779"/>
      <c r="AW967" s="779"/>
      <c r="AX967" s="779"/>
    </row>
    <row r="968">
      <c r="B968" s="779"/>
      <c r="C968" s="779"/>
      <c r="D968" s="779"/>
      <c r="X968" s="779"/>
      <c r="AA968" s="779"/>
      <c r="AU968" s="779"/>
      <c r="AV968" s="779"/>
      <c r="AW968" s="779"/>
      <c r="AX968" s="779"/>
    </row>
    <row r="969">
      <c r="B969" s="779"/>
      <c r="C969" s="779"/>
      <c r="D969" s="779"/>
      <c r="X969" s="779"/>
      <c r="AA969" s="779"/>
      <c r="AU969" s="779"/>
      <c r="AV969" s="779"/>
      <c r="AW969" s="779"/>
      <c r="AX969" s="779"/>
    </row>
    <row r="970">
      <c r="B970" s="779"/>
      <c r="C970" s="779"/>
      <c r="D970" s="779"/>
      <c r="X970" s="779"/>
      <c r="AA970" s="779"/>
      <c r="AU970" s="779"/>
      <c r="AV970" s="779"/>
      <c r="AW970" s="779"/>
      <c r="AX970" s="779"/>
    </row>
    <row r="971">
      <c r="B971" s="779"/>
      <c r="C971" s="779"/>
      <c r="D971" s="779"/>
      <c r="X971" s="779"/>
      <c r="AA971" s="779"/>
      <c r="AU971" s="779"/>
      <c r="AV971" s="779"/>
      <c r="AW971" s="779"/>
      <c r="AX971" s="779"/>
    </row>
    <row r="972">
      <c r="B972" s="779"/>
      <c r="C972" s="779"/>
      <c r="D972" s="779"/>
      <c r="X972" s="779"/>
      <c r="AA972" s="779"/>
      <c r="AU972" s="779"/>
      <c r="AV972" s="779"/>
      <c r="AW972" s="779"/>
      <c r="AX972" s="779"/>
    </row>
    <row r="973">
      <c r="B973" s="779"/>
      <c r="C973" s="779"/>
      <c r="D973" s="779"/>
      <c r="X973" s="779"/>
      <c r="AA973" s="779"/>
      <c r="AU973" s="779"/>
      <c r="AV973" s="779"/>
      <c r="AW973" s="779"/>
      <c r="AX973" s="779"/>
    </row>
    <row r="974">
      <c r="B974" s="779"/>
      <c r="C974" s="779"/>
      <c r="D974" s="779"/>
      <c r="X974" s="779"/>
      <c r="AA974" s="779"/>
      <c r="AU974" s="779"/>
      <c r="AV974" s="779"/>
      <c r="AW974" s="779"/>
      <c r="AX974" s="779"/>
    </row>
    <row r="975">
      <c r="B975" s="779"/>
      <c r="C975" s="779"/>
      <c r="D975" s="779"/>
      <c r="X975" s="779"/>
      <c r="AA975" s="779"/>
      <c r="AU975" s="779"/>
      <c r="AV975" s="779"/>
      <c r="AW975" s="779"/>
      <c r="AX975" s="779"/>
    </row>
    <row r="976">
      <c r="B976" s="779"/>
      <c r="C976" s="779"/>
      <c r="D976" s="779"/>
      <c r="X976" s="779"/>
      <c r="AA976" s="779"/>
      <c r="AU976" s="779"/>
      <c r="AV976" s="779"/>
      <c r="AW976" s="779"/>
      <c r="AX976" s="779"/>
    </row>
    <row r="977">
      <c r="B977" s="779"/>
      <c r="C977" s="779"/>
      <c r="D977" s="779"/>
      <c r="X977" s="779"/>
      <c r="AA977" s="779"/>
      <c r="AU977" s="779"/>
      <c r="AV977" s="779"/>
      <c r="AW977" s="779"/>
      <c r="AX977" s="779"/>
    </row>
    <row r="978">
      <c r="B978" s="779"/>
      <c r="C978" s="779"/>
      <c r="D978" s="779"/>
      <c r="X978" s="779"/>
      <c r="AA978" s="779"/>
      <c r="AU978" s="779"/>
      <c r="AV978" s="779"/>
      <c r="AW978" s="779"/>
      <c r="AX978" s="779"/>
    </row>
    <row r="979">
      <c r="B979" s="779"/>
      <c r="C979" s="779"/>
      <c r="D979" s="779"/>
      <c r="X979" s="779"/>
      <c r="AA979" s="779"/>
      <c r="AU979" s="779"/>
      <c r="AV979" s="779"/>
      <c r="AW979" s="779"/>
      <c r="AX979" s="779"/>
    </row>
    <row r="980">
      <c r="B980" s="779"/>
      <c r="C980" s="779"/>
      <c r="D980" s="779"/>
      <c r="X980" s="779"/>
      <c r="AA980" s="779"/>
      <c r="AU980" s="779"/>
      <c r="AV980" s="779"/>
      <c r="AW980" s="779"/>
      <c r="AX980" s="779"/>
    </row>
    <row r="981">
      <c r="B981" s="779"/>
      <c r="C981" s="779"/>
      <c r="D981" s="779"/>
      <c r="X981" s="779"/>
      <c r="AA981" s="779"/>
      <c r="AU981" s="779"/>
      <c r="AV981" s="779"/>
      <c r="AW981" s="779"/>
      <c r="AX981" s="779"/>
    </row>
    <row r="982">
      <c r="B982" s="779"/>
      <c r="C982" s="779"/>
      <c r="D982" s="779"/>
      <c r="X982" s="779"/>
      <c r="AA982" s="779"/>
      <c r="AU982" s="779"/>
      <c r="AV982" s="779"/>
      <c r="AW982" s="779"/>
      <c r="AX982" s="779"/>
    </row>
    <row r="983">
      <c r="B983" s="779"/>
      <c r="C983" s="779"/>
      <c r="D983" s="779"/>
      <c r="X983" s="779"/>
      <c r="AA983" s="779"/>
      <c r="AU983" s="779"/>
      <c r="AV983" s="779"/>
      <c r="AW983" s="779"/>
      <c r="AX983" s="779"/>
    </row>
    <row r="984">
      <c r="B984" s="779"/>
      <c r="C984" s="779"/>
      <c r="D984" s="779"/>
      <c r="X984" s="779"/>
      <c r="AA984" s="779"/>
      <c r="AU984" s="779"/>
      <c r="AV984" s="779"/>
      <c r="AW984" s="779"/>
      <c r="AX984" s="779"/>
    </row>
    <row r="985">
      <c r="B985" s="779"/>
      <c r="C985" s="779"/>
      <c r="D985" s="779"/>
      <c r="X985" s="779"/>
      <c r="AA985" s="779"/>
      <c r="AU985" s="779"/>
      <c r="AV985" s="779"/>
      <c r="AW985" s="779"/>
      <c r="AX985" s="779"/>
    </row>
    <row r="986">
      <c r="B986" s="779"/>
      <c r="C986" s="779"/>
      <c r="D986" s="779"/>
      <c r="X986" s="779"/>
      <c r="AA986" s="779"/>
      <c r="AU986" s="779"/>
      <c r="AV986" s="779"/>
      <c r="AW986" s="779"/>
      <c r="AX986" s="779"/>
    </row>
    <row r="987">
      <c r="B987" s="779"/>
      <c r="C987" s="779"/>
      <c r="D987" s="779"/>
      <c r="X987" s="779"/>
      <c r="AA987" s="779"/>
      <c r="AU987" s="779"/>
      <c r="AV987" s="779"/>
      <c r="AW987" s="779"/>
      <c r="AX987" s="779"/>
    </row>
    <row r="988">
      <c r="B988" s="779"/>
      <c r="C988" s="779"/>
      <c r="D988" s="779"/>
      <c r="X988" s="779"/>
      <c r="AA988" s="779"/>
      <c r="AU988" s="779"/>
      <c r="AV988" s="779"/>
      <c r="AW988" s="779"/>
      <c r="AX988" s="779"/>
    </row>
    <row r="989">
      <c r="B989" s="779"/>
      <c r="C989" s="779"/>
      <c r="D989" s="779"/>
      <c r="X989" s="779"/>
      <c r="AA989" s="779"/>
      <c r="AU989" s="779"/>
      <c r="AV989" s="779"/>
      <c r="AW989" s="779"/>
      <c r="AX989" s="779"/>
    </row>
    <row r="990">
      <c r="B990" s="779"/>
      <c r="C990" s="779"/>
      <c r="D990" s="779"/>
      <c r="X990" s="779"/>
      <c r="AA990" s="779"/>
      <c r="AU990" s="779"/>
      <c r="AV990" s="779"/>
      <c r="AW990" s="779"/>
      <c r="AX990" s="779"/>
    </row>
    <row r="991">
      <c r="B991" s="779"/>
      <c r="C991" s="779"/>
      <c r="D991" s="779"/>
      <c r="X991" s="779"/>
      <c r="AA991" s="779"/>
      <c r="AU991" s="779"/>
      <c r="AV991" s="779"/>
      <c r="AW991" s="779"/>
      <c r="AX991" s="779"/>
    </row>
    <row r="992">
      <c r="B992" s="779"/>
      <c r="C992" s="779"/>
      <c r="D992" s="779"/>
      <c r="X992" s="779"/>
      <c r="AA992" s="779"/>
      <c r="AU992" s="779"/>
      <c r="AV992" s="779"/>
      <c r="AW992" s="779"/>
      <c r="AX992" s="779"/>
    </row>
    <row r="993">
      <c r="B993" s="779"/>
      <c r="C993" s="779"/>
      <c r="D993" s="779"/>
      <c r="X993" s="779"/>
      <c r="AA993" s="779"/>
      <c r="AU993" s="779"/>
      <c r="AV993" s="779"/>
      <c r="AW993" s="779"/>
      <c r="AX993" s="779"/>
    </row>
    <row r="994">
      <c r="B994" s="779"/>
      <c r="C994" s="779"/>
      <c r="D994" s="779"/>
      <c r="X994" s="779"/>
      <c r="AA994" s="779"/>
      <c r="AU994" s="779"/>
      <c r="AV994" s="779"/>
      <c r="AW994" s="779"/>
      <c r="AX994" s="779"/>
    </row>
    <row r="995">
      <c r="B995" s="779"/>
      <c r="C995" s="779"/>
      <c r="D995" s="779"/>
      <c r="X995" s="779"/>
      <c r="AA995" s="779"/>
      <c r="AU995" s="779"/>
      <c r="AV995" s="779"/>
      <c r="AW995" s="779"/>
      <c r="AX995" s="779"/>
    </row>
    <row r="996">
      <c r="B996" s="779"/>
      <c r="C996" s="779"/>
      <c r="D996" s="779"/>
      <c r="X996" s="779"/>
      <c r="AA996" s="779"/>
      <c r="AU996" s="779"/>
      <c r="AV996" s="779"/>
      <c r="AW996" s="779"/>
      <c r="AX996" s="779"/>
    </row>
    <row r="997">
      <c r="B997" s="779"/>
      <c r="C997" s="779"/>
      <c r="D997" s="779"/>
      <c r="X997" s="779"/>
      <c r="AA997" s="779"/>
      <c r="AU997" s="779"/>
      <c r="AV997" s="779"/>
      <c r="AW997" s="779"/>
      <c r="AX997" s="779"/>
    </row>
    <row r="998">
      <c r="B998" s="779"/>
      <c r="C998" s="779"/>
      <c r="D998" s="779"/>
      <c r="X998" s="779"/>
      <c r="AA998" s="779"/>
      <c r="AU998" s="779"/>
      <c r="AV998" s="779"/>
      <c r="AW998" s="779"/>
      <c r="AX998" s="779"/>
    </row>
    <row r="999">
      <c r="B999" s="779"/>
      <c r="C999" s="779"/>
      <c r="D999" s="779"/>
      <c r="X999" s="779"/>
      <c r="AA999" s="779"/>
      <c r="AU999" s="779"/>
      <c r="AV999" s="779"/>
      <c r="AW999" s="779"/>
      <c r="AX999" s="779"/>
    </row>
  </sheetData>
  <mergeCells count="15">
    <mergeCell ref="AM1:AM999"/>
    <mergeCell ref="AT1:AT999"/>
    <mergeCell ref="AY1:AY999"/>
    <mergeCell ref="BC1:BC999"/>
    <mergeCell ref="BG1:BG999"/>
    <mergeCell ref="BK1:BK999"/>
    <mergeCell ref="BO1:BO999"/>
    <mergeCell ref="BT1:BT999"/>
    <mergeCell ref="A1:A999"/>
    <mergeCell ref="H1:H999"/>
    <mergeCell ref="L1:L999"/>
    <mergeCell ref="P1:P999"/>
    <mergeCell ref="W1:W999"/>
    <mergeCell ref="AD1:AD999"/>
    <mergeCell ref="AH1:AH999"/>
  </mergeCells>
  <dataValidations>
    <dataValidation type="list" allowBlank="1" showErrorMessage="1" sqref="F3">
      <formula1>"-梟,-豹,-鮭,(請選擇)"</formula1>
    </dataValidation>
    <dataValidation type="list" allowBlank="1" sqref="AF3">
      <formula1>"-鍛鋼之心,-夢魘帷幕,-旅人之刃,-獸化觸碰,(請選擇)"</formula1>
    </dataValidation>
    <dataValidation type="list" allowBlank="1" showErrorMessage="1" sqref="J3:J5">
      <formula1>"野蠻人,牧師,德魯伊,戰士,武僧,聖騎士,遊俠,盜賊,術士,契術師,法師"</formula1>
    </dataValidation>
    <dataValidation type="list" allowBlank="1" showErrorMessage="1" sqref="BE15:BE20">
      <formula1>"生命增加,黑暗視覺,提高速度,中毒抗性,跳躍攀爬,運動特技"</formula1>
    </dataValidation>
    <dataValidation type="list" allowBlank="1" showErrorMessage="1" sqref="BA3:BA8">
      <formula1>"謹慎法術,遠程法術,強效法術,延時法術,升階法術,瞬發法術,追蹤法術,精妙法術,轉化法術,孿生法術"</formula1>
    </dataValidation>
    <dataValidation type="list" allowBlank="1" showErrorMessage="1" sqref="AB3:AB11">
      <formula1>"伏擊, 誘餌戰術, 指揮官奇襲,領導風範,繳械擊,擾亂擊,躲閃步伐,詭詐擊,挑釁擊,突刺擊, 靈動擊,恐嚇擊,格擋, 精準擊, 推撞擊, 鼓舞,反擊,橫掃擊, 戰術預估,絆摔擊"</formula1>
    </dataValidation>
    <dataValidation type="list" allowBlank="1" showErrorMessage="1" sqref="T3">
      <formula1>"-荒漠,-極地,-溫帶,-熱帶,(請選擇)"</formula1>
    </dataValidation>
    <dataValidation type="list" allowBlank="1" showErrorMessage="1" sqref="F6">
      <formula1>"-憎恨,-嫉妒,-恐懼,(請選擇)"</formula1>
    </dataValidation>
    <dataValidation type="list" allowBlank="1" showErrorMessage="1" sqref="T9">
      <formula1>"-元素災變,-毀滅猛擊,-武器精通,(請選擇)"</formula1>
    </dataValidation>
    <dataValidation type="list" allowBlank="1" showErrorMessage="1" sqref="BI6">
      <formula1>"-至高惡魔,-至高天使,(請選擇)"</formula1>
    </dataValidation>
    <dataValidation type="list" allowBlank="1" showErrorMessage="1" sqref="N3">
      <formula1>"-守護者,-奇術使,(請選擇)"</formula1>
    </dataValidation>
    <dataValidation type="list" allowBlank="1" showDropDown="1" sqref="BQ9:BQ12">
      <formula1>"咬緊牙關,盲射,翻滾躲避,擦掠射擊,牛仔精神,千鈞一髮"</formula1>
    </dataValidation>
    <dataValidation type="list" allowBlank="1" showErrorMessage="1" sqref="AV7:AV11">
      <formula1>"醉心詛咒,笨拙詛咒,凋零詛咒,命定詛咒,驚恐詛咒,無能詛咒,失覺詛咒,致殘詛咒,標記詛咒,瘟疫詛咒,瞌睡詛咒,不幸詛咒"</formula1>
    </dataValidation>
    <dataValidation type="list" allowBlank="1" showErrorMessage="1" sqref="BE3:BE12">
      <formula1>'索引資料'!$B$41:$B$68</formula1>
    </dataValidation>
    <dataValidation type="list" allowBlank="1" showErrorMessage="1" sqref="BI3">
      <formula1>"-黑暗視覺,-高等理解力,-識破隱形,(請選擇)"</formula1>
    </dataValidation>
    <dataValidation type="list" allowBlank="1" showErrorMessage="1" sqref="R16">
      <formula1>"-強力施法,-原初猛擊,(請選擇)"</formula1>
    </dataValidation>
    <dataValidation type="list" allowBlank="1" showErrorMessage="1" sqref="R3">
      <formula1>"-魔術師,-衛士,(請選擇)"</formula1>
    </dataValidation>
    <dataValidation type="list" allowBlank="1" showErrorMessage="1" sqref="AJ3:AJ4 AO3:AO4 AV3:AV4 C3:C6 BQ3:BQ6 Y3:Y8 BV9:BV13 Y12:Y16">
      <formula1>'武器&amp;護甲'!$A$2:$A$58</formula1>
    </dataValidation>
    <dataValidation type="list" allowBlank="1" showErrorMessage="1" sqref="T6">
      <formula1>"-吉兆(偶數),-凶兆(奇數),(請選擇)"</formula1>
    </dataValidation>
    <dataValidation type="list" allowBlank="1" showErrorMessage="1" sqref="Y11">
      <formula1>"腎上腺針劑,全知針劑,奧法眼油,熊之耐力飲,牛之力量飲,貓之優雅飲,鷹之威儀飲,狐之狡黠飲,梟之睿智飲,精靈眼油,縫合磷酸鹽,鋼鐵意志針劑,壯膽酒,狂怒酒,快板粉,咒光軟膏,鋼皮軟膏,十人酊劑"</formula1>
    </dataValidation>
    <dataValidation type="list" allowBlank="1" showErrorMessage="1" sqref="N6">
      <formula1>"-神聖打擊,-強力施法,(請選擇)"</formula1>
    </dataValidation>
    <dataValidation type="list" allowBlank="1" showErrorMessage="1" sqref="AR9">
      <formula1>"-逃離眾敵,-防禦多重攻擊"</formula1>
    </dataValidation>
    <dataValidation type="list" allowBlank="1" showErrorMessage="1" sqref="AR3">
      <formula1>"-大地野獸,-海洋野獸,-天空野獸"</formula1>
    </dataValidation>
    <dataValidation type="list" allowBlank="1" showErrorMessage="1" sqref="AR6">
      <formula1>"-巨怪獵手,-滅族者"</formula1>
    </dataValidation>
    <dataValidation type="list" allowBlank="1" showErrorMessage="1" sqref="BA11">
      <formula1>"-笨重,-夜行,-帶疾,(請選擇)"</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4" width="15.86"/>
    <col customWidth="1" min="5" max="6" width="16.57"/>
    <col customWidth="1" min="7" max="13" width="15.86"/>
  </cols>
  <sheetData>
    <row r="1" ht="11.25" customHeight="1">
      <c r="B1" s="802"/>
      <c r="C1" s="802"/>
      <c r="D1" s="802"/>
      <c r="E1" s="802"/>
      <c r="F1" s="802"/>
      <c r="G1" s="803"/>
      <c r="H1" s="803"/>
      <c r="I1" s="803"/>
      <c r="J1" s="803"/>
      <c r="K1" s="803"/>
      <c r="L1" s="803"/>
      <c r="M1" s="804"/>
      <c r="N1" s="804"/>
      <c r="O1" s="804"/>
      <c r="P1" s="804"/>
    </row>
    <row r="2">
      <c r="B2" s="805" t="s">
        <v>403</v>
      </c>
      <c r="C2" s="20"/>
      <c r="D2" s="802"/>
      <c r="E2" s="806" t="s">
        <v>404</v>
      </c>
      <c r="F2" s="802"/>
      <c r="G2" s="806" t="s">
        <v>405</v>
      </c>
      <c r="H2" s="19"/>
      <c r="I2" s="20"/>
      <c r="K2" s="805" t="s">
        <v>406</v>
      </c>
      <c r="L2" s="19"/>
      <c r="M2" s="19"/>
      <c r="N2" s="19"/>
      <c r="O2" s="19"/>
      <c r="P2" s="19"/>
      <c r="Q2" s="19"/>
      <c r="R2" s="19"/>
      <c r="S2" s="19"/>
      <c r="T2" s="19"/>
      <c r="U2" s="19"/>
      <c r="V2" s="19"/>
      <c r="W2" s="19"/>
      <c r="X2" s="20"/>
    </row>
    <row r="3">
      <c r="B3" s="807" t="s">
        <v>407</v>
      </c>
      <c r="C3" s="808">
        <f>'職業能力'!N2</f>
        <v>0</v>
      </c>
      <c r="D3" s="802"/>
      <c r="E3" s="809" t="str">
        <f>IF('角色卡'!Y7="","物種",K38)</f>
        <v>人類 </v>
      </c>
      <c r="F3" s="802"/>
      <c r="G3" s="810" t="s">
        <v>408</v>
      </c>
      <c r="H3" s="811" t="s">
        <v>409</v>
      </c>
      <c r="I3" s="318"/>
      <c r="K3" s="812" t="s">
        <v>408</v>
      </c>
      <c r="L3" s="813" t="s">
        <v>410</v>
      </c>
      <c r="M3" s="813" t="s">
        <v>411</v>
      </c>
      <c r="N3" s="813" t="s">
        <v>412</v>
      </c>
      <c r="O3" s="813" t="s">
        <v>413</v>
      </c>
      <c r="P3" s="813" t="str">
        <f>IF('請先閱讀'!$O$27=true,"實驗道途","")</f>
        <v/>
      </c>
      <c r="Q3" s="813" t="str">
        <f>IF('請先閱讀'!O28=true,"肌肉魔法使道途","")</f>
        <v/>
      </c>
      <c r="R3" s="813" t="str">
        <f>IF('請先閱讀'!$O$30=true,"蔑法道途","")</f>
        <v/>
      </c>
      <c r="S3" s="813" t="str">
        <f>IF('請先閱讀'!$O$31=true,"分裂道途","")</f>
        <v/>
      </c>
      <c r="T3" s="813" t="str">
        <f>IF('請先閱讀'!$O$31=true,"原初精魂道途","")</f>
        <v/>
      </c>
      <c r="U3" s="813" t="str">
        <f>IF('請先閱讀'!$O$31=true,"憤怒亡靈道途","")</f>
        <v/>
      </c>
      <c r="V3" s="813" t="str">
        <f>IF('請先閱讀'!O35=true,"冰川道途","")</f>
        <v/>
      </c>
      <c r="W3" s="813"/>
      <c r="X3" s="814"/>
    </row>
    <row r="4">
      <c r="B4" s="815" t="s">
        <v>414</v>
      </c>
      <c r="C4" s="816">
        <f>'職業能力'!P2</f>
        <v>3</v>
      </c>
      <c r="D4" s="802"/>
      <c r="E4" s="817" t="str">
        <f>IF('角色卡'!AB16="野蠻人-Barbarian","野蠻人",IF('角色卡'!AB16="法師-Wizard","法師",IF('角色卡'!AB16="術士-Sorcerer","術士",IF('角色卡'!AB16="聖騎士-Paladin","聖騎士",IF('角色卡'!AB16="武僧-Monk","武僧",IF('角色卡'!AB16="契術師-Warlock","契術師",IF('角色卡'!AB16="吟遊詩人-Bard","吟遊詩人",IF('角色卡'!AB16="牧師-Cleric","牧師",IF('角色卡'!AB16="德魯伊-Druid","德魯伊",IF('角色卡'!AB16="遊俠-Ranger","遊俠",IF('角色卡'!AB16="戰士-Fighter","戰士",IF('角色卡'!AB16="盜賊-Rogue","盜賊",IF('角色卡'!AB16="奇械師-Artificer","奇械師","職業")))))))))))))</f>
        <v>法師</v>
      </c>
      <c r="G4" s="818" t="s">
        <v>415</v>
      </c>
      <c r="H4" s="819" t="s">
        <v>416</v>
      </c>
      <c r="I4" s="318"/>
      <c r="K4" s="820" t="s">
        <v>415</v>
      </c>
      <c r="L4" s="821" t="s">
        <v>417</v>
      </c>
      <c r="M4" s="821" t="s">
        <v>418</v>
      </c>
      <c r="N4" s="821" t="s">
        <v>419</v>
      </c>
      <c r="O4" s="821" t="s">
        <v>420</v>
      </c>
      <c r="P4" s="821" t="str">
        <f>IF('請先閱讀'!F31=true,"月亮學院","")</f>
        <v>月亮學院</v>
      </c>
      <c r="Q4" s="821" t="str">
        <f>IF('請先閱讀'!$O$27=true,"靈哨學院","")</f>
        <v/>
      </c>
      <c r="R4" s="821" t="str">
        <f>IF('請先閱讀'!$O$30=true,"戲劇學院","")</f>
        <v/>
      </c>
      <c r="S4" s="821" t="str">
        <f>IF('請先閱讀'!$O$31=true,"冒險者學院","")</f>
        <v/>
      </c>
      <c r="T4" s="821" t="str">
        <f>IF('請先閱讀'!$O$31=true,"弄臣學院","")</f>
        <v/>
      </c>
      <c r="U4" s="821" t="str">
        <f>IF('請先閱讀'!$O$31=true,"安魂學院","")</f>
        <v/>
      </c>
      <c r="V4" s="821" t="str">
        <f>IF('請先閱讀'!$O$33=true,"傳頌學院","")</f>
        <v/>
      </c>
      <c r="W4" s="821" t="str">
        <f>IF('請先閱讀'!O35=true,"織舞學院","")</f>
        <v/>
      </c>
      <c r="X4" s="822"/>
    </row>
    <row r="5">
      <c r="B5" s="807" t="s">
        <v>421</v>
      </c>
      <c r="C5" s="808">
        <f>'職業能力'!D2</f>
        <v>0</v>
      </c>
      <c r="D5" s="802"/>
      <c r="E5" s="823" t="str">
        <f>'角色卡'!AK57</f>
        <v>劍詠師</v>
      </c>
      <c r="F5" s="824"/>
      <c r="G5" s="810" t="s">
        <v>422</v>
      </c>
      <c r="H5" s="811" t="s">
        <v>423</v>
      </c>
      <c r="I5" s="318"/>
      <c r="K5" s="825" t="s">
        <v>424</v>
      </c>
      <c r="L5" s="813" t="s">
        <v>425</v>
      </c>
      <c r="M5" s="813" t="s">
        <v>426</v>
      </c>
      <c r="N5" s="813" t="s">
        <v>427</v>
      </c>
      <c r="O5" s="813" t="s">
        <v>428</v>
      </c>
      <c r="P5" s="813" t="str">
        <f>IF('請先閱讀'!F31=true,"知識領域","")</f>
        <v>知識領域</v>
      </c>
      <c r="Q5" s="813" t="str">
        <f>IF('請先閱讀'!$O$27=true,"豐收領域","")</f>
        <v/>
      </c>
      <c r="R5" s="813" t="str">
        <f>IF('請先閱讀'!$O$30=true,"天啟領域","")</f>
        <v/>
      </c>
      <c r="S5" s="813" t="str">
        <f>IF('請先閱讀'!$O$31=true,"怪異領域","")</f>
        <v/>
      </c>
      <c r="T5" s="813" t="str">
        <f>IF('請先閱讀'!$O$31=true,"審判領域","")</f>
        <v/>
      </c>
      <c r="U5" s="813" t="str">
        <f>IF('請先閱讀'!$O$31=true,"淨化領域","")</f>
        <v/>
      </c>
      <c r="V5" s="813" t="str">
        <f>IF('請先閱讀'!$O$33=true,"心靈領域","")</f>
        <v/>
      </c>
      <c r="W5" s="813" t="str">
        <f>IF('請先閱讀'!O35=true,"星界領域","")</f>
        <v/>
      </c>
      <c r="X5" s="814"/>
    </row>
    <row r="6">
      <c r="B6" s="815" t="s">
        <v>429</v>
      </c>
      <c r="C6" s="816">
        <f>'職業能力'!C2</f>
        <v>0</v>
      </c>
      <c r="D6" s="802"/>
      <c r="E6" s="826" t="str">
        <f>IF('角色卡'!AB17="野蠻人-Barbarian","野蠻人",IF('角色卡'!AB17="法師-Wizard","法師",IF('角色卡'!AB17="術士-Sorcerer","術士",IF('角色卡'!AB17="聖騎士-Paladin","聖騎士",IF('角色卡'!AB17="武僧-Monk","武僧",IF('角色卡'!AB17="契術師-Warlock","契術師",IF('角色卡'!AB17="吟遊詩人-Bard","吟遊詩人",IF('角色卡'!AB17="牧師-Cleric","牧師",IF('角色卡'!AB17="德魯伊-Druid","德魯伊",IF('角色卡'!AB17="遊俠-Ranger","遊俠",IF('角色卡'!AB17="戰士-Fighter","戰士",IF('角色卡'!AB17="盜賊-Rogue","盜賊",IF('角色卡'!AB17="奇械師-Artificer","奇械師","")))))))))))))</f>
        <v/>
      </c>
      <c r="F6" s="803"/>
      <c r="G6" s="827" t="s">
        <v>430</v>
      </c>
      <c r="H6" s="819" t="s">
        <v>431</v>
      </c>
      <c r="I6" s="318"/>
      <c r="K6" s="828" t="s">
        <v>432</v>
      </c>
      <c r="L6" s="821" t="s">
        <v>433</v>
      </c>
      <c r="M6" s="821" t="s">
        <v>434</v>
      </c>
      <c r="N6" s="821" t="s">
        <v>435</v>
      </c>
      <c r="O6" s="821" t="s">
        <v>436</v>
      </c>
      <c r="P6" s="821" t="str">
        <f>IF('請先閱讀'!$O$27=true,"古道結社","")</f>
        <v/>
      </c>
      <c r="Q6" s="821" t="str">
        <f>IF('請先閱讀'!$O$27=true,"柳條結社","")</f>
        <v/>
      </c>
      <c r="R6" s="821" t="str">
        <f>IF('請先閱讀'!$O$30=true,"共生結社","")</f>
        <v/>
      </c>
      <c r="S6" s="821" t="str">
        <f>IF('請先閱讀'!$O$31=true,"鮮血結社","")</f>
        <v/>
      </c>
      <c r="T6" s="821" t="str">
        <f>IF('請先閱讀'!$O$31=true,"熵力結社","")</f>
        <v/>
      </c>
      <c r="U6" s="821" t="str">
        <f>IF('請先閱讀'!$O$31=true,"突變結社","")</f>
        <v/>
      </c>
      <c r="V6" s="821" t="str">
        <f>IF('請先閱讀'!$O$33=true,"鍛物結社","")</f>
        <v/>
      </c>
      <c r="W6" s="821" t="str">
        <f>IF('請先閱讀'!O35=true,"不朽結社","")</f>
        <v/>
      </c>
      <c r="X6" s="822" t="str">
        <f>IF('請先閱讀'!O36=true,"輪轉結社","")</f>
        <v/>
      </c>
    </row>
    <row r="7">
      <c r="B7" s="807" t="s">
        <v>437</v>
      </c>
      <c r="C7" s="808">
        <f>'職業能力'!E2</f>
        <v>0</v>
      </c>
      <c r="D7" s="802"/>
      <c r="E7" s="809" t="str">
        <f>'角色卡'!BH57</f>
        <v/>
      </c>
      <c r="F7" s="802"/>
      <c r="G7" s="810" t="s">
        <v>438</v>
      </c>
      <c r="H7" s="811" t="s">
        <v>439</v>
      </c>
      <c r="I7" s="318"/>
      <c r="K7" s="825" t="s">
        <v>440</v>
      </c>
      <c r="L7" s="813" t="s">
        <v>441</v>
      </c>
      <c r="M7" s="813" t="s">
        <v>442</v>
      </c>
      <c r="N7" s="813" t="s">
        <v>443</v>
      </c>
      <c r="O7" s="813" t="s">
        <v>444</v>
      </c>
      <c r="P7" s="813" t="str">
        <f>IF('請先閱讀'!F31=true,"旗將","")</f>
        <v>旗將</v>
      </c>
      <c r="Q7" s="813" t="str">
        <f>IF('請先閱讀'!$O$27=true,"陵墓守衛","")</f>
        <v/>
      </c>
      <c r="R7" s="813" t="str">
        <f>IF('請先閱讀'!O28=true,"地城探險家","")</f>
        <v/>
      </c>
      <c r="S7" s="813" t="str">
        <f>IF('請先閱讀'!$O$30=true,"英雄","")</f>
        <v/>
      </c>
      <c r="T7" s="813" t="str">
        <f>IF('請先閱讀'!$O$31=true,"壁壘衛士","")</f>
        <v/>
      </c>
      <c r="U7" s="813" t="str">
        <f>IF('請先閱讀'!$O$31=true,"活體坩堝","")</f>
        <v/>
      </c>
      <c r="V7" s="813" t="str">
        <f>IF('請先閱讀'!$O$31=true,"守夜人","")</f>
        <v/>
      </c>
      <c r="W7" s="813" t="str">
        <f>IF('請先閱讀'!O35=true,"羽蛇傳令","")</f>
        <v/>
      </c>
      <c r="X7" s="814" t="str">
        <f>IF('請先閱讀'!O36=true,"雕骨師","")</f>
        <v/>
      </c>
    </row>
    <row r="8">
      <c r="B8" s="815" t="s">
        <v>445</v>
      </c>
      <c r="C8" s="816">
        <f>'職業能力'!L2</f>
        <v>0</v>
      </c>
      <c r="D8" s="802"/>
      <c r="E8" s="826" t="str">
        <f>IF('角色卡'!AB18="野蠻人-Barbarian","野蠻人",IF('角色卡'!AB18="法師-Wizard","法師",IF('角色卡'!AB18="術士-Sorcerer","術士",IF('角色卡'!AB18="聖騎士-Paladin","聖騎士",IF('角色卡'!AB18="武僧-Monk","武僧",IF('角色卡'!AB18="契術師-Warlock","契術師",IF('角色卡'!AB18="吟遊詩人-Bard","吟遊詩人",IF('角色卡'!AB18="牧師-Cleric","牧師",IF('角色卡'!AB18="德魯伊-Druid","德魯伊",IF('角色卡'!AB18="遊俠-Ranger","遊俠",IF('角色卡'!AB18="戰士-Fighter","戰士",IF('角色卡'!AB18="盜賊-Rogue","盜賊",IF('角色卡'!AB18="奇械師-Artificer","奇械師","")))))))))))))</f>
        <v/>
      </c>
      <c r="F8" s="802"/>
      <c r="G8" s="827" t="s">
        <v>446</v>
      </c>
      <c r="H8" s="819" t="s">
        <v>447</v>
      </c>
      <c r="I8" s="318"/>
      <c r="K8" s="828" t="s">
        <v>448</v>
      </c>
      <c r="L8" s="821" t="s">
        <v>449</v>
      </c>
      <c r="M8" s="821" t="s">
        <v>450</v>
      </c>
      <c r="N8" s="821" t="s">
        <v>451</v>
      </c>
      <c r="O8" s="821" t="s">
        <v>452</v>
      </c>
      <c r="P8" s="821" t="str">
        <f>IF('請先閱讀'!$O$27=true,"瘴癘武者","")</f>
        <v/>
      </c>
      <c r="Q8" s="821" t="str">
        <f>IF('請先閱讀'!O28=true,"街頭武者","")</f>
        <v/>
      </c>
      <c r="R8" s="821" t="str">
        <f>IF('請先閱讀'!$O$30=true,"天衡武者","")</f>
        <v/>
      </c>
      <c r="S8" s="821" t="str">
        <f>IF('請先閱讀'!$O$31=true,"鉛冕武者","")</f>
        <v/>
      </c>
      <c r="T8" s="821" t="str">
        <f>IF('請先閱讀'!$O$31=true,"孤高武者","")</f>
        <v/>
      </c>
      <c r="U8" s="821" t="str">
        <f>IF('請先閱讀'!$O$31=true,"悔恨武者","")</f>
        <v/>
      </c>
      <c r="V8" s="821" t="str">
        <f>IF('請先閱讀'!$O$33=true,"活體武器武者","")</f>
        <v/>
      </c>
      <c r="W8" s="821" t="str">
        <f>IF('請先閱讀'!O35=true,"天界武者","")</f>
        <v/>
      </c>
      <c r="X8" s="822"/>
    </row>
    <row r="9">
      <c r="B9" s="807" t="s">
        <v>453</v>
      </c>
      <c r="C9" s="808">
        <f>'職業能力'!J2</f>
        <v>0</v>
      </c>
      <c r="D9" s="802"/>
      <c r="E9" s="809" t="str">
        <f>'角色卡'!CE57</f>
        <v/>
      </c>
      <c r="F9" s="802"/>
      <c r="G9" s="810" t="s">
        <v>454</v>
      </c>
      <c r="H9" s="811" t="s">
        <v>455</v>
      </c>
      <c r="I9" s="318"/>
      <c r="K9" s="812" t="s">
        <v>456</v>
      </c>
      <c r="L9" s="813" t="s">
        <v>457</v>
      </c>
      <c r="M9" s="813" t="s">
        <v>458</v>
      </c>
      <c r="N9" s="813" t="s">
        <v>459</v>
      </c>
      <c r="O9" s="813" t="s">
        <v>460</v>
      </c>
      <c r="P9" s="813" t="str">
        <f>IF('請先閱讀'!F31=true,"巨靈貴族之誓","")</f>
        <v>巨靈貴族之誓</v>
      </c>
      <c r="Q9" s="813" t="str">
        <f>IF('請先閱讀'!$O$27=true,"懲戒之誓","")</f>
        <v/>
      </c>
      <c r="R9" s="813" t="str">
        <f>IF('請先閱讀'!O28=true,"狂歡之誓","")</f>
        <v/>
      </c>
      <c r="S9" s="813" t="str">
        <f>IF('請先閱讀'!$O$30=true,"守護之誓","")</f>
        <v/>
      </c>
      <c r="T9" s="813" t="str">
        <f>IF('請先閱讀'!$O$31=true,"瘟疫之誓","")</f>
        <v/>
      </c>
      <c r="U9" s="813" t="str">
        <f>IF('請先閱讀'!$O$31=true,"屠戮之誓","")</f>
        <v/>
      </c>
      <c r="V9" s="813" t="str">
        <f>IF('請先閱讀'!$O$31=true,"狂熱之誓","")</f>
        <v/>
      </c>
      <c r="W9" s="813" t="str">
        <f>IF('請先閱讀'!O35=true,"爐火之誓","")</f>
        <v/>
      </c>
      <c r="X9" s="814"/>
    </row>
    <row r="10">
      <c r="B10" s="829" t="s">
        <v>461</v>
      </c>
      <c r="C10" s="816">
        <f>IF(OR('角色卡'!AK57=L11,'角色卡'!BH57=L11,'角色卡'!CE57=L11,'角色卡'!AK57=V11,'角色卡'!BH57=V11,'角色卡'!CE57=V11),'職業能力'!M2,0)</f>
        <v>0</v>
      </c>
      <c r="D10" s="802"/>
      <c r="E10" s="817" t="str">
        <f>IF(OR('角色卡'!AB16=K13,'角色卡'!AB17=K13,'角色卡'!AB18=K13),"祈喚","")</f>
        <v/>
      </c>
      <c r="F10" s="802"/>
      <c r="G10" s="830" t="s">
        <v>462</v>
      </c>
      <c r="H10" s="819" t="s">
        <v>463</v>
      </c>
      <c r="I10" s="318"/>
      <c r="K10" s="820" t="s">
        <v>464</v>
      </c>
      <c r="L10" s="821" t="s">
        <v>465</v>
      </c>
      <c r="M10" s="821" t="s">
        <v>466</v>
      </c>
      <c r="N10" s="821" t="s">
        <v>467</v>
      </c>
      <c r="O10" s="821" t="s">
        <v>468</v>
      </c>
      <c r="P10" s="821" t="str">
        <f>IF('請先閱讀'!F31=true,"凜冬行者","")</f>
        <v>凜冬行者</v>
      </c>
      <c r="Q10" s="821" t="str">
        <f>IF('請先閱讀'!$O$27=true,"晦暗先驅","")</f>
        <v/>
      </c>
      <c r="R10" s="821" t="str">
        <f>IF('請先閱讀'!$O$30=true,"荒徑守護者","")</f>
        <v/>
      </c>
      <c r="S10" s="821" t="str">
        <f>IF('請先閱讀'!$O$31=true,"綠林死神","")</f>
        <v/>
      </c>
      <c r="T10" s="821" t="str">
        <f>IF('請先閱讀'!$O$31=true,"原初射手","")</f>
        <v/>
      </c>
      <c r="U10" s="821" t="str">
        <f>IF('請先閱讀'!$O$31=true,"鼠群之王","")</f>
        <v/>
      </c>
      <c r="V10" s="821" t="str">
        <f>IF('請先閱讀'!O35=true,"凜冬陷阱師","")</f>
        <v/>
      </c>
      <c r="W10" s="821" t="str">
        <f>IF('請先閱讀'!O36=true,"大獸獵家","")</f>
        <v/>
      </c>
      <c r="X10" s="822"/>
    </row>
    <row r="11">
      <c r="B11" s="831" t="s">
        <v>443</v>
      </c>
      <c r="C11" s="808">
        <f>IF(OR('角色卡'!AK57="魔能騎士",'角色卡'!BH57="魔能騎士",'角色卡'!CE57="魔能騎士"),'職業能力'!F2,0)</f>
        <v>0</v>
      </c>
      <c r="D11" s="802"/>
      <c r="E11" s="809" t="s">
        <v>334</v>
      </c>
      <c r="F11" s="802"/>
      <c r="G11" s="810" t="s">
        <v>469</v>
      </c>
      <c r="H11" s="811" t="s">
        <v>470</v>
      </c>
      <c r="I11" s="318"/>
      <c r="K11" s="825" t="s">
        <v>471</v>
      </c>
      <c r="L11" s="813" t="s">
        <v>472</v>
      </c>
      <c r="M11" s="813" t="s">
        <v>473</v>
      </c>
      <c r="N11" s="813" t="s">
        <v>474</v>
      </c>
      <c r="O11" s="813" t="s">
        <v>475</v>
      </c>
      <c r="P11" s="813" t="str">
        <f>IF('請先閱讀'!F31=true,"三神使徒","")</f>
        <v>三神使徒</v>
      </c>
      <c r="Q11" s="813" t="str">
        <f>IF('請先閱讀'!$O$27=true,"罪人","")</f>
        <v/>
      </c>
      <c r="R11" s="813" t="str">
        <f>IF('請先閱讀'!O28=true,"蛛行者","")</f>
        <v/>
      </c>
      <c r="S11" s="813" t="str">
        <f>IF('請先閱讀'!$O$30=true,"暗影行者","")</f>
        <v/>
      </c>
      <c r="T11" s="813" t="str">
        <f>IF('請先閱讀'!$O$31=true,"響馬","")</f>
        <v/>
      </c>
      <c r="U11" s="813" t="str">
        <f>IF('請先閱讀'!$O$31=true,"厄運使者","")</f>
        <v/>
      </c>
      <c r="V11" s="813" t="str">
        <f>IF('請先閱讀'!$O$31=true,"嗜血竊賊","")</f>
        <v/>
      </c>
      <c r="W11" s="813" t="str">
        <f>IF('請先閱讀'!O35=true,"符文塗鴉客","")</f>
        <v/>
      </c>
      <c r="X11" s="814"/>
    </row>
    <row r="12">
      <c r="B12" s="829" t="s">
        <v>476</v>
      </c>
      <c r="C12" s="816">
        <f>'職業能力'!O2</f>
        <v>0</v>
      </c>
      <c r="D12" s="802"/>
      <c r="E12" s="832" t="s">
        <v>277</v>
      </c>
      <c r="F12" s="802"/>
      <c r="G12" s="830" t="s">
        <v>477</v>
      </c>
      <c r="H12" s="819" t="s">
        <v>478</v>
      </c>
      <c r="I12" s="318"/>
      <c r="K12" s="833" t="s">
        <v>479</v>
      </c>
      <c r="L12" s="821" t="s">
        <v>480</v>
      </c>
      <c r="M12" s="821" t="s">
        <v>481</v>
      </c>
      <c r="N12" s="821" t="s">
        <v>482</v>
      </c>
      <c r="O12" s="821" t="s">
        <v>483</v>
      </c>
      <c r="P12" s="821" t="str">
        <f>IF('請先閱讀'!F31=true,"咒火術法","")</f>
        <v>咒火術法</v>
      </c>
      <c r="Q12" s="821" t="str">
        <f>IF('請先閱讀'!$O$27=true,"猩紅術法","")</f>
        <v/>
      </c>
      <c r="R12" s="821" t="str">
        <f>IF('請先閱讀'!$O$30=true,"飢渴黑暗術法","")</f>
        <v/>
      </c>
      <c r="S12" s="821" t="str">
        <f>IF('請先閱讀'!$O$31=true,"天啟術法","")</f>
        <v/>
      </c>
      <c r="T12" s="821" t="str">
        <f>IF('請先閱讀'!$O$31=true,"幽靈術法","")</f>
        <v/>
      </c>
      <c r="U12" s="821" t="str">
        <f>IF('請先閱讀'!$O$31=true,"悲慘血脈術法","")</f>
        <v/>
      </c>
      <c r="V12" s="821" t="str">
        <f>IF('請先閱讀'!O35=true,"霜凍術法","")</f>
        <v/>
      </c>
      <c r="W12" s="821"/>
      <c r="X12" s="822"/>
    </row>
    <row r="13">
      <c r="B13" s="807" t="s">
        <v>403</v>
      </c>
      <c r="C13" s="808">
        <f>C3+C4+C5+C6+C7+ROUNDUP(C8/2+C9/2+C15/2,0)+ROUNDUP((C10+C11+C16)/3,0)</f>
        <v>3</v>
      </c>
      <c r="D13" s="802"/>
      <c r="E13" s="809"/>
      <c r="F13" s="802"/>
      <c r="G13" s="810" t="s">
        <v>484</v>
      </c>
      <c r="H13" s="811" t="s">
        <v>485</v>
      </c>
      <c r="I13" s="318"/>
      <c r="K13" s="812" t="s">
        <v>486</v>
      </c>
      <c r="L13" s="813" t="s">
        <v>487</v>
      </c>
      <c r="M13" s="813" t="s">
        <v>488</v>
      </c>
      <c r="N13" s="813" t="s">
        <v>489</v>
      </c>
      <c r="O13" s="813" t="s">
        <v>490</v>
      </c>
      <c r="P13" s="813" t="str">
        <f>IF('請先閱讀'!$O$27=true,"愚神宗主","")</f>
        <v/>
      </c>
      <c r="Q13" s="813" t="str">
        <f>IF('請先閱讀'!$O$27=true,"角之王宗主","")</f>
        <v/>
      </c>
      <c r="R13" s="813" t="str">
        <f>IF('請先閱讀'!O28=true,"未來的你宗主","")</f>
        <v/>
      </c>
      <c r="S13" s="813" t="str">
        <f>IF('請先閱讀'!$O$30=true,"崇高貓貓庭宗主","")</f>
        <v/>
      </c>
      <c r="T13" s="813" t="str">
        <f>IF('請先閱讀'!$O$31=true,"鬼婆集會宗主","")</f>
        <v/>
      </c>
      <c r="U13" s="813" t="str">
        <f>IF('請先閱讀'!$O$31=true,"吸血鬼先祖宗主","")</f>
        <v/>
      </c>
      <c r="V13" s="813" t="str">
        <f>IF('請先閱讀'!$O$31=true,"宇宙寄生體宗主","")</f>
        <v/>
      </c>
      <c r="W13" s="813" t="str">
        <f>IF('請先閱讀'!O35=true,"星界獅鷲獸宗主","")</f>
        <v/>
      </c>
      <c r="X13" s="814"/>
    </row>
    <row r="14">
      <c r="B14" s="834" t="s">
        <v>491</v>
      </c>
      <c r="C14" s="835">
        <f>C12</f>
        <v>0</v>
      </c>
      <c r="D14" s="802"/>
      <c r="E14" s="836"/>
      <c r="F14" s="802"/>
      <c r="G14" s="837" t="s">
        <v>492</v>
      </c>
      <c r="H14" s="838" t="s">
        <v>493</v>
      </c>
      <c r="I14" s="241"/>
      <c r="K14" s="839" t="s">
        <v>494</v>
      </c>
      <c r="L14" s="840" t="s">
        <v>495</v>
      </c>
      <c r="M14" s="840" t="s">
        <v>496</v>
      </c>
      <c r="N14" s="840" t="s">
        <v>497</v>
      </c>
      <c r="O14" s="840" t="s">
        <v>498</v>
      </c>
      <c r="P14" s="840" t="str">
        <f>IF('請先閱讀'!F31=true,"劍詠師","")</f>
        <v>劍詠師</v>
      </c>
      <c r="Q14" s="840" t="str">
        <f>IF('請先閱讀'!$O$27=true,"神祕學家","")</f>
        <v/>
      </c>
      <c r="R14" s="840" t="str">
        <f>IF('請先閱讀'!$O$27=true,"賢者","")</f>
        <v/>
      </c>
      <c r="S14" s="840" t="str">
        <f>IF('請先閱讀'!$O$30=true,"司書","")</f>
        <v/>
      </c>
      <c r="T14" s="840" t="str">
        <f>IF('請先閱讀'!$O$31=true,"惡魔學家","")</f>
        <v/>
      </c>
      <c r="U14" s="840" t="str">
        <f>IF('請先閱讀'!$O$31=true,"疫醫","")</f>
        <v/>
      </c>
      <c r="V14" s="840" t="str">
        <f>IF('請先閱讀'!$O$31=true,"操血師","")</f>
        <v/>
      </c>
      <c r="W14" s="840" t="str">
        <f>IF('請先閱讀'!O35=true,"塑形師","")</f>
        <v/>
      </c>
      <c r="X14" s="841"/>
    </row>
    <row r="15">
      <c r="B15" s="831" t="s">
        <v>499</v>
      </c>
      <c r="C15" s="808">
        <f>'職業能力'!A2</f>
        <v>0</v>
      </c>
      <c r="D15" s="802"/>
      <c r="E15" s="802"/>
      <c r="F15" s="802"/>
      <c r="G15" s="810" t="s">
        <v>500</v>
      </c>
      <c r="H15" s="811" t="s">
        <v>501</v>
      </c>
      <c r="I15" s="318"/>
      <c r="K15" s="825" t="s">
        <v>500</v>
      </c>
      <c r="L15" s="813" t="s">
        <v>502</v>
      </c>
      <c r="M15" s="813" t="s">
        <v>503</v>
      </c>
      <c r="N15" s="813" t="s">
        <v>504</v>
      </c>
      <c r="O15" s="813" t="s">
        <v>505</v>
      </c>
      <c r="P15" s="813" t="s">
        <v>506</v>
      </c>
      <c r="Q15" s="813" t="str">
        <f>IF('請先閱讀'!$O$33=true,"鍛造匠","")</f>
        <v/>
      </c>
      <c r="R15" s="813" t="str">
        <f>IF('請先閱讀'!$O$33=true,"獨行匠","")</f>
        <v/>
      </c>
      <c r="S15" s="813"/>
      <c r="T15" s="813"/>
      <c r="U15" s="813"/>
      <c r="V15" s="813"/>
      <c r="W15" s="813"/>
      <c r="X15" s="814"/>
    </row>
    <row r="16">
      <c r="B16" s="842" t="s">
        <v>507</v>
      </c>
      <c r="C16" s="843">
        <f>IF(OR('角色卡'!AK57="咒槍客",'角色卡'!BH57="咒槍客",'角色卡'!CE57="咒槍客"),'職業能力'!G2,0)</f>
        <v>0</v>
      </c>
      <c r="D16" s="802"/>
      <c r="E16" s="802"/>
      <c r="F16" s="802"/>
      <c r="G16" s="830" t="s">
        <v>508</v>
      </c>
      <c r="H16" s="819" t="s">
        <v>509</v>
      </c>
      <c r="I16" s="318"/>
      <c r="K16" s="833" t="s">
        <v>508</v>
      </c>
      <c r="L16" s="821" t="s">
        <v>510</v>
      </c>
      <c r="M16" s="821" t="s">
        <v>511</v>
      </c>
      <c r="N16" s="821" t="s">
        <v>512</v>
      </c>
      <c r="O16" s="821" t="s">
        <v>507</v>
      </c>
      <c r="P16" s="821" t="s">
        <v>513</v>
      </c>
      <c r="Q16" s="821" t="s">
        <v>514</v>
      </c>
      <c r="R16" s="821"/>
      <c r="S16" s="821"/>
      <c r="T16" s="821"/>
      <c r="U16" s="821"/>
      <c r="V16" s="821"/>
      <c r="W16" s="821"/>
      <c r="X16" s="822"/>
    </row>
    <row r="17">
      <c r="B17" s="844" t="s">
        <v>515</v>
      </c>
      <c r="C17" s="845">
        <f>IF(OR('角色卡'!AK57=N17,'角色卡'!BH57=N17,'角色卡'!CE57=N17),'職業能力'!I2,0)</f>
        <v>0</v>
      </c>
      <c r="D17" s="802"/>
      <c r="E17" s="802"/>
      <c r="F17" s="802"/>
      <c r="G17" s="810" t="s">
        <v>516</v>
      </c>
      <c r="H17" s="811" t="s">
        <v>517</v>
      </c>
      <c r="I17" s="318"/>
      <c r="K17" s="812" t="s">
        <v>516</v>
      </c>
      <c r="L17" s="813" t="s">
        <v>518</v>
      </c>
      <c r="M17" s="813" t="s">
        <v>519</v>
      </c>
      <c r="N17" s="813" t="s">
        <v>515</v>
      </c>
      <c r="O17" s="813" t="s">
        <v>520</v>
      </c>
      <c r="P17" s="813"/>
      <c r="Q17" s="813"/>
      <c r="R17" s="813"/>
      <c r="S17" s="813"/>
      <c r="T17" s="813"/>
      <c r="U17" s="813"/>
      <c r="V17" s="813"/>
      <c r="W17" s="813"/>
      <c r="X17" s="814"/>
    </row>
    <row r="18">
      <c r="B18" s="846"/>
      <c r="C18" s="847"/>
      <c r="D18" s="802"/>
      <c r="E18" s="802"/>
      <c r="F18" s="802"/>
      <c r="G18" s="837" t="s">
        <v>521</v>
      </c>
      <c r="H18" s="838" t="s">
        <v>522</v>
      </c>
      <c r="I18" s="241"/>
      <c r="K18" s="839" t="s">
        <v>521</v>
      </c>
      <c r="L18" s="840" t="s">
        <v>523</v>
      </c>
      <c r="M18" s="840" t="s">
        <v>524</v>
      </c>
      <c r="N18" s="840" t="s">
        <v>525</v>
      </c>
      <c r="O18" s="840" t="s">
        <v>526</v>
      </c>
      <c r="P18" s="840" t="s">
        <v>527</v>
      </c>
      <c r="Q18" s="840" t="s">
        <v>528</v>
      </c>
      <c r="R18" s="840"/>
      <c r="S18" s="840"/>
      <c r="T18" s="840"/>
      <c r="U18" s="840"/>
      <c r="V18" s="840"/>
      <c r="W18" s="840"/>
      <c r="X18" s="841"/>
    </row>
    <row r="19">
      <c r="B19" s="802"/>
      <c r="C19" s="802"/>
      <c r="D19" s="802"/>
      <c r="E19" s="802"/>
      <c r="F19" s="802"/>
      <c r="G19" s="803"/>
      <c r="H19" s="803"/>
      <c r="I19" s="803"/>
      <c r="J19" s="803"/>
      <c r="K19" s="803"/>
      <c r="L19" s="803"/>
      <c r="M19" s="804"/>
      <c r="N19" s="804"/>
      <c r="O19" s="804"/>
      <c r="P19" s="804"/>
    </row>
    <row r="20">
      <c r="B20" s="806" t="s">
        <v>529</v>
      </c>
      <c r="C20" s="848" t="s">
        <v>530</v>
      </c>
      <c r="D20" s="848" t="s">
        <v>531</v>
      </c>
      <c r="E20" s="803"/>
      <c r="F20" s="806" t="s">
        <v>532</v>
      </c>
      <c r="G20" s="848" t="s">
        <v>351</v>
      </c>
      <c r="H20" s="848" t="s">
        <v>352</v>
      </c>
      <c r="I20" s="803"/>
      <c r="J20" s="806" t="s">
        <v>533</v>
      </c>
      <c r="K20" s="848" t="s">
        <v>534</v>
      </c>
      <c r="L20" s="848" t="s">
        <v>535</v>
      </c>
      <c r="M20" s="804"/>
      <c r="N20" s="849" t="s">
        <v>536</v>
      </c>
      <c r="O20" s="806" t="s">
        <v>537</v>
      </c>
      <c r="P20" s="19"/>
      <c r="Q20" s="19"/>
      <c r="R20" s="19"/>
      <c r="S20" s="19"/>
      <c r="T20" s="19"/>
      <c r="U20" s="19"/>
      <c r="V20" s="19"/>
      <c r="W20" s="19"/>
      <c r="X20" s="19"/>
      <c r="Y20" s="19"/>
    </row>
    <row r="21">
      <c r="B21" s="807" t="str">
        <f>ifna(VLOOKUP('角色卡'!$AB16,$K$3:$X$18,2,false),"")</f>
        <v>防護師</v>
      </c>
      <c r="C21" s="807" t="str">
        <f>ifna(VLOOKUP('角色卡'!$AB17,$K$3:$X$18,2,false),"")</f>
        <v/>
      </c>
      <c r="D21" s="807" t="str">
        <f>ifna(VLOOKUP('角色卡'!$AB18,$K$3:$X$18,2,false),"")</f>
        <v/>
      </c>
      <c r="E21" s="803"/>
      <c r="F21" s="807" t="str">
        <f>ifna(HLOOKUP('角色卡'!AB16,'職業能力'!$A$1:$P$21,3,false),"")</f>
        <v>施法</v>
      </c>
      <c r="G21" s="807" t="str">
        <f>ifna(HLOOKUP('角色卡'!AB17,'職業能力'!$A$1:$P$21,3,false),"")</f>
        <v/>
      </c>
      <c r="H21" s="807" t="str">
        <f>ifna(HLOOKUP('角色卡'!$AB$18,'職業能力'!$A$1:$P$21,3,false),"")</f>
        <v/>
      </c>
      <c r="I21" s="803"/>
      <c r="J21" s="809" t="str">
        <f>IFNA(VLOOKUP('角色卡'!$AK$57,'子職業能力'!$B$2:$J$291,2,FALSE),"")</f>
        <v>劍歌</v>
      </c>
      <c r="K21" s="808" t="str">
        <f>IFNA(VLOOKUP('角色卡'!$BH$57,'子職業能力'!$B$2:$J$291,2,FALSE),"")</f>
        <v/>
      </c>
      <c r="L21" s="808" t="str">
        <f>IFNA(VLOOKUP('角色卡'!$CE$57,'子職業能力'!$B$2:$J$291,2,FALSE),"")</f>
        <v/>
      </c>
      <c r="M21" s="804"/>
      <c r="N21" s="850" t="str">
        <f>IFNA(VLOOKUP('角色卡'!$Y$7,$O$21:$Y$31,2,FALSE),"")</f>
        <v/>
      </c>
      <c r="O21" s="851" t="s">
        <v>538</v>
      </c>
      <c r="P21" s="852" t="s">
        <v>539</v>
      </c>
      <c r="Q21" s="852" t="s">
        <v>540</v>
      </c>
      <c r="R21" s="852" t="s">
        <v>541</v>
      </c>
      <c r="S21" s="852" t="s">
        <v>542</v>
      </c>
      <c r="T21" s="852" t="s">
        <v>543</v>
      </c>
      <c r="U21" s="852" t="s">
        <v>544</v>
      </c>
      <c r="V21" s="852" t="s">
        <v>545</v>
      </c>
      <c r="W21" s="852" t="s">
        <v>546</v>
      </c>
      <c r="X21" s="852" t="s">
        <v>547</v>
      </c>
      <c r="Y21" s="853" t="s">
        <v>548</v>
      </c>
      <c r="AD21" s="854"/>
      <c r="AE21" s="854"/>
      <c r="AF21" s="854"/>
      <c r="AG21" s="854"/>
      <c r="AH21" s="854"/>
      <c r="AI21" s="854"/>
      <c r="AJ21" s="854"/>
      <c r="AK21" s="854"/>
      <c r="AL21" s="854"/>
      <c r="AM21" s="854"/>
      <c r="AN21" s="854"/>
      <c r="AO21" s="854"/>
      <c r="AP21" s="854"/>
      <c r="AQ21" s="854"/>
      <c r="AR21" s="854"/>
      <c r="AS21" s="854"/>
      <c r="AT21" s="854"/>
      <c r="AU21" s="854"/>
      <c r="AV21" s="854"/>
      <c r="AW21" s="854"/>
      <c r="AX21" s="854"/>
      <c r="AY21" s="854"/>
      <c r="AZ21" s="854"/>
      <c r="BA21" s="854"/>
      <c r="BB21" s="854"/>
    </row>
    <row r="22">
      <c r="B22" s="829" t="str">
        <f>ifna(VLOOKUP('角色卡'!$AB16,$K$3:$X$18,3,false),"")</f>
        <v>預言師</v>
      </c>
      <c r="C22" s="829" t="str">
        <f>ifna(VLOOKUP('角色卡'!$AB17,$K$3:$X$18,3,false),"")</f>
        <v/>
      </c>
      <c r="D22" s="829" t="str">
        <f>ifna(VLOOKUP('角色卡'!$AB18,$K$3:$X$18,3,false),"")</f>
        <v/>
      </c>
      <c r="E22" s="803"/>
      <c r="F22" s="829" t="str">
        <f>ifna(HLOOKUP('角色卡'!AB16,'職業能力'!$A$1:$P$21,4,false),"")</f>
        <v>儀式學家</v>
      </c>
      <c r="G22" s="829" t="str">
        <f>ifna(HLOOKUP('角色卡'!AB17,'職業能力'!$A$1:$P$21,4,false),"")</f>
        <v/>
      </c>
      <c r="H22" s="829" t="str">
        <f>ifna(HLOOKUP('角色卡'!$AB$18,'職業能力'!$A$1:$P$21,4,false),"")</f>
        <v/>
      </c>
      <c r="I22" s="803"/>
      <c r="J22" s="826" t="str">
        <f>IFNA(VLOOKUP('角色卡'!$AK$57,'子職業能力'!$B$2:$J$291,3,FALSE),"")</f>
        <v>戰歌訓練</v>
      </c>
      <c r="K22" s="816" t="str">
        <f>IFNA(VLOOKUP('角色卡'!$BH$57,'子職業能力'!$B$2:$J$291,3,FALSE),"")</f>
        <v/>
      </c>
      <c r="L22" s="816" t="str">
        <f>IFNA(VLOOKUP('角色卡'!$CE$57,'子職業能力'!$B$2:$J$291,3,FALSE),"")</f>
        <v/>
      </c>
      <c r="M22" s="804"/>
      <c r="N22" s="855" t="str">
        <f>IFNA(VLOOKUP('角色卡'!$Y$7,$O$21:$Y$31,3,FALSE),"")</f>
        <v/>
      </c>
      <c r="O22" s="856" t="s">
        <v>549</v>
      </c>
      <c r="P22" s="857" t="s">
        <v>550</v>
      </c>
      <c r="Q22" s="857" t="s">
        <v>551</v>
      </c>
      <c r="R22" s="857" t="s">
        <v>552</v>
      </c>
      <c r="S22" s="858" t="str">
        <f>if('請先閱讀'!F32=true,"格溫精靈 Lorwyn Elf","")</f>
        <v>格溫精靈 Lorwyn Elf</v>
      </c>
      <c r="T22" s="857" t="str">
        <f>if('請先閱讀'!F32=true,"暗影荒原精靈 Shadowmoor Elf","")</f>
        <v>暗影荒原精靈 Shadowmoor Elf</v>
      </c>
      <c r="U22" s="857"/>
      <c r="V22" s="857"/>
      <c r="W22" s="858"/>
      <c r="X22" s="857"/>
      <c r="Y22" s="859"/>
    </row>
    <row r="23">
      <c r="B23" s="807" t="str">
        <f>ifna(VLOOKUP('角色卡'!$AB16,$K$3:$X$18,4,false),"")</f>
        <v>塑能師</v>
      </c>
      <c r="C23" s="808" t="str">
        <f>ifna(VLOOKUP('角色卡'!$AB17,$K$3:$X$18,4,false),"")</f>
        <v/>
      </c>
      <c r="D23" s="808" t="str">
        <f>ifna(VLOOKUP('角色卡'!$AB18,$K$3:$X$18,4,false),"")</f>
        <v/>
      </c>
      <c r="E23" s="803"/>
      <c r="F23" s="808" t="str">
        <f>ifna(HLOOKUP('角色卡'!AB16,'職業能力'!$A$1:$P$21,5,false),"")</f>
        <v>奧術恢復(2個環位)</v>
      </c>
      <c r="G23" s="808" t="str">
        <f>ifna(HLOOKUP('角色卡'!AB17,'職業能力'!$A$1:$P$21,5,false),"")</f>
        <v/>
      </c>
      <c r="H23" s="808" t="str">
        <f>ifna(HLOOKUP('角色卡'!$AB$18,'職業能力'!$A$1:$P$21,5,false),"")</f>
        <v/>
      </c>
      <c r="I23" s="803"/>
      <c r="J23" s="809" t="str">
        <f>IFNA(VLOOKUP('角色卡'!$AK$57,'子職業能力'!$B$2:$J$291,4,FALSE),"")</f>
        <v/>
      </c>
      <c r="K23" s="808" t="str">
        <f>IFNA(VLOOKUP('角色卡'!$BH$57,'子職業能力'!$B$2:$J$291,4,FALSE),"")</f>
        <v/>
      </c>
      <c r="L23" s="808" t="str">
        <f>IFNA(VLOOKUP('角色卡'!$CE$57,'子職業能力'!$B$2:$J$291,4,FALSE),"")</f>
        <v/>
      </c>
      <c r="M23" s="804"/>
      <c r="N23" s="860" t="str">
        <f>IFNA(VLOOKUP('角色卡'!$Y$7,$O$21:$Y$31,4,FALSE),"")</f>
        <v/>
      </c>
      <c r="O23" s="861" t="s">
        <v>553</v>
      </c>
      <c r="P23" s="862" t="s">
        <v>554</v>
      </c>
      <c r="Q23" s="862" t="s">
        <v>555</v>
      </c>
      <c r="R23" s="862"/>
      <c r="S23" s="862"/>
      <c r="T23" s="862"/>
      <c r="U23" s="862"/>
      <c r="V23" s="862"/>
      <c r="W23" s="862"/>
      <c r="X23" s="862"/>
      <c r="Y23" s="863"/>
    </row>
    <row r="24">
      <c r="B24" s="815" t="str">
        <f>ifna(VLOOKUP('角色卡'!$AB16,$K$3:$X$18,5,false),"")</f>
        <v>幻術師</v>
      </c>
      <c r="C24" s="816" t="str">
        <f>ifna(VLOOKUP('角色卡'!$AB17,$K$3:$X$18,5,false),"")</f>
        <v/>
      </c>
      <c r="D24" s="816" t="str">
        <f>ifna(VLOOKUP('角色卡'!$AB18,$K$3:$X$18,5,false),"")</f>
        <v/>
      </c>
      <c r="E24" s="803"/>
      <c r="F24" s="816" t="str">
        <f>ifna(HLOOKUP('角色卡'!AB16,'職業能力'!$A$1:$P$21,6,false),"")</f>
        <v>學者</v>
      </c>
      <c r="G24" s="816" t="str">
        <f>ifna(HLOOKUP('角色卡'!AB17,'職業能力'!$A$1:$P$21,6,false),"")</f>
        <v/>
      </c>
      <c r="H24" s="816" t="str">
        <f>ifna(HLOOKUP('角色卡'!$AB$18,'職業能力'!$A$1:$P$21,6,false),"")</f>
        <v/>
      </c>
      <c r="I24" s="803"/>
      <c r="J24" s="826" t="str">
        <f>IFNA(VLOOKUP('角色卡'!$AK$57,'子職業能力'!$B$2:$J$291,5,FALSE),"")</f>
        <v/>
      </c>
      <c r="K24" s="816" t="str">
        <f>IFNA(VLOOKUP('角色卡'!$BH$57,'子職業能力'!$B$2:$J$291,5,FALSE),"")</f>
        <v/>
      </c>
      <c r="L24" s="816" t="str">
        <f>IFNA(VLOOKUP('角色卡'!$CE$57,'子職業能力'!$B$2:$J$291,5,FALSE),"")</f>
        <v/>
      </c>
      <c r="M24" s="804"/>
      <c r="N24" s="855" t="str">
        <f>IFNA(VLOOKUP('角色卡'!$Y$7,$O$21:$Y$31,5,FALSE),"")</f>
        <v/>
      </c>
      <c r="O24" s="856" t="s">
        <v>556</v>
      </c>
      <c r="P24" s="857" t="s">
        <v>557</v>
      </c>
      <c r="Q24" s="857" t="s">
        <v>558</v>
      </c>
      <c r="R24" s="857" t="s">
        <v>559</v>
      </c>
      <c r="S24" s="857" t="s">
        <v>560</v>
      </c>
      <c r="T24" s="857" t="s">
        <v>561</v>
      </c>
      <c r="U24" s="857" t="s">
        <v>562</v>
      </c>
      <c r="V24" s="857"/>
      <c r="W24" s="857"/>
      <c r="X24" s="857"/>
      <c r="Y24" s="864"/>
    </row>
    <row r="25">
      <c r="B25" s="807" t="str">
        <f>ifna(VLOOKUP('角色卡'!$AB16,$K$3:$X$18,6,false),"")</f>
        <v>劍詠師</v>
      </c>
      <c r="C25" s="807" t="str">
        <f>ifna(VLOOKUP('角色卡'!$AB17,$K$3:$X$18,6,false),"")</f>
        <v/>
      </c>
      <c r="D25" s="807" t="str">
        <f>ifna(VLOOKUP('角色卡'!$AB18,$K$3:$X$18,6,false),"")</f>
        <v/>
      </c>
      <c r="E25" s="803"/>
      <c r="F25" s="808" t="str">
        <f>ifna(HLOOKUP('角色卡'!AB16,'職業能力'!$A$1:$P$21,7,false),"")</f>
        <v/>
      </c>
      <c r="G25" s="808" t="str">
        <f>ifna(HLOOKUP('角色卡'!AB17,'職業能力'!$A$1:$P$21,7,false),"")</f>
        <v/>
      </c>
      <c r="H25" s="808" t="str">
        <f>ifna(HLOOKUP('角色卡'!$AB$18,'職業能力'!$A$1:$P$21,7,false),"")</f>
        <v/>
      </c>
      <c r="I25" s="803"/>
      <c r="J25" s="809" t="str">
        <f>IFNA(VLOOKUP('角色卡'!$AK$57,'子職業能力'!$B$2:$J$291,6,FALSE),"")</f>
        <v/>
      </c>
      <c r="K25" s="808" t="str">
        <f>IFNA(VLOOKUP('角色卡'!$BH$57,'子職業能力'!$B$2:$J$291,6,FALSE),"")</f>
        <v/>
      </c>
      <c r="L25" s="808" t="str">
        <f>IFNA(VLOOKUP('角色卡'!$CE$57,'子職業能力'!$B$2:$J$291,6,FALSE),"")</f>
        <v/>
      </c>
      <c r="M25" s="804"/>
      <c r="N25" s="860" t="str">
        <f>IFNA(VLOOKUP('角色卡'!$Y$7,$O$21:$Y$31,6,FALSE),"")</f>
        <v/>
      </c>
      <c r="O25" s="861" t="s">
        <v>563</v>
      </c>
      <c r="P25" s="862" t="s">
        <v>564</v>
      </c>
      <c r="Q25" s="862" t="s">
        <v>565</v>
      </c>
      <c r="R25" s="862" t="s">
        <v>566</v>
      </c>
      <c r="S25" s="862"/>
      <c r="T25" s="862"/>
      <c r="U25" s="862"/>
      <c r="V25" s="862"/>
      <c r="W25" s="862"/>
      <c r="X25" s="862"/>
      <c r="Y25" s="863"/>
    </row>
    <row r="26">
      <c r="B26" s="815" t="str">
        <f>ifna(VLOOKUP('角色卡'!$AB16,$K$3:$X$18,7,false),"")</f>
        <v/>
      </c>
      <c r="C26" s="816" t="str">
        <f>ifna(VLOOKUP('角色卡'!$AB17,$K$3:$X$18,7,false),"")</f>
        <v/>
      </c>
      <c r="D26" s="816" t="str">
        <f>ifna(VLOOKUP('角色卡'!$AB18,$K$3:$X$18,7,false),"")</f>
        <v/>
      </c>
      <c r="E26" s="803"/>
      <c r="F26" s="816" t="str">
        <f>ifna(HLOOKUP('角色卡'!AB16,'職業能力'!$A$1:$P$21,8,false),"")</f>
        <v/>
      </c>
      <c r="G26" s="816" t="str">
        <f>ifna(HLOOKUP('角色卡'!AB17,'職業能力'!$A$1:$P$21,8,false),"")</f>
        <v/>
      </c>
      <c r="H26" s="816" t="str">
        <f>ifna(HLOOKUP('角色卡'!$AB$18,'職業能力'!$A$1:$P$21,8,false),"")</f>
        <v/>
      </c>
      <c r="I26" s="803"/>
      <c r="J26" s="826" t="str">
        <f>IFNA(VLOOKUP('角色卡'!$AK$57,'子職業能力'!$B$2:$J$291,7,FALSE),"")</f>
        <v/>
      </c>
      <c r="K26" s="816" t="str">
        <f>IFNA(VLOOKUP('角色卡'!$BH$57,'子職業能力'!$B$2:$J$291,7,FALSE),"")</f>
        <v/>
      </c>
      <c r="L26" s="816" t="str">
        <f>IFNA(VLOOKUP('角色卡'!$CE$57,'子職業能力'!$B$2:$J$291,7,FALSE),"")</f>
        <v/>
      </c>
      <c r="M26" s="804"/>
      <c r="N26" s="855" t="str">
        <f>IFNA(VLOOKUP('角色卡'!$Y$7,$O$21:$Y$31,7,FALSE),"")</f>
        <v/>
      </c>
      <c r="O26" s="865" t="s">
        <v>567</v>
      </c>
      <c r="P26" s="857" t="str">
        <f>if('請先閱讀'!F32=true,"格溫 Lorwyn","")</f>
        <v>格溫 Lorwyn</v>
      </c>
      <c r="Q26" s="857" t="str">
        <f>if('請先閱讀'!F32=true,"暗影荒原 Shadowmoor","")</f>
        <v>暗影荒原 Shadowmoor</v>
      </c>
      <c r="R26" s="857"/>
      <c r="S26" s="858"/>
      <c r="T26" s="857"/>
      <c r="U26" s="857"/>
      <c r="V26" s="857"/>
      <c r="W26" s="858"/>
      <c r="X26" s="857"/>
      <c r="Y26" s="859"/>
    </row>
    <row r="27">
      <c r="B27" s="807" t="str">
        <f>ifna(VLOOKUP('角色卡'!$AB16,$K$3:$X$18,8,false),"")</f>
        <v/>
      </c>
      <c r="C27" s="808" t="str">
        <f>ifna(VLOOKUP('角色卡'!$AB17,$K$3:$X$18,8,false),"")</f>
        <v/>
      </c>
      <c r="D27" s="808" t="str">
        <f>ifna(VLOOKUP('角色卡'!$AB18,$K$3:$X$18,8,false),"")</f>
        <v/>
      </c>
      <c r="E27" s="803"/>
      <c r="F27" s="808" t="str">
        <f>ifna(HLOOKUP('角色卡'!AB16,'職業能力'!$A$1:$P$21,9,false),"")</f>
        <v/>
      </c>
      <c r="G27" s="808" t="str">
        <f>ifna(HLOOKUP('角色卡'!AB17,'職業能力'!$A$1:$P$21,9,false),"")</f>
        <v/>
      </c>
      <c r="H27" s="808" t="str">
        <f>ifna(HLOOKUP('角色卡'!$AB$18,'職業能力'!$A$1:$P$21,9,false),"")</f>
        <v/>
      </c>
      <c r="I27" s="803"/>
      <c r="J27" s="860" t="str">
        <f>IFNA(VLOOKUP('角色卡'!$AK$57,'子職業能力'!$B$2:$J$291,8,FALSE),"")</f>
        <v/>
      </c>
      <c r="K27" s="861" t="str">
        <f>IFNA(VLOOKUP('角色卡'!$BH$57,'子職業能力'!$B$2:$J$291,8,FALSE),"")</f>
        <v/>
      </c>
      <c r="L27" s="862" t="str">
        <f>IFNA(VLOOKUP('角色卡'!$CE$57,'子職業能力'!$B$2:$J$291,8,FALSE),"")</f>
        <v/>
      </c>
      <c r="M27" s="804"/>
      <c r="N27" s="860" t="str">
        <f>IFNA(VLOOKUP('角色卡'!$Y$7,$O$21:$Y$31,8,FALSE),"")</f>
        <v/>
      </c>
      <c r="O27" s="861" t="s">
        <v>568</v>
      </c>
      <c r="P27" s="862" t="str">
        <f>if('請先閱讀'!F32=true,"格溫 Lorwyn","")</f>
        <v>格溫 Lorwyn</v>
      </c>
      <c r="Q27" s="862" t="str">
        <f>if('請先閱讀'!F32=true,"暗影荒原 Shadowmoor","")</f>
        <v>暗影荒原 Shadowmoor</v>
      </c>
      <c r="R27" s="862"/>
      <c r="S27" s="862"/>
      <c r="T27" s="862"/>
      <c r="U27" s="862"/>
      <c r="V27" s="862"/>
      <c r="W27" s="862"/>
      <c r="X27" s="862"/>
      <c r="Y27" s="863"/>
    </row>
    <row r="28">
      <c r="B28" s="829" t="str">
        <f>ifna(VLOOKUP('角色卡'!$AB$16,$K$3:$X$18,9,false),"")</f>
        <v/>
      </c>
      <c r="C28" s="816" t="str">
        <f>ifna(VLOOKUP('角色卡'!$AB$17,$K$3:$X$18,9,false),"")</f>
        <v/>
      </c>
      <c r="D28" s="816" t="str">
        <f>ifna(VLOOKUP('角色卡'!$AB$18,$K$3:$X$18,9,false),"")</f>
        <v/>
      </c>
      <c r="E28" s="803"/>
      <c r="F28" s="816" t="str">
        <f>ifna(HLOOKUP('角色卡'!AB16,'職業能力'!$A$1:$P$21,10,false),"")</f>
        <v/>
      </c>
      <c r="G28" s="816" t="str">
        <f>ifna(HLOOKUP('角色卡'!AB17,'職業能力'!$A$1:$P$21,10,false),"")</f>
        <v/>
      </c>
      <c r="H28" s="816" t="str">
        <f>ifna(HLOOKUP('角色卡'!$AB$18,'職業能力'!$A$1:$P$21,10,false),"")</f>
        <v/>
      </c>
      <c r="I28" s="803"/>
      <c r="J28" s="866" t="str">
        <f>IFNA(VLOOKUP('角色卡'!$AK$57,'子職業能力'!$B$2:$J$291,9,FALSE),"")</f>
        <v/>
      </c>
      <c r="K28" s="867" t="str">
        <f>IFNA(VLOOKUP('角色卡'!$BH$57,'子職業能力'!$B$2:$J$291,9,FALSE),"")</f>
        <v/>
      </c>
      <c r="L28" s="868" t="str">
        <f>IFNA(VLOOKUP('角色卡'!$CE$57,'子職業能力'!$B$2:$J$291,9,FALSE),"")</f>
        <v/>
      </c>
      <c r="M28" s="804"/>
      <c r="N28" s="855" t="str">
        <f>IFNA(VLOOKUP('角色卡'!$Y$7,$O$21:$Y$31,9,FALSE),"")</f>
        <v/>
      </c>
      <c r="O28" s="865" t="s">
        <v>569</v>
      </c>
      <c r="P28" s="857" t="s">
        <v>570</v>
      </c>
      <c r="Q28" s="857" t="s">
        <v>571</v>
      </c>
      <c r="R28" s="857" t="s">
        <v>572</v>
      </c>
      <c r="S28" s="857"/>
      <c r="T28" s="857"/>
      <c r="U28" s="857"/>
      <c r="V28" s="857"/>
      <c r="W28" s="857"/>
      <c r="X28" s="857"/>
      <c r="Y28" s="864"/>
    </row>
    <row r="29">
      <c r="B29" s="807" t="str">
        <f>ifna(VLOOKUP('角色卡'!$AB16,$K$3:$X$18,10,false),"")</f>
        <v/>
      </c>
      <c r="C29" s="808" t="str">
        <f>ifna(VLOOKUP('角色卡'!$AB17,$K$3:$X$18,10,false),"")</f>
        <v/>
      </c>
      <c r="D29" s="808" t="str">
        <f>ifna(VLOOKUP('角色卡'!$AB18,$K$3:$X$18,10,false),"")</f>
        <v/>
      </c>
      <c r="E29" s="803"/>
      <c r="F29" s="808" t="str">
        <f>ifna(HLOOKUP('角色卡'!AB16,'職業能力'!$A$1:$P$21,11,false),"")</f>
        <v/>
      </c>
      <c r="G29" s="808" t="str">
        <f>ifna(HLOOKUP('角色卡'!AB17,'職業能力'!$A$1:$P$21,11,false),"")</f>
        <v/>
      </c>
      <c r="H29" s="808" t="str">
        <f>ifna(HLOOKUP('角色卡'!$AB$18,'職業能力'!$A$1:$P$21,11,false),"")</f>
        <v/>
      </c>
      <c r="I29" s="803"/>
      <c r="M29" s="804"/>
      <c r="N29" s="860" t="str">
        <f>IFNA(VLOOKUP('角色卡'!$Y$7,$O$21:$Y$31,10,FALSE),"")</f>
        <v/>
      </c>
      <c r="O29" s="861" t="s">
        <v>573</v>
      </c>
      <c r="P29" s="862" t="s">
        <v>574</v>
      </c>
      <c r="Q29" s="862" t="s">
        <v>575</v>
      </c>
      <c r="R29" s="862" t="s">
        <v>576</v>
      </c>
      <c r="S29" s="862" t="s">
        <v>577</v>
      </c>
      <c r="T29" s="862"/>
      <c r="U29" s="862"/>
      <c r="V29" s="862"/>
      <c r="W29" s="862"/>
      <c r="X29" s="862"/>
      <c r="Y29" s="863"/>
    </row>
    <row r="30">
      <c r="B30" s="829" t="str">
        <f>ifna(VLOOKUP('角色卡'!$AB$16,$K$3:$X$18,11,false),"")</f>
        <v/>
      </c>
      <c r="C30" s="816" t="str">
        <f>ifna(VLOOKUP('角色卡'!$AB$17,$K$3:$X$18,11,false),"")</f>
        <v/>
      </c>
      <c r="D30" s="816" t="str">
        <f>ifna(VLOOKUP('角色卡'!$AB$18,$K$3:$X$18,11,false),"")</f>
        <v/>
      </c>
      <c r="E30" s="803"/>
      <c r="F30" s="816" t="str">
        <f>ifna(HLOOKUP('角色卡'!AB16,'職業能力'!$A$1:$P$21,12,false),"")</f>
        <v/>
      </c>
      <c r="G30" s="816" t="str">
        <f>ifna(HLOOKUP('角色卡'!AB17,'職業能力'!$A$1:$P$21,12,false),"")</f>
        <v/>
      </c>
      <c r="H30" s="816" t="str">
        <f>ifna(HLOOKUP('角色卡'!$AB$18,'職業能力'!$A$1:$P$21,12,false),"")</f>
        <v/>
      </c>
      <c r="I30" s="803"/>
      <c r="M30" s="804"/>
      <c r="N30" s="855" t="str">
        <f>IFNA(VLOOKUP('角色卡'!$Y$7,$O$21:$Y$31,11,FALSE),"")</f>
        <v/>
      </c>
      <c r="O30" s="865" t="s">
        <v>578</v>
      </c>
      <c r="P30" s="857" t="s">
        <v>579</v>
      </c>
      <c r="Q30" s="857" t="s">
        <v>580</v>
      </c>
      <c r="R30" s="857"/>
      <c r="S30" s="857"/>
      <c r="T30" s="857"/>
      <c r="U30" s="857"/>
      <c r="V30" s="857"/>
      <c r="W30" s="857"/>
      <c r="X30" s="857"/>
      <c r="Y30" s="864"/>
    </row>
    <row r="31">
      <c r="B31" s="807" t="str">
        <f>ifna(VLOOKUP('角色卡'!$AB$16,$K$3:$X$18,12,false),"")</f>
        <v/>
      </c>
      <c r="C31" s="808" t="str">
        <f>ifna(VLOOKUP('角色卡'!$AB$17,$K$3:$X$18,12,false),"")</f>
        <v/>
      </c>
      <c r="D31" s="808" t="str">
        <f>ifna(VLOOKUP('角色卡'!$AB$18,$K$3:$X$18,12,false),"")</f>
        <v/>
      </c>
      <c r="E31" s="803"/>
      <c r="F31" s="808" t="str">
        <f>ifna(HLOOKUP('角色卡'!AB16,'職業能力'!$A$1:$P$21,13,false),"")</f>
        <v/>
      </c>
      <c r="G31" s="808" t="str">
        <f>ifna(HLOOKUP('角色卡'!AB17,'職業能力'!$A$1:$P$21,13,false),"")</f>
        <v/>
      </c>
      <c r="H31" s="808" t="str">
        <f>ifna(HLOOKUP('角色卡'!$AB$18,'職業能力'!$A$1:$P$21,13,false),"")</f>
        <v/>
      </c>
      <c r="I31" s="803"/>
      <c r="M31" s="804"/>
      <c r="N31" s="869"/>
      <c r="O31" s="870" t="s">
        <v>581</v>
      </c>
      <c r="P31" s="871" t="s">
        <v>582</v>
      </c>
      <c r="Q31" s="871"/>
      <c r="R31" s="871"/>
      <c r="S31" s="871"/>
      <c r="T31" s="871"/>
      <c r="U31" s="871"/>
      <c r="V31" s="871"/>
      <c r="W31" s="871"/>
      <c r="X31" s="871"/>
      <c r="Y31" s="872"/>
    </row>
    <row r="32">
      <c r="B32" s="829" t="str">
        <f>ifna(VLOOKUP('角色卡'!$AB$16,$K$3:$X$18,13,false),"")</f>
        <v/>
      </c>
      <c r="C32" s="816" t="str">
        <f>ifna(VLOOKUP('角色卡'!$AB$17,$K$3:$X$18,13,false),"")</f>
        <v/>
      </c>
      <c r="D32" s="816" t="str">
        <f>ifna(VLOOKUP('角色卡'!$AB$18,$K$3:$X$18,13,false),"")</f>
        <v/>
      </c>
      <c r="E32" s="803"/>
      <c r="F32" s="816" t="str">
        <f>ifna(HLOOKUP('角色卡'!AB16,'職業能力'!$A$1:$P$21,14,false),"")</f>
        <v/>
      </c>
      <c r="G32" s="816" t="str">
        <f>ifna(HLOOKUP('角色卡'!AB17,'職業能力'!$A$1:$P$21,14,false),"")</f>
        <v/>
      </c>
      <c r="H32" s="816" t="str">
        <f>ifna(HLOOKUP('角色卡'!$AB$18,'職業能力'!$A$1:$P$21,14,false),"")</f>
        <v/>
      </c>
      <c r="I32" s="803"/>
      <c r="J32" s="806" t="s">
        <v>583</v>
      </c>
      <c r="K32" s="848" t="s">
        <v>313</v>
      </c>
      <c r="L32" s="848" t="s">
        <v>61</v>
      </c>
      <c r="M32" s="804"/>
    </row>
    <row r="33">
      <c r="B33" s="873" t="str">
        <f>ifna(VLOOKUP('角色卡'!$AB$16,$K$3:$X$18,14,false),"")</f>
        <v/>
      </c>
      <c r="C33" s="874" t="str">
        <f>ifna(VLOOKUP('角色卡'!$AB$17,$K$3:$X$18,14,false),"")</f>
        <v/>
      </c>
      <c r="D33" s="874" t="str">
        <f>ifna(VLOOKUP('角色卡'!$AB$18,$K$3:$X$18,14,false),"")</f>
        <v/>
      </c>
      <c r="E33" s="802"/>
      <c r="F33" s="808" t="str">
        <f>ifna(HLOOKUP('角色卡'!AB16,'職業能力'!$A$1:$P$21,15,false),"")</f>
        <v/>
      </c>
      <c r="G33" s="808" t="str">
        <f>ifna(HLOOKUP('角色卡'!AB17,'職業能力'!$A$1:$P$21,15,false),"")</f>
        <v/>
      </c>
      <c r="H33" s="808" t="str">
        <f>ifna(HLOOKUP('角色卡'!$AB$18,'職業能力'!$A$1:$P$21,15,false),"")</f>
        <v/>
      </c>
      <c r="I33" s="803"/>
      <c r="J33" s="809">
        <f>IFNA(VLOOKUP('角色卡'!$BW33,'角色卡'!$C$15:$L$20,8,FALSE)+'角色卡'!$C$47+'角色卡'!$BZ33+8,"")</f>
        <v>13</v>
      </c>
      <c r="K33" s="875">
        <f>IFNA(VLOOKUP('角色卡'!$BW33,'角色卡'!$C$15:$L$20,8,FALSE)+'角色卡'!$C$47+'角色卡'!$BZ33,"")</f>
        <v>5</v>
      </c>
      <c r="L33" s="875">
        <f>IFNA(VLOOKUP('角色卡'!$BW33,'角色卡'!$C$15:$L$20,8,FALSE)+'角色卡'!$BZ33,"")</f>
        <v>3</v>
      </c>
      <c r="M33" s="804"/>
    </row>
    <row r="34">
      <c r="B34" s="876"/>
      <c r="C34" s="877"/>
      <c r="D34" s="877"/>
      <c r="E34" s="802"/>
      <c r="F34" s="816" t="str">
        <f>ifna(HLOOKUP('角色卡'!AB16,'職業能力'!$A$1:$P$21,16,false),"")</f>
        <v/>
      </c>
      <c r="G34" s="816" t="str">
        <f>ifna(HLOOKUP('角色卡'!AB17,'職業能力'!$A$1:$P$21,16,false),"")</f>
        <v/>
      </c>
      <c r="H34" s="816" t="str">
        <f>ifna(HLOOKUP('角色卡'!$AB$18,'職業能力'!$A$1:$P$21,16,false),"")</f>
        <v/>
      </c>
      <c r="I34" s="803"/>
      <c r="J34" s="826" t="str">
        <f>IFNA(VLOOKUP('角色卡'!$BW34,'角色卡'!$C$15:$L$20,8,FALSE)+'角色卡'!$C$47+'角色卡'!$BZ34+8,"")</f>
        <v/>
      </c>
      <c r="K34" s="878" t="str">
        <f>IFNA(VLOOKUP('角色卡'!$BW34,'角色卡'!$C$15:$L$20,8,FALSE)+'角色卡'!$C$47+'角色卡'!$BZ34,"")</f>
        <v/>
      </c>
      <c r="L34" s="878" t="str">
        <f>IFNA(VLOOKUP('角色卡'!$BW34,'角色卡'!$C$15:$L$20,8,FALSE)+'角色卡'!$BZ34,"")</f>
        <v/>
      </c>
      <c r="M34" s="804"/>
      <c r="N34" s="804"/>
    </row>
    <row r="35">
      <c r="B35" s="873"/>
      <c r="C35" s="874"/>
      <c r="D35" s="874"/>
      <c r="E35" s="802"/>
      <c r="F35" s="808" t="str">
        <f>ifna(HLOOKUP('角色卡'!AB16,'職業能力'!$A$1:$P$21,17,false),"")</f>
        <v/>
      </c>
      <c r="G35" s="808" t="str">
        <f>ifna(HLOOKUP('角色卡'!AB17,'職業能力'!$A$1:$P$21,17,false),"")</f>
        <v/>
      </c>
      <c r="H35" s="808" t="str">
        <f>ifna(HLOOKUP('角色卡'!$AB$18,'職業能力'!$A$1:$P$21,17,false),"")</f>
        <v/>
      </c>
      <c r="I35" s="803"/>
      <c r="J35" s="879" t="str">
        <f>IFNA(VLOOKUP('角色卡'!$BW35,'角色卡'!$C$15:$L$20,8,FALSE)+'角色卡'!$C$47+'角色卡'!$BZ35+8,"")</f>
        <v/>
      </c>
      <c r="K35" s="880" t="str">
        <f>IFNA(VLOOKUP('角色卡'!$BW35,'角色卡'!$C$15:$L$20,8,FALSE)+'角色卡'!$C$47+'角色卡'!$BZ35,"")</f>
        <v/>
      </c>
      <c r="L35" s="880" t="str">
        <f>IFNA(VLOOKUP('角色卡'!$BW35,'角色卡'!$C$15:$L$20,8,FALSE)+'角色卡'!$BZ35,"")</f>
        <v/>
      </c>
      <c r="M35" s="804"/>
      <c r="N35" s="804"/>
    </row>
    <row r="36">
      <c r="B36" s="881"/>
      <c r="C36" s="877"/>
      <c r="D36" s="877"/>
      <c r="E36" s="802"/>
      <c r="F36" s="816" t="str">
        <f>ifna(HLOOKUP('角色卡'!AB16,'職業能力'!$A$1:$P$21,18,false),"")</f>
        <v/>
      </c>
      <c r="G36" s="816" t="str">
        <f>ifna(HLOOKUP('角色卡'!AB17,'職業能力'!$A$1:$P$21,18,false),"")</f>
        <v/>
      </c>
      <c r="H36" s="816" t="str">
        <f>ifna(HLOOKUP('角色卡'!$AB$18,'職業能力'!$A$1:$P$21,18,false),"")</f>
        <v/>
      </c>
      <c r="I36" s="803"/>
      <c r="J36" s="803"/>
      <c r="K36" s="803"/>
      <c r="L36" s="803"/>
      <c r="M36" s="804"/>
      <c r="N36" s="804"/>
    </row>
    <row r="37">
      <c r="B37" s="873"/>
      <c r="C37" s="874"/>
      <c r="D37" s="874"/>
      <c r="E37" s="802"/>
      <c r="F37" s="808" t="str">
        <f>ifna(HLOOKUP('角色卡'!AB16,'職業能力'!$A$1:$P$21,19,false),"")</f>
        <v/>
      </c>
      <c r="G37" s="808" t="str">
        <f>ifna(HLOOKUP('角色卡'!AB17,'職業能力'!$A$1:$P$21,19,false),"")</f>
        <v/>
      </c>
      <c r="H37" s="808" t="str">
        <f>ifna(HLOOKUP('角色卡'!$AB$18,'職業能力'!$A$1:$P$21,19,false),"")</f>
        <v/>
      </c>
      <c r="I37" s="803"/>
      <c r="J37" s="806" t="s">
        <v>584</v>
      </c>
      <c r="K37" s="806" t="s">
        <v>585</v>
      </c>
      <c r="L37" s="803"/>
      <c r="M37" s="804"/>
      <c r="N37" s="804"/>
    </row>
    <row r="38">
      <c r="B38" s="882"/>
      <c r="C38" s="883"/>
      <c r="D38" s="883"/>
      <c r="E38" s="802"/>
      <c r="F38" s="835" t="str">
        <f>ifna(HLOOKUP('角色卡'!AB16,'職業能力'!$A$1:$P$21,20,false),"")</f>
        <v/>
      </c>
      <c r="G38" s="835" t="str">
        <f>ifna(HLOOKUP('角色卡'!AB17,'職業能力'!$A$1:$P$21,20,false),"")</f>
        <v/>
      </c>
      <c r="H38" s="835" t="str">
        <f>ifna(HLOOKUP('角色卡'!$AB$18,'職業能力'!$A$1:$P$21,20,false),"")</f>
        <v/>
      </c>
      <c r="I38" s="803"/>
      <c r="J38" s="884" t="str">
        <f>IFNA(VLOOKUP('坐騎召喚物'!C3,'召喚物資料'!B3:Z1003,25,FALSE),"")</f>
        <v/>
      </c>
      <c r="K38" s="884" t="str">
        <f>LEFT('角色卡'!Y7,3)</f>
        <v>人類 </v>
      </c>
      <c r="L38" s="803"/>
      <c r="M38" s="804"/>
      <c r="N38" s="804"/>
      <c r="O38" s="804"/>
      <c r="P38" s="804"/>
    </row>
    <row r="39">
      <c r="B39" s="803"/>
      <c r="C39" s="803"/>
      <c r="D39" s="803"/>
      <c r="E39" s="802"/>
      <c r="F39" s="803"/>
      <c r="G39" s="803"/>
      <c r="H39" s="803"/>
      <c r="I39" s="803"/>
      <c r="J39" s="803"/>
      <c r="K39" s="803"/>
      <c r="L39" s="803"/>
      <c r="M39" s="804"/>
      <c r="N39" s="804"/>
      <c r="O39" s="804"/>
      <c r="P39" s="804"/>
    </row>
    <row r="40">
      <c r="B40" s="806" t="s">
        <v>392</v>
      </c>
      <c r="C40" s="803"/>
      <c r="D40" s="806" t="s">
        <v>586</v>
      </c>
      <c r="E40" s="806" t="s">
        <v>587</v>
      </c>
      <c r="F40" s="806" t="s">
        <v>588</v>
      </c>
      <c r="G40" s="19"/>
      <c r="H40" s="19"/>
      <c r="I40" s="19"/>
      <c r="J40" s="20"/>
      <c r="K40" s="803"/>
      <c r="L40" s="806" t="s">
        <v>589</v>
      </c>
      <c r="M40" s="20"/>
      <c r="N40" s="804"/>
    </row>
    <row r="41">
      <c r="B41" s="885" t="str">
        <f>IF($C$12&gt;=2,"痛苦衝擊","")</f>
        <v/>
      </c>
      <c r="C41" s="802"/>
      <c r="D41" s="886" t="str">
        <f>IFNA(VLOOKUP('坐騎召喚物'!M4,F41:J67,2,FALSE),"")</f>
        <v/>
      </c>
      <c r="E41" s="886"/>
      <c r="F41" s="886" t="s">
        <v>590</v>
      </c>
      <c r="G41" s="887"/>
      <c r="H41" s="887"/>
      <c r="I41" s="887"/>
      <c r="J41" s="888"/>
      <c r="K41" s="803"/>
      <c r="L41" s="831" t="s">
        <v>338</v>
      </c>
      <c r="M41" s="831" t="s">
        <v>88</v>
      </c>
      <c r="N41" s="804"/>
    </row>
    <row r="42">
      <c r="B42" s="889" t="s">
        <v>591</v>
      </c>
      <c r="C42" s="802"/>
      <c r="D42" s="890" t="str">
        <f>IFNA(VLOOKUP('坐騎召喚物'!M4,F41:J67,3,FALSE),"")</f>
        <v/>
      </c>
      <c r="E42" s="891"/>
      <c r="F42" s="891" t="s">
        <v>592</v>
      </c>
      <c r="G42" s="892"/>
      <c r="H42" s="892"/>
      <c r="I42" s="892"/>
      <c r="J42" s="893"/>
      <c r="K42" s="803"/>
      <c r="L42" s="829" t="s">
        <v>593</v>
      </c>
      <c r="M42" s="829" t="s">
        <v>80</v>
      </c>
      <c r="N42" s="804"/>
    </row>
    <row r="43">
      <c r="B43" s="885" t="str">
        <f>IF($C$12&gt;=5,"躍升步伐","")</f>
        <v/>
      </c>
      <c r="C43" s="802"/>
      <c r="D43" s="886" t="str">
        <f>IFNA(VLOOKUP('坐騎召喚物'!M4,F41:J67,4,FALSE),"")</f>
        <v/>
      </c>
      <c r="E43" s="886" t="str">
        <f>IF('坐騎召喚物'!$M$4="尋獲魔寵",IF(COUNTIF('職業能力選項'!$BE$3:$BE$12,"鎖鏈魔契")&gt;0,'魔寵資料'!$B4,""),IF('坐騎召喚物'!$M$4="坐騎",'坐騎資料'!B4,"異界坐騎"))</f>
        <v>異界坐騎</v>
      </c>
      <c r="F43" s="886" t="s">
        <v>594</v>
      </c>
      <c r="G43" s="887" t="s">
        <v>595</v>
      </c>
      <c r="H43" s="887" t="s">
        <v>596</v>
      </c>
      <c r="I43" s="887" t="s">
        <v>597</v>
      </c>
      <c r="J43" s="888"/>
      <c r="K43" s="803"/>
      <c r="L43" s="894" t="s">
        <v>598</v>
      </c>
      <c r="M43" s="894" t="s">
        <v>80</v>
      </c>
      <c r="N43" s="804"/>
    </row>
    <row r="44">
      <c r="B44" s="889" t="str">
        <f>IF($C$12&gt;=2,"魔鬼視覺","")</f>
        <v/>
      </c>
      <c r="C44" s="802"/>
      <c r="D44" s="895" t="str">
        <f>IFNA(VLOOKUP('坐騎召喚物'!M4,F41:J67,5,FALSE),"")</f>
        <v/>
      </c>
      <c r="E44" s="891" t="str">
        <f>IF('坐騎召喚物'!$M$4="尋獲魔寵",IF(COUNTIF('職業能力選項'!$BE$3:$BE$12,"鎖鏈魔契")&gt;0,'魔寵資料'!$B5,""),IF('坐騎召喚物'!$M$4="坐騎",'坐騎資料'!B5,"原初動物夥伴"))</f>
        <v>原初動物夥伴</v>
      </c>
      <c r="F44" s="891" t="s">
        <v>599</v>
      </c>
      <c r="G44" s="896" t="s">
        <v>600</v>
      </c>
      <c r="H44" s="896" t="s">
        <v>601</v>
      </c>
      <c r="I44" s="896" t="s">
        <v>602</v>
      </c>
      <c r="J44" s="893"/>
      <c r="K44" s="803"/>
      <c r="L44" s="897" t="s">
        <v>337</v>
      </c>
      <c r="M44" s="897" t="s">
        <v>71</v>
      </c>
      <c r="N44" s="804"/>
    </row>
    <row r="45">
      <c r="B45" s="885" t="str">
        <f>IF(AND($C$12&gt;=12,COUNTIF('職業能力選項'!BE3:BE12,B65)&gt;0),"滅世鋒刃","")</f>
        <v/>
      </c>
      <c r="C45" s="802"/>
      <c r="D45" s="898"/>
      <c r="E45" s="886" t="str">
        <f>IF('坐騎召喚物'!$M$4="尋獲魔寵",IF(COUNTIF('職業能力選項'!$BE$3:$BE$12,"鎖鏈魔契")&gt;0,'魔寵資料'!$B6,""),IF('坐騎召喚物'!$M$4="坐騎",'坐騎資料'!B6,"野獸精魂"))</f>
        <v>野獸精魂</v>
      </c>
      <c r="F45" s="886" t="s">
        <v>603</v>
      </c>
      <c r="G45" s="887" t="s">
        <v>604</v>
      </c>
      <c r="H45" s="887" t="s">
        <v>605</v>
      </c>
      <c r="I45" s="887" t="s">
        <v>606</v>
      </c>
      <c r="J45" s="888"/>
      <c r="K45" s="803"/>
      <c r="L45" s="894" t="s">
        <v>607</v>
      </c>
      <c r="M45" s="894" t="s">
        <v>67</v>
      </c>
      <c r="N45" s="804"/>
    </row>
    <row r="46">
      <c r="B46" s="889" t="s">
        <v>608</v>
      </c>
      <c r="C46" s="802"/>
      <c r="D46" s="898"/>
      <c r="E46" s="891" t="str">
        <f>IF('坐騎召喚物'!$M$4="尋獲魔寵",IF(COUNTIF('職業能力選項'!$BE$3:$BE$12,"鎖鏈魔契")&gt;0,'魔寵資料'!$B2,""),IF('坐騎召喚物'!$M$4="坐騎",'坐騎資料'!B2,"殭屍"))</f>
        <v>殭屍</v>
      </c>
      <c r="F46" s="891" t="s">
        <v>609</v>
      </c>
      <c r="G46" s="892"/>
      <c r="H46" s="892"/>
      <c r="I46" s="892"/>
      <c r="J46" s="893"/>
      <c r="K46" s="803"/>
      <c r="L46" s="897" t="s">
        <v>610</v>
      </c>
      <c r="M46" s="897" t="s">
        <v>83</v>
      </c>
      <c r="N46" s="804"/>
    </row>
    <row r="47">
      <c r="B47" s="885" t="str">
        <f>IF(AND($C$12&gt;=5,COUNTIF('職業能力選項'!BE3:BE12,B61)&gt;0),"魔能重斬","")</f>
        <v/>
      </c>
      <c r="C47" s="802"/>
      <c r="D47" s="898"/>
      <c r="E47" s="886" t="str">
        <f>IF('坐騎召喚物'!$M$4="尋獲魔寵",IF(COUNTIF('職業能力選項'!$BE$3:$BE$12,"鎖鏈魔契")&gt;0,'魔寵資料'!$B3,""),IF('坐騎召喚物'!$M$4="坐騎",'坐騎資料'!B3,"骷髏"))</f>
        <v>骷髏</v>
      </c>
      <c r="F47" s="886"/>
      <c r="G47" s="887"/>
      <c r="H47" s="887"/>
      <c r="I47" s="887"/>
      <c r="J47" s="888"/>
      <c r="K47" s="803"/>
      <c r="L47" s="894" t="s">
        <v>611</v>
      </c>
      <c r="M47" s="894" t="s">
        <v>71</v>
      </c>
      <c r="N47" s="804"/>
    </row>
    <row r="48">
      <c r="B48" s="889" t="str">
        <f>IF($C$12&gt;=2,"魔能之矛","")</f>
        <v/>
      </c>
      <c r="C48" s="802"/>
      <c r="D48" s="898"/>
      <c r="E48" s="891" t="str">
        <f>IF('坐騎召喚物'!$M$4="尋獲魔寵",IF(COUNTIF('職業能力選項'!$BE$3:$BE$12,"鎖鏈魔契")&gt;0,'魔寵資料'!$B8,""),IF('坐騎召喚物'!$M$4="坐騎",'坐騎資料'!B8,"妖精精魂"))</f>
        <v>妖精精魂</v>
      </c>
      <c r="F48" s="891" t="s">
        <v>612</v>
      </c>
      <c r="G48" s="892" t="s">
        <v>613</v>
      </c>
      <c r="H48" s="892" t="s">
        <v>614</v>
      </c>
      <c r="I48" s="892" t="s">
        <v>615</v>
      </c>
      <c r="J48" s="893"/>
      <c r="K48" s="803"/>
      <c r="L48" s="897" t="s">
        <v>616</v>
      </c>
      <c r="M48" s="897" t="s">
        <v>83</v>
      </c>
      <c r="N48" s="804"/>
    </row>
    <row r="49">
      <c r="B49" s="885" t="str">
        <f>IF($C$12&gt;=2,"邪魔活力","")</f>
        <v/>
      </c>
      <c r="C49" s="802"/>
      <c r="D49" s="898"/>
      <c r="E49" s="886" t="str">
        <f>IF('坐騎召喚物'!$M$4="尋獲魔寵",IF(COUNTIF('職業能力選項'!$BE$3:$BE$12,"鎖鏈魔契")&gt;0,'魔寵資料'!$B9,""),IF('坐騎召喚物'!$M$4="坐騎",'坐騎資料'!B9,"亡靈精魂"))</f>
        <v>亡靈精魂</v>
      </c>
      <c r="F49" s="886" t="s">
        <v>617</v>
      </c>
      <c r="G49" s="887" t="s">
        <v>618</v>
      </c>
      <c r="H49" s="887" t="s">
        <v>619</v>
      </c>
      <c r="I49" s="887" t="s">
        <v>620</v>
      </c>
      <c r="J49" s="888"/>
      <c r="K49" s="803"/>
      <c r="L49" s="894" t="s">
        <v>621</v>
      </c>
      <c r="M49" s="894" t="s">
        <v>80</v>
      </c>
      <c r="N49" s="804"/>
    </row>
    <row r="50">
      <c r="B50" s="889" t="str">
        <f>IF($C$12&gt;=5,"聯心之視","")</f>
        <v/>
      </c>
      <c r="C50" s="802"/>
      <c r="D50" s="898"/>
      <c r="E50" s="891" t="str">
        <f>IF('坐騎召喚物'!$M$4="尋獲魔寵",'魔寵資料'!B10,IF('坐騎召喚物'!$M$4="坐騎",'坐騎資料'!B10,"巨蟲"))</f>
        <v>巨蟲</v>
      </c>
      <c r="F50" s="891" t="s">
        <v>622</v>
      </c>
      <c r="G50" s="892" t="s">
        <v>623</v>
      </c>
      <c r="H50" s="892" t="s">
        <v>624</v>
      </c>
      <c r="I50" s="892" t="s">
        <v>625</v>
      </c>
      <c r="J50" s="893"/>
      <c r="K50" s="803"/>
      <c r="L50" s="897" t="s">
        <v>626</v>
      </c>
      <c r="M50" s="897" t="s">
        <v>80</v>
      </c>
      <c r="N50" s="804"/>
    </row>
    <row r="51">
      <c r="B51" s="885" t="str">
        <f>IF($C$12&gt;=5,"深海餽贈","")</f>
        <v/>
      </c>
      <c r="C51" s="802"/>
      <c r="D51" s="898"/>
      <c r="E51" s="886" t="str">
        <f>IF('坐騎召喚物'!$M$4="尋獲魔寵",'魔寵資料'!B11,IF('坐騎召喚物'!$M$4="坐騎",'坐騎資料'!B11,"異怪精魂"))</f>
        <v>異怪精魂</v>
      </c>
      <c r="F51" s="886" t="s">
        <v>627</v>
      </c>
      <c r="G51" s="887" t="s">
        <v>628</v>
      </c>
      <c r="H51" s="887" t="s">
        <v>629</v>
      </c>
      <c r="I51" s="887" t="s">
        <v>630</v>
      </c>
      <c r="J51" s="888"/>
      <c r="K51" s="803"/>
      <c r="L51" s="894" t="s">
        <v>631</v>
      </c>
      <c r="M51" s="894" t="s">
        <v>71</v>
      </c>
      <c r="N51" s="804"/>
    </row>
    <row r="52">
      <c r="B52" s="889" t="str">
        <f>IF(AND($C$12&gt;=9,COUNTIF('職業能力選項'!BE3:BE12,B63)&gt;0),"守護饋贈","")</f>
        <v/>
      </c>
      <c r="C52" s="802"/>
      <c r="D52" s="898"/>
      <c r="E52" s="891" t="str">
        <f>IF('坐騎召喚物'!$M$4="尋獲魔寵",'魔寵資料'!B12,IF('坐騎召喚物'!$M$4="坐騎",'坐騎資料'!B12,"構裝精魂"))</f>
        <v>構裝精魂</v>
      </c>
      <c r="F52" s="891" t="s">
        <v>632</v>
      </c>
      <c r="G52" s="892" t="s">
        <v>633</v>
      </c>
      <c r="H52" s="892" t="s">
        <v>634</v>
      </c>
      <c r="I52" s="892" t="s">
        <v>635</v>
      </c>
      <c r="J52" s="893"/>
      <c r="K52" s="803"/>
      <c r="L52" s="897" t="s">
        <v>636</v>
      </c>
      <c r="M52" s="897" t="s">
        <v>67</v>
      </c>
      <c r="N52" s="804"/>
    </row>
    <row r="53">
      <c r="B53" s="885" t="str">
        <f>IF(AND($C$12&gt;=5,COUNTIF('職業能力選項'!$BE$3:$BE$12,B62)&gt;0),"鏈主賦能","")</f>
        <v/>
      </c>
      <c r="C53" s="802"/>
      <c r="D53" s="898"/>
      <c r="E53" s="886" t="str">
        <f>IF('坐騎召喚物'!$M$4="尋獲魔寵",'魔寵資料'!B13,IF('坐騎召喚物'!$M$4="坐騎",'坐騎資料'!B13,"元素精魂"))</f>
        <v>元素精魂</v>
      </c>
      <c r="F53" s="886" t="s">
        <v>637</v>
      </c>
      <c r="G53" s="887" t="s">
        <v>638</v>
      </c>
      <c r="H53" s="887" t="s">
        <v>639</v>
      </c>
      <c r="I53" s="887" t="s">
        <v>640</v>
      </c>
      <c r="J53" s="888" t="s">
        <v>641</v>
      </c>
      <c r="K53" s="803"/>
      <c r="L53" s="894" t="s">
        <v>642</v>
      </c>
      <c r="M53" s="894" t="s">
        <v>83</v>
      </c>
      <c r="N53" s="804"/>
    </row>
    <row r="54">
      <c r="B54" s="889" t="str">
        <f>IF($C$12&gt;=2,"原初的第一課","")</f>
        <v/>
      </c>
      <c r="C54" s="802"/>
      <c r="D54" s="898"/>
      <c r="E54" s="891" t="str">
        <f>IF('坐騎召喚物'!$M$4="尋獲魔寵",'魔寵資料'!B14,IF('坐騎召喚物'!$M$4="坐騎",'坐騎資料'!B14,"活化物體"))</f>
        <v>活化物體</v>
      </c>
      <c r="F54" s="891" t="s">
        <v>643</v>
      </c>
      <c r="G54" s="892" t="s">
        <v>644</v>
      </c>
      <c r="H54" s="892" t="s">
        <v>645</v>
      </c>
      <c r="I54" s="892" t="s">
        <v>646</v>
      </c>
      <c r="J54" s="893"/>
      <c r="K54" s="803"/>
      <c r="L54" s="897" t="s">
        <v>647</v>
      </c>
      <c r="M54" s="897" t="s">
        <v>80</v>
      </c>
      <c r="N54" s="804"/>
      <c r="O54" s="804"/>
      <c r="P54" s="804"/>
    </row>
    <row r="55">
      <c r="B55" s="885" t="str">
        <f>IF(AND($C$12&gt;=9,COUNTIF('職業能力選項'!$BE$3:$BE$12,B61)&gt;0),"飲命者","")</f>
        <v/>
      </c>
      <c r="C55" s="802"/>
      <c r="D55" s="898"/>
      <c r="E55" s="886" t="str">
        <f>IF('坐騎召喚物'!$M$4="尋獲魔寵",'魔寵資料'!B15,IF('坐騎召喚物'!$M$4="坐騎",'坐騎資料'!B15,"天界精魂"))</f>
        <v>天界精魂</v>
      </c>
      <c r="F55" s="886" t="s">
        <v>648</v>
      </c>
      <c r="G55" s="887" t="s">
        <v>649</v>
      </c>
      <c r="H55" s="887" t="s">
        <v>650</v>
      </c>
      <c r="I55" s="887"/>
      <c r="J55" s="888"/>
      <c r="K55" s="803"/>
      <c r="L55" s="894" t="s">
        <v>651</v>
      </c>
      <c r="M55" s="894" t="s">
        <v>67</v>
      </c>
      <c r="N55" s="804"/>
      <c r="O55" s="804"/>
      <c r="P55" s="804"/>
    </row>
    <row r="56">
      <c r="B56" s="889" t="str">
        <f>IF($C$12&gt;=2,"千面之臉","")</f>
        <v/>
      </c>
      <c r="C56" s="802"/>
      <c r="D56" s="899"/>
      <c r="E56" s="891" t="str">
        <f>IF('坐騎召喚物'!$M$4="尋獲魔寵",'魔寵資料'!B16,IF('坐騎召喚物'!$M$4="坐騎",'坐騎資料'!B16,"龍族精魂"))</f>
        <v>龍族精魂</v>
      </c>
      <c r="F56" s="891" t="s">
        <v>652</v>
      </c>
      <c r="G56" s="892"/>
      <c r="H56" s="892"/>
      <c r="I56" s="892"/>
      <c r="J56" s="893"/>
      <c r="K56" s="803"/>
      <c r="L56" s="897" t="s">
        <v>653</v>
      </c>
      <c r="M56" s="897" t="s">
        <v>71</v>
      </c>
      <c r="N56" s="804"/>
      <c r="O56" s="804"/>
      <c r="P56" s="804"/>
    </row>
    <row r="57">
      <c r="B57" s="885" t="str">
        <f>IF($C$12&gt;=5,"萬形之主","")</f>
        <v/>
      </c>
      <c r="C57" s="802"/>
      <c r="D57" s="803"/>
      <c r="E57" s="886" t="str">
        <f>IF('坐騎召喚物'!$M$4="尋獲魔寵",'魔寵資料'!B17,IF('坐騎召喚物'!$M$4="坐騎",'坐騎資料'!B17,"邪魔精魂"))</f>
        <v>邪魔精魂</v>
      </c>
      <c r="F57" s="886" t="s">
        <v>654</v>
      </c>
      <c r="G57" s="887" t="s">
        <v>655</v>
      </c>
      <c r="H57" s="887" t="s">
        <v>656</v>
      </c>
      <c r="I57" s="887" t="s">
        <v>657</v>
      </c>
      <c r="J57" s="888"/>
      <c r="K57" s="803"/>
      <c r="L57" s="894" t="s">
        <v>658</v>
      </c>
      <c r="M57" s="894" t="s">
        <v>71</v>
      </c>
      <c r="N57" s="804"/>
      <c r="O57" s="804"/>
      <c r="P57" s="804"/>
    </row>
    <row r="58">
      <c r="B58" s="889" t="str">
        <f>IF($C$12&gt;=2,"迷霧幻影","")</f>
        <v/>
      </c>
      <c r="C58" s="802"/>
      <c r="D58" s="803"/>
      <c r="E58" s="891" t="s">
        <v>659</v>
      </c>
      <c r="F58" s="891" t="s">
        <v>660</v>
      </c>
      <c r="G58" s="896"/>
      <c r="H58" s="896"/>
      <c r="I58" s="896"/>
      <c r="J58" s="893"/>
      <c r="K58" s="803"/>
      <c r="L58" s="897" t="s">
        <v>661</v>
      </c>
      <c r="M58" s="897" t="s">
        <v>71</v>
      </c>
      <c r="N58" s="804"/>
      <c r="O58" s="804"/>
      <c r="P58" s="804"/>
    </row>
    <row r="59">
      <c r="B59" s="885" t="str">
        <f>IF($C$12&gt;=5,"融身入影","")</f>
        <v/>
      </c>
      <c r="C59" s="802"/>
      <c r="D59" s="802"/>
      <c r="E59" s="886" t="s">
        <v>662</v>
      </c>
      <c r="F59" s="886" t="s">
        <v>663</v>
      </c>
      <c r="G59" s="887"/>
      <c r="H59" s="887"/>
      <c r="I59" s="887"/>
      <c r="J59" s="888"/>
      <c r="K59" s="803"/>
      <c r="L59" s="894" t="s">
        <v>664</v>
      </c>
      <c r="M59" s="894" t="s">
        <v>88</v>
      </c>
      <c r="N59" s="804"/>
      <c r="O59" s="804"/>
      <c r="P59" s="804"/>
    </row>
    <row r="60">
      <c r="B60" s="889" t="str">
        <f>IF($C$12&gt;=2,"超凡跳躍","")</f>
        <v/>
      </c>
      <c r="C60" s="802"/>
      <c r="D60" s="802"/>
      <c r="E60" s="891" t="str">
        <f>IF('坐騎召喚物'!$M$4="尋獲魔寵",'魔寵資料'!B18,IF('請先閱讀'!F34=true,"人工生命僕從",""))</f>
        <v>人工生命僕從</v>
      </c>
      <c r="F60" s="891" t="str">
        <f>IF('請先閱讀'!F34=true,"人工生命僕從","")</f>
        <v>人工生命僕從</v>
      </c>
      <c r="G60" s="892"/>
      <c r="H60" s="892"/>
      <c r="I60" s="892"/>
      <c r="J60" s="893"/>
      <c r="K60" s="803"/>
      <c r="L60" s="897" t="s">
        <v>665</v>
      </c>
      <c r="M60" s="897" t="s">
        <v>71</v>
      </c>
      <c r="N60" s="804"/>
      <c r="O60" s="804"/>
      <c r="P60" s="804"/>
    </row>
    <row r="61">
      <c r="B61" s="885" t="s">
        <v>666</v>
      </c>
      <c r="C61" s="802"/>
      <c r="D61" s="802"/>
      <c r="E61" s="886" t="str">
        <f>IF('坐騎召喚物'!$M$4="尋獲魔寵",'魔寵資料'!B19,IF('請先閱讀'!O31=true,"植物精魂",""))</f>
        <v/>
      </c>
      <c r="F61" s="886" t="str">
        <f>IF('請先閱讀'!O31=true,"植物召喚術","")</f>
        <v/>
      </c>
      <c r="G61" s="887" t="s">
        <v>667</v>
      </c>
      <c r="H61" s="887" t="s">
        <v>668</v>
      </c>
      <c r="I61" s="887" t="s">
        <v>669</v>
      </c>
      <c r="J61" s="888"/>
      <c r="K61" s="803"/>
      <c r="L61" s="894" t="s">
        <v>341</v>
      </c>
      <c r="M61" s="894" t="s">
        <v>80</v>
      </c>
      <c r="N61" s="804"/>
      <c r="O61" s="804"/>
      <c r="P61" s="804"/>
    </row>
    <row r="62">
      <c r="B62" s="889" t="s">
        <v>670</v>
      </c>
      <c r="C62" s="802"/>
      <c r="D62" s="802"/>
      <c r="E62" s="891" t="str">
        <f>IF('坐騎召喚物'!$M$4="尋獲魔寵",'魔寵資料'!B20,IF('請先閱讀'!O31=true,"海蛇精魂",""))</f>
        <v/>
      </c>
      <c r="F62" s="891" t="str">
        <f>IF('請先閱讀'!O31=true,"深海精魂召喚術","")</f>
        <v/>
      </c>
      <c r="G62" s="892" t="s">
        <v>671</v>
      </c>
      <c r="H62" s="892" t="s">
        <v>672</v>
      </c>
      <c r="I62" s="892" t="s">
        <v>673</v>
      </c>
      <c r="J62" s="893"/>
      <c r="K62" s="803"/>
      <c r="L62" s="897" t="s">
        <v>674</v>
      </c>
      <c r="M62" s="897" t="s">
        <v>83</v>
      </c>
      <c r="N62" s="804"/>
      <c r="O62" s="804"/>
      <c r="P62" s="804"/>
    </row>
    <row r="63">
      <c r="B63" s="885" t="s">
        <v>675</v>
      </c>
      <c r="C63" s="802"/>
      <c r="D63" s="802"/>
      <c r="E63" s="886" t="str">
        <f>IF('請先閱讀'!O31=true,"血肉構裝體","")</f>
        <v/>
      </c>
      <c r="F63" s="886" t="str">
        <f>IF('請先閱讀'!O31=true,"血肉剝離","")</f>
        <v/>
      </c>
      <c r="G63" s="887"/>
      <c r="H63" s="887"/>
      <c r="I63" s="887"/>
      <c r="J63" s="888"/>
      <c r="K63" s="803"/>
      <c r="L63" s="894" t="s">
        <v>342</v>
      </c>
      <c r="M63" s="894" t="s">
        <v>80</v>
      </c>
      <c r="N63" s="804"/>
      <c r="O63" s="804"/>
      <c r="P63" s="804"/>
    </row>
    <row r="64">
      <c r="B64" s="889" t="str">
        <f>IF($C$12&gt;=2,"斥力衝擊","")</f>
        <v/>
      </c>
      <c r="C64" s="802"/>
      <c r="D64" s="802"/>
      <c r="E64" s="891" t="str">
        <f>IF('請先閱讀'!O31=true,"害獸群","")</f>
        <v/>
      </c>
      <c r="F64" s="891" t="str">
        <f>IF('請先閱讀'!O31=true,"鼠群之王遊俠","")</f>
        <v/>
      </c>
      <c r="G64" s="892"/>
      <c r="H64" s="892"/>
      <c r="I64" s="892"/>
      <c r="J64" s="893"/>
      <c r="K64" s="803"/>
      <c r="L64" s="897" t="s">
        <v>676</v>
      </c>
      <c r="M64" s="897" t="s">
        <v>71</v>
      </c>
      <c r="N64" s="804"/>
      <c r="O64" s="804"/>
      <c r="P64" s="804"/>
    </row>
    <row r="65">
      <c r="B65" s="885" t="str">
        <f>IF(AND($C$12&gt;=5,COUNTIF('職業能力選項'!$BE$3:$BE$12,B61)&gt;0),"飢渴鋒刃","")</f>
        <v/>
      </c>
      <c r="C65" s="802"/>
      <c r="D65" s="802"/>
      <c r="E65" s="886" t="str">
        <f>IF('請先閱讀'!O31=true,"原初守護者","")</f>
        <v/>
      </c>
      <c r="F65" s="886" t="str">
        <f>IF('請先閱讀'!O31=true,"野蠻人原初精魂","")</f>
        <v/>
      </c>
      <c r="G65" s="887" t="s">
        <v>604</v>
      </c>
      <c r="H65" s="887" t="s">
        <v>605</v>
      </c>
      <c r="I65" s="887" t="s">
        <v>606</v>
      </c>
      <c r="J65" s="888"/>
      <c r="K65" s="803"/>
      <c r="L65" s="894" t="s">
        <v>339</v>
      </c>
      <c r="M65" s="894" t="s">
        <v>83</v>
      </c>
      <c r="N65" s="804"/>
      <c r="O65" s="804"/>
      <c r="P65" s="804"/>
    </row>
    <row r="66">
      <c r="B66" s="889" t="str">
        <f>IF($C$12&gt;=9,"穹宇盡視","")</f>
        <v/>
      </c>
      <c r="C66" s="802"/>
      <c r="D66" s="802"/>
      <c r="E66" s="891" t="str">
        <f>IF('請先閱讀'!O31=true,"原初打擊者","")</f>
        <v/>
      </c>
      <c r="F66" s="891"/>
      <c r="G66" s="892"/>
      <c r="H66" s="892"/>
      <c r="I66" s="892"/>
      <c r="J66" s="893"/>
      <c r="K66" s="803"/>
      <c r="L66" s="897" t="str">
        <f>IF('請先閱讀'!$O$30=true,"指紋採集工具","")</f>
        <v/>
      </c>
      <c r="M66" s="897" t="s">
        <v>80</v>
      </c>
      <c r="N66" s="804"/>
      <c r="O66" s="804"/>
      <c r="P66" s="804"/>
    </row>
    <row r="67">
      <c r="B67" s="885" t="str">
        <f>IF($C$12&gt;=7,"墳墓低語","")</f>
        <v/>
      </c>
      <c r="C67" s="802"/>
      <c r="D67" s="802"/>
      <c r="E67" s="886" t="str">
        <f>IF('請先閱讀'!$O$30=true,"暗影精魂","")</f>
        <v/>
      </c>
      <c r="F67" s="886" t="str">
        <f>IF('請先閱讀'!$O$30=true,"暗影召喚術","")</f>
        <v/>
      </c>
      <c r="G67" s="887" t="s">
        <v>677</v>
      </c>
      <c r="H67" s="887" t="s">
        <v>678</v>
      </c>
      <c r="I67" s="887"/>
      <c r="J67" s="888"/>
      <c r="K67" s="803"/>
      <c r="L67" s="900" t="str">
        <f>IF('請先閱讀'!$O$30=true,"通靈版","")</f>
        <v/>
      </c>
      <c r="M67" s="900" t="s">
        <v>88</v>
      </c>
      <c r="N67" s="804"/>
      <c r="O67" s="804"/>
      <c r="P67" s="804"/>
    </row>
    <row r="68">
      <c r="B68" s="901" t="str">
        <f>IF($C$12&gt;=11,"巫者視界","")</f>
        <v/>
      </c>
      <c r="C68" s="802"/>
      <c r="D68" s="802"/>
      <c r="E68" s="890" t="s">
        <v>679</v>
      </c>
      <c r="F68" s="890" t="s">
        <v>680</v>
      </c>
      <c r="G68" s="892"/>
      <c r="H68" s="892"/>
      <c r="I68" s="892"/>
      <c r="J68" s="893"/>
      <c r="K68" s="803"/>
      <c r="L68" s="803"/>
      <c r="M68" s="804"/>
      <c r="N68" s="804"/>
      <c r="O68" s="804"/>
      <c r="P68" s="804"/>
    </row>
    <row r="69">
      <c r="B69" s="802"/>
      <c r="C69" s="802"/>
      <c r="D69" s="802"/>
      <c r="E69" s="886"/>
      <c r="F69" s="886"/>
      <c r="G69" s="887"/>
      <c r="H69" s="887"/>
      <c r="I69" s="887"/>
      <c r="J69" s="888"/>
      <c r="K69" s="803"/>
      <c r="L69" s="803"/>
      <c r="M69" s="804"/>
      <c r="N69" s="804"/>
      <c r="O69" s="804"/>
      <c r="P69" s="804"/>
    </row>
    <row r="70">
      <c r="B70" s="802"/>
      <c r="C70" s="802"/>
      <c r="D70" s="802"/>
      <c r="E70" s="902"/>
      <c r="F70" s="902"/>
      <c r="G70" s="903"/>
      <c r="H70" s="903"/>
      <c r="I70" s="903"/>
      <c r="J70" s="904"/>
      <c r="K70" s="803"/>
      <c r="L70" s="803"/>
      <c r="M70" s="804"/>
      <c r="N70" s="804"/>
      <c r="O70" s="804"/>
      <c r="P70" s="804"/>
    </row>
    <row r="71">
      <c r="B71" s="802"/>
      <c r="C71" s="802"/>
      <c r="D71" s="802"/>
      <c r="E71" s="802"/>
      <c r="F71" s="802"/>
      <c r="G71" s="803"/>
      <c r="H71" s="803"/>
      <c r="I71" s="803"/>
      <c r="J71" s="803"/>
      <c r="K71" s="803"/>
      <c r="L71" s="803"/>
      <c r="M71" s="804"/>
      <c r="N71" s="804"/>
      <c r="O71" s="804"/>
      <c r="P71" s="804"/>
    </row>
    <row r="72">
      <c r="B72" s="802"/>
      <c r="C72" s="802"/>
      <c r="D72" s="802"/>
      <c r="E72" s="802"/>
      <c r="F72" s="802"/>
      <c r="G72" s="803"/>
      <c r="H72" s="803"/>
      <c r="I72" s="803"/>
      <c r="J72" s="803"/>
      <c r="K72" s="803"/>
      <c r="L72" s="803"/>
      <c r="M72" s="804"/>
      <c r="N72" s="804"/>
      <c r="O72" s="804"/>
      <c r="P72" s="804"/>
    </row>
    <row r="73">
      <c r="B73" s="802"/>
      <c r="C73" s="802"/>
      <c r="D73" s="802"/>
      <c r="E73" s="802"/>
      <c r="F73" s="802"/>
      <c r="G73" s="803"/>
      <c r="H73" s="803"/>
      <c r="I73" s="803"/>
      <c r="J73" s="803"/>
      <c r="K73" s="803"/>
      <c r="L73" s="803"/>
      <c r="M73" s="804"/>
      <c r="N73" s="804"/>
      <c r="O73" s="804"/>
      <c r="P73" s="804"/>
    </row>
    <row r="74">
      <c r="B74" s="802"/>
      <c r="C74" s="802"/>
      <c r="D74" s="802"/>
      <c r="E74" s="802"/>
      <c r="F74" s="802"/>
      <c r="G74" s="803"/>
      <c r="H74" s="803"/>
      <c r="I74" s="803"/>
      <c r="J74" s="803"/>
      <c r="K74" s="803"/>
      <c r="L74" s="803"/>
      <c r="M74" s="804"/>
      <c r="N74" s="804"/>
      <c r="O74" s="804"/>
      <c r="P74" s="804"/>
    </row>
    <row r="75">
      <c r="B75" s="802"/>
      <c r="C75" s="802"/>
      <c r="D75" s="802"/>
    </row>
    <row r="76">
      <c r="B76" s="802"/>
      <c r="C76" s="802"/>
      <c r="D76" s="802"/>
    </row>
    <row r="77">
      <c r="B77" s="802"/>
      <c r="C77" s="802"/>
    </row>
    <row r="78">
      <c r="B78" s="802"/>
      <c r="C78" s="802"/>
      <c r="D78" s="802"/>
      <c r="J78" s="803"/>
      <c r="K78" s="803"/>
      <c r="L78" s="803"/>
      <c r="M78" s="804"/>
      <c r="N78" s="804"/>
      <c r="O78" s="804"/>
      <c r="P78" s="804"/>
    </row>
    <row r="79">
      <c r="B79" s="802"/>
      <c r="C79" s="802"/>
      <c r="D79" s="802"/>
      <c r="J79" s="803"/>
      <c r="K79" s="803"/>
      <c r="L79" s="803"/>
      <c r="M79" s="804"/>
      <c r="N79" s="804"/>
      <c r="O79" s="804"/>
      <c r="P79" s="804"/>
    </row>
    <row r="80">
      <c r="B80" s="802"/>
      <c r="C80" s="802"/>
      <c r="D80" s="802"/>
      <c r="J80" s="803"/>
      <c r="K80" s="803"/>
      <c r="L80" s="803"/>
      <c r="M80" s="804"/>
      <c r="N80" s="804"/>
      <c r="O80" s="804"/>
      <c r="P80" s="804"/>
    </row>
    <row r="81">
      <c r="B81" s="802"/>
      <c r="C81" s="802"/>
      <c r="D81" s="802"/>
      <c r="E81" s="802"/>
      <c r="J81" s="803"/>
      <c r="K81" s="803"/>
      <c r="L81" s="803"/>
      <c r="M81" s="804"/>
      <c r="N81" s="804"/>
      <c r="O81" s="804"/>
      <c r="P81" s="804"/>
    </row>
    <row r="82">
      <c r="B82" s="802"/>
      <c r="C82" s="802"/>
      <c r="D82" s="802"/>
      <c r="E82" s="802"/>
      <c r="F82" s="802"/>
      <c r="G82" s="803"/>
      <c r="H82" s="803"/>
      <c r="I82" s="803"/>
      <c r="J82" s="803"/>
      <c r="K82" s="803"/>
      <c r="L82" s="803"/>
      <c r="M82" s="804"/>
      <c r="N82" s="804"/>
      <c r="O82" s="804"/>
      <c r="P82" s="804"/>
    </row>
    <row r="83">
      <c r="B83" s="802"/>
      <c r="C83" s="802"/>
      <c r="D83" s="802"/>
      <c r="E83" s="802"/>
      <c r="F83" s="802"/>
      <c r="G83" s="803"/>
      <c r="H83" s="803"/>
      <c r="I83" s="803"/>
      <c r="J83" s="803"/>
      <c r="K83" s="803"/>
      <c r="L83" s="803"/>
      <c r="M83" s="804"/>
      <c r="N83" s="804"/>
      <c r="O83" s="804"/>
      <c r="P83" s="804"/>
    </row>
    <row r="84">
      <c r="B84" s="802"/>
      <c r="C84" s="802"/>
      <c r="D84" s="802"/>
      <c r="E84" s="802"/>
      <c r="F84" s="802"/>
      <c r="G84" s="803"/>
      <c r="H84" s="803"/>
      <c r="I84" s="803"/>
      <c r="J84" s="803"/>
      <c r="K84" s="803"/>
      <c r="L84" s="803"/>
      <c r="M84" s="804"/>
      <c r="N84" s="804"/>
      <c r="O84" s="804"/>
      <c r="P84" s="804"/>
    </row>
    <row r="85">
      <c r="B85" s="802"/>
      <c r="C85" s="802"/>
      <c r="D85" s="802"/>
      <c r="E85" s="802"/>
      <c r="F85" s="802"/>
      <c r="G85" s="803"/>
      <c r="H85" s="803"/>
      <c r="I85" s="803"/>
      <c r="J85" s="803"/>
      <c r="K85" s="803"/>
      <c r="L85" s="803"/>
      <c r="M85" s="804"/>
      <c r="N85" s="804"/>
      <c r="O85" s="804"/>
      <c r="P85" s="804"/>
    </row>
    <row r="86">
      <c r="B86" s="802"/>
      <c r="C86" s="802"/>
      <c r="D86" s="802"/>
      <c r="E86" s="802"/>
      <c r="F86" s="802"/>
      <c r="G86" s="803"/>
      <c r="H86" s="803"/>
      <c r="I86" s="803"/>
      <c r="J86" s="803"/>
      <c r="K86" s="803"/>
      <c r="L86" s="803"/>
      <c r="M86" s="804"/>
      <c r="N86" s="804"/>
      <c r="O86" s="804"/>
      <c r="P86" s="804"/>
    </row>
    <row r="87">
      <c r="B87" s="802"/>
      <c r="C87" s="802"/>
      <c r="D87" s="802"/>
      <c r="E87" s="802"/>
      <c r="F87" s="802"/>
      <c r="G87" s="803"/>
      <c r="H87" s="803"/>
      <c r="I87" s="803"/>
      <c r="J87" s="803"/>
      <c r="K87" s="803"/>
      <c r="L87" s="803"/>
      <c r="M87" s="804"/>
      <c r="N87" s="804"/>
      <c r="O87" s="804"/>
      <c r="P87" s="804"/>
    </row>
    <row r="88">
      <c r="B88" s="802"/>
      <c r="C88" s="802"/>
      <c r="D88" s="802"/>
      <c r="E88" s="802"/>
      <c r="F88" s="802"/>
      <c r="G88" s="803"/>
      <c r="H88" s="803"/>
      <c r="I88" s="803"/>
      <c r="J88" s="803"/>
      <c r="K88" s="803"/>
      <c r="L88" s="803"/>
      <c r="M88" s="804"/>
      <c r="N88" s="804"/>
      <c r="O88" s="804"/>
      <c r="P88" s="804"/>
    </row>
    <row r="89">
      <c r="B89" s="802"/>
      <c r="C89" s="802"/>
      <c r="D89" s="802"/>
      <c r="E89" s="802"/>
      <c r="F89" s="802"/>
      <c r="G89" s="803"/>
      <c r="H89" s="803"/>
      <c r="I89" s="803"/>
      <c r="J89" s="803"/>
      <c r="K89" s="803"/>
      <c r="L89" s="803"/>
      <c r="M89" s="804"/>
      <c r="N89" s="804"/>
      <c r="O89" s="804"/>
      <c r="P89" s="804"/>
    </row>
    <row r="90">
      <c r="B90" s="802"/>
      <c r="C90" s="802"/>
      <c r="D90" s="802"/>
      <c r="E90" s="802"/>
      <c r="F90" s="802"/>
      <c r="G90" s="803"/>
      <c r="H90" s="803"/>
      <c r="I90" s="803"/>
      <c r="J90" s="803"/>
      <c r="K90" s="803"/>
      <c r="L90" s="803"/>
      <c r="M90" s="804"/>
      <c r="N90" s="804"/>
      <c r="O90" s="804"/>
      <c r="P90" s="804"/>
    </row>
    <row r="91">
      <c r="B91" s="802"/>
      <c r="C91" s="802"/>
      <c r="D91" s="802"/>
      <c r="E91" s="802"/>
      <c r="F91" s="802"/>
      <c r="G91" s="803"/>
      <c r="H91" s="803"/>
      <c r="I91" s="803"/>
      <c r="J91" s="803"/>
      <c r="K91" s="803"/>
      <c r="L91" s="803"/>
      <c r="M91" s="804"/>
      <c r="N91" s="804"/>
      <c r="O91" s="804"/>
      <c r="P91" s="804"/>
    </row>
    <row r="92">
      <c r="B92" s="802"/>
      <c r="C92" s="802"/>
      <c r="D92" s="802"/>
      <c r="E92" s="802"/>
      <c r="F92" s="802"/>
      <c r="G92" s="803"/>
      <c r="H92" s="803"/>
      <c r="I92" s="803"/>
      <c r="J92" s="803"/>
      <c r="K92" s="803"/>
      <c r="L92" s="803"/>
      <c r="M92" s="804"/>
      <c r="N92" s="804"/>
      <c r="O92" s="804"/>
      <c r="P92" s="804"/>
    </row>
    <row r="93">
      <c r="B93" s="802"/>
      <c r="C93" s="802"/>
      <c r="D93" s="802"/>
      <c r="E93" s="802"/>
      <c r="F93" s="802"/>
      <c r="G93" s="803"/>
      <c r="H93" s="803"/>
      <c r="I93" s="803"/>
      <c r="J93" s="803"/>
      <c r="K93" s="803"/>
      <c r="L93" s="803"/>
      <c r="M93" s="804"/>
      <c r="N93" s="804"/>
      <c r="O93" s="804"/>
      <c r="P93" s="804"/>
    </row>
    <row r="94">
      <c r="B94" s="802"/>
      <c r="C94" s="802"/>
      <c r="D94" s="802"/>
      <c r="E94" s="802"/>
      <c r="F94" s="802"/>
      <c r="G94" s="803"/>
      <c r="H94" s="803"/>
      <c r="I94" s="803"/>
      <c r="J94" s="803"/>
      <c r="K94" s="803"/>
      <c r="L94" s="803"/>
      <c r="M94" s="804"/>
      <c r="N94" s="804"/>
      <c r="O94" s="804"/>
      <c r="P94" s="804"/>
    </row>
    <row r="95">
      <c r="B95" s="802"/>
      <c r="C95" s="802"/>
      <c r="D95" s="802"/>
      <c r="E95" s="802"/>
      <c r="F95" s="802"/>
      <c r="G95" s="803"/>
      <c r="H95" s="803"/>
      <c r="I95" s="803"/>
      <c r="J95" s="803"/>
      <c r="K95" s="803"/>
      <c r="L95" s="803"/>
      <c r="M95" s="804"/>
      <c r="N95" s="804"/>
      <c r="O95" s="804"/>
      <c r="P95" s="804"/>
    </row>
    <row r="96">
      <c r="B96" s="802"/>
      <c r="C96" s="802"/>
      <c r="D96" s="802"/>
      <c r="E96" s="802"/>
      <c r="F96" s="802"/>
      <c r="G96" s="803"/>
      <c r="H96" s="803"/>
      <c r="I96" s="803"/>
      <c r="J96" s="803"/>
      <c r="K96" s="803"/>
      <c r="L96" s="803"/>
      <c r="M96" s="804"/>
      <c r="N96" s="804"/>
      <c r="O96" s="804"/>
      <c r="P96" s="804"/>
    </row>
    <row r="97">
      <c r="B97" s="802"/>
      <c r="C97" s="802"/>
      <c r="D97" s="802"/>
      <c r="E97" s="802"/>
      <c r="F97" s="802"/>
      <c r="G97" s="803"/>
      <c r="H97" s="803"/>
      <c r="I97" s="803"/>
      <c r="J97" s="803"/>
      <c r="K97" s="803"/>
      <c r="L97" s="803"/>
      <c r="M97" s="804"/>
      <c r="N97" s="804"/>
      <c r="O97" s="804"/>
      <c r="P97" s="804"/>
    </row>
    <row r="98">
      <c r="B98" s="802"/>
      <c r="C98" s="802"/>
      <c r="D98" s="802"/>
      <c r="E98" s="802"/>
      <c r="F98" s="802"/>
      <c r="G98" s="803"/>
      <c r="H98" s="803"/>
      <c r="I98" s="803"/>
      <c r="J98" s="803"/>
      <c r="K98" s="803"/>
      <c r="L98" s="803"/>
      <c r="M98" s="804"/>
      <c r="N98" s="804"/>
      <c r="O98" s="804"/>
      <c r="P98" s="804"/>
    </row>
    <row r="99">
      <c r="B99" s="802"/>
      <c r="C99" s="802"/>
      <c r="D99" s="802"/>
      <c r="E99" s="802"/>
      <c r="F99" s="802"/>
      <c r="G99" s="803"/>
      <c r="H99" s="803"/>
      <c r="I99" s="803"/>
      <c r="J99" s="803"/>
      <c r="K99" s="803"/>
      <c r="L99" s="803"/>
      <c r="M99" s="804"/>
      <c r="N99" s="804"/>
      <c r="O99" s="804"/>
      <c r="P99" s="804"/>
    </row>
    <row r="100">
      <c r="B100" s="802"/>
      <c r="C100" s="802"/>
      <c r="D100" s="802"/>
      <c r="E100" s="802"/>
      <c r="F100" s="802"/>
      <c r="G100" s="803"/>
      <c r="H100" s="803"/>
      <c r="I100" s="803"/>
      <c r="J100" s="803"/>
      <c r="K100" s="803"/>
      <c r="L100" s="803"/>
      <c r="M100" s="804"/>
      <c r="N100" s="804"/>
      <c r="O100" s="804"/>
      <c r="P100" s="804"/>
    </row>
    <row r="101">
      <c r="B101" s="802"/>
      <c r="C101" s="802"/>
      <c r="D101" s="802"/>
      <c r="E101" s="802"/>
      <c r="F101" s="802"/>
      <c r="G101" s="803"/>
      <c r="H101" s="803"/>
      <c r="I101" s="803"/>
      <c r="J101" s="803"/>
      <c r="K101" s="803"/>
      <c r="L101" s="803"/>
      <c r="M101" s="804"/>
      <c r="N101" s="804"/>
      <c r="O101" s="804"/>
      <c r="P101" s="804"/>
    </row>
    <row r="102">
      <c r="B102" s="802"/>
      <c r="C102" s="802"/>
      <c r="D102" s="802"/>
      <c r="E102" s="802"/>
      <c r="F102" s="802"/>
      <c r="G102" s="803"/>
      <c r="H102" s="803"/>
      <c r="I102" s="803"/>
      <c r="J102" s="803"/>
      <c r="K102" s="803"/>
      <c r="L102" s="803"/>
      <c r="M102" s="804"/>
      <c r="N102" s="804"/>
      <c r="O102" s="804"/>
      <c r="P102" s="804"/>
    </row>
    <row r="103">
      <c r="B103" s="802"/>
      <c r="C103" s="802"/>
      <c r="D103" s="802"/>
      <c r="E103" s="802"/>
      <c r="F103" s="802"/>
      <c r="G103" s="803"/>
      <c r="H103" s="803"/>
      <c r="I103" s="803"/>
      <c r="J103" s="803"/>
      <c r="K103" s="803"/>
      <c r="L103" s="803"/>
      <c r="M103" s="804"/>
      <c r="N103" s="804"/>
      <c r="O103" s="804"/>
      <c r="P103" s="804"/>
    </row>
    <row r="104">
      <c r="B104" s="802"/>
      <c r="C104" s="802"/>
      <c r="D104" s="802"/>
      <c r="E104" s="802"/>
      <c r="F104" s="802"/>
      <c r="G104" s="803"/>
      <c r="H104" s="803"/>
      <c r="I104" s="803"/>
      <c r="J104" s="803"/>
      <c r="K104" s="803"/>
      <c r="L104" s="803"/>
      <c r="M104" s="804"/>
      <c r="N104" s="804"/>
      <c r="O104" s="804"/>
      <c r="P104" s="804"/>
    </row>
    <row r="105">
      <c r="B105" s="802"/>
      <c r="C105" s="802"/>
      <c r="D105" s="802"/>
      <c r="E105" s="802"/>
      <c r="F105" s="802"/>
      <c r="G105" s="803"/>
      <c r="H105" s="803"/>
      <c r="I105" s="803"/>
      <c r="J105" s="803"/>
      <c r="K105" s="803"/>
      <c r="L105" s="803"/>
      <c r="M105" s="804"/>
      <c r="N105" s="804"/>
      <c r="O105" s="804"/>
      <c r="P105" s="804"/>
    </row>
    <row r="106">
      <c r="B106" s="802"/>
      <c r="C106" s="802"/>
      <c r="D106" s="802"/>
      <c r="E106" s="802"/>
      <c r="F106" s="802"/>
      <c r="G106" s="803"/>
      <c r="H106" s="803"/>
      <c r="I106" s="803"/>
      <c r="J106" s="803"/>
      <c r="K106" s="803"/>
      <c r="L106" s="803"/>
      <c r="M106" s="804"/>
      <c r="N106" s="804"/>
      <c r="O106" s="804"/>
      <c r="P106" s="804"/>
    </row>
    <row r="107">
      <c r="B107" s="802"/>
      <c r="C107" s="802"/>
      <c r="D107" s="802"/>
      <c r="E107" s="802"/>
      <c r="F107" s="802"/>
      <c r="G107" s="803"/>
      <c r="H107" s="803"/>
      <c r="I107" s="803"/>
      <c r="J107" s="803"/>
      <c r="K107" s="803"/>
      <c r="L107" s="803"/>
      <c r="M107" s="804"/>
      <c r="N107" s="804"/>
      <c r="O107" s="804"/>
      <c r="P107" s="804"/>
    </row>
    <row r="108">
      <c r="B108" s="802"/>
      <c r="C108" s="802"/>
      <c r="D108" s="802"/>
      <c r="E108" s="802"/>
      <c r="F108" s="802"/>
      <c r="G108" s="803"/>
      <c r="H108" s="803"/>
      <c r="I108" s="803"/>
      <c r="J108" s="803"/>
      <c r="K108" s="803"/>
      <c r="L108" s="803"/>
      <c r="M108" s="804"/>
      <c r="N108" s="804"/>
      <c r="O108" s="804"/>
      <c r="P108" s="804"/>
    </row>
    <row r="109">
      <c r="B109" s="802"/>
      <c r="C109" s="802"/>
      <c r="D109" s="802"/>
      <c r="E109" s="802"/>
      <c r="F109" s="802"/>
      <c r="G109" s="803"/>
      <c r="H109" s="803"/>
      <c r="I109" s="803"/>
      <c r="J109" s="803"/>
      <c r="K109" s="803"/>
      <c r="L109" s="803"/>
      <c r="M109" s="804"/>
      <c r="N109" s="804"/>
      <c r="O109" s="804"/>
      <c r="P109" s="804"/>
    </row>
    <row r="110">
      <c r="B110" s="802"/>
      <c r="C110" s="802"/>
      <c r="D110" s="802"/>
      <c r="E110" s="802"/>
      <c r="F110" s="802"/>
      <c r="G110" s="803"/>
      <c r="H110" s="803"/>
      <c r="I110" s="803"/>
      <c r="J110" s="803"/>
      <c r="K110" s="803"/>
      <c r="L110" s="803"/>
      <c r="M110" s="804"/>
      <c r="N110" s="804"/>
      <c r="O110" s="804"/>
      <c r="P110" s="804"/>
    </row>
    <row r="111">
      <c r="B111" s="802"/>
      <c r="C111" s="802"/>
      <c r="D111" s="802"/>
      <c r="E111" s="802"/>
      <c r="F111" s="802"/>
      <c r="G111" s="803"/>
      <c r="H111" s="803"/>
      <c r="I111" s="803"/>
      <c r="J111" s="803"/>
      <c r="K111" s="803"/>
      <c r="L111" s="803"/>
      <c r="M111" s="804"/>
      <c r="N111" s="804"/>
      <c r="O111" s="804"/>
      <c r="P111" s="804"/>
    </row>
    <row r="112">
      <c r="B112" s="802"/>
      <c r="C112" s="802"/>
      <c r="D112" s="802"/>
      <c r="E112" s="802"/>
      <c r="F112" s="802"/>
      <c r="G112" s="803"/>
      <c r="H112" s="803"/>
      <c r="I112" s="803"/>
      <c r="J112" s="803"/>
      <c r="K112" s="803"/>
      <c r="L112" s="803"/>
      <c r="M112" s="804"/>
      <c r="N112" s="804"/>
      <c r="O112" s="804"/>
      <c r="P112" s="804"/>
    </row>
    <row r="113">
      <c r="B113" s="802"/>
      <c r="C113" s="802"/>
      <c r="D113" s="802"/>
      <c r="E113" s="802"/>
      <c r="F113" s="802"/>
      <c r="G113" s="803"/>
      <c r="H113" s="803"/>
      <c r="I113" s="803"/>
      <c r="J113" s="803"/>
      <c r="K113" s="803"/>
      <c r="L113" s="803"/>
      <c r="M113" s="804"/>
      <c r="N113" s="804"/>
      <c r="O113" s="804"/>
      <c r="P113" s="804"/>
    </row>
    <row r="114">
      <c r="B114" s="802"/>
      <c r="C114" s="802"/>
      <c r="D114" s="802"/>
      <c r="E114" s="802"/>
      <c r="F114" s="802"/>
      <c r="G114" s="803"/>
      <c r="H114" s="803"/>
      <c r="I114" s="803"/>
      <c r="J114" s="803"/>
      <c r="K114" s="803"/>
      <c r="L114" s="803"/>
      <c r="M114" s="804"/>
      <c r="N114" s="804"/>
      <c r="O114" s="804"/>
      <c r="P114" s="804"/>
    </row>
    <row r="115">
      <c r="B115" s="802"/>
      <c r="C115" s="802"/>
      <c r="D115" s="802"/>
      <c r="E115" s="802"/>
      <c r="F115" s="802"/>
      <c r="G115" s="803"/>
      <c r="H115" s="803"/>
      <c r="I115" s="803"/>
      <c r="J115" s="803"/>
      <c r="K115" s="803"/>
      <c r="L115" s="803"/>
      <c r="M115" s="804"/>
      <c r="N115" s="804"/>
      <c r="O115" s="804"/>
      <c r="P115" s="804"/>
    </row>
    <row r="116">
      <c r="B116" s="802"/>
      <c r="C116" s="802"/>
      <c r="D116" s="802"/>
      <c r="E116" s="802"/>
      <c r="F116" s="802"/>
      <c r="G116" s="803"/>
      <c r="H116" s="803"/>
      <c r="I116" s="803"/>
      <c r="J116" s="803"/>
      <c r="K116" s="803"/>
      <c r="L116" s="803"/>
      <c r="M116" s="804"/>
      <c r="N116" s="804"/>
      <c r="O116" s="804"/>
      <c r="P116" s="804"/>
    </row>
    <row r="117">
      <c r="B117" s="802"/>
      <c r="C117" s="802"/>
      <c r="D117" s="802"/>
      <c r="E117" s="802"/>
      <c r="F117" s="802"/>
      <c r="G117" s="803"/>
      <c r="H117" s="803"/>
      <c r="I117" s="803"/>
      <c r="J117" s="803"/>
      <c r="K117" s="803"/>
      <c r="L117" s="803"/>
      <c r="M117" s="804"/>
      <c r="N117" s="804"/>
      <c r="O117" s="804"/>
      <c r="P117" s="804"/>
    </row>
    <row r="118">
      <c r="B118" s="802"/>
      <c r="C118" s="802"/>
      <c r="D118" s="802"/>
      <c r="E118" s="802"/>
      <c r="F118" s="802"/>
      <c r="G118" s="803"/>
      <c r="H118" s="803"/>
      <c r="I118" s="803"/>
      <c r="J118" s="803"/>
      <c r="K118" s="803"/>
      <c r="L118" s="803"/>
      <c r="M118" s="804"/>
      <c r="N118" s="804"/>
      <c r="O118" s="804"/>
      <c r="P118" s="804"/>
    </row>
    <row r="119">
      <c r="B119" s="802"/>
      <c r="C119" s="802"/>
      <c r="D119" s="802"/>
      <c r="E119" s="802"/>
      <c r="F119" s="802"/>
      <c r="G119" s="803"/>
      <c r="H119" s="803"/>
      <c r="I119" s="803"/>
      <c r="J119" s="803"/>
      <c r="K119" s="803"/>
      <c r="L119" s="803"/>
      <c r="M119" s="804"/>
      <c r="N119" s="804"/>
      <c r="O119" s="804"/>
      <c r="P119" s="804"/>
    </row>
    <row r="120">
      <c r="B120" s="802"/>
      <c r="C120" s="802"/>
      <c r="D120" s="802"/>
      <c r="E120" s="802"/>
      <c r="F120" s="802"/>
      <c r="G120" s="803"/>
      <c r="H120" s="803"/>
      <c r="I120" s="803"/>
      <c r="J120" s="803"/>
      <c r="K120" s="803"/>
      <c r="L120" s="803"/>
      <c r="M120" s="804"/>
      <c r="N120" s="804"/>
      <c r="O120" s="804"/>
      <c r="P120" s="804"/>
    </row>
    <row r="121">
      <c r="B121" s="802"/>
      <c r="C121" s="802"/>
      <c r="D121" s="802"/>
      <c r="E121" s="802"/>
      <c r="F121" s="802"/>
      <c r="G121" s="803"/>
      <c r="H121" s="803"/>
      <c r="I121" s="803"/>
      <c r="J121" s="803"/>
      <c r="K121" s="803"/>
      <c r="L121" s="803"/>
      <c r="M121" s="804"/>
      <c r="N121" s="804"/>
      <c r="O121" s="804"/>
      <c r="P121" s="804"/>
    </row>
    <row r="122">
      <c r="B122" s="802"/>
      <c r="C122" s="802"/>
      <c r="D122" s="802"/>
      <c r="E122" s="802"/>
      <c r="F122" s="802"/>
      <c r="G122" s="803"/>
      <c r="H122" s="803"/>
      <c r="I122" s="803"/>
      <c r="J122" s="803"/>
      <c r="K122" s="803"/>
      <c r="L122" s="803"/>
      <c r="M122" s="804"/>
      <c r="N122" s="804"/>
      <c r="O122" s="804"/>
      <c r="P122" s="804"/>
    </row>
    <row r="123">
      <c r="B123" s="802"/>
      <c r="C123" s="802"/>
      <c r="D123" s="802"/>
      <c r="E123" s="802"/>
      <c r="F123" s="802"/>
      <c r="G123" s="803"/>
      <c r="H123" s="803"/>
      <c r="I123" s="803"/>
      <c r="J123" s="803"/>
      <c r="K123" s="803"/>
      <c r="L123" s="803"/>
      <c r="M123" s="804"/>
      <c r="N123" s="804"/>
      <c r="O123" s="804"/>
      <c r="P123" s="804"/>
    </row>
    <row r="124">
      <c r="B124" s="802"/>
      <c r="C124" s="802"/>
      <c r="D124" s="802"/>
      <c r="E124" s="802"/>
      <c r="F124" s="802"/>
      <c r="G124" s="803"/>
      <c r="H124" s="803"/>
      <c r="I124" s="803"/>
      <c r="J124" s="803"/>
      <c r="K124" s="803"/>
      <c r="L124" s="803"/>
      <c r="M124" s="804"/>
      <c r="N124" s="804"/>
      <c r="O124" s="804"/>
      <c r="P124" s="804"/>
    </row>
    <row r="125">
      <c r="B125" s="802"/>
      <c r="C125" s="802"/>
      <c r="D125" s="802"/>
      <c r="E125" s="802"/>
      <c r="F125" s="802"/>
      <c r="G125" s="803"/>
      <c r="H125" s="803"/>
      <c r="I125" s="803"/>
      <c r="J125" s="803"/>
      <c r="K125" s="803"/>
      <c r="L125" s="803"/>
      <c r="M125" s="804"/>
      <c r="N125" s="804"/>
      <c r="O125" s="804"/>
      <c r="P125" s="804"/>
    </row>
    <row r="126">
      <c r="B126" s="802"/>
      <c r="C126" s="802"/>
      <c r="D126" s="802"/>
      <c r="E126" s="802"/>
      <c r="F126" s="802"/>
      <c r="G126" s="803"/>
      <c r="H126" s="803"/>
      <c r="I126" s="803"/>
      <c r="J126" s="803"/>
      <c r="K126" s="803"/>
      <c r="L126" s="803"/>
      <c r="M126" s="804"/>
      <c r="N126" s="804"/>
      <c r="O126" s="804"/>
      <c r="P126" s="804"/>
    </row>
    <row r="127">
      <c r="B127" s="802"/>
      <c r="C127" s="802"/>
      <c r="D127" s="802"/>
      <c r="E127" s="802"/>
      <c r="F127" s="802"/>
      <c r="G127" s="803"/>
      <c r="H127" s="803"/>
      <c r="I127" s="803"/>
      <c r="J127" s="803"/>
      <c r="K127" s="803"/>
      <c r="L127" s="803"/>
      <c r="M127" s="804"/>
      <c r="N127" s="804"/>
      <c r="O127" s="804"/>
      <c r="P127" s="804"/>
    </row>
    <row r="128">
      <c r="B128" s="802"/>
      <c r="C128" s="802"/>
      <c r="D128" s="802"/>
      <c r="E128" s="802"/>
      <c r="F128" s="802"/>
      <c r="G128" s="803"/>
      <c r="H128" s="803"/>
      <c r="I128" s="803"/>
      <c r="J128" s="803"/>
      <c r="K128" s="803"/>
      <c r="L128" s="803"/>
      <c r="M128" s="804"/>
      <c r="N128" s="804"/>
      <c r="O128" s="804"/>
      <c r="P128" s="804"/>
    </row>
    <row r="129">
      <c r="B129" s="802"/>
      <c r="C129" s="802"/>
      <c r="D129" s="802"/>
      <c r="E129" s="802"/>
      <c r="F129" s="802"/>
      <c r="G129" s="803"/>
      <c r="H129" s="803"/>
      <c r="I129" s="803"/>
      <c r="J129" s="803"/>
      <c r="K129" s="803"/>
      <c r="L129" s="803"/>
      <c r="M129" s="804"/>
      <c r="N129" s="804"/>
      <c r="O129" s="804"/>
      <c r="P129" s="804"/>
    </row>
    <row r="130">
      <c r="B130" s="802"/>
      <c r="C130" s="802"/>
      <c r="D130" s="802"/>
      <c r="E130" s="802"/>
      <c r="F130" s="802"/>
      <c r="G130" s="803"/>
      <c r="H130" s="803"/>
      <c r="I130" s="803"/>
      <c r="J130" s="803"/>
      <c r="K130" s="803"/>
      <c r="L130" s="803"/>
      <c r="M130" s="804"/>
      <c r="N130" s="804"/>
      <c r="O130" s="804"/>
      <c r="P130" s="804"/>
    </row>
    <row r="131">
      <c r="B131" s="802"/>
      <c r="C131" s="802"/>
      <c r="D131" s="802"/>
      <c r="E131" s="802"/>
      <c r="F131" s="802"/>
      <c r="G131" s="803"/>
      <c r="H131" s="803"/>
      <c r="I131" s="803"/>
      <c r="J131" s="803"/>
      <c r="K131" s="803"/>
      <c r="L131" s="803"/>
      <c r="M131" s="804"/>
      <c r="N131" s="804"/>
      <c r="O131" s="804"/>
      <c r="P131" s="804"/>
    </row>
    <row r="132">
      <c r="B132" s="802"/>
      <c r="C132" s="802"/>
      <c r="D132" s="802"/>
      <c r="E132" s="802"/>
      <c r="F132" s="802"/>
      <c r="G132" s="803"/>
      <c r="H132" s="803"/>
      <c r="I132" s="803"/>
      <c r="J132" s="803"/>
      <c r="K132" s="803"/>
      <c r="L132" s="803"/>
      <c r="M132" s="804"/>
      <c r="N132" s="804"/>
      <c r="O132" s="804"/>
      <c r="P132" s="804"/>
    </row>
    <row r="133">
      <c r="B133" s="802"/>
      <c r="C133" s="802"/>
      <c r="D133" s="802"/>
      <c r="E133" s="802"/>
      <c r="F133" s="802"/>
      <c r="G133" s="803"/>
      <c r="H133" s="803"/>
      <c r="I133" s="803"/>
      <c r="J133" s="803"/>
      <c r="K133" s="803"/>
      <c r="L133" s="803"/>
      <c r="M133" s="804"/>
      <c r="N133" s="804"/>
      <c r="O133" s="804"/>
      <c r="P133" s="804"/>
    </row>
    <row r="134">
      <c r="B134" s="802"/>
      <c r="C134" s="802"/>
      <c r="D134" s="802"/>
      <c r="E134" s="802"/>
      <c r="F134" s="802"/>
      <c r="G134" s="803"/>
      <c r="H134" s="803"/>
      <c r="I134" s="803"/>
      <c r="J134" s="803"/>
      <c r="K134" s="803"/>
      <c r="L134" s="803"/>
      <c r="M134" s="804"/>
      <c r="N134" s="804"/>
      <c r="O134" s="804"/>
      <c r="P134" s="804"/>
    </row>
    <row r="135">
      <c r="B135" s="802"/>
      <c r="C135" s="802"/>
      <c r="D135" s="802"/>
      <c r="E135" s="802"/>
      <c r="F135" s="802"/>
      <c r="G135" s="803"/>
      <c r="H135" s="803"/>
      <c r="I135" s="803"/>
      <c r="J135" s="803"/>
      <c r="K135" s="803"/>
      <c r="L135" s="803"/>
      <c r="M135" s="804"/>
      <c r="N135" s="804"/>
      <c r="O135" s="804"/>
      <c r="P135" s="804"/>
    </row>
    <row r="136">
      <c r="B136" s="802"/>
      <c r="C136" s="802"/>
      <c r="D136" s="802"/>
      <c r="E136" s="802"/>
      <c r="F136" s="802"/>
      <c r="G136" s="803"/>
      <c r="H136" s="803"/>
      <c r="I136" s="803"/>
      <c r="J136" s="803"/>
      <c r="K136" s="803"/>
      <c r="L136" s="803"/>
      <c r="M136" s="804"/>
      <c r="N136" s="804"/>
      <c r="O136" s="804"/>
      <c r="P136" s="804"/>
    </row>
    <row r="137">
      <c r="B137" s="802"/>
      <c r="C137" s="802"/>
      <c r="D137" s="802"/>
      <c r="E137" s="802"/>
      <c r="F137" s="802"/>
      <c r="G137" s="803"/>
      <c r="H137" s="803"/>
      <c r="I137" s="803"/>
      <c r="J137" s="803"/>
      <c r="K137" s="803"/>
      <c r="L137" s="803"/>
      <c r="M137" s="804"/>
      <c r="N137" s="804"/>
      <c r="O137" s="804"/>
      <c r="P137" s="804"/>
    </row>
    <row r="138">
      <c r="B138" s="802"/>
      <c r="C138" s="802"/>
      <c r="D138" s="802"/>
      <c r="E138" s="802"/>
      <c r="F138" s="802"/>
      <c r="G138" s="803"/>
      <c r="H138" s="803"/>
      <c r="I138" s="803"/>
      <c r="J138" s="803"/>
      <c r="K138" s="803"/>
      <c r="L138" s="803"/>
      <c r="M138" s="804"/>
      <c r="N138" s="804"/>
      <c r="O138" s="804"/>
      <c r="P138" s="804"/>
    </row>
    <row r="139">
      <c r="B139" s="802"/>
      <c r="C139" s="802"/>
      <c r="D139" s="802"/>
      <c r="E139" s="802"/>
      <c r="F139" s="802"/>
      <c r="G139" s="803"/>
      <c r="H139" s="803"/>
      <c r="I139" s="803"/>
      <c r="J139" s="803"/>
      <c r="K139" s="803"/>
      <c r="L139" s="803"/>
      <c r="M139" s="804"/>
      <c r="N139" s="804"/>
      <c r="O139" s="804"/>
      <c r="P139" s="804"/>
    </row>
    <row r="140">
      <c r="B140" s="802"/>
      <c r="C140" s="802"/>
      <c r="D140" s="802"/>
      <c r="E140" s="802"/>
      <c r="F140" s="802"/>
      <c r="G140" s="803"/>
      <c r="H140" s="803"/>
      <c r="I140" s="803"/>
      <c r="J140" s="803"/>
      <c r="K140" s="803"/>
      <c r="L140" s="803"/>
      <c r="M140" s="804"/>
      <c r="N140" s="804"/>
      <c r="O140" s="804"/>
      <c r="P140" s="804"/>
    </row>
    <row r="141">
      <c r="B141" s="802"/>
      <c r="C141" s="802"/>
      <c r="D141" s="802"/>
      <c r="E141" s="802"/>
      <c r="F141" s="802"/>
      <c r="G141" s="803"/>
      <c r="H141" s="803"/>
      <c r="I141" s="803"/>
      <c r="J141" s="803"/>
      <c r="K141" s="803"/>
      <c r="L141" s="803"/>
      <c r="M141" s="804"/>
      <c r="N141" s="804"/>
      <c r="O141" s="804"/>
      <c r="P141" s="804"/>
    </row>
    <row r="142">
      <c r="B142" s="802"/>
      <c r="C142" s="802"/>
      <c r="D142" s="802"/>
      <c r="E142" s="802"/>
      <c r="F142" s="802"/>
      <c r="G142" s="803"/>
      <c r="H142" s="803"/>
      <c r="I142" s="803"/>
      <c r="J142" s="803"/>
      <c r="K142" s="803"/>
      <c r="L142" s="803"/>
      <c r="M142" s="804"/>
      <c r="N142" s="804"/>
      <c r="O142" s="804"/>
      <c r="P142" s="804"/>
    </row>
    <row r="143">
      <c r="B143" s="802"/>
      <c r="C143" s="802"/>
      <c r="D143" s="802"/>
      <c r="E143" s="802"/>
      <c r="F143" s="802"/>
      <c r="G143" s="803"/>
      <c r="H143" s="803"/>
      <c r="I143" s="803"/>
      <c r="J143" s="803"/>
      <c r="K143" s="803"/>
      <c r="L143" s="803"/>
      <c r="M143" s="804"/>
      <c r="N143" s="804"/>
      <c r="O143" s="804"/>
      <c r="P143" s="804"/>
    </row>
    <row r="144">
      <c r="B144" s="802"/>
      <c r="C144" s="802"/>
      <c r="D144" s="802"/>
      <c r="E144" s="802"/>
      <c r="F144" s="802"/>
      <c r="G144" s="803"/>
      <c r="H144" s="803"/>
      <c r="I144" s="803"/>
      <c r="J144" s="803"/>
      <c r="K144" s="803"/>
      <c r="L144" s="803"/>
      <c r="M144" s="804"/>
      <c r="N144" s="804"/>
      <c r="O144" s="804"/>
      <c r="P144" s="804"/>
    </row>
    <row r="145">
      <c r="B145" s="802"/>
      <c r="C145" s="802"/>
      <c r="D145" s="802"/>
      <c r="E145" s="802"/>
      <c r="F145" s="802"/>
      <c r="G145" s="803"/>
      <c r="H145" s="803"/>
      <c r="I145" s="803"/>
      <c r="J145" s="803"/>
      <c r="K145" s="803"/>
      <c r="L145" s="803"/>
      <c r="M145" s="804"/>
      <c r="N145" s="804"/>
      <c r="O145" s="804"/>
      <c r="P145" s="804"/>
    </row>
    <row r="146">
      <c r="B146" s="802"/>
      <c r="C146" s="802"/>
      <c r="D146" s="802"/>
      <c r="E146" s="802"/>
      <c r="F146" s="802"/>
      <c r="G146" s="803"/>
      <c r="H146" s="803"/>
      <c r="I146" s="803"/>
      <c r="J146" s="803"/>
      <c r="K146" s="803"/>
      <c r="L146" s="803"/>
      <c r="M146" s="804"/>
      <c r="N146" s="804"/>
      <c r="O146" s="804"/>
      <c r="P146" s="804"/>
    </row>
    <row r="147">
      <c r="B147" s="802"/>
      <c r="C147" s="802"/>
      <c r="D147" s="802"/>
      <c r="E147" s="802"/>
      <c r="F147" s="802"/>
      <c r="G147" s="803"/>
      <c r="H147" s="803"/>
      <c r="I147" s="803"/>
      <c r="J147" s="803"/>
      <c r="K147" s="803"/>
      <c r="L147" s="803"/>
      <c r="M147" s="804"/>
      <c r="N147" s="804"/>
      <c r="O147" s="804"/>
      <c r="P147" s="804"/>
    </row>
    <row r="148">
      <c r="B148" s="802"/>
      <c r="C148" s="802"/>
      <c r="D148" s="802"/>
      <c r="E148" s="802"/>
      <c r="F148" s="802"/>
      <c r="G148" s="803"/>
      <c r="H148" s="803"/>
      <c r="I148" s="803"/>
      <c r="J148" s="803"/>
      <c r="K148" s="803"/>
      <c r="L148" s="803"/>
      <c r="M148" s="804"/>
      <c r="N148" s="804"/>
      <c r="O148" s="804"/>
      <c r="P148" s="804"/>
    </row>
    <row r="149">
      <c r="B149" s="802"/>
      <c r="C149" s="802"/>
      <c r="D149" s="802"/>
      <c r="E149" s="802"/>
      <c r="F149" s="802"/>
      <c r="G149" s="803"/>
      <c r="H149" s="803"/>
      <c r="I149" s="803"/>
      <c r="J149" s="803"/>
      <c r="K149" s="803"/>
      <c r="L149" s="803"/>
      <c r="M149" s="804"/>
      <c r="N149" s="804"/>
      <c r="O149" s="804"/>
      <c r="P149" s="804"/>
    </row>
    <row r="150">
      <c r="B150" s="802"/>
      <c r="C150" s="802"/>
      <c r="D150" s="802"/>
      <c r="E150" s="802"/>
      <c r="F150" s="802"/>
      <c r="G150" s="803"/>
      <c r="H150" s="803"/>
      <c r="I150" s="803"/>
      <c r="J150" s="803"/>
      <c r="K150" s="803"/>
      <c r="L150" s="803"/>
      <c r="M150" s="804"/>
      <c r="N150" s="804"/>
      <c r="O150" s="804"/>
      <c r="P150" s="804"/>
    </row>
    <row r="151">
      <c r="B151" s="802"/>
      <c r="C151" s="802"/>
      <c r="D151" s="802"/>
      <c r="E151" s="802"/>
      <c r="F151" s="802"/>
      <c r="G151" s="803"/>
      <c r="H151" s="803"/>
      <c r="I151" s="803"/>
      <c r="J151" s="803"/>
      <c r="K151" s="803"/>
      <c r="L151" s="803"/>
      <c r="M151" s="804"/>
      <c r="N151" s="804"/>
      <c r="O151" s="804"/>
      <c r="P151" s="804"/>
    </row>
    <row r="152">
      <c r="B152" s="802"/>
      <c r="C152" s="802"/>
      <c r="D152" s="802"/>
      <c r="E152" s="802"/>
      <c r="F152" s="802"/>
      <c r="G152" s="803"/>
      <c r="H152" s="803"/>
      <c r="I152" s="803"/>
      <c r="J152" s="803"/>
      <c r="K152" s="803"/>
      <c r="L152" s="803"/>
      <c r="M152" s="804"/>
      <c r="N152" s="804"/>
      <c r="O152" s="804"/>
      <c r="P152" s="804"/>
    </row>
    <row r="153">
      <c r="B153" s="802"/>
      <c r="C153" s="802"/>
      <c r="D153" s="802"/>
      <c r="E153" s="802"/>
      <c r="F153" s="802"/>
      <c r="G153" s="803"/>
      <c r="H153" s="803"/>
      <c r="I153" s="803"/>
      <c r="J153" s="803"/>
      <c r="K153" s="803"/>
      <c r="L153" s="803"/>
      <c r="M153" s="804"/>
      <c r="N153" s="804"/>
      <c r="O153" s="804"/>
      <c r="P153" s="804"/>
    </row>
    <row r="154">
      <c r="B154" s="802"/>
      <c r="C154" s="802"/>
      <c r="D154" s="802"/>
      <c r="E154" s="802"/>
      <c r="F154" s="802"/>
      <c r="G154" s="803"/>
      <c r="H154" s="803"/>
      <c r="I154" s="803"/>
      <c r="J154" s="803"/>
      <c r="K154" s="803"/>
      <c r="L154" s="803"/>
      <c r="M154" s="804"/>
      <c r="N154" s="804"/>
      <c r="O154" s="804"/>
      <c r="P154" s="804"/>
    </row>
    <row r="155">
      <c r="B155" s="802"/>
      <c r="C155" s="802"/>
      <c r="D155" s="802"/>
      <c r="E155" s="802"/>
      <c r="F155" s="802"/>
      <c r="G155" s="803"/>
      <c r="H155" s="803"/>
      <c r="I155" s="803"/>
      <c r="J155" s="803"/>
      <c r="K155" s="803"/>
      <c r="L155" s="803"/>
      <c r="M155" s="804"/>
      <c r="N155" s="804"/>
      <c r="O155" s="804"/>
      <c r="P155" s="804"/>
    </row>
    <row r="156">
      <c r="B156" s="802"/>
      <c r="C156" s="802"/>
      <c r="D156" s="802"/>
      <c r="E156" s="802"/>
      <c r="F156" s="802"/>
      <c r="G156" s="803"/>
      <c r="H156" s="803"/>
      <c r="I156" s="803"/>
      <c r="J156" s="803"/>
      <c r="K156" s="803"/>
      <c r="L156" s="803"/>
      <c r="M156" s="804"/>
      <c r="N156" s="804"/>
      <c r="O156" s="804"/>
      <c r="P156" s="804"/>
    </row>
    <row r="157">
      <c r="B157" s="802"/>
      <c r="C157" s="802"/>
      <c r="D157" s="802"/>
      <c r="E157" s="802"/>
      <c r="F157" s="802"/>
      <c r="G157" s="803"/>
      <c r="H157" s="803"/>
      <c r="I157" s="803"/>
      <c r="J157" s="803"/>
      <c r="K157" s="803"/>
      <c r="L157" s="803"/>
      <c r="M157" s="804"/>
      <c r="N157" s="804"/>
      <c r="O157" s="804"/>
      <c r="P157" s="804"/>
    </row>
    <row r="158">
      <c r="B158" s="802"/>
      <c r="C158" s="802"/>
      <c r="D158" s="802"/>
      <c r="E158" s="802"/>
      <c r="F158" s="802"/>
      <c r="G158" s="803"/>
      <c r="H158" s="803"/>
      <c r="I158" s="803"/>
      <c r="J158" s="803"/>
      <c r="K158" s="803"/>
      <c r="L158" s="803"/>
      <c r="M158" s="804"/>
      <c r="N158" s="804"/>
      <c r="O158" s="804"/>
      <c r="P158" s="804"/>
    </row>
    <row r="159">
      <c r="B159" s="802"/>
      <c r="C159" s="802"/>
      <c r="D159" s="802"/>
      <c r="E159" s="802"/>
      <c r="F159" s="802"/>
      <c r="G159" s="803"/>
      <c r="H159" s="803"/>
      <c r="I159" s="803"/>
      <c r="J159" s="803"/>
      <c r="K159" s="803"/>
      <c r="L159" s="803"/>
      <c r="M159" s="804"/>
      <c r="N159" s="804"/>
      <c r="O159" s="804"/>
      <c r="P159" s="804"/>
    </row>
    <row r="160">
      <c r="B160" s="802"/>
      <c r="C160" s="802"/>
      <c r="D160" s="802"/>
      <c r="E160" s="802"/>
      <c r="F160" s="802"/>
      <c r="G160" s="803"/>
      <c r="H160" s="803"/>
      <c r="I160" s="803"/>
      <c r="J160" s="803"/>
      <c r="K160" s="803"/>
      <c r="L160" s="803"/>
      <c r="M160" s="804"/>
      <c r="N160" s="804"/>
      <c r="O160" s="804"/>
      <c r="P160" s="804"/>
    </row>
    <row r="161">
      <c r="B161" s="802"/>
      <c r="C161" s="802"/>
      <c r="D161" s="802"/>
      <c r="E161" s="802"/>
      <c r="F161" s="802"/>
      <c r="G161" s="803"/>
      <c r="H161" s="803"/>
      <c r="I161" s="803"/>
      <c r="J161" s="803"/>
      <c r="K161" s="803"/>
      <c r="L161" s="803"/>
      <c r="M161" s="804"/>
      <c r="N161" s="804"/>
      <c r="O161" s="804"/>
      <c r="P161" s="804"/>
    </row>
    <row r="162">
      <c r="B162" s="802"/>
      <c r="C162" s="802"/>
      <c r="D162" s="802"/>
      <c r="E162" s="802"/>
      <c r="F162" s="802"/>
      <c r="G162" s="803"/>
      <c r="H162" s="803"/>
      <c r="I162" s="803"/>
      <c r="J162" s="803"/>
      <c r="K162" s="803"/>
      <c r="L162" s="803"/>
      <c r="M162" s="804"/>
      <c r="N162" s="804"/>
      <c r="O162" s="804"/>
      <c r="P162" s="804"/>
    </row>
    <row r="163">
      <c r="B163" s="802"/>
      <c r="C163" s="802"/>
      <c r="D163" s="802"/>
      <c r="E163" s="802"/>
      <c r="F163" s="802"/>
      <c r="G163" s="803"/>
      <c r="H163" s="803"/>
      <c r="I163" s="803"/>
      <c r="J163" s="803"/>
      <c r="K163" s="803"/>
      <c r="L163" s="803"/>
      <c r="M163" s="804"/>
      <c r="N163" s="804"/>
      <c r="O163" s="804"/>
      <c r="P163" s="804"/>
    </row>
    <row r="164">
      <c r="B164" s="802"/>
      <c r="C164" s="802"/>
      <c r="D164" s="802"/>
      <c r="E164" s="802"/>
      <c r="F164" s="802"/>
      <c r="G164" s="803"/>
      <c r="H164" s="803"/>
      <c r="I164" s="803"/>
      <c r="J164" s="803"/>
      <c r="K164" s="803"/>
      <c r="L164" s="803"/>
      <c r="M164" s="804"/>
      <c r="N164" s="804"/>
      <c r="O164" s="804"/>
      <c r="P164" s="804"/>
    </row>
    <row r="165">
      <c r="B165" s="802"/>
      <c r="C165" s="802"/>
      <c r="D165" s="802"/>
      <c r="E165" s="802"/>
      <c r="F165" s="802"/>
      <c r="G165" s="803"/>
      <c r="H165" s="803"/>
      <c r="I165" s="803"/>
      <c r="J165" s="803"/>
      <c r="K165" s="803"/>
      <c r="L165" s="803"/>
      <c r="M165" s="804"/>
      <c r="N165" s="804"/>
      <c r="O165" s="804"/>
      <c r="P165" s="804"/>
    </row>
    <row r="166">
      <c r="B166" s="802"/>
      <c r="C166" s="802"/>
      <c r="D166" s="802"/>
      <c r="E166" s="802"/>
      <c r="F166" s="802"/>
      <c r="G166" s="803"/>
      <c r="H166" s="803"/>
      <c r="I166" s="803"/>
      <c r="J166" s="803"/>
      <c r="K166" s="803"/>
      <c r="L166" s="803"/>
      <c r="M166" s="804"/>
      <c r="N166" s="804"/>
      <c r="O166" s="804"/>
      <c r="P166" s="804"/>
    </row>
    <row r="167">
      <c r="B167" s="802"/>
      <c r="C167" s="802"/>
      <c r="D167" s="802"/>
      <c r="E167" s="802"/>
      <c r="F167" s="802"/>
      <c r="G167" s="803"/>
      <c r="H167" s="803"/>
      <c r="I167" s="803"/>
      <c r="J167" s="803"/>
      <c r="K167" s="803"/>
      <c r="L167" s="803"/>
      <c r="M167" s="804"/>
      <c r="N167" s="804"/>
      <c r="O167" s="804"/>
      <c r="P167" s="804"/>
    </row>
    <row r="168">
      <c r="B168" s="802"/>
      <c r="C168" s="802"/>
      <c r="D168" s="802"/>
      <c r="E168" s="802"/>
      <c r="F168" s="802"/>
      <c r="G168" s="803"/>
      <c r="H168" s="803"/>
      <c r="I168" s="803"/>
      <c r="J168" s="803"/>
      <c r="K168" s="803"/>
      <c r="L168" s="803"/>
      <c r="M168" s="804"/>
      <c r="N168" s="804"/>
      <c r="O168" s="804"/>
      <c r="P168" s="804"/>
    </row>
    <row r="169">
      <c r="B169" s="802"/>
      <c r="C169" s="802"/>
      <c r="D169" s="802"/>
      <c r="E169" s="802"/>
      <c r="F169" s="802"/>
      <c r="G169" s="803"/>
      <c r="H169" s="803"/>
      <c r="I169" s="803"/>
      <c r="J169" s="803"/>
      <c r="K169" s="803"/>
      <c r="L169" s="803"/>
      <c r="M169" s="804"/>
      <c r="N169" s="804"/>
      <c r="O169" s="804"/>
      <c r="P169" s="804"/>
    </row>
    <row r="170">
      <c r="B170" s="802"/>
      <c r="C170" s="802"/>
      <c r="D170" s="802"/>
      <c r="E170" s="802"/>
      <c r="F170" s="802"/>
      <c r="G170" s="803"/>
      <c r="H170" s="803"/>
      <c r="I170" s="803"/>
      <c r="J170" s="803"/>
      <c r="K170" s="803"/>
      <c r="L170" s="803"/>
      <c r="M170" s="804"/>
      <c r="N170" s="804"/>
      <c r="O170" s="804"/>
      <c r="P170" s="804"/>
    </row>
    <row r="171">
      <c r="B171" s="802"/>
      <c r="C171" s="802"/>
      <c r="D171" s="802"/>
      <c r="E171" s="802"/>
      <c r="F171" s="802"/>
      <c r="G171" s="803"/>
      <c r="H171" s="803"/>
      <c r="I171" s="803"/>
      <c r="J171" s="803"/>
      <c r="K171" s="803"/>
      <c r="L171" s="803"/>
      <c r="M171" s="804"/>
      <c r="N171" s="804"/>
      <c r="O171" s="804"/>
      <c r="P171" s="804"/>
    </row>
    <row r="172">
      <c r="B172" s="802"/>
      <c r="C172" s="802"/>
      <c r="D172" s="802"/>
      <c r="E172" s="802"/>
      <c r="F172" s="802"/>
      <c r="G172" s="803"/>
      <c r="H172" s="803"/>
      <c r="I172" s="803"/>
      <c r="J172" s="803"/>
      <c r="K172" s="803"/>
      <c r="L172" s="803"/>
      <c r="M172" s="804"/>
      <c r="N172" s="804"/>
      <c r="O172" s="804"/>
      <c r="P172" s="804"/>
    </row>
    <row r="173">
      <c r="B173" s="802"/>
      <c r="C173" s="802"/>
      <c r="D173" s="802"/>
      <c r="E173" s="802"/>
      <c r="F173" s="802"/>
      <c r="G173" s="803"/>
      <c r="H173" s="803"/>
      <c r="I173" s="803"/>
      <c r="J173" s="803"/>
      <c r="K173" s="803"/>
      <c r="L173" s="803"/>
      <c r="M173" s="804"/>
      <c r="N173" s="804"/>
      <c r="O173" s="804"/>
      <c r="P173" s="804"/>
    </row>
    <row r="174">
      <c r="B174" s="802"/>
      <c r="C174" s="802"/>
      <c r="D174" s="802"/>
      <c r="E174" s="802"/>
      <c r="F174" s="802"/>
      <c r="G174" s="803"/>
      <c r="H174" s="803"/>
      <c r="I174" s="803"/>
      <c r="J174" s="803"/>
      <c r="K174" s="803"/>
      <c r="L174" s="803"/>
      <c r="M174" s="804"/>
      <c r="N174" s="804"/>
      <c r="O174" s="804"/>
      <c r="P174" s="804"/>
    </row>
    <row r="175">
      <c r="B175" s="802"/>
      <c r="C175" s="802"/>
      <c r="D175" s="802"/>
      <c r="E175" s="802"/>
      <c r="F175" s="802"/>
      <c r="G175" s="803"/>
      <c r="H175" s="803"/>
      <c r="I175" s="803"/>
      <c r="J175" s="803"/>
      <c r="K175" s="803"/>
      <c r="L175" s="803"/>
      <c r="M175" s="804"/>
      <c r="N175" s="804"/>
      <c r="O175" s="804"/>
      <c r="P175" s="804"/>
    </row>
    <row r="176">
      <c r="B176" s="802"/>
      <c r="C176" s="802"/>
      <c r="D176" s="802"/>
      <c r="E176" s="802"/>
      <c r="F176" s="802"/>
      <c r="G176" s="803"/>
      <c r="H176" s="803"/>
      <c r="I176" s="803"/>
      <c r="J176" s="803"/>
      <c r="K176" s="803"/>
      <c r="L176" s="803"/>
      <c r="M176" s="804"/>
      <c r="N176" s="804"/>
      <c r="O176" s="804"/>
      <c r="P176" s="804"/>
    </row>
    <row r="177">
      <c r="B177" s="802"/>
      <c r="C177" s="802"/>
      <c r="D177" s="802"/>
      <c r="E177" s="802"/>
      <c r="F177" s="802"/>
      <c r="G177" s="803"/>
      <c r="H177" s="803"/>
      <c r="I177" s="803"/>
      <c r="J177" s="803"/>
      <c r="K177" s="803"/>
      <c r="L177" s="803"/>
      <c r="M177" s="804"/>
      <c r="N177" s="804"/>
      <c r="O177" s="804"/>
      <c r="P177" s="804"/>
    </row>
    <row r="178">
      <c r="B178" s="802"/>
      <c r="C178" s="802"/>
      <c r="D178" s="802"/>
      <c r="E178" s="802"/>
      <c r="F178" s="802"/>
      <c r="G178" s="803"/>
      <c r="H178" s="803"/>
      <c r="I178" s="803"/>
      <c r="J178" s="803"/>
      <c r="K178" s="803"/>
      <c r="L178" s="803"/>
      <c r="M178" s="804"/>
      <c r="N178" s="804"/>
      <c r="O178" s="804"/>
      <c r="P178" s="804"/>
    </row>
    <row r="179">
      <c r="B179" s="802"/>
      <c r="C179" s="802"/>
      <c r="D179" s="802"/>
      <c r="E179" s="802"/>
      <c r="F179" s="802"/>
      <c r="G179" s="803"/>
      <c r="H179" s="803"/>
      <c r="I179" s="803"/>
      <c r="J179" s="803"/>
      <c r="K179" s="803"/>
      <c r="L179" s="803"/>
      <c r="M179" s="804"/>
      <c r="N179" s="804"/>
      <c r="O179" s="804"/>
      <c r="P179" s="804"/>
    </row>
    <row r="180">
      <c r="B180" s="802"/>
      <c r="C180" s="802"/>
      <c r="D180" s="802"/>
      <c r="E180" s="802"/>
      <c r="F180" s="802"/>
      <c r="G180" s="803"/>
      <c r="H180" s="803"/>
      <c r="I180" s="803"/>
      <c r="J180" s="803"/>
      <c r="K180" s="803"/>
      <c r="L180" s="803"/>
      <c r="M180" s="804"/>
      <c r="N180" s="804"/>
      <c r="O180" s="804"/>
      <c r="P180" s="804"/>
    </row>
    <row r="181">
      <c r="B181" s="802"/>
      <c r="C181" s="802"/>
      <c r="D181" s="802"/>
      <c r="E181" s="802"/>
      <c r="F181" s="802"/>
      <c r="G181" s="803"/>
      <c r="H181" s="803"/>
      <c r="I181" s="803"/>
      <c r="J181" s="803"/>
      <c r="K181" s="803"/>
      <c r="L181" s="803"/>
      <c r="M181" s="804"/>
      <c r="N181" s="804"/>
      <c r="O181" s="804"/>
      <c r="P181" s="804"/>
    </row>
    <row r="182">
      <c r="B182" s="802"/>
      <c r="C182" s="802"/>
      <c r="D182" s="802"/>
      <c r="E182" s="802"/>
      <c r="F182" s="802"/>
      <c r="G182" s="803"/>
      <c r="H182" s="803"/>
      <c r="I182" s="803"/>
      <c r="J182" s="803"/>
      <c r="K182" s="803"/>
      <c r="L182" s="803"/>
      <c r="M182" s="804"/>
      <c r="N182" s="804"/>
      <c r="O182" s="804"/>
      <c r="P182" s="804"/>
    </row>
    <row r="183">
      <c r="B183" s="802"/>
      <c r="C183" s="802"/>
      <c r="D183" s="802"/>
      <c r="E183" s="802"/>
      <c r="F183" s="802"/>
      <c r="G183" s="803"/>
      <c r="H183" s="803"/>
      <c r="I183" s="803"/>
      <c r="J183" s="803"/>
      <c r="K183" s="803"/>
      <c r="L183" s="803"/>
      <c r="M183" s="804"/>
      <c r="N183" s="804"/>
      <c r="O183" s="804"/>
      <c r="P183" s="804"/>
    </row>
    <row r="184">
      <c r="B184" s="802"/>
      <c r="C184" s="802"/>
      <c r="D184" s="802"/>
      <c r="E184" s="802"/>
      <c r="F184" s="802"/>
      <c r="G184" s="803"/>
      <c r="H184" s="803"/>
      <c r="I184" s="803"/>
      <c r="J184" s="803"/>
      <c r="K184" s="803"/>
      <c r="L184" s="803"/>
      <c r="M184" s="804"/>
      <c r="N184" s="804"/>
      <c r="O184" s="804"/>
      <c r="P184" s="804"/>
    </row>
    <row r="185">
      <c r="B185" s="802"/>
      <c r="C185" s="802"/>
      <c r="D185" s="802"/>
      <c r="E185" s="802"/>
      <c r="F185" s="802"/>
      <c r="G185" s="803"/>
      <c r="H185" s="803"/>
      <c r="I185" s="803"/>
      <c r="J185" s="803"/>
      <c r="K185" s="803"/>
      <c r="L185" s="803"/>
      <c r="M185" s="804"/>
      <c r="N185" s="804"/>
      <c r="O185" s="804"/>
      <c r="P185" s="804"/>
    </row>
    <row r="186">
      <c r="B186" s="802"/>
      <c r="C186" s="802"/>
      <c r="D186" s="802"/>
      <c r="E186" s="802"/>
      <c r="F186" s="802"/>
      <c r="G186" s="803"/>
      <c r="H186" s="803"/>
      <c r="I186" s="803"/>
      <c r="J186" s="803"/>
      <c r="K186" s="803"/>
      <c r="L186" s="803"/>
      <c r="M186" s="804"/>
      <c r="N186" s="804"/>
      <c r="O186" s="804"/>
      <c r="P186" s="804"/>
    </row>
    <row r="187">
      <c r="B187" s="802"/>
      <c r="C187" s="802"/>
      <c r="D187" s="802"/>
      <c r="E187" s="802"/>
      <c r="F187" s="802"/>
      <c r="G187" s="803"/>
      <c r="H187" s="803"/>
      <c r="I187" s="803"/>
      <c r="J187" s="803"/>
      <c r="K187" s="803"/>
      <c r="L187" s="803"/>
      <c r="M187" s="804"/>
      <c r="N187" s="804"/>
      <c r="O187" s="804"/>
      <c r="P187" s="804"/>
    </row>
    <row r="188">
      <c r="B188" s="802"/>
      <c r="C188" s="802"/>
      <c r="D188" s="802"/>
      <c r="E188" s="802"/>
      <c r="F188" s="802"/>
      <c r="G188" s="803"/>
      <c r="H188" s="803"/>
      <c r="I188" s="803"/>
      <c r="J188" s="803"/>
      <c r="K188" s="803"/>
      <c r="L188" s="803"/>
      <c r="M188" s="804"/>
      <c r="N188" s="804"/>
      <c r="O188" s="804"/>
      <c r="P188" s="804"/>
    </row>
    <row r="189">
      <c r="B189" s="802"/>
      <c r="C189" s="802"/>
      <c r="D189" s="802"/>
      <c r="E189" s="802"/>
      <c r="F189" s="802"/>
      <c r="G189" s="803"/>
      <c r="H189" s="803"/>
      <c r="I189" s="803"/>
      <c r="J189" s="803"/>
      <c r="K189" s="803"/>
      <c r="L189" s="803"/>
      <c r="M189" s="804"/>
      <c r="N189" s="804"/>
      <c r="O189" s="804"/>
      <c r="P189" s="804"/>
    </row>
    <row r="190">
      <c r="B190" s="802"/>
      <c r="C190" s="802"/>
      <c r="D190" s="802"/>
      <c r="E190" s="802"/>
      <c r="F190" s="802"/>
      <c r="G190" s="803"/>
      <c r="H190" s="803"/>
      <c r="I190" s="803"/>
      <c r="J190" s="803"/>
      <c r="K190" s="803"/>
      <c r="L190" s="803"/>
      <c r="M190" s="804"/>
      <c r="N190" s="804"/>
      <c r="O190" s="804"/>
      <c r="P190" s="804"/>
    </row>
    <row r="191">
      <c r="B191" s="802"/>
      <c r="C191" s="802"/>
      <c r="D191" s="802"/>
      <c r="E191" s="802"/>
      <c r="F191" s="802"/>
      <c r="G191" s="803"/>
      <c r="H191" s="803"/>
      <c r="I191" s="803"/>
      <c r="J191" s="803"/>
      <c r="K191" s="803"/>
      <c r="L191" s="803"/>
      <c r="M191" s="804"/>
      <c r="N191" s="804"/>
      <c r="O191" s="804"/>
      <c r="P191" s="804"/>
    </row>
    <row r="192">
      <c r="B192" s="802"/>
      <c r="C192" s="802"/>
      <c r="D192" s="802"/>
      <c r="E192" s="802"/>
      <c r="F192" s="802"/>
      <c r="G192" s="803"/>
      <c r="H192" s="803"/>
      <c r="I192" s="803"/>
      <c r="J192" s="803"/>
      <c r="K192" s="803"/>
      <c r="L192" s="803"/>
      <c r="M192" s="804"/>
      <c r="N192" s="804"/>
      <c r="O192" s="804"/>
      <c r="P192" s="804"/>
    </row>
    <row r="193">
      <c r="B193" s="802"/>
      <c r="C193" s="802"/>
      <c r="D193" s="802"/>
      <c r="E193" s="802"/>
      <c r="F193" s="802"/>
      <c r="G193" s="803"/>
      <c r="H193" s="803"/>
      <c r="I193" s="803"/>
      <c r="J193" s="803"/>
      <c r="K193" s="803"/>
      <c r="L193" s="803"/>
      <c r="M193" s="804"/>
      <c r="N193" s="804"/>
      <c r="O193" s="804"/>
      <c r="P193" s="804"/>
    </row>
    <row r="194">
      <c r="B194" s="802"/>
      <c r="C194" s="802"/>
      <c r="D194" s="802"/>
      <c r="E194" s="802"/>
      <c r="F194" s="802"/>
      <c r="G194" s="803"/>
      <c r="H194" s="803"/>
      <c r="I194" s="803"/>
      <c r="J194" s="803"/>
      <c r="K194" s="803"/>
      <c r="L194" s="803"/>
      <c r="M194" s="804"/>
      <c r="N194" s="804"/>
      <c r="O194" s="804"/>
      <c r="P194" s="804"/>
    </row>
    <row r="195">
      <c r="B195" s="802"/>
      <c r="C195" s="802"/>
      <c r="D195" s="802"/>
      <c r="E195" s="802"/>
      <c r="F195" s="802"/>
      <c r="G195" s="803"/>
      <c r="H195" s="803"/>
      <c r="I195" s="803"/>
      <c r="J195" s="803"/>
      <c r="K195" s="803"/>
      <c r="L195" s="803"/>
      <c r="M195" s="804"/>
      <c r="N195" s="804"/>
      <c r="O195" s="804"/>
      <c r="P195" s="804"/>
    </row>
    <row r="196">
      <c r="B196" s="802"/>
      <c r="C196" s="802"/>
      <c r="D196" s="802"/>
      <c r="E196" s="802"/>
      <c r="F196" s="802"/>
      <c r="G196" s="803"/>
      <c r="H196" s="803"/>
      <c r="I196" s="803"/>
      <c r="J196" s="803"/>
      <c r="K196" s="803"/>
      <c r="L196" s="803"/>
      <c r="M196" s="804"/>
      <c r="N196" s="804"/>
      <c r="O196" s="804"/>
      <c r="P196" s="804"/>
    </row>
    <row r="197">
      <c r="B197" s="802"/>
      <c r="C197" s="802"/>
      <c r="D197" s="802"/>
      <c r="E197" s="802"/>
      <c r="F197" s="802"/>
      <c r="G197" s="803"/>
      <c r="H197" s="803"/>
      <c r="I197" s="803"/>
      <c r="J197" s="803"/>
      <c r="K197" s="803"/>
      <c r="L197" s="803"/>
      <c r="M197" s="804"/>
      <c r="N197" s="804"/>
      <c r="O197" s="804"/>
      <c r="P197" s="804"/>
    </row>
    <row r="198">
      <c r="B198" s="802"/>
      <c r="C198" s="802"/>
      <c r="D198" s="802"/>
      <c r="E198" s="802"/>
      <c r="F198" s="802"/>
      <c r="G198" s="803"/>
      <c r="H198" s="803"/>
      <c r="I198" s="803"/>
      <c r="J198" s="803"/>
      <c r="K198" s="803"/>
      <c r="L198" s="803"/>
      <c r="M198" s="804"/>
      <c r="N198" s="804"/>
      <c r="O198" s="804"/>
      <c r="P198" s="804"/>
    </row>
    <row r="199">
      <c r="B199" s="802"/>
      <c r="C199" s="802"/>
      <c r="D199" s="802"/>
      <c r="E199" s="802"/>
      <c r="F199" s="802"/>
      <c r="G199" s="803"/>
      <c r="H199" s="803"/>
      <c r="I199" s="803"/>
      <c r="J199" s="803"/>
      <c r="K199" s="803"/>
      <c r="L199" s="803"/>
      <c r="M199" s="804"/>
      <c r="N199" s="804"/>
      <c r="O199" s="804"/>
      <c r="P199" s="804"/>
    </row>
    <row r="200">
      <c r="B200" s="802"/>
      <c r="C200" s="802"/>
      <c r="D200" s="802"/>
      <c r="E200" s="802"/>
      <c r="F200" s="802"/>
      <c r="G200" s="803"/>
      <c r="H200" s="803"/>
      <c r="I200" s="803"/>
      <c r="J200" s="803"/>
      <c r="K200" s="803"/>
      <c r="L200" s="803"/>
      <c r="M200" s="804"/>
      <c r="N200" s="804"/>
      <c r="O200" s="804"/>
      <c r="P200" s="804"/>
    </row>
    <row r="201">
      <c r="B201" s="802"/>
      <c r="C201" s="802"/>
      <c r="D201" s="802"/>
      <c r="E201" s="802"/>
      <c r="F201" s="802"/>
      <c r="G201" s="803"/>
      <c r="H201" s="803"/>
      <c r="I201" s="803"/>
      <c r="J201" s="803"/>
      <c r="K201" s="803"/>
      <c r="L201" s="803"/>
      <c r="M201" s="804"/>
      <c r="N201" s="804"/>
      <c r="O201" s="804"/>
      <c r="P201" s="804"/>
    </row>
    <row r="202">
      <c r="B202" s="802"/>
      <c r="C202" s="802"/>
      <c r="D202" s="802"/>
      <c r="E202" s="802"/>
      <c r="F202" s="802"/>
      <c r="G202" s="803"/>
      <c r="H202" s="803"/>
      <c r="I202" s="803"/>
      <c r="J202" s="803"/>
      <c r="K202" s="803"/>
      <c r="L202" s="803"/>
      <c r="M202" s="804"/>
      <c r="N202" s="804"/>
      <c r="O202" s="804"/>
      <c r="P202" s="804"/>
    </row>
    <row r="203">
      <c r="B203" s="802"/>
      <c r="C203" s="802"/>
      <c r="D203" s="802"/>
      <c r="E203" s="802"/>
      <c r="F203" s="802"/>
      <c r="G203" s="803"/>
      <c r="H203" s="803"/>
      <c r="I203" s="803"/>
      <c r="J203" s="803"/>
      <c r="K203" s="803"/>
      <c r="L203" s="803"/>
      <c r="M203" s="804"/>
      <c r="N203" s="804"/>
      <c r="O203" s="804"/>
      <c r="P203" s="804"/>
    </row>
    <row r="204">
      <c r="B204" s="802"/>
      <c r="C204" s="802"/>
      <c r="D204" s="802"/>
      <c r="E204" s="802"/>
      <c r="F204" s="802"/>
      <c r="G204" s="803"/>
      <c r="H204" s="803"/>
      <c r="I204" s="803"/>
      <c r="J204" s="803"/>
      <c r="K204" s="803"/>
      <c r="L204" s="803"/>
      <c r="M204" s="804"/>
      <c r="N204" s="804"/>
      <c r="O204" s="804"/>
      <c r="P204" s="804"/>
    </row>
    <row r="205">
      <c r="B205" s="802"/>
      <c r="C205" s="802"/>
      <c r="D205" s="802"/>
      <c r="E205" s="802"/>
      <c r="F205" s="802"/>
      <c r="G205" s="803"/>
      <c r="H205" s="803"/>
      <c r="I205" s="803"/>
      <c r="J205" s="803"/>
      <c r="K205" s="803"/>
      <c r="L205" s="803"/>
      <c r="M205" s="804"/>
      <c r="N205" s="804"/>
      <c r="O205" s="804"/>
      <c r="P205" s="804"/>
    </row>
    <row r="206">
      <c r="B206" s="802"/>
      <c r="C206" s="802"/>
      <c r="D206" s="802"/>
      <c r="E206" s="802"/>
      <c r="F206" s="802"/>
      <c r="G206" s="803"/>
      <c r="H206" s="803"/>
      <c r="I206" s="803"/>
      <c r="J206" s="803"/>
      <c r="K206" s="803"/>
      <c r="L206" s="803"/>
      <c r="M206" s="804"/>
      <c r="N206" s="804"/>
      <c r="O206" s="804"/>
      <c r="P206" s="804"/>
    </row>
    <row r="207">
      <c r="B207" s="802"/>
      <c r="C207" s="802"/>
      <c r="D207" s="802"/>
      <c r="E207" s="802"/>
      <c r="F207" s="802"/>
      <c r="G207" s="803"/>
      <c r="H207" s="803"/>
      <c r="I207" s="803"/>
      <c r="J207" s="803"/>
      <c r="K207" s="803"/>
      <c r="L207" s="803"/>
      <c r="M207" s="804"/>
      <c r="N207" s="804"/>
      <c r="O207" s="804"/>
      <c r="P207" s="804"/>
    </row>
    <row r="208">
      <c r="B208" s="802"/>
      <c r="C208" s="802"/>
      <c r="D208" s="802"/>
      <c r="E208" s="802"/>
      <c r="F208" s="802"/>
      <c r="G208" s="803"/>
      <c r="H208" s="803"/>
      <c r="I208" s="803"/>
      <c r="J208" s="803"/>
      <c r="K208" s="803"/>
      <c r="L208" s="803"/>
      <c r="M208" s="804"/>
      <c r="N208" s="804"/>
      <c r="O208" s="804"/>
      <c r="P208" s="804"/>
    </row>
    <row r="209">
      <c r="B209" s="802"/>
      <c r="C209" s="802"/>
      <c r="D209" s="802"/>
      <c r="E209" s="802"/>
      <c r="F209" s="802"/>
      <c r="G209" s="803"/>
      <c r="H209" s="803"/>
      <c r="I209" s="803"/>
      <c r="J209" s="803"/>
      <c r="K209" s="803"/>
      <c r="L209" s="803"/>
      <c r="M209" s="804"/>
      <c r="N209" s="804"/>
      <c r="O209" s="804"/>
      <c r="P209" s="804"/>
    </row>
    <row r="210">
      <c r="B210" s="802"/>
      <c r="C210" s="802"/>
      <c r="D210" s="802"/>
      <c r="E210" s="802"/>
      <c r="F210" s="802"/>
      <c r="G210" s="803"/>
      <c r="H210" s="803"/>
      <c r="I210" s="803"/>
      <c r="J210" s="803"/>
      <c r="K210" s="803"/>
      <c r="L210" s="803"/>
      <c r="M210" s="804"/>
      <c r="N210" s="804"/>
      <c r="O210" s="804"/>
      <c r="P210" s="804"/>
    </row>
    <row r="211">
      <c r="B211" s="802"/>
      <c r="C211" s="802"/>
      <c r="D211" s="802"/>
      <c r="E211" s="802"/>
      <c r="F211" s="802"/>
      <c r="G211" s="803"/>
      <c r="H211" s="803"/>
      <c r="I211" s="803"/>
      <c r="J211" s="803"/>
      <c r="K211" s="803"/>
      <c r="L211" s="803"/>
      <c r="M211" s="804"/>
      <c r="N211" s="804"/>
      <c r="O211" s="804"/>
      <c r="P211" s="804"/>
    </row>
    <row r="212">
      <c r="B212" s="802"/>
      <c r="C212" s="802"/>
      <c r="D212" s="802"/>
      <c r="E212" s="802"/>
      <c r="F212" s="802"/>
      <c r="G212" s="803"/>
      <c r="H212" s="803"/>
      <c r="I212" s="803"/>
      <c r="J212" s="803"/>
      <c r="K212" s="803"/>
      <c r="L212" s="803"/>
      <c r="M212" s="804"/>
      <c r="N212" s="804"/>
      <c r="O212" s="804"/>
      <c r="P212" s="804"/>
    </row>
    <row r="213">
      <c r="B213" s="802"/>
      <c r="C213" s="802"/>
      <c r="D213" s="802"/>
      <c r="E213" s="802"/>
      <c r="F213" s="802"/>
      <c r="G213" s="803"/>
      <c r="H213" s="803"/>
      <c r="I213" s="803"/>
      <c r="J213" s="803"/>
      <c r="K213" s="803"/>
      <c r="L213" s="803"/>
      <c r="M213" s="804"/>
      <c r="N213" s="804"/>
      <c r="O213" s="804"/>
      <c r="P213" s="804"/>
    </row>
    <row r="214">
      <c r="B214" s="802"/>
      <c r="C214" s="802"/>
      <c r="D214" s="802"/>
      <c r="E214" s="802"/>
      <c r="F214" s="802"/>
      <c r="G214" s="803"/>
      <c r="H214" s="803"/>
      <c r="I214" s="803"/>
      <c r="J214" s="803"/>
      <c r="K214" s="803"/>
      <c r="L214" s="803"/>
      <c r="M214" s="804"/>
      <c r="N214" s="804"/>
      <c r="O214" s="804"/>
      <c r="P214" s="804"/>
    </row>
    <row r="215">
      <c r="B215" s="802"/>
      <c r="C215" s="802"/>
      <c r="D215" s="802"/>
      <c r="E215" s="802"/>
      <c r="F215" s="802"/>
      <c r="G215" s="803"/>
      <c r="H215" s="803"/>
      <c r="I215" s="803"/>
      <c r="J215" s="803"/>
      <c r="K215" s="803"/>
      <c r="L215" s="803"/>
      <c r="M215" s="804"/>
      <c r="N215" s="804"/>
      <c r="O215" s="804"/>
      <c r="P215" s="804"/>
    </row>
    <row r="216">
      <c r="B216" s="802"/>
      <c r="C216" s="802"/>
      <c r="D216" s="802"/>
      <c r="E216" s="802"/>
      <c r="F216" s="802"/>
      <c r="G216" s="803"/>
      <c r="H216" s="803"/>
      <c r="I216" s="803"/>
      <c r="J216" s="803"/>
      <c r="K216" s="803"/>
      <c r="L216" s="803"/>
      <c r="M216" s="804"/>
      <c r="N216" s="804"/>
      <c r="O216" s="804"/>
      <c r="P216" s="804"/>
    </row>
    <row r="217">
      <c r="B217" s="802"/>
      <c r="C217" s="802"/>
      <c r="D217" s="802"/>
      <c r="E217" s="802"/>
      <c r="F217" s="802"/>
      <c r="G217" s="803"/>
      <c r="H217" s="803"/>
      <c r="I217" s="803"/>
      <c r="J217" s="803"/>
      <c r="K217" s="803"/>
      <c r="L217" s="803"/>
      <c r="M217" s="804"/>
      <c r="N217" s="804"/>
      <c r="O217" s="804"/>
      <c r="P217" s="804"/>
    </row>
    <row r="218">
      <c r="B218" s="802"/>
      <c r="C218" s="802"/>
      <c r="D218" s="802"/>
      <c r="E218" s="802"/>
      <c r="F218" s="802"/>
      <c r="G218" s="803"/>
      <c r="H218" s="803"/>
      <c r="I218" s="803"/>
      <c r="J218" s="803"/>
      <c r="K218" s="803"/>
      <c r="L218" s="803"/>
      <c r="M218" s="804"/>
      <c r="N218" s="804"/>
      <c r="O218" s="804"/>
      <c r="P218" s="804"/>
    </row>
    <row r="219">
      <c r="B219" s="802"/>
      <c r="C219" s="802"/>
      <c r="D219" s="802"/>
      <c r="E219" s="802"/>
      <c r="F219" s="802"/>
      <c r="G219" s="803"/>
      <c r="H219" s="803"/>
      <c r="I219" s="803"/>
      <c r="J219" s="803"/>
      <c r="K219" s="803"/>
      <c r="L219" s="803"/>
      <c r="M219" s="804"/>
      <c r="N219" s="804"/>
      <c r="O219" s="804"/>
      <c r="P219" s="804"/>
    </row>
    <row r="220">
      <c r="B220" s="802"/>
      <c r="C220" s="802"/>
      <c r="D220" s="802"/>
      <c r="E220" s="802"/>
      <c r="F220" s="802"/>
      <c r="G220" s="803"/>
      <c r="H220" s="803"/>
      <c r="I220" s="803"/>
      <c r="J220" s="803"/>
      <c r="K220" s="803"/>
      <c r="L220" s="803"/>
      <c r="M220" s="804"/>
      <c r="N220" s="804"/>
      <c r="O220" s="804"/>
      <c r="P220" s="804"/>
    </row>
    <row r="221">
      <c r="B221" s="802"/>
      <c r="C221" s="802"/>
      <c r="D221" s="802"/>
      <c r="E221" s="802"/>
      <c r="F221" s="802"/>
      <c r="G221" s="803"/>
      <c r="H221" s="803"/>
      <c r="I221" s="803"/>
      <c r="J221" s="803"/>
      <c r="K221" s="803"/>
      <c r="L221" s="803"/>
      <c r="M221" s="804"/>
      <c r="N221" s="804"/>
      <c r="O221" s="804"/>
      <c r="P221" s="804"/>
    </row>
    <row r="222">
      <c r="B222" s="802"/>
      <c r="C222" s="802"/>
      <c r="D222" s="802"/>
      <c r="E222" s="802"/>
      <c r="F222" s="802"/>
      <c r="G222" s="803"/>
      <c r="H222" s="803"/>
      <c r="I222" s="803"/>
      <c r="J222" s="803"/>
      <c r="K222" s="803"/>
      <c r="L222" s="803"/>
      <c r="M222" s="804"/>
      <c r="N222" s="804"/>
      <c r="O222" s="804"/>
      <c r="P222" s="804"/>
    </row>
    <row r="223">
      <c r="B223" s="802"/>
      <c r="C223" s="802"/>
      <c r="D223" s="802"/>
      <c r="E223" s="802"/>
      <c r="F223" s="802"/>
      <c r="G223" s="803"/>
      <c r="H223" s="803"/>
      <c r="I223" s="803"/>
      <c r="J223" s="803"/>
      <c r="K223" s="803"/>
      <c r="L223" s="803"/>
      <c r="M223" s="804"/>
      <c r="N223" s="804"/>
      <c r="O223" s="804"/>
      <c r="P223" s="804"/>
    </row>
    <row r="224">
      <c r="B224" s="802"/>
      <c r="C224" s="802"/>
      <c r="D224" s="802"/>
      <c r="E224" s="802"/>
      <c r="F224" s="802"/>
      <c r="G224" s="803"/>
      <c r="H224" s="803"/>
      <c r="I224" s="803"/>
      <c r="J224" s="803"/>
      <c r="K224" s="803"/>
      <c r="L224" s="803"/>
      <c r="M224" s="804"/>
      <c r="N224" s="804"/>
      <c r="O224" s="804"/>
      <c r="P224" s="804"/>
    </row>
    <row r="225">
      <c r="B225" s="802"/>
      <c r="C225" s="802"/>
      <c r="D225" s="802"/>
      <c r="E225" s="802"/>
      <c r="F225" s="802"/>
      <c r="G225" s="803"/>
      <c r="H225" s="803"/>
      <c r="I225" s="803"/>
      <c r="J225" s="803"/>
      <c r="K225" s="803"/>
      <c r="L225" s="803"/>
      <c r="M225" s="804"/>
      <c r="N225" s="804"/>
      <c r="O225" s="804"/>
      <c r="P225" s="804"/>
    </row>
    <row r="226">
      <c r="B226" s="802"/>
      <c r="C226" s="802"/>
      <c r="D226" s="802"/>
      <c r="E226" s="802"/>
      <c r="F226" s="802"/>
      <c r="G226" s="803"/>
      <c r="H226" s="803"/>
      <c r="I226" s="803"/>
      <c r="J226" s="803"/>
      <c r="K226" s="803"/>
      <c r="L226" s="803"/>
      <c r="M226" s="804"/>
      <c r="N226" s="804"/>
      <c r="O226" s="804"/>
      <c r="P226" s="804"/>
    </row>
    <row r="227">
      <c r="B227" s="802"/>
      <c r="C227" s="802"/>
      <c r="D227" s="802"/>
      <c r="E227" s="802"/>
      <c r="F227" s="802"/>
      <c r="G227" s="803"/>
      <c r="H227" s="803"/>
      <c r="I227" s="803"/>
      <c r="J227" s="803"/>
      <c r="K227" s="803"/>
      <c r="L227" s="803"/>
      <c r="M227" s="804"/>
      <c r="N227" s="804"/>
      <c r="O227" s="804"/>
      <c r="P227" s="804"/>
    </row>
    <row r="228">
      <c r="B228" s="802"/>
      <c r="C228" s="802"/>
      <c r="D228" s="802"/>
      <c r="E228" s="802"/>
      <c r="F228" s="802"/>
      <c r="G228" s="803"/>
      <c r="H228" s="803"/>
      <c r="I228" s="803"/>
      <c r="J228" s="803"/>
      <c r="K228" s="803"/>
      <c r="L228" s="803"/>
      <c r="M228" s="804"/>
      <c r="N228" s="804"/>
      <c r="O228" s="804"/>
      <c r="P228" s="804"/>
    </row>
    <row r="229">
      <c r="B229" s="802"/>
      <c r="C229" s="802"/>
      <c r="D229" s="802"/>
      <c r="E229" s="802"/>
      <c r="F229" s="802"/>
      <c r="G229" s="803"/>
      <c r="H229" s="803"/>
      <c r="I229" s="803"/>
      <c r="J229" s="803"/>
      <c r="K229" s="803"/>
      <c r="L229" s="803"/>
      <c r="M229" s="804"/>
      <c r="N229" s="804"/>
      <c r="O229" s="804"/>
      <c r="P229" s="804"/>
    </row>
    <row r="230">
      <c r="B230" s="802"/>
      <c r="C230" s="802"/>
      <c r="D230" s="802"/>
      <c r="E230" s="802"/>
      <c r="F230" s="802"/>
      <c r="G230" s="803"/>
      <c r="H230" s="803"/>
      <c r="I230" s="803"/>
      <c r="J230" s="803"/>
      <c r="K230" s="803"/>
      <c r="L230" s="803"/>
      <c r="M230" s="804"/>
      <c r="N230" s="804"/>
      <c r="O230" s="804"/>
      <c r="P230" s="804"/>
    </row>
    <row r="231">
      <c r="B231" s="802"/>
      <c r="C231" s="802"/>
      <c r="D231" s="802"/>
      <c r="E231" s="802"/>
      <c r="F231" s="802"/>
      <c r="G231" s="803"/>
      <c r="H231" s="803"/>
      <c r="I231" s="803"/>
      <c r="J231" s="803"/>
      <c r="K231" s="803"/>
      <c r="L231" s="803"/>
      <c r="M231" s="804"/>
      <c r="N231" s="804"/>
      <c r="O231" s="804"/>
      <c r="P231" s="804"/>
    </row>
    <row r="232">
      <c r="B232" s="802"/>
      <c r="C232" s="802"/>
      <c r="D232" s="802"/>
      <c r="E232" s="802"/>
      <c r="F232" s="802"/>
      <c r="G232" s="803"/>
      <c r="H232" s="803"/>
      <c r="I232" s="803"/>
      <c r="J232" s="803"/>
      <c r="K232" s="803"/>
      <c r="L232" s="803"/>
      <c r="M232" s="804"/>
      <c r="N232" s="804"/>
      <c r="O232" s="804"/>
      <c r="P232" s="804"/>
    </row>
    <row r="233">
      <c r="B233" s="802"/>
      <c r="C233" s="802"/>
      <c r="D233" s="802"/>
      <c r="E233" s="802"/>
      <c r="F233" s="802"/>
      <c r="G233" s="803"/>
      <c r="H233" s="803"/>
      <c r="I233" s="803"/>
      <c r="J233" s="803"/>
      <c r="K233" s="803"/>
      <c r="L233" s="803"/>
      <c r="M233" s="804"/>
      <c r="N233" s="804"/>
      <c r="O233" s="804"/>
      <c r="P233" s="804"/>
    </row>
    <row r="234">
      <c r="B234" s="802"/>
      <c r="C234" s="802"/>
      <c r="D234" s="802"/>
      <c r="E234" s="802"/>
      <c r="F234" s="802"/>
      <c r="G234" s="803"/>
      <c r="H234" s="803"/>
      <c r="I234" s="803"/>
      <c r="J234" s="803"/>
      <c r="K234" s="803"/>
      <c r="L234" s="803"/>
      <c r="M234" s="804"/>
      <c r="N234" s="804"/>
      <c r="O234" s="804"/>
      <c r="P234" s="804"/>
    </row>
    <row r="235">
      <c r="B235" s="802"/>
      <c r="C235" s="802"/>
      <c r="D235" s="802"/>
      <c r="E235" s="802"/>
      <c r="F235" s="802"/>
      <c r="G235" s="803"/>
      <c r="H235" s="803"/>
      <c r="I235" s="803"/>
      <c r="J235" s="803"/>
      <c r="K235" s="803"/>
      <c r="L235" s="803"/>
      <c r="M235" s="804"/>
      <c r="N235" s="804"/>
      <c r="O235" s="804"/>
      <c r="P235" s="804"/>
    </row>
    <row r="236">
      <c r="B236" s="802"/>
      <c r="C236" s="802"/>
      <c r="D236" s="802"/>
      <c r="E236" s="802"/>
      <c r="F236" s="802"/>
      <c r="G236" s="803"/>
      <c r="H236" s="803"/>
      <c r="I236" s="803"/>
      <c r="J236" s="803"/>
      <c r="K236" s="803"/>
      <c r="L236" s="803"/>
      <c r="M236" s="804"/>
      <c r="N236" s="804"/>
      <c r="O236" s="804"/>
      <c r="P236" s="804"/>
    </row>
    <row r="237">
      <c r="B237" s="802"/>
      <c r="C237" s="802"/>
      <c r="D237" s="802"/>
      <c r="E237" s="802"/>
      <c r="F237" s="802"/>
      <c r="G237" s="803"/>
      <c r="H237" s="803"/>
      <c r="I237" s="803"/>
      <c r="J237" s="803"/>
      <c r="K237" s="803"/>
      <c r="L237" s="803"/>
      <c r="M237" s="804"/>
      <c r="N237" s="804"/>
      <c r="O237" s="804"/>
      <c r="P237" s="804"/>
    </row>
    <row r="238">
      <c r="B238" s="802"/>
      <c r="C238" s="802"/>
      <c r="D238" s="802"/>
      <c r="E238" s="802"/>
      <c r="F238" s="802"/>
      <c r="G238" s="803"/>
      <c r="H238" s="803"/>
      <c r="I238" s="803"/>
      <c r="J238" s="803"/>
      <c r="K238" s="803"/>
      <c r="L238" s="803"/>
      <c r="M238" s="804"/>
      <c r="N238" s="804"/>
      <c r="O238" s="804"/>
      <c r="P238" s="804"/>
    </row>
    <row r="239">
      <c r="B239" s="802"/>
      <c r="C239" s="802"/>
      <c r="D239" s="802"/>
      <c r="E239" s="802"/>
      <c r="F239" s="802"/>
      <c r="G239" s="803"/>
      <c r="H239" s="803"/>
      <c r="I239" s="803"/>
      <c r="J239" s="803"/>
      <c r="K239" s="803"/>
      <c r="L239" s="803"/>
      <c r="M239" s="804"/>
      <c r="N239" s="804"/>
      <c r="O239" s="804"/>
      <c r="P239" s="804"/>
    </row>
    <row r="240">
      <c r="B240" s="802"/>
      <c r="C240" s="802"/>
      <c r="D240" s="802"/>
      <c r="E240" s="802"/>
      <c r="F240" s="802"/>
      <c r="G240" s="803"/>
      <c r="H240" s="803"/>
      <c r="I240" s="803"/>
      <c r="J240" s="803"/>
      <c r="K240" s="803"/>
      <c r="L240" s="803"/>
      <c r="M240" s="804"/>
      <c r="N240" s="804"/>
      <c r="O240" s="804"/>
      <c r="P240" s="804"/>
    </row>
    <row r="241">
      <c r="B241" s="802"/>
      <c r="C241" s="802"/>
      <c r="D241" s="802"/>
      <c r="E241" s="802"/>
      <c r="F241" s="802"/>
      <c r="G241" s="803"/>
      <c r="H241" s="803"/>
      <c r="I241" s="803"/>
      <c r="J241" s="803"/>
      <c r="K241" s="803"/>
      <c r="L241" s="803"/>
      <c r="M241" s="804"/>
      <c r="N241" s="804"/>
      <c r="O241" s="804"/>
      <c r="P241" s="804"/>
    </row>
    <row r="242">
      <c r="B242" s="802"/>
      <c r="C242" s="802"/>
      <c r="D242" s="802"/>
      <c r="E242" s="802"/>
      <c r="F242" s="802"/>
      <c r="G242" s="803"/>
      <c r="H242" s="803"/>
      <c r="I242" s="803"/>
      <c r="J242" s="803"/>
      <c r="K242" s="803"/>
      <c r="L242" s="803"/>
      <c r="M242" s="804"/>
      <c r="N242" s="804"/>
      <c r="O242" s="804"/>
      <c r="P242" s="804"/>
    </row>
    <row r="243">
      <c r="B243" s="802"/>
      <c r="C243" s="802"/>
      <c r="D243" s="802"/>
      <c r="E243" s="802"/>
      <c r="F243" s="802"/>
      <c r="G243" s="803"/>
      <c r="H243" s="803"/>
      <c r="I243" s="803"/>
      <c r="J243" s="803"/>
      <c r="K243" s="803"/>
      <c r="L243" s="803"/>
      <c r="M243" s="804"/>
      <c r="N243" s="804"/>
      <c r="O243" s="804"/>
      <c r="P243" s="804"/>
    </row>
    <row r="244">
      <c r="B244" s="802"/>
      <c r="C244" s="802"/>
      <c r="D244" s="802"/>
      <c r="E244" s="802"/>
      <c r="F244" s="802"/>
      <c r="G244" s="803"/>
      <c r="H244" s="803"/>
      <c r="I244" s="803"/>
      <c r="J244" s="803"/>
      <c r="K244" s="803"/>
      <c r="L244" s="803"/>
      <c r="M244" s="804"/>
      <c r="N244" s="804"/>
      <c r="O244" s="804"/>
      <c r="P244" s="804"/>
    </row>
    <row r="245">
      <c r="B245" s="802"/>
      <c r="C245" s="802"/>
      <c r="D245" s="802"/>
      <c r="E245" s="802"/>
      <c r="F245" s="802"/>
      <c r="G245" s="803"/>
      <c r="H245" s="803"/>
      <c r="I245" s="803"/>
      <c r="J245" s="803"/>
      <c r="K245" s="803"/>
      <c r="L245" s="803"/>
      <c r="M245" s="804"/>
      <c r="N245" s="804"/>
      <c r="O245" s="804"/>
      <c r="P245" s="804"/>
    </row>
    <row r="246">
      <c r="B246" s="802"/>
      <c r="C246" s="802"/>
      <c r="D246" s="802"/>
      <c r="E246" s="802"/>
      <c r="F246" s="802"/>
      <c r="G246" s="803"/>
      <c r="H246" s="803"/>
      <c r="I246" s="803"/>
      <c r="J246" s="803"/>
      <c r="K246" s="803"/>
      <c r="L246" s="803"/>
      <c r="M246" s="804"/>
      <c r="N246" s="804"/>
      <c r="O246" s="804"/>
      <c r="P246" s="804"/>
    </row>
    <row r="247">
      <c r="B247" s="802"/>
      <c r="C247" s="802"/>
      <c r="D247" s="802"/>
      <c r="E247" s="802"/>
      <c r="F247" s="802"/>
      <c r="G247" s="803"/>
      <c r="H247" s="803"/>
      <c r="I247" s="803"/>
      <c r="J247" s="803"/>
      <c r="K247" s="803"/>
      <c r="L247" s="803"/>
      <c r="M247" s="804"/>
      <c r="N247" s="804"/>
      <c r="O247" s="804"/>
      <c r="P247" s="804"/>
    </row>
    <row r="248">
      <c r="B248" s="802"/>
      <c r="C248" s="802"/>
      <c r="D248" s="802"/>
      <c r="E248" s="802"/>
      <c r="F248" s="802"/>
      <c r="G248" s="803"/>
      <c r="H248" s="803"/>
      <c r="I248" s="803"/>
      <c r="J248" s="803"/>
      <c r="K248" s="803"/>
      <c r="L248" s="803"/>
      <c r="M248" s="804"/>
      <c r="N248" s="804"/>
      <c r="O248" s="804"/>
      <c r="P248" s="804"/>
    </row>
    <row r="249">
      <c r="B249" s="802"/>
      <c r="C249" s="802"/>
      <c r="D249" s="802"/>
      <c r="E249" s="802"/>
      <c r="F249" s="802"/>
      <c r="G249" s="803"/>
      <c r="H249" s="803"/>
      <c r="I249" s="803"/>
      <c r="J249" s="803"/>
      <c r="K249" s="803"/>
      <c r="L249" s="803"/>
      <c r="M249" s="804"/>
      <c r="N249" s="804"/>
      <c r="O249" s="804"/>
      <c r="P249" s="804"/>
    </row>
    <row r="250">
      <c r="B250" s="802"/>
      <c r="C250" s="802"/>
      <c r="D250" s="802"/>
      <c r="E250" s="802"/>
      <c r="F250" s="802"/>
      <c r="G250" s="803"/>
      <c r="H250" s="803"/>
      <c r="I250" s="803"/>
      <c r="J250" s="803"/>
      <c r="K250" s="803"/>
      <c r="L250" s="803"/>
      <c r="M250" s="804"/>
      <c r="N250" s="804"/>
      <c r="O250" s="804"/>
      <c r="P250" s="804"/>
    </row>
    <row r="251">
      <c r="B251" s="802"/>
      <c r="C251" s="802"/>
      <c r="D251" s="802"/>
      <c r="E251" s="802"/>
      <c r="F251" s="802"/>
      <c r="G251" s="803"/>
      <c r="H251" s="803"/>
      <c r="I251" s="803"/>
      <c r="J251" s="803"/>
      <c r="K251" s="803"/>
      <c r="L251" s="803"/>
      <c r="M251" s="804"/>
      <c r="N251" s="804"/>
      <c r="O251" s="804"/>
      <c r="P251" s="804"/>
    </row>
    <row r="252">
      <c r="B252" s="802"/>
      <c r="C252" s="802"/>
      <c r="D252" s="802"/>
      <c r="E252" s="802"/>
      <c r="F252" s="802"/>
      <c r="G252" s="803"/>
      <c r="H252" s="803"/>
      <c r="I252" s="803"/>
      <c r="J252" s="803"/>
      <c r="K252" s="803"/>
      <c r="L252" s="803"/>
      <c r="M252" s="804"/>
      <c r="N252" s="804"/>
      <c r="O252" s="804"/>
      <c r="P252" s="804"/>
    </row>
    <row r="253">
      <c r="B253" s="802"/>
      <c r="C253" s="802"/>
      <c r="D253" s="802"/>
      <c r="E253" s="802"/>
      <c r="F253" s="802"/>
      <c r="G253" s="803"/>
      <c r="H253" s="803"/>
      <c r="I253" s="803"/>
      <c r="J253" s="803"/>
      <c r="K253" s="803"/>
      <c r="L253" s="803"/>
      <c r="M253" s="804"/>
      <c r="N253" s="804"/>
      <c r="O253" s="804"/>
      <c r="P253" s="804"/>
    </row>
    <row r="254">
      <c r="B254" s="802"/>
      <c r="C254" s="802"/>
      <c r="D254" s="802"/>
      <c r="E254" s="802"/>
      <c r="F254" s="802"/>
      <c r="G254" s="803"/>
      <c r="H254" s="803"/>
      <c r="I254" s="803"/>
      <c r="J254" s="803"/>
      <c r="K254" s="803"/>
      <c r="L254" s="803"/>
      <c r="M254" s="804"/>
      <c r="N254" s="804"/>
      <c r="O254" s="804"/>
      <c r="P254" s="804"/>
    </row>
    <row r="255">
      <c r="B255" s="802"/>
      <c r="C255" s="802"/>
      <c r="D255" s="802"/>
      <c r="E255" s="802"/>
      <c r="F255" s="802"/>
      <c r="G255" s="803"/>
      <c r="H255" s="803"/>
      <c r="I255" s="803"/>
      <c r="J255" s="803"/>
      <c r="K255" s="803"/>
      <c r="L255" s="803"/>
      <c r="M255" s="804"/>
      <c r="N255" s="804"/>
      <c r="O255" s="804"/>
      <c r="P255" s="804"/>
    </row>
    <row r="256">
      <c r="B256" s="802"/>
      <c r="C256" s="802"/>
      <c r="D256" s="802"/>
      <c r="E256" s="802"/>
      <c r="F256" s="802"/>
      <c r="G256" s="803"/>
      <c r="H256" s="803"/>
      <c r="I256" s="803"/>
      <c r="J256" s="803"/>
      <c r="K256" s="803"/>
      <c r="L256" s="803"/>
      <c r="M256" s="804"/>
      <c r="N256" s="804"/>
      <c r="O256" s="804"/>
      <c r="P256" s="804"/>
    </row>
    <row r="257">
      <c r="B257" s="802"/>
      <c r="C257" s="802"/>
      <c r="D257" s="802"/>
      <c r="E257" s="802"/>
      <c r="F257" s="802"/>
      <c r="G257" s="803"/>
      <c r="H257" s="803"/>
      <c r="I257" s="803"/>
      <c r="J257" s="803"/>
      <c r="K257" s="803"/>
      <c r="L257" s="803"/>
      <c r="M257" s="804"/>
      <c r="N257" s="804"/>
      <c r="O257" s="804"/>
      <c r="P257" s="804"/>
    </row>
    <row r="258">
      <c r="B258" s="802"/>
      <c r="C258" s="802"/>
      <c r="D258" s="802"/>
      <c r="E258" s="802"/>
      <c r="F258" s="802"/>
      <c r="G258" s="803"/>
      <c r="H258" s="803"/>
      <c r="I258" s="803"/>
      <c r="J258" s="803"/>
      <c r="K258" s="803"/>
      <c r="L258" s="803"/>
      <c r="M258" s="804"/>
      <c r="N258" s="804"/>
      <c r="O258" s="804"/>
      <c r="P258" s="804"/>
    </row>
    <row r="259">
      <c r="B259" s="802"/>
      <c r="C259" s="802"/>
      <c r="D259" s="802"/>
      <c r="E259" s="802"/>
      <c r="F259" s="802"/>
      <c r="G259" s="803"/>
      <c r="H259" s="803"/>
      <c r="I259" s="803"/>
      <c r="J259" s="803"/>
      <c r="K259" s="803"/>
      <c r="L259" s="803"/>
      <c r="M259" s="804"/>
      <c r="N259" s="804"/>
      <c r="O259" s="804"/>
      <c r="P259" s="804"/>
    </row>
    <row r="260">
      <c r="B260" s="802"/>
      <c r="C260" s="802"/>
      <c r="D260" s="802"/>
      <c r="E260" s="802"/>
      <c r="F260" s="802"/>
      <c r="G260" s="803"/>
      <c r="H260" s="803"/>
      <c r="I260" s="803"/>
      <c r="J260" s="803"/>
      <c r="K260" s="803"/>
      <c r="L260" s="803"/>
      <c r="M260" s="804"/>
      <c r="N260" s="804"/>
      <c r="O260" s="804"/>
      <c r="P260" s="804"/>
    </row>
    <row r="261">
      <c r="B261" s="802"/>
      <c r="C261" s="802"/>
      <c r="D261" s="802"/>
      <c r="E261" s="802"/>
      <c r="F261" s="802"/>
      <c r="G261" s="803"/>
      <c r="H261" s="803"/>
      <c r="I261" s="803"/>
      <c r="J261" s="803"/>
      <c r="K261" s="803"/>
      <c r="L261" s="803"/>
      <c r="M261" s="804"/>
      <c r="N261" s="804"/>
      <c r="O261" s="804"/>
      <c r="P261" s="804"/>
    </row>
    <row r="262">
      <c r="B262" s="802"/>
      <c r="C262" s="802"/>
      <c r="D262" s="802"/>
      <c r="E262" s="802"/>
      <c r="F262" s="802"/>
      <c r="G262" s="803"/>
      <c r="H262" s="803"/>
      <c r="I262" s="803"/>
      <c r="J262" s="803"/>
      <c r="K262" s="803"/>
      <c r="L262" s="803"/>
      <c r="M262" s="804"/>
      <c r="N262" s="804"/>
      <c r="O262" s="804"/>
      <c r="P262" s="804"/>
    </row>
    <row r="263">
      <c r="B263" s="802"/>
      <c r="C263" s="802"/>
      <c r="D263" s="802"/>
      <c r="E263" s="802"/>
      <c r="F263" s="802"/>
      <c r="G263" s="803"/>
      <c r="H263" s="803"/>
      <c r="I263" s="803"/>
      <c r="J263" s="803"/>
      <c r="K263" s="803"/>
      <c r="L263" s="803"/>
      <c r="M263" s="804"/>
      <c r="N263" s="804"/>
      <c r="O263" s="804"/>
      <c r="P263" s="804"/>
    </row>
    <row r="264">
      <c r="B264" s="802"/>
      <c r="C264" s="802"/>
      <c r="D264" s="802"/>
      <c r="E264" s="802"/>
      <c r="F264" s="802"/>
      <c r="G264" s="803"/>
      <c r="H264" s="803"/>
      <c r="I264" s="803"/>
      <c r="J264" s="803"/>
      <c r="K264" s="803"/>
      <c r="L264" s="803"/>
      <c r="M264" s="804"/>
      <c r="N264" s="804"/>
      <c r="O264" s="804"/>
      <c r="P264" s="804"/>
    </row>
    <row r="265">
      <c r="B265" s="802"/>
      <c r="C265" s="802"/>
      <c r="D265" s="802"/>
      <c r="E265" s="802"/>
      <c r="F265" s="802"/>
      <c r="G265" s="803"/>
      <c r="H265" s="803"/>
      <c r="I265" s="803"/>
      <c r="J265" s="803"/>
      <c r="K265" s="803"/>
      <c r="L265" s="803"/>
      <c r="M265" s="804"/>
      <c r="N265" s="804"/>
      <c r="O265" s="804"/>
      <c r="P265" s="804"/>
    </row>
    <row r="266">
      <c r="B266" s="802"/>
      <c r="C266" s="802"/>
      <c r="D266" s="802"/>
      <c r="E266" s="802"/>
      <c r="F266" s="802"/>
      <c r="G266" s="803"/>
      <c r="H266" s="803"/>
      <c r="I266" s="803"/>
      <c r="J266" s="803"/>
      <c r="K266" s="803"/>
      <c r="L266" s="803"/>
      <c r="M266" s="804"/>
      <c r="N266" s="804"/>
      <c r="O266" s="804"/>
      <c r="P266" s="804"/>
    </row>
    <row r="267">
      <c r="B267" s="802"/>
      <c r="C267" s="802"/>
      <c r="D267" s="802"/>
      <c r="E267" s="802"/>
      <c r="F267" s="802"/>
      <c r="G267" s="803"/>
      <c r="H267" s="803"/>
      <c r="I267" s="803"/>
      <c r="J267" s="803"/>
      <c r="K267" s="803"/>
      <c r="L267" s="803"/>
      <c r="M267" s="804"/>
      <c r="N267" s="804"/>
      <c r="O267" s="804"/>
      <c r="P267" s="804"/>
    </row>
    <row r="268">
      <c r="B268" s="802"/>
      <c r="C268" s="802"/>
      <c r="D268" s="802"/>
      <c r="E268" s="802"/>
      <c r="F268" s="802"/>
      <c r="G268" s="803"/>
      <c r="H268" s="803"/>
      <c r="I268" s="803"/>
      <c r="J268" s="803"/>
      <c r="K268" s="803"/>
      <c r="L268" s="803"/>
      <c r="M268" s="804"/>
      <c r="N268" s="804"/>
      <c r="O268" s="804"/>
      <c r="P268" s="804"/>
    </row>
    <row r="269">
      <c r="B269" s="802"/>
      <c r="C269" s="802"/>
      <c r="D269" s="802"/>
      <c r="E269" s="802"/>
      <c r="F269" s="802"/>
      <c r="G269" s="803"/>
      <c r="H269" s="803"/>
      <c r="I269" s="803"/>
      <c r="J269" s="803"/>
      <c r="K269" s="803"/>
      <c r="L269" s="803"/>
      <c r="M269" s="804"/>
      <c r="N269" s="804"/>
      <c r="O269" s="804"/>
      <c r="P269" s="804"/>
    </row>
    <row r="270">
      <c r="B270" s="802"/>
      <c r="C270" s="802"/>
      <c r="D270" s="802"/>
      <c r="E270" s="802"/>
      <c r="F270" s="802"/>
      <c r="G270" s="803"/>
      <c r="H270" s="803"/>
      <c r="I270" s="803"/>
      <c r="J270" s="803"/>
      <c r="K270" s="803"/>
      <c r="L270" s="803"/>
      <c r="M270" s="804"/>
      <c r="N270" s="804"/>
      <c r="O270" s="804"/>
      <c r="P270" s="804"/>
    </row>
    <row r="271">
      <c r="B271" s="802"/>
      <c r="C271" s="802"/>
      <c r="D271" s="802"/>
      <c r="E271" s="802"/>
      <c r="F271" s="802"/>
      <c r="G271" s="803"/>
      <c r="H271" s="803"/>
      <c r="I271" s="803"/>
      <c r="J271" s="803"/>
      <c r="K271" s="803"/>
      <c r="L271" s="803"/>
      <c r="M271" s="804"/>
      <c r="N271" s="804"/>
      <c r="O271" s="804"/>
      <c r="P271" s="804"/>
    </row>
    <row r="272">
      <c r="B272" s="802"/>
      <c r="C272" s="802"/>
      <c r="D272" s="802"/>
      <c r="E272" s="802"/>
      <c r="F272" s="802"/>
      <c r="G272" s="803"/>
      <c r="H272" s="803"/>
      <c r="I272" s="803"/>
      <c r="J272" s="803"/>
      <c r="K272" s="803"/>
      <c r="L272" s="803"/>
      <c r="M272" s="804"/>
      <c r="N272" s="804"/>
      <c r="O272" s="804"/>
      <c r="P272" s="804"/>
    </row>
    <row r="273">
      <c r="B273" s="802"/>
      <c r="C273" s="802"/>
      <c r="D273" s="802"/>
      <c r="E273" s="802"/>
      <c r="F273" s="802"/>
      <c r="G273" s="803"/>
      <c r="H273" s="803"/>
      <c r="I273" s="803"/>
      <c r="J273" s="803"/>
      <c r="K273" s="803"/>
      <c r="L273" s="803"/>
      <c r="M273" s="804"/>
      <c r="N273" s="804"/>
      <c r="O273" s="804"/>
      <c r="P273" s="804"/>
    </row>
    <row r="274">
      <c r="B274" s="802"/>
      <c r="C274" s="802"/>
      <c r="D274" s="802"/>
      <c r="E274" s="802"/>
      <c r="F274" s="802"/>
      <c r="G274" s="803"/>
      <c r="H274" s="803"/>
      <c r="I274" s="803"/>
      <c r="J274" s="803"/>
      <c r="K274" s="803"/>
      <c r="L274" s="803"/>
      <c r="M274" s="804"/>
      <c r="N274" s="804"/>
      <c r="O274" s="804"/>
      <c r="P274" s="804"/>
    </row>
    <row r="275">
      <c r="B275" s="802"/>
      <c r="C275" s="802"/>
      <c r="D275" s="802"/>
      <c r="E275" s="802"/>
      <c r="F275" s="802"/>
      <c r="G275" s="803"/>
      <c r="H275" s="803"/>
      <c r="I275" s="803"/>
      <c r="J275" s="803"/>
      <c r="K275" s="803"/>
      <c r="L275" s="803"/>
      <c r="M275" s="804"/>
      <c r="N275" s="804"/>
      <c r="O275" s="804"/>
      <c r="P275" s="804"/>
    </row>
    <row r="276">
      <c r="B276" s="802"/>
      <c r="C276" s="802"/>
      <c r="D276" s="802"/>
      <c r="E276" s="802"/>
      <c r="F276" s="802"/>
      <c r="G276" s="803"/>
      <c r="H276" s="803"/>
      <c r="I276" s="803"/>
      <c r="J276" s="803"/>
      <c r="K276" s="803"/>
      <c r="L276" s="803"/>
      <c r="M276" s="804"/>
      <c r="N276" s="804"/>
      <c r="O276" s="804"/>
      <c r="P276" s="804"/>
    </row>
    <row r="277">
      <c r="B277" s="802"/>
      <c r="C277" s="802"/>
      <c r="D277" s="802"/>
      <c r="E277" s="802"/>
      <c r="F277" s="802"/>
      <c r="G277" s="803"/>
      <c r="H277" s="803"/>
      <c r="I277" s="803"/>
      <c r="J277" s="803"/>
      <c r="K277" s="803"/>
      <c r="L277" s="803"/>
      <c r="M277" s="804"/>
      <c r="N277" s="804"/>
      <c r="O277" s="804"/>
      <c r="P277" s="804"/>
    </row>
    <row r="278">
      <c r="B278" s="802"/>
      <c r="C278" s="802"/>
      <c r="D278" s="802"/>
      <c r="E278" s="802"/>
      <c r="F278" s="802"/>
      <c r="G278" s="803"/>
      <c r="H278" s="803"/>
      <c r="I278" s="803"/>
      <c r="J278" s="803"/>
      <c r="K278" s="803"/>
      <c r="L278" s="803"/>
      <c r="M278" s="804"/>
      <c r="N278" s="804"/>
      <c r="O278" s="804"/>
      <c r="P278" s="804"/>
    </row>
    <row r="279">
      <c r="B279" s="802"/>
      <c r="C279" s="802"/>
      <c r="D279" s="802"/>
      <c r="E279" s="802"/>
      <c r="F279" s="802"/>
      <c r="G279" s="803"/>
      <c r="H279" s="803"/>
      <c r="I279" s="803"/>
      <c r="J279" s="803"/>
      <c r="K279" s="803"/>
      <c r="L279" s="803"/>
      <c r="M279" s="804"/>
      <c r="N279" s="804"/>
      <c r="O279" s="804"/>
      <c r="P279" s="804"/>
    </row>
    <row r="280">
      <c r="B280" s="802"/>
      <c r="C280" s="802"/>
      <c r="D280" s="802"/>
      <c r="E280" s="802"/>
      <c r="F280" s="802"/>
      <c r="G280" s="803"/>
      <c r="H280" s="803"/>
      <c r="I280" s="803"/>
      <c r="J280" s="803"/>
      <c r="K280" s="803"/>
      <c r="L280" s="803"/>
      <c r="M280" s="804"/>
      <c r="N280" s="804"/>
      <c r="O280" s="804"/>
      <c r="P280" s="804"/>
    </row>
    <row r="281">
      <c r="B281" s="802"/>
      <c r="C281" s="802"/>
      <c r="D281" s="802"/>
      <c r="E281" s="802"/>
      <c r="F281" s="802"/>
      <c r="G281" s="803"/>
      <c r="H281" s="803"/>
      <c r="I281" s="803"/>
      <c r="J281" s="803"/>
      <c r="K281" s="803"/>
      <c r="L281" s="803"/>
      <c r="M281" s="804"/>
      <c r="N281" s="804"/>
      <c r="O281" s="804"/>
      <c r="P281" s="804"/>
    </row>
    <row r="282">
      <c r="B282" s="802"/>
      <c r="C282" s="802"/>
      <c r="D282" s="802"/>
      <c r="E282" s="802"/>
      <c r="F282" s="802"/>
      <c r="G282" s="803"/>
      <c r="H282" s="803"/>
      <c r="I282" s="803"/>
      <c r="J282" s="803"/>
      <c r="K282" s="803"/>
      <c r="L282" s="803"/>
      <c r="M282" s="804"/>
      <c r="N282" s="804"/>
      <c r="O282" s="804"/>
      <c r="P282" s="804"/>
    </row>
    <row r="283">
      <c r="B283" s="802"/>
      <c r="C283" s="802"/>
      <c r="D283" s="802"/>
      <c r="E283" s="802"/>
      <c r="F283" s="802"/>
      <c r="G283" s="803"/>
      <c r="H283" s="803"/>
      <c r="I283" s="803"/>
      <c r="J283" s="803"/>
      <c r="K283" s="803"/>
      <c r="L283" s="803"/>
      <c r="M283" s="804"/>
      <c r="N283" s="804"/>
      <c r="O283" s="804"/>
      <c r="P283" s="804"/>
    </row>
    <row r="284">
      <c r="B284" s="802"/>
      <c r="C284" s="802"/>
      <c r="D284" s="802"/>
      <c r="E284" s="802"/>
      <c r="F284" s="802"/>
      <c r="G284" s="803"/>
      <c r="H284" s="803"/>
      <c r="I284" s="803"/>
      <c r="J284" s="803"/>
      <c r="K284" s="803"/>
      <c r="L284" s="803"/>
      <c r="M284" s="804"/>
      <c r="N284" s="804"/>
      <c r="O284" s="804"/>
      <c r="P284" s="804"/>
    </row>
    <row r="285">
      <c r="B285" s="802"/>
      <c r="C285" s="802"/>
      <c r="D285" s="802"/>
      <c r="E285" s="802"/>
      <c r="F285" s="802"/>
      <c r="G285" s="803"/>
      <c r="H285" s="803"/>
      <c r="I285" s="803"/>
      <c r="J285" s="803"/>
      <c r="K285" s="803"/>
      <c r="L285" s="803"/>
      <c r="M285" s="804"/>
      <c r="N285" s="804"/>
      <c r="O285" s="804"/>
      <c r="P285" s="804"/>
    </row>
    <row r="286">
      <c r="B286" s="802"/>
      <c r="C286" s="802"/>
      <c r="D286" s="802"/>
      <c r="E286" s="802"/>
      <c r="F286" s="802"/>
      <c r="G286" s="803"/>
      <c r="H286" s="803"/>
      <c r="I286" s="803"/>
      <c r="J286" s="803"/>
      <c r="K286" s="803"/>
      <c r="L286" s="803"/>
      <c r="M286" s="804"/>
      <c r="N286" s="804"/>
      <c r="O286" s="804"/>
      <c r="P286" s="804"/>
    </row>
    <row r="287">
      <c r="B287" s="802"/>
      <c r="C287" s="802"/>
      <c r="D287" s="802"/>
      <c r="E287" s="802"/>
      <c r="F287" s="802"/>
      <c r="G287" s="803"/>
      <c r="H287" s="803"/>
      <c r="I287" s="803"/>
      <c r="J287" s="803"/>
      <c r="K287" s="803"/>
      <c r="L287" s="803"/>
      <c r="M287" s="804"/>
      <c r="N287" s="804"/>
      <c r="O287" s="804"/>
      <c r="P287" s="804"/>
    </row>
    <row r="288">
      <c r="B288" s="802"/>
      <c r="C288" s="802"/>
      <c r="D288" s="802"/>
      <c r="E288" s="802"/>
      <c r="F288" s="802"/>
      <c r="G288" s="803"/>
      <c r="H288" s="803"/>
      <c r="I288" s="803"/>
      <c r="J288" s="803"/>
      <c r="K288" s="803"/>
      <c r="L288" s="803"/>
      <c r="M288" s="804"/>
      <c r="N288" s="804"/>
      <c r="O288" s="804"/>
      <c r="P288" s="804"/>
    </row>
    <row r="289">
      <c r="B289" s="802"/>
      <c r="C289" s="802"/>
      <c r="D289" s="802"/>
      <c r="E289" s="802"/>
      <c r="F289" s="802"/>
      <c r="G289" s="803"/>
      <c r="H289" s="803"/>
      <c r="I289" s="803"/>
      <c r="J289" s="803"/>
      <c r="K289" s="803"/>
      <c r="L289" s="803"/>
      <c r="M289" s="804"/>
      <c r="N289" s="804"/>
      <c r="O289" s="804"/>
      <c r="P289" s="804"/>
    </row>
    <row r="290">
      <c r="B290" s="802"/>
      <c r="C290" s="802"/>
      <c r="D290" s="802"/>
      <c r="E290" s="802"/>
      <c r="F290" s="802"/>
      <c r="G290" s="803"/>
      <c r="H290" s="803"/>
      <c r="I290" s="803"/>
      <c r="J290" s="803"/>
      <c r="K290" s="803"/>
      <c r="L290" s="803"/>
      <c r="M290" s="804"/>
      <c r="N290" s="804"/>
      <c r="O290" s="804"/>
      <c r="P290" s="804"/>
    </row>
    <row r="291">
      <c r="B291" s="802"/>
      <c r="C291" s="802"/>
      <c r="D291" s="802"/>
      <c r="E291" s="802"/>
      <c r="F291" s="802"/>
      <c r="G291" s="803"/>
      <c r="H291" s="803"/>
      <c r="I291" s="803"/>
      <c r="J291" s="803"/>
      <c r="K291" s="803"/>
      <c r="L291" s="803"/>
      <c r="M291" s="804"/>
      <c r="N291" s="804"/>
      <c r="O291" s="804"/>
      <c r="P291" s="804"/>
    </row>
    <row r="292">
      <c r="B292" s="802"/>
      <c r="C292" s="802"/>
      <c r="D292" s="802"/>
      <c r="E292" s="802"/>
      <c r="F292" s="802"/>
      <c r="G292" s="803"/>
      <c r="H292" s="803"/>
      <c r="I292" s="803"/>
      <c r="J292" s="803"/>
      <c r="K292" s="803"/>
      <c r="L292" s="803"/>
      <c r="M292" s="804"/>
      <c r="N292" s="804"/>
      <c r="O292" s="804"/>
      <c r="P292" s="804"/>
    </row>
    <row r="293">
      <c r="B293" s="802"/>
      <c r="C293" s="802"/>
      <c r="D293" s="802"/>
      <c r="E293" s="802"/>
      <c r="F293" s="802"/>
      <c r="G293" s="803"/>
      <c r="H293" s="803"/>
      <c r="I293" s="803"/>
      <c r="J293" s="803"/>
      <c r="K293" s="803"/>
      <c r="L293" s="803"/>
      <c r="M293" s="804"/>
      <c r="N293" s="804"/>
      <c r="O293" s="804"/>
      <c r="P293" s="804"/>
    </row>
    <row r="294">
      <c r="B294" s="802"/>
      <c r="C294" s="802"/>
      <c r="D294" s="802"/>
      <c r="E294" s="802"/>
      <c r="F294" s="802"/>
      <c r="G294" s="803"/>
      <c r="H294" s="803"/>
      <c r="I294" s="803"/>
      <c r="J294" s="803"/>
      <c r="K294" s="803"/>
      <c r="L294" s="803"/>
      <c r="M294" s="804"/>
      <c r="N294" s="804"/>
      <c r="O294" s="804"/>
      <c r="P294" s="804"/>
    </row>
    <row r="295">
      <c r="B295" s="802"/>
      <c r="C295" s="802"/>
      <c r="D295" s="802"/>
      <c r="E295" s="802"/>
      <c r="F295" s="802"/>
      <c r="G295" s="803"/>
      <c r="H295" s="803"/>
      <c r="I295" s="803"/>
      <c r="J295" s="803"/>
      <c r="K295" s="803"/>
      <c r="L295" s="803"/>
      <c r="M295" s="804"/>
      <c r="N295" s="804"/>
      <c r="O295" s="804"/>
      <c r="P295" s="804"/>
    </row>
    <row r="296">
      <c r="B296" s="802"/>
      <c r="C296" s="802"/>
      <c r="D296" s="802"/>
      <c r="E296" s="802"/>
      <c r="F296" s="802"/>
      <c r="G296" s="803"/>
      <c r="H296" s="803"/>
      <c r="I296" s="803"/>
      <c r="J296" s="803"/>
      <c r="K296" s="803"/>
      <c r="L296" s="803"/>
      <c r="M296" s="804"/>
      <c r="N296" s="804"/>
      <c r="O296" s="804"/>
      <c r="P296" s="804"/>
    </row>
    <row r="297">
      <c r="B297" s="802"/>
      <c r="C297" s="802"/>
      <c r="D297" s="802"/>
      <c r="E297" s="802"/>
      <c r="F297" s="802"/>
      <c r="G297" s="803"/>
      <c r="H297" s="803"/>
      <c r="I297" s="803"/>
      <c r="J297" s="803"/>
      <c r="K297" s="803"/>
      <c r="L297" s="803"/>
      <c r="M297" s="804"/>
      <c r="N297" s="804"/>
      <c r="O297" s="804"/>
      <c r="P297" s="804"/>
    </row>
    <row r="298">
      <c r="B298" s="802"/>
      <c r="C298" s="802"/>
      <c r="D298" s="802"/>
      <c r="E298" s="802"/>
      <c r="F298" s="802"/>
      <c r="G298" s="803"/>
      <c r="H298" s="803"/>
      <c r="I298" s="803"/>
      <c r="J298" s="803"/>
      <c r="K298" s="803"/>
      <c r="L298" s="803"/>
      <c r="M298" s="804"/>
      <c r="N298" s="804"/>
      <c r="O298" s="804"/>
      <c r="P298" s="804"/>
    </row>
    <row r="299">
      <c r="B299" s="802"/>
      <c r="C299" s="802"/>
      <c r="D299" s="802"/>
      <c r="E299" s="802"/>
      <c r="F299" s="802"/>
      <c r="G299" s="803"/>
      <c r="H299" s="803"/>
      <c r="I299" s="803"/>
      <c r="J299" s="803"/>
      <c r="K299" s="803"/>
      <c r="L299" s="803"/>
      <c r="M299" s="804"/>
      <c r="N299" s="804"/>
      <c r="O299" s="804"/>
      <c r="P299" s="804"/>
    </row>
    <row r="300">
      <c r="B300" s="802"/>
      <c r="C300" s="802"/>
      <c r="D300" s="802"/>
      <c r="E300" s="802"/>
      <c r="F300" s="802"/>
      <c r="G300" s="803"/>
      <c r="H300" s="803"/>
      <c r="I300" s="803"/>
      <c r="J300" s="803"/>
      <c r="K300" s="803"/>
      <c r="L300" s="803"/>
      <c r="M300" s="804"/>
      <c r="N300" s="804"/>
      <c r="O300" s="804"/>
      <c r="P300" s="804"/>
    </row>
    <row r="301">
      <c r="B301" s="802"/>
      <c r="C301" s="802"/>
      <c r="D301" s="802"/>
      <c r="E301" s="802"/>
      <c r="F301" s="802"/>
      <c r="G301" s="803"/>
      <c r="H301" s="803"/>
      <c r="I301" s="803"/>
      <c r="J301" s="803"/>
      <c r="K301" s="803"/>
      <c r="L301" s="803"/>
      <c r="M301" s="804"/>
      <c r="N301" s="804"/>
      <c r="O301" s="804"/>
      <c r="P301" s="804"/>
    </row>
    <row r="302">
      <c r="B302" s="802"/>
      <c r="C302" s="802"/>
      <c r="D302" s="802"/>
      <c r="E302" s="802"/>
      <c r="F302" s="802"/>
      <c r="G302" s="803"/>
      <c r="H302" s="803"/>
      <c r="I302" s="803"/>
      <c r="J302" s="803"/>
      <c r="K302" s="803"/>
      <c r="L302" s="803"/>
      <c r="M302" s="804"/>
      <c r="N302" s="804"/>
      <c r="O302" s="804"/>
      <c r="P302" s="804"/>
    </row>
    <row r="303">
      <c r="B303" s="802"/>
      <c r="C303" s="802"/>
      <c r="D303" s="802"/>
      <c r="E303" s="802"/>
      <c r="F303" s="802"/>
      <c r="G303" s="803"/>
      <c r="H303" s="803"/>
      <c r="I303" s="803"/>
      <c r="J303" s="803"/>
      <c r="K303" s="803"/>
      <c r="L303" s="803"/>
      <c r="M303" s="804"/>
      <c r="N303" s="804"/>
      <c r="O303" s="804"/>
      <c r="P303" s="804"/>
    </row>
    <row r="304">
      <c r="B304" s="802"/>
      <c r="C304" s="802"/>
      <c r="D304" s="802"/>
      <c r="E304" s="802"/>
      <c r="F304" s="802"/>
      <c r="G304" s="803"/>
      <c r="H304" s="803"/>
      <c r="I304" s="803"/>
      <c r="J304" s="803"/>
      <c r="K304" s="803"/>
      <c r="L304" s="803"/>
      <c r="M304" s="804"/>
      <c r="N304" s="804"/>
      <c r="O304" s="804"/>
      <c r="P304" s="804"/>
    </row>
    <row r="305">
      <c r="B305" s="802"/>
      <c r="C305" s="802"/>
      <c r="D305" s="802"/>
      <c r="E305" s="802"/>
      <c r="F305" s="802"/>
      <c r="G305" s="803"/>
      <c r="H305" s="803"/>
      <c r="I305" s="803"/>
      <c r="J305" s="803"/>
      <c r="K305" s="803"/>
      <c r="L305" s="803"/>
      <c r="M305" s="804"/>
      <c r="N305" s="804"/>
      <c r="O305" s="804"/>
      <c r="P305" s="804"/>
    </row>
    <row r="306">
      <c r="B306" s="802"/>
      <c r="C306" s="802"/>
      <c r="D306" s="802"/>
      <c r="E306" s="802"/>
      <c r="F306" s="802"/>
      <c r="G306" s="803"/>
      <c r="H306" s="803"/>
      <c r="I306" s="803"/>
      <c r="J306" s="803"/>
      <c r="K306" s="803"/>
      <c r="L306" s="803"/>
      <c r="M306" s="804"/>
      <c r="N306" s="804"/>
      <c r="O306" s="804"/>
      <c r="P306" s="804"/>
    </row>
    <row r="307">
      <c r="B307" s="802"/>
      <c r="C307" s="802"/>
      <c r="D307" s="802"/>
      <c r="E307" s="802"/>
      <c r="F307" s="802"/>
      <c r="G307" s="803"/>
      <c r="H307" s="803"/>
      <c r="I307" s="803"/>
      <c r="J307" s="803"/>
      <c r="K307" s="803"/>
      <c r="L307" s="803"/>
      <c r="M307" s="804"/>
      <c r="N307" s="804"/>
      <c r="O307" s="804"/>
      <c r="P307" s="804"/>
    </row>
    <row r="308">
      <c r="B308" s="802"/>
      <c r="C308" s="802"/>
      <c r="D308" s="802"/>
      <c r="E308" s="802"/>
      <c r="F308" s="802"/>
      <c r="G308" s="803"/>
      <c r="H308" s="803"/>
      <c r="I308" s="803"/>
      <c r="J308" s="803"/>
      <c r="K308" s="803"/>
      <c r="L308" s="803"/>
      <c r="M308" s="804"/>
      <c r="N308" s="804"/>
      <c r="O308" s="804"/>
      <c r="P308" s="804"/>
    </row>
    <row r="309">
      <c r="B309" s="802"/>
      <c r="C309" s="802"/>
      <c r="D309" s="802"/>
      <c r="E309" s="802"/>
      <c r="F309" s="802"/>
      <c r="G309" s="803"/>
      <c r="H309" s="803"/>
      <c r="I309" s="803"/>
      <c r="J309" s="803"/>
      <c r="K309" s="803"/>
      <c r="L309" s="803"/>
      <c r="M309" s="804"/>
      <c r="N309" s="804"/>
      <c r="O309" s="804"/>
      <c r="P309" s="804"/>
    </row>
    <row r="310">
      <c r="B310" s="802"/>
      <c r="C310" s="802"/>
      <c r="D310" s="802"/>
      <c r="E310" s="802"/>
      <c r="F310" s="802"/>
      <c r="G310" s="803"/>
      <c r="H310" s="803"/>
      <c r="I310" s="803"/>
      <c r="J310" s="803"/>
      <c r="K310" s="803"/>
      <c r="L310" s="803"/>
      <c r="M310" s="804"/>
      <c r="N310" s="804"/>
      <c r="O310" s="804"/>
      <c r="P310" s="804"/>
    </row>
    <row r="311">
      <c r="B311" s="802"/>
      <c r="C311" s="802"/>
      <c r="D311" s="802"/>
      <c r="E311" s="802"/>
      <c r="F311" s="802"/>
      <c r="G311" s="803"/>
      <c r="H311" s="803"/>
      <c r="I311" s="803"/>
      <c r="J311" s="803"/>
      <c r="K311" s="803"/>
      <c r="L311" s="803"/>
      <c r="M311" s="804"/>
      <c r="N311" s="804"/>
      <c r="O311" s="804"/>
      <c r="P311" s="804"/>
    </row>
    <row r="312">
      <c r="B312" s="802"/>
      <c r="C312" s="802"/>
      <c r="D312" s="802"/>
      <c r="E312" s="802"/>
      <c r="F312" s="802"/>
      <c r="G312" s="803"/>
      <c r="H312" s="803"/>
      <c r="I312" s="803"/>
      <c r="J312" s="803"/>
      <c r="K312" s="803"/>
      <c r="L312" s="803"/>
      <c r="M312" s="804"/>
      <c r="N312" s="804"/>
      <c r="O312" s="804"/>
      <c r="P312" s="804"/>
    </row>
    <row r="313">
      <c r="B313" s="802"/>
      <c r="C313" s="802"/>
      <c r="D313" s="802"/>
      <c r="E313" s="802"/>
      <c r="F313" s="802"/>
      <c r="G313" s="803"/>
      <c r="H313" s="803"/>
      <c r="I313" s="803"/>
      <c r="J313" s="803"/>
      <c r="K313" s="803"/>
      <c r="L313" s="803"/>
      <c r="M313" s="804"/>
      <c r="N313" s="804"/>
      <c r="O313" s="804"/>
      <c r="P313" s="804"/>
    </row>
    <row r="314">
      <c r="B314" s="802"/>
      <c r="C314" s="802"/>
      <c r="D314" s="802"/>
      <c r="E314" s="802"/>
      <c r="F314" s="802"/>
      <c r="G314" s="803"/>
      <c r="H314" s="803"/>
      <c r="I314" s="803"/>
      <c r="J314" s="803"/>
      <c r="K314" s="803"/>
      <c r="L314" s="803"/>
      <c r="M314" s="804"/>
      <c r="N314" s="804"/>
      <c r="O314" s="804"/>
      <c r="P314" s="804"/>
    </row>
    <row r="315">
      <c r="B315" s="802"/>
      <c r="C315" s="802"/>
      <c r="D315" s="802"/>
      <c r="E315" s="802"/>
      <c r="F315" s="802"/>
      <c r="G315" s="803"/>
      <c r="H315" s="803"/>
      <c r="I315" s="803"/>
      <c r="J315" s="803"/>
      <c r="K315" s="803"/>
      <c r="L315" s="803"/>
      <c r="M315" s="804"/>
      <c r="N315" s="804"/>
      <c r="O315" s="804"/>
      <c r="P315" s="804"/>
    </row>
    <row r="316">
      <c r="B316" s="802"/>
      <c r="C316" s="802"/>
      <c r="D316" s="802"/>
      <c r="E316" s="802"/>
      <c r="F316" s="802"/>
      <c r="G316" s="803"/>
      <c r="H316" s="803"/>
      <c r="I316" s="803"/>
      <c r="J316" s="803"/>
      <c r="K316" s="803"/>
      <c r="L316" s="803"/>
      <c r="M316" s="804"/>
      <c r="N316" s="804"/>
      <c r="O316" s="804"/>
      <c r="P316" s="804"/>
    </row>
    <row r="317">
      <c r="B317" s="802"/>
      <c r="C317" s="802"/>
      <c r="D317" s="802"/>
      <c r="E317" s="802"/>
      <c r="F317" s="802"/>
      <c r="G317" s="803"/>
      <c r="H317" s="803"/>
      <c r="I317" s="803"/>
      <c r="J317" s="803"/>
      <c r="K317" s="803"/>
      <c r="L317" s="803"/>
      <c r="M317" s="804"/>
      <c r="N317" s="804"/>
      <c r="O317" s="804"/>
      <c r="P317" s="804"/>
    </row>
    <row r="318">
      <c r="B318" s="802"/>
      <c r="C318" s="802"/>
      <c r="D318" s="802"/>
      <c r="E318" s="802"/>
      <c r="F318" s="802"/>
      <c r="G318" s="803"/>
      <c r="H318" s="803"/>
      <c r="I318" s="803"/>
      <c r="J318" s="803"/>
      <c r="K318" s="803"/>
      <c r="L318" s="803"/>
      <c r="M318" s="804"/>
      <c r="N318" s="804"/>
      <c r="O318" s="804"/>
      <c r="P318" s="804"/>
    </row>
    <row r="319">
      <c r="B319" s="802"/>
      <c r="C319" s="802"/>
      <c r="D319" s="802"/>
      <c r="E319" s="802"/>
      <c r="F319" s="802"/>
      <c r="G319" s="803"/>
      <c r="H319" s="803"/>
      <c r="I319" s="803"/>
      <c r="J319" s="803"/>
      <c r="K319" s="803"/>
      <c r="L319" s="803"/>
      <c r="M319" s="804"/>
      <c r="N319" s="804"/>
      <c r="O319" s="804"/>
      <c r="P319" s="804"/>
    </row>
    <row r="320">
      <c r="B320" s="802"/>
      <c r="C320" s="802"/>
      <c r="D320" s="802"/>
      <c r="E320" s="802"/>
      <c r="F320" s="802"/>
      <c r="G320" s="803"/>
      <c r="H320" s="803"/>
      <c r="I320" s="803"/>
      <c r="J320" s="803"/>
      <c r="K320" s="803"/>
      <c r="L320" s="803"/>
      <c r="M320" s="804"/>
      <c r="N320" s="804"/>
      <c r="O320" s="804"/>
      <c r="P320" s="804"/>
    </row>
    <row r="321">
      <c r="B321" s="802"/>
      <c r="C321" s="802"/>
      <c r="D321" s="802"/>
      <c r="E321" s="802"/>
      <c r="F321" s="802"/>
      <c r="G321" s="803"/>
      <c r="H321" s="803"/>
      <c r="I321" s="803"/>
      <c r="J321" s="803"/>
      <c r="K321" s="803"/>
      <c r="L321" s="803"/>
      <c r="M321" s="804"/>
      <c r="N321" s="804"/>
      <c r="O321" s="804"/>
      <c r="P321" s="804"/>
    </row>
    <row r="322">
      <c r="B322" s="802"/>
      <c r="C322" s="802"/>
      <c r="D322" s="802"/>
      <c r="E322" s="802"/>
      <c r="F322" s="802"/>
      <c r="G322" s="803"/>
      <c r="H322" s="803"/>
      <c r="I322" s="803"/>
      <c r="J322" s="803"/>
      <c r="K322" s="803"/>
      <c r="L322" s="803"/>
      <c r="M322" s="804"/>
      <c r="N322" s="804"/>
      <c r="O322" s="804"/>
      <c r="P322" s="804"/>
    </row>
    <row r="323">
      <c r="B323" s="802"/>
      <c r="C323" s="802"/>
      <c r="D323" s="802"/>
      <c r="E323" s="802"/>
      <c r="F323" s="802"/>
      <c r="G323" s="803"/>
      <c r="H323" s="803"/>
      <c r="I323" s="803"/>
      <c r="J323" s="803"/>
      <c r="K323" s="803"/>
      <c r="L323" s="803"/>
      <c r="M323" s="804"/>
      <c r="N323" s="804"/>
      <c r="O323" s="804"/>
      <c r="P323" s="804"/>
    </row>
    <row r="324">
      <c r="B324" s="802"/>
      <c r="C324" s="802"/>
      <c r="D324" s="802"/>
      <c r="E324" s="802"/>
      <c r="F324" s="802"/>
      <c r="G324" s="803"/>
      <c r="H324" s="803"/>
      <c r="I324" s="803"/>
      <c r="J324" s="803"/>
      <c r="K324" s="803"/>
      <c r="L324" s="803"/>
      <c r="M324" s="804"/>
      <c r="N324" s="804"/>
      <c r="O324" s="804"/>
      <c r="P324" s="804"/>
    </row>
    <row r="325">
      <c r="B325" s="802"/>
      <c r="C325" s="802"/>
      <c r="D325" s="802"/>
      <c r="E325" s="802"/>
      <c r="F325" s="802"/>
      <c r="G325" s="803"/>
      <c r="H325" s="803"/>
      <c r="I325" s="803"/>
      <c r="J325" s="803"/>
      <c r="K325" s="803"/>
      <c r="L325" s="803"/>
      <c r="M325" s="804"/>
      <c r="N325" s="804"/>
      <c r="O325" s="804"/>
      <c r="P325" s="804"/>
    </row>
    <row r="326">
      <c r="B326" s="802"/>
      <c r="C326" s="802"/>
      <c r="D326" s="802"/>
      <c r="E326" s="802"/>
      <c r="F326" s="802"/>
      <c r="G326" s="803"/>
      <c r="H326" s="803"/>
      <c r="I326" s="803"/>
      <c r="J326" s="803"/>
      <c r="K326" s="803"/>
      <c r="L326" s="803"/>
      <c r="M326" s="804"/>
      <c r="N326" s="804"/>
      <c r="O326" s="804"/>
      <c r="P326" s="804"/>
    </row>
    <row r="327">
      <c r="B327" s="802"/>
      <c r="C327" s="802"/>
      <c r="D327" s="802"/>
      <c r="E327" s="802"/>
      <c r="F327" s="802"/>
      <c r="G327" s="803"/>
      <c r="H327" s="803"/>
      <c r="I327" s="803"/>
      <c r="J327" s="803"/>
      <c r="K327" s="803"/>
      <c r="L327" s="803"/>
      <c r="M327" s="804"/>
      <c r="N327" s="804"/>
      <c r="O327" s="804"/>
      <c r="P327" s="804"/>
    </row>
    <row r="328">
      <c r="B328" s="802"/>
      <c r="C328" s="802"/>
      <c r="D328" s="802"/>
      <c r="E328" s="802"/>
      <c r="F328" s="802"/>
      <c r="G328" s="803"/>
      <c r="H328" s="803"/>
      <c r="I328" s="803"/>
      <c r="J328" s="803"/>
      <c r="K328" s="803"/>
      <c r="L328" s="803"/>
      <c r="M328" s="804"/>
      <c r="N328" s="804"/>
      <c r="O328" s="804"/>
      <c r="P328" s="804"/>
    </row>
    <row r="329">
      <c r="B329" s="802"/>
      <c r="C329" s="802"/>
      <c r="D329" s="802"/>
      <c r="E329" s="802"/>
      <c r="F329" s="802"/>
      <c r="G329" s="803"/>
      <c r="H329" s="803"/>
      <c r="I329" s="803"/>
      <c r="J329" s="803"/>
      <c r="K329" s="803"/>
      <c r="L329" s="803"/>
      <c r="M329" s="804"/>
      <c r="N329" s="804"/>
      <c r="O329" s="804"/>
      <c r="P329" s="804"/>
    </row>
    <row r="330">
      <c r="B330" s="802"/>
      <c r="C330" s="802"/>
      <c r="D330" s="802"/>
      <c r="E330" s="802"/>
      <c r="F330" s="802"/>
      <c r="G330" s="803"/>
      <c r="H330" s="803"/>
      <c r="I330" s="803"/>
      <c r="J330" s="803"/>
      <c r="K330" s="803"/>
      <c r="L330" s="803"/>
      <c r="M330" s="804"/>
      <c r="N330" s="804"/>
      <c r="O330" s="804"/>
      <c r="P330" s="804"/>
    </row>
    <row r="331">
      <c r="B331" s="802"/>
      <c r="C331" s="802"/>
      <c r="D331" s="802"/>
      <c r="E331" s="802"/>
      <c r="F331" s="802"/>
      <c r="G331" s="803"/>
      <c r="H331" s="803"/>
      <c r="I331" s="803"/>
      <c r="J331" s="803"/>
      <c r="K331" s="803"/>
      <c r="L331" s="803"/>
      <c r="M331" s="804"/>
      <c r="N331" s="804"/>
      <c r="O331" s="804"/>
      <c r="P331" s="804"/>
    </row>
    <row r="332">
      <c r="B332" s="802"/>
      <c r="C332" s="802"/>
      <c r="D332" s="802"/>
      <c r="E332" s="802"/>
      <c r="F332" s="802"/>
      <c r="G332" s="803"/>
      <c r="H332" s="803"/>
      <c r="I332" s="803"/>
      <c r="J332" s="803"/>
      <c r="K332" s="803"/>
      <c r="L332" s="803"/>
      <c r="M332" s="804"/>
      <c r="N332" s="804"/>
      <c r="O332" s="804"/>
      <c r="P332" s="804"/>
    </row>
    <row r="333">
      <c r="B333" s="802"/>
      <c r="C333" s="802"/>
      <c r="D333" s="802"/>
      <c r="E333" s="802"/>
      <c r="F333" s="802"/>
      <c r="G333" s="803"/>
      <c r="H333" s="803"/>
      <c r="I333" s="803"/>
      <c r="J333" s="803"/>
      <c r="K333" s="803"/>
      <c r="L333" s="803"/>
      <c r="M333" s="804"/>
      <c r="N333" s="804"/>
      <c r="O333" s="804"/>
      <c r="P333" s="804"/>
    </row>
    <row r="334">
      <c r="B334" s="802"/>
      <c r="C334" s="802"/>
      <c r="D334" s="802"/>
      <c r="E334" s="802"/>
      <c r="F334" s="802"/>
      <c r="G334" s="803"/>
      <c r="H334" s="803"/>
      <c r="I334" s="803"/>
      <c r="J334" s="803"/>
      <c r="K334" s="803"/>
      <c r="L334" s="803"/>
      <c r="M334" s="804"/>
      <c r="N334" s="804"/>
      <c r="O334" s="804"/>
      <c r="P334" s="804"/>
    </row>
    <row r="335">
      <c r="B335" s="802"/>
      <c r="C335" s="802"/>
      <c r="D335" s="802"/>
      <c r="E335" s="802"/>
      <c r="F335" s="802"/>
      <c r="G335" s="803"/>
      <c r="H335" s="803"/>
      <c r="I335" s="803"/>
      <c r="J335" s="803"/>
      <c r="K335" s="803"/>
      <c r="L335" s="803"/>
      <c r="M335" s="804"/>
      <c r="N335" s="804"/>
      <c r="O335" s="804"/>
      <c r="P335" s="804"/>
    </row>
    <row r="336">
      <c r="B336" s="802"/>
      <c r="C336" s="802"/>
      <c r="D336" s="802"/>
      <c r="E336" s="802"/>
      <c r="F336" s="802"/>
      <c r="G336" s="803"/>
      <c r="H336" s="803"/>
      <c r="I336" s="803"/>
      <c r="J336" s="803"/>
      <c r="K336" s="803"/>
      <c r="L336" s="803"/>
      <c r="M336" s="804"/>
      <c r="N336" s="804"/>
      <c r="O336" s="804"/>
      <c r="P336" s="804"/>
    </row>
    <row r="337">
      <c r="B337" s="802"/>
      <c r="C337" s="802"/>
      <c r="D337" s="802"/>
      <c r="E337" s="802"/>
      <c r="F337" s="802"/>
      <c r="G337" s="803"/>
      <c r="H337" s="803"/>
      <c r="I337" s="803"/>
      <c r="J337" s="803"/>
      <c r="K337" s="803"/>
      <c r="L337" s="803"/>
      <c r="M337" s="804"/>
      <c r="N337" s="804"/>
      <c r="O337" s="804"/>
      <c r="P337" s="804"/>
    </row>
    <row r="338">
      <c r="B338" s="802"/>
      <c r="C338" s="802"/>
      <c r="D338" s="802"/>
      <c r="E338" s="802"/>
      <c r="F338" s="802"/>
      <c r="G338" s="803"/>
      <c r="H338" s="803"/>
      <c r="I338" s="803"/>
      <c r="J338" s="803"/>
      <c r="K338" s="803"/>
      <c r="L338" s="803"/>
      <c r="M338" s="804"/>
      <c r="N338" s="804"/>
      <c r="O338" s="804"/>
      <c r="P338" s="804"/>
    </row>
    <row r="339">
      <c r="B339" s="802"/>
      <c r="C339" s="802"/>
      <c r="D339" s="802"/>
      <c r="E339" s="802"/>
      <c r="F339" s="802"/>
      <c r="G339" s="803"/>
      <c r="H339" s="803"/>
      <c r="I339" s="803"/>
      <c r="J339" s="803"/>
      <c r="K339" s="803"/>
      <c r="L339" s="803"/>
      <c r="M339" s="804"/>
      <c r="N339" s="804"/>
      <c r="O339" s="804"/>
      <c r="P339" s="804"/>
    </row>
    <row r="340">
      <c r="B340" s="802"/>
      <c r="C340" s="802"/>
      <c r="D340" s="802"/>
      <c r="E340" s="802"/>
      <c r="F340" s="802"/>
      <c r="G340" s="803"/>
      <c r="H340" s="803"/>
      <c r="I340" s="803"/>
      <c r="J340" s="803"/>
      <c r="K340" s="803"/>
      <c r="L340" s="803"/>
      <c r="M340" s="804"/>
      <c r="N340" s="804"/>
      <c r="O340" s="804"/>
      <c r="P340" s="804"/>
    </row>
    <row r="341">
      <c r="B341" s="802"/>
      <c r="C341" s="802"/>
      <c r="D341" s="802"/>
      <c r="E341" s="802"/>
      <c r="F341" s="802"/>
      <c r="G341" s="803"/>
      <c r="H341" s="803"/>
      <c r="I341" s="803"/>
      <c r="J341" s="803"/>
      <c r="K341" s="803"/>
      <c r="L341" s="803"/>
      <c r="M341" s="804"/>
      <c r="N341" s="804"/>
      <c r="O341" s="804"/>
      <c r="P341" s="804"/>
    </row>
    <row r="342">
      <c r="B342" s="802"/>
      <c r="C342" s="802"/>
      <c r="D342" s="802"/>
      <c r="E342" s="802"/>
      <c r="F342" s="802"/>
      <c r="G342" s="803"/>
      <c r="H342" s="803"/>
      <c r="I342" s="803"/>
      <c r="J342" s="803"/>
      <c r="K342" s="803"/>
      <c r="L342" s="803"/>
      <c r="M342" s="804"/>
      <c r="N342" s="804"/>
      <c r="O342" s="804"/>
      <c r="P342" s="804"/>
    </row>
    <row r="343">
      <c r="B343" s="802"/>
      <c r="C343" s="802"/>
      <c r="D343" s="802"/>
      <c r="E343" s="802"/>
      <c r="F343" s="802"/>
      <c r="G343" s="803"/>
      <c r="H343" s="803"/>
      <c r="I343" s="803"/>
      <c r="J343" s="803"/>
      <c r="K343" s="803"/>
      <c r="L343" s="803"/>
      <c r="M343" s="804"/>
      <c r="N343" s="804"/>
      <c r="O343" s="804"/>
      <c r="P343" s="804"/>
    </row>
    <row r="344">
      <c r="B344" s="802"/>
      <c r="C344" s="802"/>
      <c r="D344" s="802"/>
      <c r="E344" s="802"/>
      <c r="F344" s="802"/>
      <c r="G344" s="803"/>
      <c r="H344" s="803"/>
      <c r="I344" s="803"/>
      <c r="J344" s="803"/>
      <c r="K344" s="803"/>
      <c r="L344" s="803"/>
      <c r="M344" s="804"/>
      <c r="N344" s="804"/>
      <c r="O344" s="804"/>
      <c r="P344" s="804"/>
    </row>
    <row r="345">
      <c r="B345" s="802"/>
      <c r="C345" s="802"/>
      <c r="D345" s="802"/>
      <c r="E345" s="802"/>
      <c r="F345" s="802"/>
      <c r="G345" s="803"/>
      <c r="H345" s="803"/>
      <c r="I345" s="803"/>
      <c r="J345" s="803"/>
      <c r="K345" s="803"/>
      <c r="L345" s="803"/>
      <c r="M345" s="804"/>
      <c r="N345" s="804"/>
      <c r="O345" s="804"/>
      <c r="P345" s="804"/>
    </row>
    <row r="346">
      <c r="B346" s="802"/>
      <c r="C346" s="802"/>
      <c r="D346" s="802"/>
      <c r="E346" s="802"/>
      <c r="F346" s="802"/>
      <c r="G346" s="803"/>
      <c r="H346" s="803"/>
      <c r="I346" s="803"/>
      <c r="J346" s="803"/>
      <c r="K346" s="803"/>
      <c r="L346" s="803"/>
      <c r="M346" s="804"/>
      <c r="N346" s="804"/>
      <c r="O346" s="804"/>
      <c r="P346" s="804"/>
    </row>
    <row r="347">
      <c r="B347" s="802"/>
      <c r="C347" s="802"/>
      <c r="D347" s="802"/>
      <c r="E347" s="802"/>
      <c r="F347" s="802"/>
      <c r="G347" s="803"/>
      <c r="H347" s="803"/>
      <c r="I347" s="803"/>
      <c r="J347" s="803"/>
      <c r="K347" s="803"/>
      <c r="L347" s="803"/>
      <c r="M347" s="804"/>
      <c r="N347" s="804"/>
      <c r="O347" s="804"/>
      <c r="P347" s="804"/>
    </row>
    <row r="348">
      <c r="B348" s="802"/>
      <c r="C348" s="802"/>
      <c r="D348" s="802"/>
      <c r="E348" s="802"/>
      <c r="F348" s="802"/>
      <c r="G348" s="803"/>
      <c r="H348" s="803"/>
      <c r="I348" s="803"/>
      <c r="J348" s="803"/>
      <c r="K348" s="803"/>
      <c r="L348" s="803"/>
      <c r="M348" s="804"/>
      <c r="N348" s="804"/>
      <c r="O348" s="804"/>
      <c r="P348" s="804"/>
    </row>
    <row r="349">
      <c r="B349" s="802"/>
      <c r="C349" s="802"/>
      <c r="D349" s="802"/>
      <c r="E349" s="802"/>
      <c r="F349" s="802"/>
      <c r="G349" s="803"/>
      <c r="H349" s="803"/>
      <c r="I349" s="803"/>
      <c r="J349" s="803"/>
      <c r="K349" s="803"/>
      <c r="L349" s="803"/>
      <c r="M349" s="804"/>
      <c r="N349" s="804"/>
      <c r="O349" s="804"/>
      <c r="P349" s="804"/>
    </row>
    <row r="350">
      <c r="B350" s="802"/>
      <c r="C350" s="802"/>
      <c r="D350" s="802"/>
      <c r="E350" s="802"/>
      <c r="F350" s="802"/>
      <c r="G350" s="803"/>
      <c r="H350" s="803"/>
      <c r="I350" s="803"/>
      <c r="J350" s="803"/>
      <c r="K350" s="803"/>
      <c r="L350" s="803"/>
      <c r="M350" s="804"/>
      <c r="N350" s="804"/>
      <c r="O350" s="804"/>
      <c r="P350" s="804"/>
    </row>
    <row r="351">
      <c r="B351" s="802"/>
      <c r="C351" s="802"/>
      <c r="D351" s="802"/>
      <c r="E351" s="802"/>
      <c r="F351" s="802"/>
      <c r="G351" s="803"/>
      <c r="H351" s="803"/>
      <c r="I351" s="803"/>
      <c r="J351" s="803"/>
      <c r="K351" s="803"/>
      <c r="L351" s="803"/>
      <c r="M351" s="804"/>
      <c r="N351" s="804"/>
      <c r="O351" s="804"/>
      <c r="P351" s="804"/>
    </row>
    <row r="352">
      <c r="B352" s="802"/>
      <c r="C352" s="802"/>
      <c r="D352" s="802"/>
      <c r="E352" s="802"/>
      <c r="F352" s="802"/>
      <c r="G352" s="803"/>
      <c r="H352" s="803"/>
      <c r="I352" s="803"/>
      <c r="J352" s="803"/>
      <c r="K352" s="803"/>
      <c r="L352" s="803"/>
      <c r="M352" s="804"/>
      <c r="N352" s="804"/>
      <c r="O352" s="804"/>
      <c r="P352" s="804"/>
    </row>
    <row r="353">
      <c r="B353" s="802"/>
      <c r="C353" s="802"/>
      <c r="D353" s="802"/>
      <c r="E353" s="802"/>
      <c r="F353" s="802"/>
      <c r="G353" s="803"/>
      <c r="H353" s="803"/>
      <c r="I353" s="803"/>
      <c r="J353" s="803"/>
      <c r="K353" s="803"/>
      <c r="L353" s="803"/>
      <c r="M353" s="804"/>
      <c r="N353" s="804"/>
      <c r="O353" s="804"/>
      <c r="P353" s="804"/>
    </row>
    <row r="354">
      <c r="B354" s="802"/>
      <c r="C354" s="802"/>
      <c r="D354" s="802"/>
      <c r="E354" s="802"/>
      <c r="F354" s="802"/>
      <c r="G354" s="803"/>
      <c r="H354" s="803"/>
      <c r="I354" s="803"/>
      <c r="J354" s="803"/>
      <c r="K354" s="803"/>
      <c r="L354" s="803"/>
      <c r="M354" s="804"/>
      <c r="N354" s="804"/>
      <c r="O354" s="804"/>
      <c r="P354" s="804"/>
    </row>
    <row r="355">
      <c r="B355" s="802"/>
      <c r="C355" s="802"/>
      <c r="D355" s="802"/>
      <c r="E355" s="802"/>
      <c r="F355" s="802"/>
      <c r="G355" s="803"/>
      <c r="H355" s="803"/>
      <c r="I355" s="803"/>
      <c r="J355" s="803"/>
      <c r="K355" s="803"/>
      <c r="L355" s="803"/>
      <c r="M355" s="804"/>
      <c r="N355" s="804"/>
      <c r="O355" s="804"/>
      <c r="P355" s="804"/>
    </row>
    <row r="356">
      <c r="B356" s="802"/>
      <c r="C356" s="802"/>
      <c r="D356" s="802"/>
      <c r="E356" s="802"/>
      <c r="F356" s="802"/>
      <c r="G356" s="803"/>
      <c r="H356" s="803"/>
      <c r="I356" s="803"/>
      <c r="J356" s="803"/>
      <c r="K356" s="803"/>
      <c r="L356" s="803"/>
      <c r="M356" s="804"/>
      <c r="N356" s="804"/>
      <c r="O356" s="804"/>
      <c r="P356" s="804"/>
    </row>
    <row r="357">
      <c r="B357" s="802"/>
      <c r="C357" s="802"/>
      <c r="D357" s="802"/>
      <c r="E357" s="802"/>
      <c r="F357" s="802"/>
      <c r="G357" s="803"/>
      <c r="H357" s="803"/>
      <c r="I357" s="803"/>
      <c r="J357" s="803"/>
      <c r="K357" s="803"/>
      <c r="L357" s="803"/>
      <c r="M357" s="804"/>
      <c r="N357" s="804"/>
      <c r="O357" s="804"/>
      <c r="P357" s="804"/>
    </row>
    <row r="358">
      <c r="B358" s="802"/>
      <c r="C358" s="802"/>
      <c r="D358" s="802"/>
      <c r="E358" s="802"/>
      <c r="F358" s="802"/>
      <c r="G358" s="803"/>
      <c r="H358" s="803"/>
      <c r="I358" s="803"/>
      <c r="J358" s="803"/>
      <c r="K358" s="803"/>
      <c r="L358" s="803"/>
      <c r="M358" s="804"/>
      <c r="N358" s="804"/>
      <c r="O358" s="804"/>
      <c r="P358" s="804"/>
    </row>
    <row r="359">
      <c r="B359" s="802"/>
      <c r="C359" s="802"/>
      <c r="D359" s="802"/>
      <c r="E359" s="802"/>
      <c r="F359" s="802"/>
      <c r="G359" s="803"/>
      <c r="H359" s="803"/>
      <c r="I359" s="803"/>
      <c r="J359" s="803"/>
      <c r="K359" s="803"/>
      <c r="L359" s="803"/>
      <c r="M359" s="804"/>
      <c r="N359" s="804"/>
      <c r="O359" s="804"/>
      <c r="P359" s="804"/>
    </row>
    <row r="360">
      <c r="B360" s="802"/>
      <c r="C360" s="802"/>
      <c r="D360" s="802"/>
      <c r="E360" s="802"/>
      <c r="F360" s="802"/>
      <c r="G360" s="803"/>
      <c r="H360" s="803"/>
      <c r="I360" s="803"/>
      <c r="J360" s="803"/>
      <c r="K360" s="803"/>
      <c r="L360" s="803"/>
      <c r="M360" s="804"/>
      <c r="N360" s="804"/>
      <c r="O360" s="804"/>
      <c r="P360" s="804"/>
    </row>
    <row r="361">
      <c r="B361" s="802"/>
      <c r="C361" s="802"/>
      <c r="D361" s="802"/>
      <c r="E361" s="802"/>
      <c r="F361" s="802"/>
      <c r="G361" s="803"/>
      <c r="H361" s="803"/>
      <c r="I361" s="803"/>
      <c r="J361" s="803"/>
      <c r="K361" s="803"/>
      <c r="L361" s="803"/>
      <c r="M361" s="804"/>
      <c r="N361" s="804"/>
      <c r="O361" s="804"/>
      <c r="P361" s="804"/>
    </row>
    <row r="362">
      <c r="B362" s="802"/>
      <c r="C362" s="802"/>
      <c r="D362" s="802"/>
      <c r="E362" s="802"/>
      <c r="F362" s="802"/>
      <c r="G362" s="803"/>
      <c r="H362" s="803"/>
      <c r="I362" s="803"/>
      <c r="J362" s="803"/>
      <c r="K362" s="803"/>
      <c r="L362" s="803"/>
      <c r="M362" s="804"/>
      <c r="N362" s="804"/>
      <c r="O362" s="804"/>
      <c r="P362" s="804"/>
    </row>
    <row r="363">
      <c r="B363" s="802"/>
      <c r="C363" s="802"/>
      <c r="D363" s="802"/>
      <c r="E363" s="802"/>
      <c r="F363" s="802"/>
      <c r="G363" s="803"/>
      <c r="H363" s="803"/>
      <c r="I363" s="803"/>
      <c r="J363" s="803"/>
      <c r="K363" s="803"/>
      <c r="L363" s="803"/>
      <c r="M363" s="804"/>
      <c r="N363" s="804"/>
      <c r="O363" s="804"/>
      <c r="P363" s="804"/>
    </row>
    <row r="364">
      <c r="B364" s="802"/>
      <c r="C364" s="802"/>
      <c r="D364" s="802"/>
      <c r="E364" s="802"/>
      <c r="F364" s="802"/>
      <c r="G364" s="803"/>
      <c r="H364" s="803"/>
      <c r="I364" s="803"/>
      <c r="J364" s="803"/>
      <c r="K364" s="803"/>
      <c r="L364" s="803"/>
      <c r="M364" s="804"/>
      <c r="N364" s="804"/>
      <c r="O364" s="804"/>
      <c r="P364" s="804"/>
    </row>
    <row r="365">
      <c r="B365" s="802"/>
      <c r="C365" s="802"/>
      <c r="D365" s="802"/>
      <c r="E365" s="802"/>
      <c r="F365" s="802"/>
      <c r="G365" s="803"/>
      <c r="H365" s="803"/>
      <c r="I365" s="803"/>
      <c r="J365" s="803"/>
      <c r="K365" s="803"/>
      <c r="L365" s="803"/>
      <c r="M365" s="804"/>
      <c r="N365" s="804"/>
      <c r="O365" s="804"/>
      <c r="P365" s="804"/>
    </row>
    <row r="366">
      <c r="B366" s="802"/>
      <c r="C366" s="802"/>
      <c r="D366" s="802"/>
      <c r="E366" s="802"/>
      <c r="F366" s="802"/>
      <c r="G366" s="803"/>
      <c r="H366" s="803"/>
      <c r="I366" s="803"/>
      <c r="J366" s="803"/>
      <c r="K366" s="803"/>
      <c r="L366" s="803"/>
      <c r="M366" s="804"/>
      <c r="N366" s="804"/>
      <c r="O366" s="804"/>
      <c r="P366" s="804"/>
    </row>
    <row r="367">
      <c r="B367" s="802"/>
      <c r="C367" s="802"/>
      <c r="D367" s="802"/>
      <c r="E367" s="802"/>
      <c r="F367" s="802"/>
      <c r="G367" s="803"/>
      <c r="H367" s="803"/>
      <c r="I367" s="803"/>
      <c r="J367" s="803"/>
      <c r="K367" s="803"/>
      <c r="L367" s="803"/>
      <c r="M367" s="804"/>
      <c r="N367" s="804"/>
      <c r="O367" s="804"/>
      <c r="P367" s="804"/>
    </row>
    <row r="368">
      <c r="B368" s="802"/>
      <c r="C368" s="802"/>
      <c r="D368" s="802"/>
      <c r="E368" s="802"/>
      <c r="F368" s="802"/>
      <c r="G368" s="803"/>
      <c r="H368" s="803"/>
      <c r="I368" s="803"/>
      <c r="J368" s="803"/>
      <c r="K368" s="803"/>
      <c r="L368" s="803"/>
      <c r="M368" s="804"/>
      <c r="N368" s="804"/>
      <c r="O368" s="804"/>
      <c r="P368" s="804"/>
    </row>
    <row r="369">
      <c r="B369" s="802"/>
      <c r="C369" s="802"/>
      <c r="D369" s="802"/>
      <c r="E369" s="802"/>
      <c r="F369" s="802"/>
      <c r="G369" s="803"/>
      <c r="H369" s="803"/>
      <c r="I369" s="803"/>
      <c r="J369" s="803"/>
      <c r="K369" s="803"/>
      <c r="L369" s="803"/>
      <c r="M369" s="804"/>
      <c r="N369" s="804"/>
      <c r="O369" s="804"/>
      <c r="P369" s="804"/>
    </row>
    <row r="370">
      <c r="B370" s="802"/>
      <c r="C370" s="802"/>
      <c r="D370" s="802"/>
      <c r="E370" s="802"/>
      <c r="F370" s="802"/>
      <c r="G370" s="803"/>
      <c r="H370" s="803"/>
      <c r="I370" s="803"/>
      <c r="J370" s="803"/>
      <c r="K370" s="803"/>
      <c r="L370" s="803"/>
      <c r="M370" s="804"/>
      <c r="N370" s="804"/>
      <c r="O370" s="804"/>
      <c r="P370" s="804"/>
    </row>
    <row r="371">
      <c r="B371" s="802"/>
      <c r="C371" s="802"/>
      <c r="D371" s="802"/>
      <c r="E371" s="802"/>
      <c r="F371" s="802"/>
      <c r="G371" s="803"/>
      <c r="H371" s="803"/>
      <c r="I371" s="803"/>
      <c r="J371" s="803"/>
      <c r="K371" s="803"/>
      <c r="L371" s="803"/>
      <c r="M371" s="804"/>
      <c r="N371" s="804"/>
      <c r="O371" s="804"/>
      <c r="P371" s="804"/>
    </row>
    <row r="372">
      <c r="B372" s="802"/>
      <c r="C372" s="802"/>
      <c r="D372" s="802"/>
      <c r="E372" s="802"/>
      <c r="F372" s="802"/>
      <c r="G372" s="803"/>
      <c r="H372" s="803"/>
      <c r="I372" s="803"/>
      <c r="J372" s="803"/>
      <c r="K372" s="803"/>
      <c r="L372" s="803"/>
      <c r="M372" s="804"/>
      <c r="N372" s="804"/>
      <c r="O372" s="804"/>
      <c r="P372" s="804"/>
    </row>
    <row r="373">
      <c r="B373" s="802"/>
      <c r="C373" s="802"/>
      <c r="D373" s="802"/>
      <c r="E373" s="802"/>
      <c r="F373" s="802"/>
      <c r="G373" s="803"/>
      <c r="H373" s="803"/>
      <c r="I373" s="803"/>
      <c r="J373" s="803"/>
      <c r="K373" s="803"/>
      <c r="L373" s="803"/>
      <c r="M373" s="804"/>
      <c r="N373" s="804"/>
      <c r="O373" s="804"/>
      <c r="P373" s="804"/>
    </row>
    <row r="374">
      <c r="B374" s="802"/>
      <c r="C374" s="802"/>
      <c r="D374" s="802"/>
      <c r="E374" s="802"/>
      <c r="F374" s="802"/>
      <c r="G374" s="803"/>
      <c r="H374" s="803"/>
      <c r="I374" s="803"/>
      <c r="J374" s="803"/>
      <c r="K374" s="803"/>
      <c r="L374" s="803"/>
      <c r="M374" s="804"/>
      <c r="N374" s="804"/>
      <c r="O374" s="804"/>
      <c r="P374" s="804"/>
    </row>
    <row r="375">
      <c r="B375" s="802"/>
      <c r="C375" s="802"/>
      <c r="D375" s="802"/>
      <c r="E375" s="802"/>
      <c r="F375" s="802"/>
      <c r="G375" s="803"/>
      <c r="H375" s="803"/>
      <c r="I375" s="803"/>
      <c r="J375" s="803"/>
      <c r="K375" s="803"/>
      <c r="L375" s="803"/>
      <c r="M375" s="804"/>
      <c r="N375" s="804"/>
      <c r="O375" s="804"/>
      <c r="P375" s="804"/>
    </row>
    <row r="376">
      <c r="B376" s="802"/>
      <c r="C376" s="802"/>
      <c r="D376" s="802"/>
      <c r="E376" s="802"/>
      <c r="F376" s="802"/>
      <c r="G376" s="803"/>
      <c r="H376" s="803"/>
      <c r="I376" s="803"/>
      <c r="J376" s="803"/>
      <c r="K376" s="803"/>
      <c r="L376" s="803"/>
      <c r="M376" s="804"/>
      <c r="N376" s="804"/>
      <c r="O376" s="804"/>
      <c r="P376" s="804"/>
    </row>
    <row r="377">
      <c r="B377" s="802"/>
      <c r="C377" s="802"/>
      <c r="D377" s="802"/>
      <c r="E377" s="802"/>
      <c r="F377" s="802"/>
      <c r="G377" s="803"/>
      <c r="H377" s="803"/>
      <c r="I377" s="803"/>
      <c r="J377" s="803"/>
      <c r="K377" s="803"/>
      <c r="L377" s="803"/>
      <c r="M377" s="804"/>
      <c r="N377" s="804"/>
      <c r="O377" s="804"/>
      <c r="P377" s="804"/>
    </row>
    <row r="378">
      <c r="B378" s="802"/>
      <c r="C378" s="802"/>
      <c r="D378" s="802"/>
      <c r="E378" s="802"/>
      <c r="F378" s="802"/>
      <c r="G378" s="803"/>
      <c r="H378" s="803"/>
      <c r="I378" s="803"/>
      <c r="J378" s="803"/>
      <c r="K378" s="803"/>
      <c r="L378" s="803"/>
      <c r="M378" s="804"/>
      <c r="N378" s="804"/>
      <c r="O378" s="804"/>
      <c r="P378" s="804"/>
    </row>
    <row r="379">
      <c r="B379" s="802"/>
      <c r="C379" s="802"/>
      <c r="D379" s="802"/>
      <c r="E379" s="802"/>
      <c r="F379" s="802"/>
      <c r="G379" s="803"/>
      <c r="H379" s="803"/>
      <c r="I379" s="803"/>
      <c r="J379" s="803"/>
      <c r="K379" s="803"/>
      <c r="L379" s="803"/>
      <c r="M379" s="804"/>
      <c r="N379" s="804"/>
      <c r="O379" s="804"/>
      <c r="P379" s="804"/>
    </row>
    <row r="380">
      <c r="B380" s="802"/>
      <c r="C380" s="802"/>
      <c r="D380" s="802"/>
      <c r="E380" s="802"/>
      <c r="F380" s="802"/>
      <c r="G380" s="803"/>
      <c r="H380" s="803"/>
      <c r="I380" s="803"/>
      <c r="J380" s="803"/>
      <c r="K380" s="803"/>
      <c r="L380" s="803"/>
      <c r="M380" s="804"/>
      <c r="N380" s="804"/>
      <c r="O380" s="804"/>
      <c r="P380" s="804"/>
    </row>
    <row r="381">
      <c r="B381" s="802"/>
      <c r="C381" s="802"/>
      <c r="D381" s="802"/>
      <c r="E381" s="802"/>
      <c r="F381" s="802"/>
      <c r="G381" s="803"/>
      <c r="H381" s="803"/>
      <c r="I381" s="803"/>
      <c r="J381" s="803"/>
      <c r="K381" s="803"/>
      <c r="L381" s="803"/>
      <c r="M381" s="804"/>
      <c r="N381" s="804"/>
      <c r="O381" s="804"/>
      <c r="P381" s="804"/>
    </row>
    <row r="382">
      <c r="B382" s="802"/>
      <c r="C382" s="802"/>
      <c r="D382" s="802"/>
      <c r="E382" s="802"/>
      <c r="F382" s="802"/>
      <c r="G382" s="803"/>
      <c r="H382" s="803"/>
      <c r="I382" s="803"/>
      <c r="J382" s="803"/>
      <c r="K382" s="803"/>
      <c r="L382" s="803"/>
      <c r="M382" s="804"/>
      <c r="N382" s="804"/>
      <c r="O382" s="804"/>
      <c r="P382" s="804"/>
    </row>
    <row r="383">
      <c r="B383" s="802"/>
      <c r="C383" s="802"/>
      <c r="D383" s="802"/>
      <c r="E383" s="802"/>
      <c r="F383" s="802"/>
      <c r="G383" s="803"/>
      <c r="H383" s="803"/>
      <c r="I383" s="803"/>
      <c r="J383" s="803"/>
      <c r="K383" s="803"/>
      <c r="L383" s="803"/>
      <c r="M383" s="804"/>
      <c r="N383" s="804"/>
      <c r="O383" s="804"/>
      <c r="P383" s="804"/>
    </row>
    <row r="384">
      <c r="B384" s="802"/>
      <c r="C384" s="802"/>
      <c r="D384" s="802"/>
      <c r="E384" s="802"/>
      <c r="F384" s="802"/>
      <c r="G384" s="803"/>
      <c r="H384" s="803"/>
      <c r="I384" s="803"/>
      <c r="J384" s="803"/>
      <c r="K384" s="803"/>
      <c r="L384" s="803"/>
      <c r="M384" s="804"/>
      <c r="N384" s="804"/>
      <c r="O384" s="804"/>
      <c r="P384" s="804"/>
    </row>
    <row r="385">
      <c r="B385" s="802"/>
      <c r="C385" s="802"/>
      <c r="D385" s="802"/>
      <c r="E385" s="802"/>
      <c r="F385" s="802"/>
      <c r="G385" s="803"/>
      <c r="H385" s="803"/>
      <c r="I385" s="803"/>
      <c r="J385" s="803"/>
      <c r="K385" s="803"/>
      <c r="L385" s="803"/>
      <c r="M385" s="804"/>
      <c r="N385" s="804"/>
      <c r="O385" s="804"/>
      <c r="P385" s="804"/>
    </row>
    <row r="386">
      <c r="B386" s="802"/>
      <c r="C386" s="802"/>
      <c r="D386" s="802"/>
      <c r="E386" s="802"/>
      <c r="F386" s="802"/>
      <c r="G386" s="803"/>
      <c r="H386" s="803"/>
      <c r="I386" s="803"/>
      <c r="J386" s="803"/>
      <c r="K386" s="803"/>
      <c r="L386" s="803"/>
      <c r="M386" s="804"/>
      <c r="N386" s="804"/>
      <c r="O386" s="804"/>
      <c r="P386" s="804"/>
    </row>
    <row r="387">
      <c r="B387" s="802"/>
      <c r="C387" s="802"/>
      <c r="D387" s="802"/>
      <c r="E387" s="802"/>
      <c r="F387" s="802"/>
      <c r="G387" s="803"/>
      <c r="H387" s="803"/>
      <c r="I387" s="803"/>
      <c r="J387" s="803"/>
      <c r="K387" s="803"/>
      <c r="L387" s="803"/>
      <c r="M387" s="804"/>
      <c r="N387" s="804"/>
      <c r="O387" s="804"/>
      <c r="P387" s="804"/>
    </row>
    <row r="388">
      <c r="B388" s="802"/>
      <c r="C388" s="802"/>
      <c r="D388" s="802"/>
      <c r="E388" s="802"/>
      <c r="F388" s="802"/>
      <c r="G388" s="803"/>
      <c r="H388" s="803"/>
      <c r="I388" s="803"/>
      <c r="J388" s="803"/>
      <c r="K388" s="803"/>
      <c r="L388" s="803"/>
      <c r="M388" s="804"/>
      <c r="N388" s="804"/>
      <c r="O388" s="804"/>
      <c r="P388" s="804"/>
    </row>
    <row r="389">
      <c r="B389" s="802"/>
      <c r="C389" s="802"/>
      <c r="D389" s="802"/>
      <c r="E389" s="802"/>
      <c r="F389" s="802"/>
      <c r="G389" s="803"/>
      <c r="H389" s="803"/>
      <c r="I389" s="803"/>
      <c r="J389" s="803"/>
      <c r="K389" s="803"/>
      <c r="L389" s="803"/>
      <c r="M389" s="804"/>
      <c r="N389" s="804"/>
      <c r="O389" s="804"/>
      <c r="P389" s="804"/>
    </row>
    <row r="390">
      <c r="B390" s="802"/>
      <c r="C390" s="802"/>
      <c r="D390" s="802"/>
      <c r="E390" s="802"/>
      <c r="F390" s="802"/>
      <c r="G390" s="803"/>
      <c r="H390" s="803"/>
      <c r="I390" s="803"/>
      <c r="J390" s="803"/>
      <c r="K390" s="803"/>
      <c r="L390" s="803"/>
      <c r="M390" s="804"/>
      <c r="N390" s="804"/>
      <c r="O390" s="804"/>
      <c r="P390" s="804"/>
    </row>
    <row r="391">
      <c r="B391" s="802"/>
      <c r="C391" s="802"/>
      <c r="D391" s="802"/>
      <c r="E391" s="802"/>
      <c r="F391" s="802"/>
      <c r="G391" s="803"/>
      <c r="H391" s="803"/>
      <c r="I391" s="803"/>
      <c r="J391" s="803"/>
      <c r="K391" s="803"/>
      <c r="L391" s="803"/>
      <c r="M391" s="804"/>
      <c r="N391" s="804"/>
      <c r="O391" s="804"/>
      <c r="P391" s="804"/>
    </row>
    <row r="392">
      <c r="B392" s="802"/>
      <c r="C392" s="802"/>
      <c r="D392" s="802"/>
      <c r="E392" s="802"/>
      <c r="F392" s="802"/>
      <c r="G392" s="803"/>
      <c r="H392" s="803"/>
      <c r="I392" s="803"/>
      <c r="J392" s="803"/>
      <c r="K392" s="803"/>
      <c r="L392" s="803"/>
      <c r="M392" s="804"/>
      <c r="N392" s="804"/>
      <c r="O392" s="804"/>
      <c r="P392" s="804"/>
    </row>
    <row r="393">
      <c r="B393" s="802"/>
      <c r="C393" s="802"/>
      <c r="D393" s="802"/>
      <c r="E393" s="802"/>
      <c r="F393" s="802"/>
      <c r="G393" s="803"/>
      <c r="H393" s="803"/>
      <c r="I393" s="803"/>
      <c r="J393" s="803"/>
      <c r="K393" s="803"/>
      <c r="L393" s="803"/>
      <c r="M393" s="804"/>
      <c r="N393" s="804"/>
      <c r="O393" s="804"/>
      <c r="P393" s="804"/>
    </row>
    <row r="394">
      <c r="B394" s="802"/>
      <c r="C394" s="802"/>
      <c r="D394" s="802"/>
      <c r="E394" s="802"/>
      <c r="F394" s="802"/>
      <c r="G394" s="803"/>
      <c r="H394" s="803"/>
      <c r="I394" s="803"/>
      <c r="J394" s="803"/>
      <c r="K394" s="803"/>
      <c r="L394" s="803"/>
      <c r="M394" s="804"/>
      <c r="N394" s="804"/>
      <c r="O394" s="804"/>
      <c r="P394" s="804"/>
    </row>
    <row r="395">
      <c r="B395" s="802"/>
      <c r="C395" s="802"/>
      <c r="D395" s="802"/>
      <c r="E395" s="802"/>
      <c r="F395" s="802"/>
      <c r="G395" s="803"/>
      <c r="H395" s="803"/>
      <c r="I395" s="803"/>
      <c r="J395" s="803"/>
      <c r="K395" s="803"/>
      <c r="L395" s="803"/>
      <c r="M395" s="804"/>
      <c r="N395" s="804"/>
      <c r="O395" s="804"/>
      <c r="P395" s="804"/>
    </row>
    <row r="396">
      <c r="B396" s="802"/>
      <c r="C396" s="802"/>
      <c r="D396" s="802"/>
      <c r="E396" s="802"/>
      <c r="F396" s="802"/>
      <c r="G396" s="803"/>
      <c r="H396" s="803"/>
      <c r="I396" s="803"/>
      <c r="J396" s="803"/>
      <c r="K396" s="803"/>
      <c r="L396" s="803"/>
      <c r="M396" s="804"/>
      <c r="N396" s="804"/>
      <c r="O396" s="804"/>
      <c r="P396" s="804"/>
    </row>
    <row r="397">
      <c r="B397" s="802"/>
      <c r="C397" s="802"/>
      <c r="D397" s="802"/>
      <c r="E397" s="802"/>
      <c r="F397" s="802"/>
      <c r="G397" s="803"/>
      <c r="H397" s="803"/>
      <c r="I397" s="803"/>
      <c r="J397" s="803"/>
      <c r="K397" s="803"/>
      <c r="L397" s="803"/>
      <c r="M397" s="804"/>
      <c r="N397" s="804"/>
      <c r="O397" s="804"/>
      <c r="P397" s="804"/>
    </row>
    <row r="398">
      <c r="B398" s="802"/>
      <c r="C398" s="802"/>
      <c r="D398" s="802"/>
      <c r="E398" s="802"/>
      <c r="F398" s="802"/>
      <c r="G398" s="803"/>
      <c r="H398" s="803"/>
      <c r="I398" s="803"/>
      <c r="J398" s="803"/>
      <c r="K398" s="803"/>
      <c r="L398" s="803"/>
      <c r="M398" s="804"/>
      <c r="N398" s="804"/>
      <c r="O398" s="804"/>
      <c r="P398" s="804"/>
    </row>
    <row r="399">
      <c r="B399" s="802"/>
      <c r="C399" s="802"/>
      <c r="D399" s="802"/>
      <c r="E399" s="802"/>
      <c r="F399" s="802"/>
      <c r="G399" s="803"/>
      <c r="H399" s="803"/>
      <c r="I399" s="803"/>
      <c r="J399" s="803"/>
      <c r="K399" s="803"/>
      <c r="L399" s="803"/>
      <c r="M399" s="804"/>
      <c r="N399" s="804"/>
      <c r="O399" s="804"/>
      <c r="P399" s="804"/>
    </row>
    <row r="400">
      <c r="B400" s="802"/>
      <c r="C400" s="802"/>
      <c r="D400" s="802"/>
      <c r="E400" s="802"/>
      <c r="F400" s="802"/>
      <c r="G400" s="803"/>
      <c r="H400" s="803"/>
      <c r="I400" s="803"/>
      <c r="J400" s="803"/>
      <c r="K400" s="803"/>
      <c r="L400" s="803"/>
      <c r="M400" s="804"/>
      <c r="N400" s="804"/>
      <c r="O400" s="804"/>
      <c r="P400" s="804"/>
    </row>
    <row r="401">
      <c r="B401" s="802"/>
      <c r="C401" s="802"/>
      <c r="D401" s="802"/>
      <c r="E401" s="802"/>
      <c r="F401" s="802"/>
      <c r="G401" s="803"/>
      <c r="H401" s="803"/>
      <c r="I401" s="803"/>
      <c r="J401" s="803"/>
      <c r="K401" s="803"/>
      <c r="L401" s="803"/>
      <c r="M401" s="804"/>
      <c r="N401" s="804"/>
      <c r="O401" s="804"/>
      <c r="P401" s="804"/>
    </row>
    <row r="402">
      <c r="B402" s="802"/>
      <c r="C402" s="802"/>
      <c r="D402" s="802"/>
      <c r="E402" s="802"/>
      <c r="F402" s="802"/>
      <c r="G402" s="803"/>
      <c r="H402" s="803"/>
      <c r="I402" s="803"/>
      <c r="J402" s="803"/>
      <c r="K402" s="803"/>
      <c r="L402" s="803"/>
      <c r="M402" s="804"/>
      <c r="N402" s="804"/>
      <c r="O402" s="804"/>
      <c r="P402" s="804"/>
    </row>
    <row r="403">
      <c r="B403" s="802"/>
      <c r="C403" s="802"/>
      <c r="D403" s="802"/>
      <c r="E403" s="802"/>
      <c r="F403" s="802"/>
      <c r="G403" s="803"/>
      <c r="H403" s="803"/>
      <c r="I403" s="803"/>
      <c r="J403" s="803"/>
      <c r="K403" s="803"/>
      <c r="L403" s="803"/>
      <c r="M403" s="804"/>
      <c r="N403" s="804"/>
      <c r="O403" s="804"/>
      <c r="P403" s="804"/>
    </row>
    <row r="404">
      <c r="B404" s="802"/>
      <c r="C404" s="802"/>
      <c r="D404" s="802"/>
      <c r="E404" s="802"/>
      <c r="F404" s="802"/>
      <c r="G404" s="803"/>
      <c r="H404" s="803"/>
      <c r="I404" s="803"/>
      <c r="J404" s="803"/>
      <c r="K404" s="803"/>
      <c r="L404" s="803"/>
      <c r="M404" s="804"/>
      <c r="N404" s="804"/>
      <c r="O404" s="804"/>
      <c r="P404" s="804"/>
    </row>
    <row r="405">
      <c r="B405" s="802"/>
      <c r="C405" s="802"/>
      <c r="D405" s="802"/>
      <c r="E405" s="802"/>
      <c r="F405" s="802"/>
      <c r="G405" s="803"/>
      <c r="H405" s="803"/>
      <c r="I405" s="803"/>
      <c r="J405" s="803"/>
      <c r="K405" s="803"/>
      <c r="L405" s="803"/>
      <c r="M405" s="804"/>
      <c r="N405" s="804"/>
      <c r="O405" s="804"/>
      <c r="P405" s="804"/>
    </row>
    <row r="406">
      <c r="B406" s="802"/>
      <c r="C406" s="802"/>
      <c r="D406" s="802"/>
      <c r="E406" s="802"/>
      <c r="F406" s="802"/>
      <c r="G406" s="803"/>
      <c r="H406" s="803"/>
      <c r="I406" s="803"/>
      <c r="J406" s="803"/>
      <c r="K406" s="803"/>
      <c r="L406" s="803"/>
      <c r="M406" s="804"/>
      <c r="N406" s="804"/>
      <c r="O406" s="804"/>
      <c r="P406" s="804"/>
    </row>
    <row r="407">
      <c r="B407" s="802"/>
      <c r="C407" s="802"/>
      <c r="D407" s="802"/>
      <c r="E407" s="802"/>
      <c r="F407" s="802"/>
      <c r="G407" s="803"/>
      <c r="H407" s="803"/>
      <c r="I407" s="803"/>
      <c r="J407" s="803"/>
      <c r="K407" s="803"/>
      <c r="L407" s="803"/>
      <c r="M407" s="804"/>
      <c r="N407" s="804"/>
      <c r="O407" s="804"/>
      <c r="P407" s="804"/>
    </row>
    <row r="408">
      <c r="B408" s="802"/>
      <c r="C408" s="802"/>
      <c r="D408" s="802"/>
      <c r="E408" s="802"/>
      <c r="F408" s="802"/>
      <c r="G408" s="803"/>
      <c r="H408" s="803"/>
      <c r="I408" s="803"/>
      <c r="J408" s="803"/>
      <c r="K408" s="803"/>
      <c r="L408" s="803"/>
      <c r="M408" s="804"/>
      <c r="N408" s="804"/>
      <c r="O408" s="804"/>
      <c r="P408" s="804"/>
    </row>
    <row r="409">
      <c r="B409" s="802"/>
      <c r="C409" s="802"/>
      <c r="D409" s="802"/>
      <c r="E409" s="802"/>
      <c r="F409" s="802"/>
      <c r="G409" s="803"/>
      <c r="H409" s="803"/>
      <c r="I409" s="803"/>
      <c r="J409" s="803"/>
      <c r="K409" s="803"/>
      <c r="L409" s="803"/>
      <c r="M409" s="804"/>
      <c r="N409" s="804"/>
      <c r="O409" s="804"/>
      <c r="P409" s="804"/>
    </row>
    <row r="410">
      <c r="B410" s="802"/>
      <c r="C410" s="802"/>
      <c r="D410" s="802"/>
      <c r="E410" s="802"/>
      <c r="F410" s="802"/>
      <c r="G410" s="803"/>
      <c r="H410" s="803"/>
      <c r="I410" s="803"/>
      <c r="J410" s="803"/>
      <c r="K410" s="803"/>
      <c r="L410" s="803"/>
      <c r="M410" s="804"/>
      <c r="N410" s="804"/>
      <c r="O410" s="804"/>
      <c r="P410" s="804"/>
    </row>
    <row r="411">
      <c r="B411" s="802"/>
      <c r="C411" s="802"/>
      <c r="D411" s="802"/>
      <c r="E411" s="802"/>
      <c r="F411" s="802"/>
      <c r="G411" s="803"/>
      <c r="H411" s="803"/>
      <c r="I411" s="803"/>
      <c r="J411" s="803"/>
      <c r="K411" s="803"/>
      <c r="L411" s="803"/>
      <c r="M411" s="804"/>
      <c r="N411" s="804"/>
      <c r="O411" s="804"/>
      <c r="P411" s="804"/>
    </row>
    <row r="412">
      <c r="B412" s="802"/>
      <c r="C412" s="802"/>
      <c r="D412" s="802"/>
      <c r="E412" s="802"/>
      <c r="F412" s="802"/>
      <c r="G412" s="803"/>
      <c r="H412" s="803"/>
      <c r="I412" s="803"/>
      <c r="J412" s="803"/>
      <c r="K412" s="803"/>
      <c r="L412" s="803"/>
      <c r="M412" s="804"/>
      <c r="N412" s="804"/>
      <c r="O412" s="804"/>
      <c r="P412" s="804"/>
    </row>
    <row r="413">
      <c r="B413" s="802"/>
      <c r="C413" s="802"/>
      <c r="D413" s="802"/>
      <c r="E413" s="802"/>
      <c r="F413" s="802"/>
      <c r="G413" s="803"/>
      <c r="H413" s="803"/>
      <c r="I413" s="803"/>
      <c r="J413" s="803"/>
      <c r="K413" s="803"/>
      <c r="L413" s="803"/>
      <c r="M413" s="804"/>
      <c r="N413" s="804"/>
      <c r="O413" s="804"/>
      <c r="P413" s="804"/>
    </row>
    <row r="414">
      <c r="B414" s="802"/>
      <c r="C414" s="802"/>
      <c r="D414" s="802"/>
      <c r="E414" s="802"/>
      <c r="F414" s="802"/>
      <c r="G414" s="803"/>
      <c r="H414" s="803"/>
      <c r="I414" s="803"/>
      <c r="J414" s="803"/>
      <c r="K414" s="803"/>
      <c r="L414" s="803"/>
      <c r="M414" s="804"/>
      <c r="N414" s="804"/>
      <c r="O414" s="804"/>
      <c r="P414" s="804"/>
    </row>
    <row r="415">
      <c r="B415" s="802"/>
      <c r="C415" s="802"/>
      <c r="D415" s="802"/>
      <c r="E415" s="802"/>
      <c r="F415" s="802"/>
      <c r="G415" s="803"/>
      <c r="H415" s="803"/>
      <c r="I415" s="803"/>
      <c r="J415" s="803"/>
      <c r="K415" s="803"/>
      <c r="L415" s="803"/>
      <c r="M415" s="804"/>
      <c r="N415" s="804"/>
      <c r="O415" s="804"/>
      <c r="P415" s="804"/>
    </row>
    <row r="416">
      <c r="B416" s="802"/>
      <c r="C416" s="802"/>
      <c r="D416" s="802"/>
      <c r="E416" s="802"/>
      <c r="F416" s="802"/>
      <c r="G416" s="803"/>
      <c r="H416" s="803"/>
      <c r="I416" s="803"/>
      <c r="J416" s="803"/>
      <c r="K416" s="803"/>
      <c r="L416" s="803"/>
      <c r="M416" s="804"/>
      <c r="N416" s="804"/>
      <c r="O416" s="804"/>
      <c r="P416" s="804"/>
    </row>
    <row r="417">
      <c r="B417" s="802"/>
      <c r="C417" s="802"/>
      <c r="D417" s="802"/>
      <c r="E417" s="802"/>
      <c r="F417" s="802"/>
      <c r="G417" s="803"/>
      <c r="H417" s="803"/>
      <c r="I417" s="803"/>
      <c r="J417" s="803"/>
      <c r="K417" s="803"/>
      <c r="L417" s="803"/>
      <c r="M417" s="804"/>
      <c r="N417" s="804"/>
      <c r="O417" s="804"/>
      <c r="P417" s="804"/>
    </row>
    <row r="418">
      <c r="B418" s="802"/>
      <c r="C418" s="802"/>
      <c r="D418" s="802"/>
      <c r="E418" s="802"/>
      <c r="F418" s="802"/>
      <c r="G418" s="803"/>
      <c r="H418" s="803"/>
      <c r="I418" s="803"/>
      <c r="J418" s="803"/>
      <c r="K418" s="803"/>
      <c r="L418" s="803"/>
      <c r="M418" s="804"/>
      <c r="N418" s="804"/>
      <c r="O418" s="804"/>
      <c r="P418" s="804"/>
    </row>
    <row r="419">
      <c r="B419" s="802"/>
      <c r="C419" s="802"/>
      <c r="D419" s="802"/>
      <c r="E419" s="802"/>
      <c r="F419" s="802"/>
      <c r="G419" s="803"/>
      <c r="H419" s="803"/>
      <c r="I419" s="803"/>
      <c r="J419" s="803"/>
      <c r="K419" s="803"/>
      <c r="L419" s="803"/>
      <c r="M419" s="804"/>
      <c r="N419" s="804"/>
      <c r="O419" s="804"/>
      <c r="P419" s="804"/>
    </row>
    <row r="420">
      <c r="B420" s="802"/>
      <c r="C420" s="802"/>
      <c r="D420" s="802"/>
      <c r="E420" s="802"/>
      <c r="F420" s="802"/>
      <c r="G420" s="803"/>
      <c r="H420" s="803"/>
      <c r="I420" s="803"/>
      <c r="J420" s="803"/>
      <c r="K420" s="803"/>
      <c r="L420" s="803"/>
      <c r="M420" s="804"/>
      <c r="N420" s="804"/>
      <c r="O420" s="804"/>
      <c r="P420" s="804"/>
    </row>
    <row r="421">
      <c r="B421" s="802"/>
      <c r="C421" s="802"/>
      <c r="D421" s="802"/>
      <c r="E421" s="802"/>
      <c r="F421" s="802"/>
      <c r="G421" s="803"/>
      <c r="H421" s="803"/>
      <c r="I421" s="803"/>
      <c r="J421" s="803"/>
      <c r="K421" s="803"/>
      <c r="L421" s="803"/>
      <c r="M421" s="804"/>
      <c r="N421" s="804"/>
      <c r="O421" s="804"/>
      <c r="P421" s="804"/>
    </row>
    <row r="422">
      <c r="B422" s="802"/>
      <c r="C422" s="802"/>
      <c r="D422" s="802"/>
      <c r="E422" s="802"/>
      <c r="F422" s="802"/>
      <c r="G422" s="803"/>
      <c r="H422" s="803"/>
      <c r="I422" s="803"/>
      <c r="J422" s="803"/>
      <c r="K422" s="803"/>
      <c r="L422" s="803"/>
      <c r="M422" s="804"/>
      <c r="N422" s="804"/>
      <c r="O422" s="804"/>
      <c r="P422" s="804"/>
    </row>
    <row r="423">
      <c r="B423" s="802"/>
      <c r="C423" s="802"/>
      <c r="D423" s="802"/>
      <c r="E423" s="802"/>
      <c r="F423" s="802"/>
      <c r="G423" s="803"/>
      <c r="H423" s="803"/>
      <c r="I423" s="803"/>
      <c r="J423" s="803"/>
      <c r="K423" s="803"/>
      <c r="L423" s="803"/>
      <c r="M423" s="804"/>
      <c r="N423" s="804"/>
      <c r="O423" s="804"/>
      <c r="P423" s="804"/>
    </row>
    <row r="424">
      <c r="B424" s="802"/>
      <c r="C424" s="802"/>
      <c r="D424" s="802"/>
      <c r="E424" s="802"/>
      <c r="F424" s="802"/>
      <c r="G424" s="803"/>
      <c r="H424" s="803"/>
      <c r="I424" s="803"/>
      <c r="J424" s="803"/>
      <c r="K424" s="803"/>
      <c r="L424" s="803"/>
      <c r="M424" s="804"/>
      <c r="N424" s="804"/>
      <c r="O424" s="804"/>
      <c r="P424" s="804"/>
    </row>
    <row r="425">
      <c r="B425" s="802"/>
      <c r="C425" s="802"/>
      <c r="D425" s="802"/>
      <c r="E425" s="802"/>
      <c r="F425" s="802"/>
      <c r="G425" s="803"/>
      <c r="H425" s="803"/>
      <c r="I425" s="803"/>
      <c r="J425" s="803"/>
      <c r="K425" s="803"/>
      <c r="L425" s="803"/>
      <c r="M425" s="804"/>
      <c r="N425" s="804"/>
      <c r="O425" s="804"/>
      <c r="P425" s="804"/>
    </row>
    <row r="426">
      <c r="B426" s="802"/>
      <c r="C426" s="802"/>
      <c r="D426" s="802"/>
      <c r="E426" s="802"/>
      <c r="F426" s="802"/>
      <c r="G426" s="803"/>
      <c r="H426" s="803"/>
      <c r="I426" s="803"/>
      <c r="J426" s="803"/>
      <c r="K426" s="803"/>
      <c r="L426" s="803"/>
      <c r="M426" s="804"/>
      <c r="N426" s="804"/>
      <c r="O426" s="804"/>
      <c r="P426" s="804"/>
    </row>
    <row r="427">
      <c r="B427" s="802"/>
      <c r="C427" s="802"/>
      <c r="D427" s="802"/>
      <c r="E427" s="802"/>
      <c r="F427" s="802"/>
      <c r="G427" s="803"/>
      <c r="H427" s="803"/>
      <c r="I427" s="803"/>
      <c r="J427" s="803"/>
      <c r="K427" s="803"/>
      <c r="L427" s="803"/>
      <c r="M427" s="804"/>
      <c r="N427" s="804"/>
      <c r="O427" s="804"/>
      <c r="P427" s="804"/>
    </row>
    <row r="428">
      <c r="B428" s="802"/>
      <c r="C428" s="802"/>
      <c r="D428" s="802"/>
      <c r="E428" s="802"/>
      <c r="F428" s="802"/>
      <c r="G428" s="803"/>
      <c r="H428" s="803"/>
      <c r="I428" s="803"/>
      <c r="J428" s="803"/>
      <c r="K428" s="803"/>
      <c r="L428" s="803"/>
      <c r="M428" s="804"/>
      <c r="N428" s="804"/>
      <c r="O428" s="804"/>
      <c r="P428" s="804"/>
    </row>
    <row r="429">
      <c r="B429" s="802"/>
      <c r="C429" s="802"/>
      <c r="D429" s="802"/>
      <c r="E429" s="802"/>
      <c r="F429" s="802"/>
      <c r="G429" s="803"/>
      <c r="H429" s="803"/>
      <c r="I429" s="803"/>
      <c r="J429" s="803"/>
      <c r="K429" s="803"/>
      <c r="L429" s="803"/>
      <c r="M429" s="804"/>
      <c r="N429" s="804"/>
      <c r="O429" s="804"/>
      <c r="P429" s="804"/>
    </row>
    <row r="430">
      <c r="B430" s="802"/>
      <c r="C430" s="802"/>
      <c r="D430" s="802"/>
      <c r="E430" s="802"/>
      <c r="F430" s="802"/>
      <c r="G430" s="803"/>
      <c r="H430" s="803"/>
      <c r="I430" s="803"/>
      <c r="J430" s="803"/>
      <c r="K430" s="803"/>
      <c r="L430" s="803"/>
      <c r="M430" s="804"/>
      <c r="N430" s="804"/>
      <c r="O430" s="804"/>
      <c r="P430" s="804"/>
    </row>
    <row r="431">
      <c r="B431" s="802"/>
      <c r="C431" s="802"/>
      <c r="D431" s="802"/>
      <c r="E431" s="802"/>
      <c r="F431" s="802"/>
      <c r="G431" s="803"/>
      <c r="H431" s="803"/>
      <c r="I431" s="803"/>
      <c r="J431" s="803"/>
      <c r="K431" s="803"/>
      <c r="L431" s="803"/>
      <c r="M431" s="804"/>
      <c r="N431" s="804"/>
      <c r="O431" s="804"/>
      <c r="P431" s="804"/>
    </row>
    <row r="432">
      <c r="B432" s="802"/>
      <c r="C432" s="802"/>
      <c r="D432" s="802"/>
      <c r="E432" s="802"/>
      <c r="F432" s="802"/>
      <c r="G432" s="803"/>
      <c r="H432" s="803"/>
      <c r="I432" s="803"/>
      <c r="J432" s="803"/>
      <c r="K432" s="803"/>
      <c r="L432" s="803"/>
      <c r="M432" s="804"/>
      <c r="N432" s="804"/>
      <c r="O432" s="804"/>
      <c r="P432" s="804"/>
    </row>
    <row r="433">
      <c r="B433" s="802"/>
      <c r="C433" s="802"/>
      <c r="D433" s="802"/>
      <c r="E433" s="802"/>
      <c r="F433" s="802"/>
      <c r="G433" s="803"/>
      <c r="H433" s="803"/>
      <c r="I433" s="803"/>
      <c r="J433" s="803"/>
      <c r="K433" s="803"/>
      <c r="L433" s="803"/>
      <c r="M433" s="804"/>
      <c r="N433" s="804"/>
      <c r="O433" s="804"/>
      <c r="P433" s="804"/>
    </row>
    <row r="434">
      <c r="B434" s="802"/>
      <c r="C434" s="802"/>
      <c r="D434" s="802"/>
      <c r="E434" s="802"/>
      <c r="F434" s="802"/>
      <c r="G434" s="803"/>
      <c r="H434" s="803"/>
      <c r="I434" s="803"/>
      <c r="J434" s="803"/>
      <c r="K434" s="803"/>
      <c r="L434" s="803"/>
      <c r="M434" s="804"/>
      <c r="N434" s="804"/>
      <c r="O434" s="804"/>
      <c r="P434" s="804"/>
    </row>
    <row r="435">
      <c r="B435" s="802"/>
      <c r="C435" s="802"/>
      <c r="D435" s="802"/>
      <c r="E435" s="802"/>
      <c r="F435" s="802"/>
      <c r="G435" s="803"/>
      <c r="H435" s="803"/>
      <c r="I435" s="803"/>
      <c r="J435" s="803"/>
      <c r="K435" s="803"/>
      <c r="L435" s="803"/>
      <c r="M435" s="804"/>
      <c r="N435" s="804"/>
      <c r="O435" s="804"/>
      <c r="P435" s="804"/>
    </row>
    <row r="436">
      <c r="B436" s="802"/>
      <c r="C436" s="802"/>
      <c r="D436" s="802"/>
      <c r="E436" s="802"/>
      <c r="F436" s="802"/>
      <c r="G436" s="803"/>
      <c r="H436" s="803"/>
      <c r="I436" s="803"/>
      <c r="J436" s="803"/>
      <c r="K436" s="803"/>
      <c r="L436" s="803"/>
      <c r="M436" s="804"/>
      <c r="N436" s="804"/>
      <c r="O436" s="804"/>
      <c r="P436" s="804"/>
    </row>
    <row r="437">
      <c r="B437" s="802"/>
      <c r="C437" s="802"/>
      <c r="D437" s="802"/>
      <c r="E437" s="802"/>
      <c r="F437" s="802"/>
      <c r="G437" s="803"/>
      <c r="H437" s="803"/>
      <c r="I437" s="803"/>
      <c r="J437" s="803"/>
      <c r="K437" s="803"/>
      <c r="L437" s="803"/>
      <c r="M437" s="804"/>
      <c r="N437" s="804"/>
      <c r="O437" s="804"/>
      <c r="P437" s="804"/>
    </row>
    <row r="438">
      <c r="B438" s="802"/>
      <c r="C438" s="802"/>
      <c r="D438" s="802"/>
      <c r="E438" s="802"/>
      <c r="F438" s="802"/>
      <c r="G438" s="803"/>
      <c r="H438" s="803"/>
      <c r="I438" s="803"/>
      <c r="J438" s="803"/>
      <c r="K438" s="803"/>
      <c r="L438" s="803"/>
      <c r="M438" s="804"/>
      <c r="N438" s="804"/>
      <c r="O438" s="804"/>
      <c r="P438" s="804"/>
    </row>
    <row r="439">
      <c r="B439" s="802"/>
      <c r="C439" s="802"/>
      <c r="D439" s="802"/>
      <c r="E439" s="802"/>
      <c r="F439" s="802"/>
      <c r="G439" s="803"/>
      <c r="H439" s="803"/>
      <c r="I439" s="803"/>
      <c r="J439" s="803"/>
      <c r="K439" s="803"/>
      <c r="L439" s="803"/>
      <c r="M439" s="804"/>
      <c r="N439" s="804"/>
      <c r="O439" s="804"/>
      <c r="P439" s="804"/>
    </row>
    <row r="440">
      <c r="B440" s="802"/>
      <c r="C440" s="802"/>
      <c r="D440" s="802"/>
      <c r="E440" s="802"/>
      <c r="F440" s="802"/>
      <c r="G440" s="803"/>
      <c r="H440" s="803"/>
      <c r="I440" s="803"/>
      <c r="J440" s="803"/>
      <c r="K440" s="803"/>
      <c r="L440" s="803"/>
      <c r="M440" s="804"/>
      <c r="N440" s="804"/>
      <c r="O440" s="804"/>
      <c r="P440" s="804"/>
    </row>
    <row r="441">
      <c r="B441" s="802"/>
      <c r="C441" s="802"/>
      <c r="D441" s="802"/>
      <c r="E441" s="802"/>
      <c r="F441" s="802"/>
      <c r="G441" s="803"/>
      <c r="H441" s="803"/>
      <c r="I441" s="803"/>
      <c r="J441" s="803"/>
      <c r="K441" s="803"/>
      <c r="L441" s="803"/>
      <c r="M441" s="804"/>
      <c r="N441" s="804"/>
      <c r="O441" s="804"/>
      <c r="P441" s="804"/>
    </row>
    <row r="442">
      <c r="B442" s="802"/>
      <c r="C442" s="802"/>
      <c r="D442" s="802"/>
      <c r="E442" s="802"/>
      <c r="F442" s="802"/>
      <c r="G442" s="803"/>
      <c r="H442" s="803"/>
      <c r="I442" s="803"/>
      <c r="J442" s="803"/>
      <c r="K442" s="803"/>
      <c r="L442" s="803"/>
      <c r="M442" s="804"/>
      <c r="N442" s="804"/>
      <c r="O442" s="804"/>
      <c r="P442" s="804"/>
    </row>
    <row r="443">
      <c r="B443" s="802"/>
      <c r="C443" s="802"/>
      <c r="D443" s="802"/>
      <c r="E443" s="802"/>
      <c r="F443" s="802"/>
      <c r="G443" s="803"/>
      <c r="H443" s="803"/>
      <c r="I443" s="803"/>
      <c r="J443" s="803"/>
      <c r="K443" s="803"/>
      <c r="L443" s="803"/>
      <c r="M443" s="804"/>
      <c r="N443" s="804"/>
      <c r="O443" s="804"/>
      <c r="P443" s="804"/>
    </row>
    <row r="444">
      <c r="B444" s="802"/>
      <c r="C444" s="802"/>
      <c r="D444" s="802"/>
      <c r="E444" s="802"/>
      <c r="F444" s="802"/>
      <c r="G444" s="803"/>
      <c r="H444" s="803"/>
      <c r="I444" s="803"/>
      <c r="J444" s="803"/>
      <c r="K444" s="803"/>
      <c r="L444" s="803"/>
      <c r="M444" s="804"/>
      <c r="N444" s="804"/>
      <c r="O444" s="804"/>
      <c r="P444" s="804"/>
    </row>
    <row r="445">
      <c r="B445" s="802"/>
      <c r="C445" s="802"/>
      <c r="D445" s="802"/>
      <c r="E445" s="802"/>
      <c r="F445" s="802"/>
      <c r="G445" s="803"/>
      <c r="H445" s="803"/>
      <c r="I445" s="803"/>
      <c r="J445" s="803"/>
      <c r="K445" s="803"/>
      <c r="L445" s="803"/>
      <c r="M445" s="804"/>
      <c r="N445" s="804"/>
      <c r="O445" s="804"/>
      <c r="P445" s="804"/>
    </row>
    <row r="446">
      <c r="B446" s="802"/>
      <c r="C446" s="802"/>
      <c r="D446" s="802"/>
      <c r="E446" s="802"/>
      <c r="F446" s="802"/>
      <c r="G446" s="803"/>
      <c r="H446" s="803"/>
      <c r="I446" s="803"/>
      <c r="J446" s="803"/>
      <c r="K446" s="803"/>
      <c r="L446" s="803"/>
      <c r="M446" s="804"/>
      <c r="N446" s="804"/>
      <c r="O446" s="804"/>
      <c r="P446" s="804"/>
    </row>
    <row r="447">
      <c r="B447" s="802"/>
      <c r="C447" s="802"/>
      <c r="D447" s="802"/>
      <c r="E447" s="802"/>
      <c r="F447" s="802"/>
      <c r="G447" s="803"/>
      <c r="H447" s="803"/>
      <c r="I447" s="803"/>
      <c r="J447" s="803"/>
      <c r="K447" s="803"/>
      <c r="L447" s="803"/>
      <c r="M447" s="804"/>
      <c r="N447" s="804"/>
      <c r="O447" s="804"/>
      <c r="P447" s="804"/>
    </row>
    <row r="448">
      <c r="B448" s="802"/>
      <c r="C448" s="802"/>
      <c r="D448" s="802"/>
      <c r="E448" s="802"/>
      <c r="F448" s="802"/>
      <c r="G448" s="803"/>
      <c r="H448" s="803"/>
      <c r="I448" s="803"/>
      <c r="J448" s="803"/>
      <c r="K448" s="803"/>
      <c r="L448" s="803"/>
      <c r="M448" s="804"/>
      <c r="N448" s="804"/>
      <c r="O448" s="804"/>
      <c r="P448" s="804"/>
    </row>
    <row r="449">
      <c r="B449" s="802"/>
      <c r="C449" s="802"/>
      <c r="D449" s="802"/>
      <c r="E449" s="802"/>
      <c r="F449" s="802"/>
      <c r="G449" s="803"/>
      <c r="H449" s="803"/>
      <c r="I449" s="803"/>
      <c r="J449" s="803"/>
      <c r="K449" s="803"/>
      <c r="L449" s="803"/>
      <c r="M449" s="804"/>
      <c r="N449" s="804"/>
      <c r="O449" s="804"/>
      <c r="P449" s="804"/>
    </row>
    <row r="450">
      <c r="B450" s="802"/>
      <c r="C450" s="802"/>
      <c r="D450" s="802"/>
      <c r="E450" s="802"/>
      <c r="F450" s="802"/>
      <c r="G450" s="803"/>
      <c r="H450" s="803"/>
      <c r="I450" s="803"/>
      <c r="J450" s="803"/>
      <c r="K450" s="803"/>
      <c r="L450" s="803"/>
      <c r="M450" s="804"/>
      <c r="N450" s="804"/>
      <c r="O450" s="804"/>
      <c r="P450" s="804"/>
    </row>
    <row r="451">
      <c r="B451" s="802"/>
      <c r="C451" s="802"/>
      <c r="D451" s="802"/>
      <c r="E451" s="802"/>
      <c r="F451" s="802"/>
      <c r="G451" s="803"/>
      <c r="H451" s="803"/>
      <c r="I451" s="803"/>
      <c r="J451" s="803"/>
      <c r="K451" s="803"/>
      <c r="L451" s="803"/>
      <c r="M451" s="804"/>
      <c r="N451" s="804"/>
      <c r="O451" s="804"/>
      <c r="P451" s="804"/>
    </row>
    <row r="452">
      <c r="B452" s="802"/>
      <c r="C452" s="802"/>
      <c r="D452" s="802"/>
      <c r="E452" s="802"/>
      <c r="F452" s="802"/>
      <c r="G452" s="803"/>
      <c r="H452" s="803"/>
      <c r="I452" s="803"/>
      <c r="J452" s="803"/>
      <c r="K452" s="803"/>
      <c r="L452" s="803"/>
      <c r="M452" s="804"/>
      <c r="N452" s="804"/>
      <c r="O452" s="804"/>
      <c r="P452" s="804"/>
    </row>
    <row r="453">
      <c r="B453" s="802"/>
      <c r="C453" s="802"/>
      <c r="D453" s="802"/>
      <c r="E453" s="802"/>
      <c r="F453" s="802"/>
      <c r="G453" s="803"/>
      <c r="H453" s="803"/>
      <c r="I453" s="803"/>
      <c r="J453" s="803"/>
      <c r="K453" s="803"/>
      <c r="L453" s="803"/>
      <c r="M453" s="804"/>
      <c r="N453" s="804"/>
      <c r="O453" s="804"/>
      <c r="P453" s="804"/>
    </row>
    <row r="454">
      <c r="B454" s="802"/>
      <c r="C454" s="802"/>
      <c r="D454" s="802"/>
      <c r="E454" s="802"/>
      <c r="F454" s="802"/>
      <c r="G454" s="803"/>
      <c r="H454" s="803"/>
      <c r="I454" s="803"/>
      <c r="J454" s="803"/>
      <c r="K454" s="803"/>
      <c r="L454" s="803"/>
      <c r="M454" s="804"/>
      <c r="N454" s="804"/>
      <c r="O454" s="804"/>
      <c r="P454" s="804"/>
    </row>
    <row r="455">
      <c r="B455" s="802"/>
      <c r="C455" s="802"/>
      <c r="D455" s="802"/>
      <c r="E455" s="802"/>
      <c r="F455" s="802"/>
      <c r="G455" s="803"/>
      <c r="H455" s="803"/>
      <c r="I455" s="803"/>
      <c r="J455" s="803"/>
      <c r="K455" s="803"/>
      <c r="L455" s="803"/>
      <c r="M455" s="804"/>
      <c r="N455" s="804"/>
      <c r="O455" s="804"/>
      <c r="P455" s="804"/>
    </row>
    <row r="456">
      <c r="B456" s="802"/>
      <c r="C456" s="802"/>
      <c r="D456" s="802"/>
      <c r="E456" s="802"/>
      <c r="F456" s="802"/>
      <c r="G456" s="803"/>
      <c r="H456" s="803"/>
      <c r="I456" s="803"/>
      <c r="J456" s="803"/>
      <c r="K456" s="803"/>
      <c r="L456" s="803"/>
      <c r="M456" s="804"/>
      <c r="N456" s="804"/>
      <c r="O456" s="804"/>
      <c r="P456" s="804"/>
    </row>
    <row r="457">
      <c r="B457" s="802"/>
      <c r="C457" s="802"/>
      <c r="D457" s="802"/>
      <c r="E457" s="802"/>
      <c r="F457" s="802"/>
      <c r="G457" s="803"/>
      <c r="H457" s="803"/>
      <c r="I457" s="803"/>
      <c r="J457" s="803"/>
      <c r="K457" s="803"/>
      <c r="L457" s="803"/>
      <c r="M457" s="804"/>
      <c r="N457" s="804"/>
      <c r="O457" s="804"/>
      <c r="P457" s="804"/>
    </row>
    <row r="458">
      <c r="B458" s="802"/>
      <c r="C458" s="802"/>
      <c r="D458" s="802"/>
      <c r="E458" s="802"/>
      <c r="F458" s="802"/>
      <c r="G458" s="803"/>
      <c r="H458" s="803"/>
      <c r="I458" s="803"/>
      <c r="J458" s="803"/>
      <c r="K458" s="803"/>
      <c r="L458" s="803"/>
      <c r="M458" s="804"/>
      <c r="N458" s="804"/>
      <c r="O458" s="804"/>
      <c r="P458" s="804"/>
    </row>
    <row r="459">
      <c r="B459" s="802"/>
      <c r="C459" s="802"/>
      <c r="D459" s="802"/>
      <c r="E459" s="802"/>
      <c r="F459" s="802"/>
      <c r="G459" s="803"/>
      <c r="H459" s="803"/>
      <c r="I459" s="803"/>
      <c r="J459" s="803"/>
      <c r="K459" s="803"/>
      <c r="L459" s="803"/>
      <c r="M459" s="804"/>
      <c r="N459" s="804"/>
      <c r="O459" s="804"/>
      <c r="P459" s="804"/>
    </row>
    <row r="460">
      <c r="B460" s="802"/>
      <c r="C460" s="802"/>
      <c r="D460" s="802"/>
      <c r="E460" s="802"/>
      <c r="F460" s="802"/>
      <c r="G460" s="803"/>
      <c r="H460" s="803"/>
      <c r="I460" s="803"/>
      <c r="J460" s="803"/>
      <c r="K460" s="803"/>
      <c r="L460" s="803"/>
      <c r="M460" s="804"/>
      <c r="N460" s="804"/>
      <c r="O460" s="804"/>
      <c r="P460" s="804"/>
    </row>
    <row r="461">
      <c r="B461" s="802"/>
      <c r="C461" s="802"/>
      <c r="D461" s="802"/>
      <c r="E461" s="802"/>
      <c r="F461" s="802"/>
      <c r="G461" s="803"/>
      <c r="H461" s="803"/>
      <c r="I461" s="803"/>
      <c r="J461" s="803"/>
      <c r="K461" s="803"/>
      <c r="L461" s="803"/>
      <c r="M461" s="804"/>
      <c r="N461" s="804"/>
      <c r="O461" s="804"/>
      <c r="P461" s="804"/>
    </row>
    <row r="462">
      <c r="B462" s="802"/>
      <c r="C462" s="802"/>
      <c r="D462" s="802"/>
      <c r="E462" s="802"/>
      <c r="F462" s="802"/>
      <c r="G462" s="803"/>
      <c r="H462" s="803"/>
      <c r="I462" s="803"/>
      <c r="J462" s="803"/>
      <c r="K462" s="803"/>
      <c r="L462" s="803"/>
      <c r="M462" s="804"/>
      <c r="N462" s="804"/>
      <c r="O462" s="804"/>
      <c r="P462" s="804"/>
    </row>
    <row r="463">
      <c r="B463" s="802"/>
      <c r="C463" s="802"/>
      <c r="D463" s="802"/>
      <c r="E463" s="802"/>
      <c r="F463" s="802"/>
      <c r="G463" s="803"/>
      <c r="H463" s="803"/>
      <c r="I463" s="803"/>
      <c r="J463" s="803"/>
      <c r="K463" s="803"/>
      <c r="L463" s="803"/>
      <c r="M463" s="804"/>
      <c r="N463" s="804"/>
      <c r="O463" s="804"/>
      <c r="P463" s="804"/>
    </row>
    <row r="464">
      <c r="B464" s="802"/>
      <c r="C464" s="802"/>
      <c r="D464" s="802"/>
      <c r="E464" s="802"/>
      <c r="F464" s="802"/>
      <c r="G464" s="803"/>
      <c r="H464" s="803"/>
      <c r="I464" s="803"/>
      <c r="J464" s="803"/>
      <c r="K464" s="803"/>
      <c r="L464" s="803"/>
      <c r="M464" s="804"/>
      <c r="N464" s="804"/>
      <c r="O464" s="804"/>
      <c r="P464" s="804"/>
    </row>
    <row r="465">
      <c r="B465" s="802"/>
      <c r="C465" s="802"/>
      <c r="D465" s="802"/>
      <c r="E465" s="802"/>
      <c r="F465" s="802"/>
      <c r="G465" s="803"/>
      <c r="H465" s="803"/>
      <c r="I465" s="803"/>
      <c r="J465" s="803"/>
      <c r="K465" s="803"/>
      <c r="L465" s="803"/>
      <c r="M465" s="804"/>
      <c r="N465" s="804"/>
      <c r="O465" s="804"/>
      <c r="P465" s="804"/>
    </row>
    <row r="466">
      <c r="B466" s="802"/>
      <c r="C466" s="802"/>
      <c r="D466" s="802"/>
      <c r="E466" s="802"/>
      <c r="F466" s="802"/>
      <c r="G466" s="803"/>
      <c r="H466" s="803"/>
      <c r="I466" s="803"/>
      <c r="J466" s="803"/>
      <c r="K466" s="803"/>
      <c r="L466" s="803"/>
      <c r="M466" s="804"/>
      <c r="N466" s="804"/>
      <c r="O466" s="804"/>
      <c r="P466" s="804"/>
    </row>
    <row r="467">
      <c r="B467" s="802"/>
      <c r="C467" s="802"/>
      <c r="D467" s="802"/>
      <c r="E467" s="802"/>
      <c r="F467" s="802"/>
      <c r="G467" s="803"/>
      <c r="H467" s="803"/>
      <c r="I467" s="803"/>
      <c r="J467" s="803"/>
      <c r="K467" s="803"/>
      <c r="L467" s="803"/>
      <c r="M467" s="804"/>
      <c r="N467" s="804"/>
      <c r="O467" s="804"/>
      <c r="P467" s="804"/>
    </row>
    <row r="468">
      <c r="B468" s="802"/>
      <c r="C468" s="802"/>
      <c r="D468" s="802"/>
      <c r="E468" s="802"/>
      <c r="F468" s="802"/>
      <c r="G468" s="803"/>
      <c r="H468" s="803"/>
      <c r="I468" s="803"/>
      <c r="J468" s="803"/>
      <c r="K468" s="803"/>
      <c r="L468" s="803"/>
      <c r="M468" s="804"/>
      <c r="N468" s="804"/>
      <c r="O468" s="804"/>
      <c r="P468" s="804"/>
    </row>
    <row r="469">
      <c r="B469" s="802"/>
      <c r="C469" s="802"/>
      <c r="D469" s="802"/>
      <c r="E469" s="802"/>
      <c r="F469" s="802"/>
      <c r="G469" s="803"/>
      <c r="H469" s="803"/>
      <c r="I469" s="803"/>
      <c r="J469" s="803"/>
      <c r="K469" s="803"/>
      <c r="L469" s="803"/>
      <c r="M469" s="804"/>
      <c r="N469" s="804"/>
      <c r="O469" s="804"/>
      <c r="P469" s="804"/>
    </row>
    <row r="470">
      <c r="B470" s="802"/>
      <c r="C470" s="802"/>
      <c r="D470" s="802"/>
      <c r="E470" s="802"/>
      <c r="F470" s="802"/>
      <c r="G470" s="803"/>
      <c r="H470" s="803"/>
      <c r="I470" s="803"/>
      <c r="J470" s="803"/>
      <c r="K470" s="803"/>
      <c r="L470" s="803"/>
      <c r="M470" s="804"/>
      <c r="N470" s="804"/>
      <c r="O470" s="804"/>
      <c r="P470" s="804"/>
    </row>
    <row r="471">
      <c r="B471" s="802"/>
      <c r="C471" s="802"/>
      <c r="D471" s="802"/>
      <c r="E471" s="802"/>
      <c r="F471" s="802"/>
      <c r="G471" s="803"/>
      <c r="H471" s="803"/>
      <c r="I471" s="803"/>
      <c r="J471" s="803"/>
      <c r="K471" s="803"/>
      <c r="L471" s="803"/>
      <c r="M471" s="804"/>
      <c r="N471" s="804"/>
      <c r="O471" s="804"/>
      <c r="P471" s="804"/>
    </row>
    <row r="472">
      <c r="B472" s="802"/>
      <c r="C472" s="802"/>
      <c r="D472" s="802"/>
      <c r="E472" s="802"/>
      <c r="F472" s="802"/>
      <c r="G472" s="803"/>
      <c r="H472" s="803"/>
      <c r="I472" s="803"/>
      <c r="J472" s="803"/>
      <c r="K472" s="803"/>
      <c r="L472" s="803"/>
      <c r="M472" s="804"/>
      <c r="N472" s="804"/>
      <c r="O472" s="804"/>
      <c r="P472" s="804"/>
    </row>
    <row r="473">
      <c r="B473" s="802"/>
      <c r="C473" s="802"/>
      <c r="D473" s="802"/>
      <c r="E473" s="802"/>
      <c r="F473" s="802"/>
      <c r="G473" s="803"/>
      <c r="H473" s="803"/>
      <c r="I473" s="803"/>
      <c r="J473" s="803"/>
      <c r="K473" s="803"/>
      <c r="L473" s="803"/>
      <c r="M473" s="804"/>
      <c r="N473" s="804"/>
      <c r="O473" s="804"/>
      <c r="P473" s="804"/>
    </row>
    <row r="474">
      <c r="B474" s="802"/>
      <c r="C474" s="802"/>
      <c r="D474" s="802"/>
      <c r="E474" s="802"/>
      <c r="F474" s="802"/>
      <c r="G474" s="803"/>
      <c r="H474" s="803"/>
      <c r="I474" s="803"/>
      <c r="J474" s="803"/>
      <c r="K474" s="803"/>
      <c r="L474" s="803"/>
      <c r="M474" s="804"/>
      <c r="N474" s="804"/>
      <c r="O474" s="804"/>
      <c r="P474" s="804"/>
    </row>
    <row r="475">
      <c r="B475" s="802"/>
      <c r="C475" s="802"/>
      <c r="D475" s="802"/>
      <c r="E475" s="802"/>
      <c r="F475" s="802"/>
      <c r="G475" s="803"/>
      <c r="H475" s="803"/>
      <c r="I475" s="803"/>
      <c r="J475" s="803"/>
      <c r="K475" s="803"/>
      <c r="L475" s="803"/>
      <c r="M475" s="804"/>
      <c r="N475" s="804"/>
      <c r="O475" s="804"/>
      <c r="P475" s="804"/>
    </row>
    <row r="476">
      <c r="B476" s="802"/>
      <c r="C476" s="802"/>
      <c r="D476" s="802"/>
      <c r="E476" s="802"/>
      <c r="F476" s="802"/>
      <c r="G476" s="803"/>
      <c r="H476" s="803"/>
      <c r="I476" s="803"/>
      <c r="J476" s="803"/>
      <c r="K476" s="803"/>
      <c r="L476" s="803"/>
      <c r="M476" s="804"/>
      <c r="N476" s="804"/>
      <c r="O476" s="804"/>
      <c r="P476" s="804"/>
    </row>
    <row r="477">
      <c r="B477" s="802"/>
      <c r="C477" s="802"/>
      <c r="D477" s="802"/>
      <c r="E477" s="802"/>
      <c r="F477" s="802"/>
      <c r="G477" s="803"/>
      <c r="H477" s="803"/>
      <c r="I477" s="803"/>
      <c r="J477" s="803"/>
      <c r="K477" s="803"/>
      <c r="L477" s="803"/>
      <c r="M477" s="804"/>
      <c r="N477" s="804"/>
      <c r="O477" s="804"/>
      <c r="P477" s="804"/>
    </row>
    <row r="478">
      <c r="B478" s="802"/>
      <c r="C478" s="802"/>
      <c r="D478" s="802"/>
      <c r="E478" s="802"/>
      <c r="F478" s="802"/>
      <c r="G478" s="803"/>
      <c r="H478" s="803"/>
      <c r="I478" s="803"/>
      <c r="J478" s="803"/>
      <c r="K478" s="803"/>
      <c r="L478" s="803"/>
      <c r="M478" s="804"/>
      <c r="N478" s="804"/>
      <c r="O478" s="804"/>
      <c r="P478" s="804"/>
    </row>
    <row r="479">
      <c r="B479" s="802"/>
      <c r="C479" s="802"/>
      <c r="D479" s="802"/>
      <c r="E479" s="802"/>
      <c r="F479" s="802"/>
      <c r="G479" s="803"/>
      <c r="H479" s="803"/>
      <c r="I479" s="803"/>
      <c r="J479" s="803"/>
      <c r="K479" s="803"/>
      <c r="L479" s="803"/>
      <c r="M479" s="804"/>
      <c r="N479" s="804"/>
      <c r="O479" s="804"/>
      <c r="P479" s="804"/>
    </row>
    <row r="480">
      <c r="B480" s="802"/>
      <c r="C480" s="802"/>
      <c r="D480" s="802"/>
      <c r="E480" s="802"/>
      <c r="F480" s="802"/>
      <c r="G480" s="803"/>
      <c r="H480" s="803"/>
      <c r="I480" s="803"/>
      <c r="J480" s="803"/>
      <c r="K480" s="803"/>
      <c r="L480" s="803"/>
      <c r="M480" s="804"/>
      <c r="N480" s="804"/>
      <c r="O480" s="804"/>
      <c r="P480" s="804"/>
    </row>
    <row r="481">
      <c r="B481" s="802"/>
      <c r="C481" s="802"/>
      <c r="D481" s="802"/>
      <c r="E481" s="802"/>
      <c r="F481" s="802"/>
      <c r="G481" s="803"/>
      <c r="H481" s="803"/>
      <c r="I481" s="803"/>
      <c r="J481" s="803"/>
      <c r="K481" s="803"/>
      <c r="L481" s="803"/>
      <c r="M481" s="804"/>
      <c r="N481" s="804"/>
      <c r="O481" s="804"/>
      <c r="P481" s="804"/>
    </row>
    <row r="482">
      <c r="B482" s="802"/>
      <c r="C482" s="802"/>
      <c r="D482" s="802"/>
      <c r="E482" s="802"/>
      <c r="F482" s="802"/>
      <c r="G482" s="803"/>
      <c r="H482" s="803"/>
      <c r="I482" s="803"/>
      <c r="J482" s="803"/>
      <c r="K482" s="803"/>
      <c r="L482" s="803"/>
      <c r="M482" s="804"/>
      <c r="N482" s="804"/>
      <c r="O482" s="804"/>
      <c r="P482" s="804"/>
    </row>
    <row r="483">
      <c r="B483" s="802"/>
      <c r="C483" s="802"/>
      <c r="D483" s="802"/>
      <c r="E483" s="802"/>
      <c r="F483" s="802"/>
      <c r="G483" s="803"/>
      <c r="H483" s="803"/>
      <c r="I483" s="803"/>
      <c r="J483" s="803"/>
      <c r="K483" s="803"/>
      <c r="L483" s="803"/>
      <c r="M483" s="804"/>
      <c r="N483" s="804"/>
      <c r="O483" s="804"/>
      <c r="P483" s="804"/>
    </row>
    <row r="484">
      <c r="B484" s="802"/>
      <c r="C484" s="802"/>
      <c r="D484" s="802"/>
      <c r="E484" s="802"/>
      <c r="F484" s="802"/>
      <c r="G484" s="803"/>
      <c r="H484" s="803"/>
      <c r="I484" s="803"/>
      <c r="J484" s="803"/>
      <c r="K484" s="803"/>
      <c r="L484" s="803"/>
      <c r="M484" s="804"/>
      <c r="N484" s="804"/>
      <c r="O484" s="804"/>
      <c r="P484" s="804"/>
    </row>
    <row r="485">
      <c r="B485" s="802"/>
      <c r="C485" s="802"/>
      <c r="D485" s="802"/>
      <c r="E485" s="802"/>
      <c r="F485" s="802"/>
      <c r="G485" s="803"/>
      <c r="H485" s="803"/>
      <c r="I485" s="803"/>
      <c r="J485" s="803"/>
      <c r="K485" s="803"/>
      <c r="L485" s="803"/>
      <c r="M485" s="804"/>
      <c r="N485" s="804"/>
      <c r="O485" s="804"/>
      <c r="P485" s="804"/>
    </row>
    <row r="486">
      <c r="B486" s="802"/>
      <c r="C486" s="802"/>
      <c r="D486" s="802"/>
      <c r="E486" s="802"/>
      <c r="F486" s="802"/>
      <c r="G486" s="803"/>
      <c r="H486" s="803"/>
      <c r="I486" s="803"/>
      <c r="J486" s="803"/>
      <c r="K486" s="803"/>
      <c r="L486" s="803"/>
      <c r="M486" s="804"/>
      <c r="N486" s="804"/>
      <c r="O486" s="804"/>
      <c r="P486" s="804"/>
    </row>
    <row r="487">
      <c r="B487" s="802"/>
      <c r="C487" s="802"/>
      <c r="D487" s="802"/>
      <c r="E487" s="802"/>
      <c r="F487" s="802"/>
      <c r="G487" s="803"/>
      <c r="H487" s="803"/>
      <c r="I487" s="803"/>
      <c r="J487" s="803"/>
      <c r="K487" s="803"/>
      <c r="L487" s="803"/>
      <c r="M487" s="804"/>
      <c r="N487" s="804"/>
      <c r="O487" s="804"/>
      <c r="P487" s="804"/>
    </row>
    <row r="488">
      <c r="B488" s="802"/>
      <c r="C488" s="802"/>
      <c r="D488" s="802"/>
      <c r="E488" s="802"/>
      <c r="F488" s="802"/>
      <c r="G488" s="803"/>
      <c r="H488" s="803"/>
      <c r="I488" s="803"/>
      <c r="J488" s="803"/>
      <c r="K488" s="803"/>
      <c r="L488" s="803"/>
      <c r="M488" s="804"/>
      <c r="N488" s="804"/>
      <c r="O488" s="804"/>
      <c r="P488" s="804"/>
    </row>
    <row r="489">
      <c r="B489" s="802"/>
      <c r="C489" s="802"/>
      <c r="D489" s="802"/>
      <c r="E489" s="802"/>
      <c r="F489" s="802"/>
      <c r="G489" s="803"/>
      <c r="H489" s="803"/>
      <c r="I489" s="803"/>
      <c r="J489" s="803"/>
      <c r="K489" s="803"/>
      <c r="L489" s="803"/>
      <c r="M489" s="804"/>
      <c r="N489" s="804"/>
      <c r="O489" s="804"/>
      <c r="P489" s="804"/>
    </row>
    <row r="490">
      <c r="B490" s="802"/>
      <c r="C490" s="802"/>
      <c r="D490" s="802"/>
      <c r="E490" s="802"/>
      <c r="F490" s="802"/>
      <c r="G490" s="803"/>
      <c r="H490" s="803"/>
      <c r="I490" s="803"/>
      <c r="J490" s="803"/>
      <c r="K490" s="803"/>
      <c r="L490" s="803"/>
      <c r="M490" s="804"/>
      <c r="N490" s="804"/>
      <c r="O490" s="804"/>
      <c r="P490" s="804"/>
    </row>
    <row r="491">
      <c r="B491" s="802"/>
      <c r="C491" s="802"/>
      <c r="D491" s="802"/>
      <c r="E491" s="802"/>
      <c r="F491" s="802"/>
      <c r="G491" s="803"/>
      <c r="H491" s="803"/>
      <c r="I491" s="803"/>
      <c r="J491" s="803"/>
      <c r="K491" s="803"/>
      <c r="L491" s="803"/>
      <c r="M491" s="804"/>
      <c r="N491" s="804"/>
      <c r="O491" s="804"/>
      <c r="P491" s="804"/>
    </row>
    <row r="492">
      <c r="B492" s="802"/>
      <c r="C492" s="802"/>
      <c r="D492" s="802"/>
      <c r="E492" s="802"/>
      <c r="F492" s="802"/>
      <c r="G492" s="803"/>
      <c r="H492" s="803"/>
      <c r="I492" s="803"/>
      <c r="J492" s="803"/>
      <c r="K492" s="803"/>
      <c r="L492" s="803"/>
      <c r="M492" s="804"/>
      <c r="N492" s="804"/>
      <c r="O492" s="804"/>
      <c r="P492" s="804"/>
    </row>
    <row r="493">
      <c r="B493" s="802"/>
      <c r="C493" s="802"/>
      <c r="D493" s="802"/>
      <c r="E493" s="802"/>
      <c r="F493" s="802"/>
      <c r="G493" s="803"/>
      <c r="H493" s="803"/>
      <c r="I493" s="803"/>
      <c r="J493" s="803"/>
      <c r="K493" s="803"/>
      <c r="L493" s="803"/>
      <c r="M493" s="804"/>
      <c r="N493" s="804"/>
      <c r="O493" s="804"/>
      <c r="P493" s="804"/>
    </row>
    <row r="494">
      <c r="B494" s="802"/>
      <c r="C494" s="802"/>
      <c r="D494" s="802"/>
      <c r="E494" s="802"/>
      <c r="F494" s="802"/>
      <c r="G494" s="803"/>
      <c r="H494" s="803"/>
      <c r="I494" s="803"/>
      <c r="J494" s="803"/>
      <c r="K494" s="803"/>
      <c r="L494" s="803"/>
      <c r="M494" s="804"/>
      <c r="N494" s="804"/>
      <c r="O494" s="804"/>
      <c r="P494" s="804"/>
    </row>
    <row r="495">
      <c r="B495" s="802"/>
      <c r="C495" s="802"/>
      <c r="D495" s="802"/>
      <c r="E495" s="802"/>
      <c r="F495" s="802"/>
      <c r="G495" s="803"/>
      <c r="H495" s="803"/>
      <c r="I495" s="803"/>
      <c r="J495" s="803"/>
      <c r="K495" s="803"/>
      <c r="L495" s="803"/>
      <c r="M495" s="804"/>
      <c r="N495" s="804"/>
      <c r="O495" s="804"/>
      <c r="P495" s="804"/>
    </row>
    <row r="496">
      <c r="B496" s="802"/>
      <c r="C496" s="802"/>
      <c r="D496" s="802"/>
      <c r="E496" s="802"/>
      <c r="F496" s="802"/>
      <c r="G496" s="803"/>
      <c r="H496" s="803"/>
      <c r="I496" s="803"/>
      <c r="J496" s="803"/>
      <c r="K496" s="803"/>
      <c r="L496" s="803"/>
      <c r="M496" s="804"/>
      <c r="N496" s="804"/>
      <c r="O496" s="804"/>
      <c r="P496" s="804"/>
    </row>
    <row r="497">
      <c r="B497" s="802"/>
      <c r="C497" s="802"/>
      <c r="D497" s="802"/>
      <c r="E497" s="802"/>
      <c r="F497" s="802"/>
      <c r="G497" s="803"/>
      <c r="H497" s="803"/>
      <c r="I497" s="803"/>
      <c r="J497" s="803"/>
      <c r="K497" s="803"/>
      <c r="L497" s="803"/>
      <c r="M497" s="804"/>
      <c r="N497" s="804"/>
      <c r="O497" s="804"/>
      <c r="P497" s="804"/>
    </row>
    <row r="498">
      <c r="B498" s="802"/>
      <c r="C498" s="802"/>
      <c r="D498" s="802"/>
      <c r="E498" s="802"/>
      <c r="F498" s="802"/>
      <c r="G498" s="803"/>
      <c r="H498" s="803"/>
      <c r="I498" s="803"/>
      <c r="J498" s="803"/>
      <c r="K498" s="803"/>
      <c r="L498" s="803"/>
      <c r="M498" s="804"/>
      <c r="N498" s="804"/>
      <c r="O498" s="804"/>
      <c r="P498" s="804"/>
    </row>
    <row r="499">
      <c r="B499" s="802"/>
      <c r="C499" s="802"/>
      <c r="D499" s="802"/>
      <c r="E499" s="802"/>
      <c r="F499" s="802"/>
      <c r="G499" s="803"/>
      <c r="H499" s="803"/>
      <c r="I499" s="803"/>
      <c r="J499" s="803"/>
      <c r="K499" s="803"/>
      <c r="L499" s="803"/>
      <c r="M499" s="804"/>
      <c r="N499" s="804"/>
      <c r="O499" s="804"/>
      <c r="P499" s="804"/>
    </row>
    <row r="500">
      <c r="B500" s="802"/>
      <c r="C500" s="802"/>
      <c r="D500" s="802"/>
      <c r="E500" s="802"/>
      <c r="F500" s="802"/>
      <c r="G500" s="803"/>
      <c r="H500" s="803"/>
      <c r="I500" s="803"/>
      <c r="J500" s="803"/>
      <c r="K500" s="803"/>
      <c r="L500" s="803"/>
      <c r="M500" s="804"/>
      <c r="N500" s="804"/>
      <c r="O500" s="804"/>
      <c r="P500" s="804"/>
    </row>
    <row r="501">
      <c r="B501" s="802"/>
      <c r="C501" s="802"/>
      <c r="D501" s="802"/>
      <c r="E501" s="802"/>
      <c r="F501" s="802"/>
      <c r="G501" s="803"/>
      <c r="H501" s="803"/>
      <c r="I501" s="803"/>
      <c r="J501" s="803"/>
      <c r="K501" s="803"/>
      <c r="L501" s="803"/>
      <c r="M501" s="804"/>
      <c r="N501" s="804"/>
      <c r="O501" s="804"/>
      <c r="P501" s="804"/>
    </row>
    <row r="502">
      <c r="B502" s="802"/>
      <c r="C502" s="802"/>
      <c r="D502" s="802"/>
      <c r="E502" s="802"/>
      <c r="F502" s="802"/>
      <c r="G502" s="803"/>
      <c r="H502" s="803"/>
      <c r="I502" s="803"/>
      <c r="J502" s="803"/>
      <c r="K502" s="803"/>
      <c r="L502" s="803"/>
      <c r="M502" s="804"/>
      <c r="N502" s="804"/>
      <c r="O502" s="804"/>
      <c r="P502" s="804"/>
    </row>
    <row r="503">
      <c r="B503" s="802"/>
      <c r="C503" s="802"/>
      <c r="D503" s="802"/>
      <c r="E503" s="802"/>
      <c r="F503" s="802"/>
      <c r="G503" s="803"/>
      <c r="H503" s="803"/>
      <c r="I503" s="803"/>
      <c r="J503" s="803"/>
      <c r="K503" s="803"/>
      <c r="L503" s="803"/>
      <c r="M503" s="804"/>
      <c r="N503" s="804"/>
      <c r="O503" s="804"/>
      <c r="P503" s="804"/>
    </row>
    <row r="504">
      <c r="B504" s="802"/>
      <c r="C504" s="802"/>
      <c r="D504" s="802"/>
      <c r="E504" s="802"/>
      <c r="F504" s="802"/>
      <c r="G504" s="803"/>
      <c r="H504" s="803"/>
      <c r="I504" s="803"/>
      <c r="J504" s="803"/>
      <c r="K504" s="803"/>
      <c r="L504" s="803"/>
      <c r="M504" s="804"/>
      <c r="N504" s="804"/>
      <c r="O504" s="804"/>
      <c r="P504" s="804"/>
    </row>
    <row r="505">
      <c r="B505" s="802"/>
      <c r="C505" s="802"/>
      <c r="D505" s="802"/>
      <c r="E505" s="802"/>
      <c r="F505" s="802"/>
      <c r="G505" s="803"/>
      <c r="H505" s="803"/>
      <c r="I505" s="803"/>
      <c r="J505" s="803"/>
      <c r="K505" s="803"/>
      <c r="L505" s="803"/>
      <c r="M505" s="804"/>
      <c r="N505" s="804"/>
      <c r="O505" s="804"/>
      <c r="P505" s="804"/>
    </row>
    <row r="506">
      <c r="B506" s="802"/>
      <c r="C506" s="802"/>
      <c r="D506" s="802"/>
      <c r="E506" s="802"/>
      <c r="F506" s="802"/>
      <c r="G506" s="803"/>
      <c r="H506" s="803"/>
      <c r="I506" s="803"/>
      <c r="J506" s="803"/>
      <c r="K506" s="803"/>
      <c r="L506" s="803"/>
      <c r="M506" s="804"/>
      <c r="N506" s="804"/>
      <c r="O506" s="804"/>
      <c r="P506" s="804"/>
    </row>
    <row r="507">
      <c r="B507" s="802"/>
      <c r="C507" s="802"/>
      <c r="D507" s="802"/>
      <c r="E507" s="802"/>
      <c r="F507" s="802"/>
      <c r="G507" s="803"/>
      <c r="H507" s="803"/>
      <c r="I507" s="803"/>
      <c r="J507" s="803"/>
      <c r="K507" s="803"/>
      <c r="L507" s="803"/>
      <c r="M507" s="804"/>
      <c r="N507" s="804"/>
      <c r="O507" s="804"/>
      <c r="P507" s="804"/>
    </row>
    <row r="508">
      <c r="B508" s="802"/>
      <c r="C508" s="802"/>
      <c r="D508" s="802"/>
      <c r="E508" s="802"/>
      <c r="F508" s="802"/>
      <c r="G508" s="803"/>
      <c r="H508" s="803"/>
      <c r="I508" s="803"/>
      <c r="J508" s="803"/>
      <c r="K508" s="803"/>
      <c r="L508" s="803"/>
      <c r="M508" s="804"/>
      <c r="N508" s="804"/>
      <c r="O508" s="804"/>
      <c r="P508" s="804"/>
    </row>
    <row r="509">
      <c r="B509" s="802"/>
      <c r="C509" s="802"/>
      <c r="D509" s="802"/>
      <c r="E509" s="802"/>
      <c r="F509" s="802"/>
      <c r="G509" s="803"/>
      <c r="H509" s="803"/>
      <c r="I509" s="803"/>
      <c r="J509" s="803"/>
      <c r="K509" s="803"/>
      <c r="L509" s="803"/>
      <c r="M509" s="804"/>
      <c r="N509" s="804"/>
      <c r="O509" s="804"/>
      <c r="P509" s="804"/>
    </row>
    <row r="510">
      <c r="B510" s="802"/>
      <c r="C510" s="802"/>
      <c r="D510" s="802"/>
      <c r="E510" s="802"/>
      <c r="F510" s="802"/>
      <c r="G510" s="803"/>
      <c r="H510" s="803"/>
      <c r="I510" s="803"/>
      <c r="J510" s="803"/>
      <c r="K510" s="803"/>
      <c r="L510" s="803"/>
      <c r="M510" s="804"/>
      <c r="N510" s="804"/>
      <c r="O510" s="804"/>
      <c r="P510" s="804"/>
    </row>
    <row r="511">
      <c r="B511" s="802"/>
      <c r="C511" s="802"/>
      <c r="D511" s="802"/>
      <c r="E511" s="802"/>
      <c r="F511" s="802"/>
      <c r="G511" s="803"/>
      <c r="H511" s="803"/>
      <c r="I511" s="803"/>
      <c r="J511" s="803"/>
      <c r="K511" s="803"/>
      <c r="L511" s="803"/>
      <c r="M511" s="804"/>
      <c r="N511" s="804"/>
      <c r="O511" s="804"/>
      <c r="P511" s="804"/>
    </row>
    <row r="512">
      <c r="B512" s="802"/>
      <c r="C512" s="802"/>
      <c r="D512" s="802"/>
      <c r="E512" s="802"/>
      <c r="F512" s="802"/>
      <c r="G512" s="803"/>
      <c r="H512" s="803"/>
      <c r="I512" s="803"/>
      <c r="J512" s="803"/>
      <c r="K512" s="803"/>
      <c r="L512" s="803"/>
      <c r="M512" s="804"/>
      <c r="N512" s="804"/>
      <c r="O512" s="804"/>
      <c r="P512" s="804"/>
    </row>
    <row r="513">
      <c r="B513" s="802"/>
      <c r="C513" s="802"/>
      <c r="D513" s="802"/>
      <c r="E513" s="802"/>
      <c r="F513" s="802"/>
      <c r="G513" s="803"/>
      <c r="H513" s="803"/>
      <c r="I513" s="803"/>
      <c r="J513" s="803"/>
      <c r="K513" s="803"/>
      <c r="L513" s="803"/>
      <c r="M513" s="804"/>
      <c r="N513" s="804"/>
      <c r="O513" s="804"/>
      <c r="P513" s="804"/>
    </row>
    <row r="514">
      <c r="B514" s="802"/>
      <c r="C514" s="802"/>
      <c r="D514" s="802"/>
      <c r="E514" s="802"/>
      <c r="F514" s="802"/>
      <c r="G514" s="803"/>
      <c r="H514" s="803"/>
      <c r="I514" s="803"/>
      <c r="J514" s="803"/>
      <c r="K514" s="803"/>
      <c r="L514" s="803"/>
      <c r="M514" s="804"/>
      <c r="N514" s="804"/>
      <c r="O514" s="804"/>
      <c r="P514" s="804"/>
    </row>
    <row r="515">
      <c r="B515" s="802"/>
      <c r="C515" s="802"/>
      <c r="D515" s="802"/>
      <c r="E515" s="802"/>
      <c r="F515" s="802"/>
      <c r="G515" s="803"/>
      <c r="H515" s="803"/>
      <c r="I515" s="803"/>
      <c r="J515" s="803"/>
      <c r="K515" s="803"/>
      <c r="L515" s="803"/>
      <c r="M515" s="804"/>
      <c r="N515" s="804"/>
      <c r="O515" s="804"/>
      <c r="P515" s="804"/>
    </row>
    <row r="516">
      <c r="B516" s="802"/>
      <c r="C516" s="802"/>
      <c r="D516" s="802"/>
      <c r="E516" s="802"/>
      <c r="F516" s="802"/>
      <c r="G516" s="803"/>
      <c r="H516" s="803"/>
      <c r="I516" s="803"/>
      <c r="J516" s="803"/>
      <c r="K516" s="803"/>
      <c r="L516" s="803"/>
      <c r="M516" s="804"/>
      <c r="N516" s="804"/>
      <c r="O516" s="804"/>
      <c r="P516" s="804"/>
    </row>
    <row r="517">
      <c r="B517" s="802"/>
      <c r="C517" s="802"/>
      <c r="D517" s="802"/>
      <c r="E517" s="802"/>
      <c r="F517" s="802"/>
      <c r="G517" s="803"/>
      <c r="H517" s="803"/>
      <c r="I517" s="803"/>
      <c r="J517" s="803"/>
      <c r="K517" s="803"/>
      <c r="L517" s="803"/>
      <c r="M517" s="804"/>
      <c r="N517" s="804"/>
      <c r="O517" s="804"/>
      <c r="P517" s="804"/>
    </row>
    <row r="518">
      <c r="B518" s="802"/>
      <c r="C518" s="802"/>
      <c r="D518" s="802"/>
      <c r="E518" s="802"/>
      <c r="F518" s="802"/>
      <c r="G518" s="803"/>
      <c r="H518" s="803"/>
      <c r="I518" s="803"/>
      <c r="J518" s="803"/>
      <c r="K518" s="803"/>
      <c r="L518" s="803"/>
      <c r="M518" s="804"/>
      <c r="N518" s="804"/>
      <c r="O518" s="804"/>
      <c r="P518" s="804"/>
    </row>
    <row r="519">
      <c r="B519" s="802"/>
      <c r="C519" s="802"/>
      <c r="D519" s="802"/>
      <c r="E519" s="802"/>
      <c r="F519" s="802"/>
      <c r="G519" s="803"/>
      <c r="H519" s="803"/>
      <c r="I519" s="803"/>
      <c r="J519" s="803"/>
      <c r="K519" s="803"/>
      <c r="L519" s="803"/>
      <c r="M519" s="804"/>
      <c r="N519" s="804"/>
      <c r="O519" s="804"/>
      <c r="P519" s="804"/>
    </row>
    <row r="520">
      <c r="B520" s="802"/>
      <c r="C520" s="802"/>
      <c r="D520" s="802"/>
      <c r="E520" s="802"/>
      <c r="F520" s="802"/>
      <c r="G520" s="803"/>
      <c r="H520" s="803"/>
      <c r="I520" s="803"/>
      <c r="J520" s="803"/>
      <c r="K520" s="803"/>
      <c r="L520" s="803"/>
      <c r="M520" s="804"/>
      <c r="N520" s="804"/>
      <c r="O520" s="804"/>
      <c r="P520" s="804"/>
    </row>
    <row r="521">
      <c r="B521" s="802"/>
      <c r="C521" s="802"/>
      <c r="D521" s="802"/>
      <c r="E521" s="802"/>
      <c r="F521" s="802"/>
      <c r="G521" s="803"/>
      <c r="H521" s="803"/>
      <c r="I521" s="803"/>
      <c r="J521" s="803"/>
      <c r="K521" s="803"/>
      <c r="L521" s="803"/>
      <c r="M521" s="804"/>
      <c r="N521" s="804"/>
      <c r="O521" s="804"/>
      <c r="P521" s="804"/>
    </row>
    <row r="522">
      <c r="B522" s="802"/>
      <c r="C522" s="802"/>
      <c r="D522" s="802"/>
      <c r="E522" s="802"/>
      <c r="F522" s="802"/>
      <c r="G522" s="803"/>
      <c r="H522" s="803"/>
      <c r="I522" s="803"/>
      <c r="J522" s="803"/>
      <c r="K522" s="803"/>
      <c r="L522" s="803"/>
      <c r="M522" s="804"/>
      <c r="N522" s="804"/>
      <c r="O522" s="804"/>
      <c r="P522" s="804"/>
    </row>
    <row r="523">
      <c r="B523" s="802"/>
      <c r="C523" s="802"/>
      <c r="D523" s="802"/>
      <c r="E523" s="802"/>
      <c r="F523" s="802"/>
      <c r="G523" s="803"/>
      <c r="H523" s="803"/>
      <c r="I523" s="803"/>
      <c r="J523" s="803"/>
      <c r="K523" s="803"/>
      <c r="L523" s="803"/>
      <c r="M523" s="804"/>
      <c r="N523" s="804"/>
      <c r="O523" s="804"/>
      <c r="P523" s="804"/>
    </row>
    <row r="524">
      <c r="B524" s="802"/>
      <c r="C524" s="802"/>
      <c r="D524" s="802"/>
      <c r="E524" s="802"/>
      <c r="F524" s="802"/>
      <c r="G524" s="803"/>
      <c r="H524" s="803"/>
      <c r="I524" s="803"/>
      <c r="J524" s="803"/>
      <c r="K524" s="803"/>
      <c r="L524" s="803"/>
      <c r="M524" s="804"/>
      <c r="N524" s="804"/>
      <c r="O524" s="804"/>
      <c r="P524" s="804"/>
    </row>
    <row r="525">
      <c r="B525" s="802"/>
      <c r="C525" s="802"/>
      <c r="D525" s="802"/>
      <c r="E525" s="802"/>
      <c r="F525" s="802"/>
      <c r="G525" s="803"/>
      <c r="H525" s="803"/>
      <c r="I525" s="803"/>
      <c r="J525" s="803"/>
      <c r="K525" s="803"/>
      <c r="L525" s="803"/>
      <c r="M525" s="804"/>
      <c r="N525" s="804"/>
      <c r="O525" s="804"/>
      <c r="P525" s="804"/>
    </row>
    <row r="526">
      <c r="B526" s="802"/>
      <c r="C526" s="802"/>
      <c r="D526" s="802"/>
      <c r="E526" s="802"/>
      <c r="F526" s="802"/>
      <c r="G526" s="803"/>
      <c r="H526" s="803"/>
      <c r="I526" s="803"/>
      <c r="J526" s="803"/>
      <c r="K526" s="803"/>
      <c r="L526" s="803"/>
      <c r="M526" s="804"/>
      <c r="N526" s="804"/>
      <c r="O526" s="804"/>
      <c r="P526" s="804"/>
    </row>
    <row r="527">
      <c r="B527" s="802"/>
      <c r="C527" s="802"/>
      <c r="D527" s="802"/>
      <c r="E527" s="802"/>
      <c r="F527" s="802"/>
      <c r="G527" s="803"/>
      <c r="H527" s="803"/>
      <c r="I527" s="803"/>
      <c r="J527" s="803"/>
      <c r="K527" s="803"/>
      <c r="L527" s="803"/>
      <c r="M527" s="804"/>
      <c r="N527" s="804"/>
      <c r="O527" s="804"/>
      <c r="P527" s="804"/>
    </row>
    <row r="528">
      <c r="B528" s="802"/>
      <c r="C528" s="802"/>
      <c r="D528" s="802"/>
      <c r="E528" s="802"/>
      <c r="F528" s="802"/>
      <c r="G528" s="803"/>
      <c r="H528" s="803"/>
      <c r="I528" s="803"/>
      <c r="J528" s="803"/>
      <c r="K528" s="803"/>
      <c r="L528" s="803"/>
      <c r="M528" s="804"/>
      <c r="N528" s="804"/>
      <c r="O528" s="804"/>
      <c r="P528" s="804"/>
    </row>
    <row r="529">
      <c r="B529" s="802"/>
      <c r="C529" s="802"/>
      <c r="D529" s="802"/>
      <c r="E529" s="802"/>
      <c r="F529" s="802"/>
      <c r="G529" s="803"/>
      <c r="H529" s="803"/>
      <c r="I529" s="803"/>
      <c r="J529" s="803"/>
      <c r="K529" s="803"/>
      <c r="L529" s="803"/>
      <c r="M529" s="804"/>
      <c r="N529" s="804"/>
      <c r="O529" s="804"/>
      <c r="P529" s="804"/>
    </row>
    <row r="530">
      <c r="B530" s="802"/>
      <c r="C530" s="802"/>
      <c r="D530" s="802"/>
      <c r="E530" s="802"/>
      <c r="F530" s="802"/>
      <c r="G530" s="803"/>
      <c r="H530" s="803"/>
      <c r="I530" s="803"/>
      <c r="J530" s="803"/>
      <c r="K530" s="803"/>
      <c r="L530" s="803"/>
      <c r="M530" s="804"/>
      <c r="N530" s="804"/>
      <c r="O530" s="804"/>
      <c r="P530" s="804"/>
    </row>
    <row r="531">
      <c r="B531" s="802"/>
      <c r="C531" s="802"/>
      <c r="D531" s="802"/>
      <c r="E531" s="802"/>
      <c r="F531" s="802"/>
      <c r="G531" s="803"/>
      <c r="H531" s="803"/>
      <c r="I531" s="803"/>
      <c r="J531" s="803"/>
      <c r="K531" s="803"/>
      <c r="L531" s="803"/>
      <c r="M531" s="804"/>
      <c r="N531" s="804"/>
      <c r="O531" s="804"/>
      <c r="P531" s="804"/>
    </row>
    <row r="532">
      <c r="B532" s="802"/>
      <c r="C532" s="802"/>
      <c r="D532" s="802"/>
      <c r="E532" s="802"/>
      <c r="F532" s="802"/>
      <c r="G532" s="803"/>
      <c r="H532" s="803"/>
      <c r="I532" s="803"/>
      <c r="J532" s="803"/>
      <c r="K532" s="803"/>
      <c r="L532" s="803"/>
      <c r="M532" s="804"/>
      <c r="N532" s="804"/>
      <c r="O532" s="804"/>
      <c r="P532" s="804"/>
    </row>
    <row r="533">
      <c r="B533" s="802"/>
      <c r="C533" s="802"/>
      <c r="D533" s="802"/>
      <c r="E533" s="802"/>
      <c r="F533" s="802"/>
      <c r="G533" s="803"/>
      <c r="H533" s="803"/>
      <c r="I533" s="803"/>
      <c r="J533" s="803"/>
      <c r="K533" s="803"/>
      <c r="L533" s="803"/>
      <c r="M533" s="804"/>
      <c r="N533" s="804"/>
      <c r="O533" s="804"/>
      <c r="P533" s="804"/>
    </row>
    <row r="534">
      <c r="B534" s="802"/>
      <c r="C534" s="802"/>
      <c r="D534" s="802"/>
      <c r="E534" s="802"/>
      <c r="F534" s="802"/>
      <c r="G534" s="803"/>
      <c r="H534" s="803"/>
      <c r="I534" s="803"/>
      <c r="J534" s="803"/>
      <c r="K534" s="803"/>
      <c r="L534" s="803"/>
      <c r="M534" s="804"/>
      <c r="N534" s="804"/>
      <c r="O534" s="804"/>
      <c r="P534" s="804"/>
    </row>
    <row r="535">
      <c r="B535" s="802"/>
      <c r="C535" s="802"/>
      <c r="D535" s="802"/>
      <c r="E535" s="802"/>
      <c r="F535" s="802"/>
      <c r="G535" s="803"/>
      <c r="H535" s="803"/>
      <c r="I535" s="803"/>
      <c r="J535" s="803"/>
      <c r="K535" s="803"/>
      <c r="L535" s="803"/>
      <c r="M535" s="804"/>
      <c r="N535" s="804"/>
      <c r="O535" s="804"/>
      <c r="P535" s="804"/>
    </row>
    <row r="536">
      <c r="B536" s="802"/>
      <c r="C536" s="802"/>
      <c r="D536" s="802"/>
      <c r="E536" s="802"/>
      <c r="F536" s="802"/>
      <c r="G536" s="803"/>
      <c r="H536" s="803"/>
      <c r="I536" s="803"/>
      <c r="J536" s="803"/>
      <c r="K536" s="803"/>
      <c r="L536" s="803"/>
      <c r="M536" s="804"/>
      <c r="N536" s="804"/>
      <c r="O536" s="804"/>
      <c r="P536" s="804"/>
    </row>
    <row r="537">
      <c r="B537" s="802"/>
      <c r="C537" s="802"/>
      <c r="D537" s="802"/>
      <c r="E537" s="802"/>
      <c r="F537" s="802"/>
      <c r="G537" s="803"/>
      <c r="H537" s="803"/>
      <c r="I537" s="803"/>
      <c r="J537" s="803"/>
      <c r="K537" s="803"/>
      <c r="L537" s="803"/>
      <c r="M537" s="804"/>
      <c r="N537" s="804"/>
      <c r="O537" s="804"/>
      <c r="P537" s="804"/>
    </row>
    <row r="538">
      <c r="B538" s="802"/>
      <c r="C538" s="802"/>
      <c r="D538" s="802"/>
      <c r="E538" s="802"/>
      <c r="F538" s="802"/>
      <c r="G538" s="803"/>
      <c r="H538" s="803"/>
      <c r="I538" s="803"/>
      <c r="J538" s="803"/>
      <c r="K538" s="803"/>
      <c r="L538" s="803"/>
      <c r="M538" s="804"/>
      <c r="N538" s="804"/>
      <c r="O538" s="804"/>
      <c r="P538" s="804"/>
    </row>
    <row r="539">
      <c r="B539" s="802"/>
      <c r="C539" s="802"/>
      <c r="D539" s="802"/>
      <c r="E539" s="802"/>
      <c r="F539" s="802"/>
      <c r="G539" s="803"/>
      <c r="H539" s="803"/>
      <c r="I539" s="803"/>
      <c r="J539" s="803"/>
      <c r="K539" s="803"/>
      <c r="L539" s="803"/>
      <c r="M539" s="804"/>
      <c r="N539" s="804"/>
      <c r="O539" s="804"/>
      <c r="P539" s="804"/>
    </row>
    <row r="540">
      <c r="B540" s="802"/>
      <c r="C540" s="802"/>
      <c r="D540" s="802"/>
      <c r="E540" s="802"/>
      <c r="F540" s="802"/>
      <c r="G540" s="803"/>
      <c r="H540" s="803"/>
      <c r="I540" s="803"/>
      <c r="J540" s="803"/>
      <c r="K540" s="803"/>
      <c r="L540" s="803"/>
      <c r="M540" s="804"/>
      <c r="N540" s="804"/>
      <c r="O540" s="804"/>
      <c r="P540" s="804"/>
    </row>
    <row r="541">
      <c r="B541" s="802"/>
      <c r="C541" s="802"/>
      <c r="D541" s="802"/>
      <c r="E541" s="802"/>
      <c r="F541" s="802"/>
      <c r="G541" s="803"/>
      <c r="H541" s="803"/>
      <c r="I541" s="803"/>
      <c r="J541" s="803"/>
      <c r="K541" s="803"/>
      <c r="L541" s="803"/>
      <c r="M541" s="804"/>
      <c r="N541" s="804"/>
      <c r="O541" s="804"/>
      <c r="P541" s="804"/>
    </row>
    <row r="542">
      <c r="B542" s="802"/>
      <c r="C542" s="802"/>
      <c r="D542" s="802"/>
      <c r="E542" s="802"/>
      <c r="F542" s="802"/>
      <c r="G542" s="803"/>
      <c r="H542" s="803"/>
      <c r="I542" s="803"/>
      <c r="J542" s="803"/>
      <c r="K542" s="803"/>
      <c r="L542" s="803"/>
      <c r="M542" s="804"/>
      <c r="N542" s="804"/>
      <c r="O542" s="804"/>
      <c r="P542" s="804"/>
    </row>
    <row r="543">
      <c r="B543" s="802"/>
      <c r="C543" s="802"/>
      <c r="D543" s="802"/>
      <c r="E543" s="802"/>
      <c r="F543" s="802"/>
      <c r="G543" s="803"/>
      <c r="H543" s="803"/>
      <c r="I543" s="803"/>
      <c r="J543" s="803"/>
      <c r="K543" s="803"/>
      <c r="L543" s="803"/>
      <c r="M543" s="804"/>
      <c r="N543" s="804"/>
      <c r="O543" s="804"/>
      <c r="P543" s="804"/>
    </row>
    <row r="544">
      <c r="B544" s="802"/>
      <c r="C544" s="802"/>
      <c r="D544" s="802"/>
      <c r="E544" s="802"/>
      <c r="F544" s="802"/>
      <c r="G544" s="803"/>
      <c r="H544" s="803"/>
      <c r="I544" s="803"/>
      <c r="J544" s="803"/>
      <c r="K544" s="803"/>
      <c r="L544" s="803"/>
      <c r="M544" s="804"/>
      <c r="N544" s="804"/>
      <c r="O544" s="804"/>
      <c r="P544" s="804"/>
    </row>
    <row r="545">
      <c r="B545" s="802"/>
      <c r="C545" s="802"/>
      <c r="D545" s="802"/>
      <c r="E545" s="802"/>
      <c r="F545" s="802"/>
      <c r="G545" s="803"/>
      <c r="H545" s="803"/>
      <c r="I545" s="803"/>
      <c r="J545" s="803"/>
      <c r="K545" s="803"/>
      <c r="L545" s="803"/>
      <c r="M545" s="804"/>
      <c r="N545" s="804"/>
      <c r="O545" s="804"/>
      <c r="P545" s="804"/>
    </row>
    <row r="546">
      <c r="B546" s="802"/>
      <c r="C546" s="802"/>
      <c r="D546" s="802"/>
      <c r="E546" s="802"/>
      <c r="F546" s="802"/>
      <c r="G546" s="803"/>
      <c r="H546" s="803"/>
      <c r="I546" s="803"/>
      <c r="J546" s="803"/>
      <c r="K546" s="803"/>
      <c r="L546" s="803"/>
      <c r="M546" s="804"/>
      <c r="N546" s="804"/>
      <c r="O546" s="804"/>
      <c r="P546" s="804"/>
    </row>
    <row r="547">
      <c r="B547" s="802"/>
      <c r="C547" s="802"/>
      <c r="D547" s="802"/>
      <c r="E547" s="802"/>
      <c r="F547" s="802"/>
      <c r="G547" s="803"/>
      <c r="H547" s="803"/>
      <c r="I547" s="803"/>
      <c r="J547" s="803"/>
      <c r="K547" s="803"/>
      <c r="L547" s="803"/>
      <c r="M547" s="804"/>
      <c r="N547" s="804"/>
      <c r="O547" s="804"/>
      <c r="P547" s="804"/>
    </row>
    <row r="548">
      <c r="B548" s="802"/>
      <c r="C548" s="802"/>
      <c r="D548" s="802"/>
      <c r="E548" s="802"/>
      <c r="F548" s="802"/>
      <c r="G548" s="803"/>
      <c r="H548" s="803"/>
      <c r="I548" s="803"/>
      <c r="J548" s="803"/>
      <c r="K548" s="803"/>
      <c r="L548" s="803"/>
      <c r="M548" s="804"/>
      <c r="N548" s="804"/>
      <c r="O548" s="804"/>
      <c r="P548" s="804"/>
    </row>
    <row r="549">
      <c r="B549" s="802"/>
      <c r="C549" s="802"/>
      <c r="D549" s="802"/>
      <c r="E549" s="802"/>
      <c r="F549" s="802"/>
      <c r="G549" s="803"/>
      <c r="H549" s="803"/>
      <c r="I549" s="803"/>
      <c r="J549" s="803"/>
      <c r="K549" s="803"/>
      <c r="L549" s="803"/>
      <c r="M549" s="804"/>
      <c r="N549" s="804"/>
      <c r="O549" s="804"/>
      <c r="P549" s="804"/>
    </row>
    <row r="550">
      <c r="B550" s="802"/>
      <c r="C550" s="802"/>
      <c r="D550" s="802"/>
      <c r="E550" s="802"/>
      <c r="F550" s="802"/>
      <c r="G550" s="803"/>
      <c r="H550" s="803"/>
      <c r="I550" s="803"/>
      <c r="J550" s="803"/>
      <c r="K550" s="803"/>
      <c r="L550" s="803"/>
      <c r="M550" s="804"/>
      <c r="N550" s="804"/>
      <c r="O550" s="804"/>
      <c r="P550" s="804"/>
    </row>
    <row r="551">
      <c r="B551" s="802"/>
      <c r="C551" s="802"/>
      <c r="D551" s="802"/>
      <c r="E551" s="802"/>
      <c r="F551" s="802"/>
      <c r="G551" s="803"/>
      <c r="H551" s="803"/>
      <c r="I551" s="803"/>
      <c r="J551" s="803"/>
      <c r="K551" s="803"/>
      <c r="L551" s="803"/>
      <c r="M551" s="804"/>
      <c r="N551" s="804"/>
      <c r="O551" s="804"/>
      <c r="P551" s="804"/>
    </row>
    <row r="552">
      <c r="B552" s="802"/>
      <c r="C552" s="802"/>
      <c r="D552" s="802"/>
      <c r="E552" s="802"/>
      <c r="F552" s="802"/>
      <c r="G552" s="803"/>
      <c r="H552" s="803"/>
      <c r="I552" s="803"/>
      <c r="J552" s="803"/>
      <c r="K552" s="803"/>
      <c r="L552" s="803"/>
      <c r="M552" s="804"/>
      <c r="N552" s="804"/>
      <c r="O552" s="804"/>
      <c r="P552" s="804"/>
    </row>
    <row r="553">
      <c r="B553" s="802"/>
      <c r="C553" s="802"/>
      <c r="D553" s="802"/>
      <c r="E553" s="802"/>
      <c r="F553" s="802"/>
      <c r="G553" s="803"/>
      <c r="H553" s="803"/>
      <c r="I553" s="803"/>
      <c r="J553" s="803"/>
      <c r="K553" s="803"/>
      <c r="L553" s="803"/>
      <c r="M553" s="804"/>
      <c r="N553" s="804"/>
      <c r="O553" s="804"/>
      <c r="P553" s="804"/>
    </row>
    <row r="554">
      <c r="B554" s="802"/>
      <c r="C554" s="802"/>
      <c r="D554" s="802"/>
      <c r="E554" s="802"/>
      <c r="F554" s="802"/>
      <c r="G554" s="803"/>
      <c r="H554" s="803"/>
      <c r="I554" s="803"/>
      <c r="J554" s="803"/>
      <c r="K554" s="803"/>
      <c r="L554" s="803"/>
      <c r="M554" s="804"/>
      <c r="N554" s="804"/>
      <c r="O554" s="804"/>
      <c r="P554" s="804"/>
    </row>
    <row r="555">
      <c r="B555" s="802"/>
      <c r="C555" s="802"/>
      <c r="D555" s="802"/>
      <c r="E555" s="802"/>
      <c r="F555" s="802"/>
      <c r="G555" s="803"/>
      <c r="H555" s="803"/>
      <c r="I555" s="803"/>
      <c r="J555" s="803"/>
      <c r="K555" s="803"/>
      <c r="L555" s="803"/>
      <c r="M555" s="804"/>
      <c r="N555" s="804"/>
      <c r="O555" s="804"/>
      <c r="P555" s="804"/>
    </row>
    <row r="556">
      <c r="B556" s="802"/>
      <c r="C556" s="802"/>
      <c r="D556" s="802"/>
      <c r="E556" s="802"/>
      <c r="F556" s="802"/>
      <c r="G556" s="803"/>
      <c r="H556" s="803"/>
      <c r="I556" s="803"/>
      <c r="J556" s="803"/>
      <c r="K556" s="803"/>
      <c r="L556" s="803"/>
      <c r="M556" s="804"/>
      <c r="N556" s="804"/>
      <c r="O556" s="804"/>
      <c r="P556" s="804"/>
    </row>
    <row r="557">
      <c r="B557" s="802"/>
      <c r="C557" s="802"/>
      <c r="D557" s="802"/>
      <c r="E557" s="802"/>
      <c r="F557" s="802"/>
      <c r="G557" s="803"/>
      <c r="H557" s="803"/>
      <c r="I557" s="803"/>
      <c r="J557" s="803"/>
      <c r="K557" s="803"/>
      <c r="L557" s="803"/>
      <c r="M557" s="804"/>
      <c r="N557" s="804"/>
      <c r="O557" s="804"/>
      <c r="P557" s="804"/>
    </row>
    <row r="558">
      <c r="B558" s="802"/>
      <c r="C558" s="802"/>
      <c r="D558" s="802"/>
      <c r="E558" s="802"/>
      <c r="F558" s="802"/>
      <c r="G558" s="803"/>
      <c r="H558" s="803"/>
      <c r="I558" s="803"/>
      <c r="J558" s="803"/>
      <c r="K558" s="803"/>
      <c r="L558" s="803"/>
      <c r="M558" s="804"/>
      <c r="N558" s="804"/>
      <c r="O558" s="804"/>
      <c r="P558" s="804"/>
    </row>
    <row r="559">
      <c r="B559" s="802"/>
      <c r="C559" s="802"/>
      <c r="D559" s="802"/>
      <c r="E559" s="802"/>
      <c r="F559" s="802"/>
      <c r="G559" s="803"/>
      <c r="H559" s="803"/>
      <c r="I559" s="803"/>
      <c r="J559" s="803"/>
      <c r="K559" s="803"/>
      <c r="L559" s="803"/>
      <c r="M559" s="804"/>
      <c r="N559" s="804"/>
      <c r="O559" s="804"/>
      <c r="P559" s="804"/>
    </row>
    <row r="560">
      <c r="B560" s="802"/>
      <c r="C560" s="802"/>
      <c r="D560" s="802"/>
      <c r="E560" s="802"/>
      <c r="F560" s="802"/>
      <c r="G560" s="803"/>
      <c r="H560" s="803"/>
      <c r="I560" s="803"/>
      <c r="J560" s="803"/>
      <c r="K560" s="803"/>
      <c r="L560" s="803"/>
      <c r="M560" s="804"/>
      <c r="N560" s="804"/>
      <c r="O560" s="804"/>
      <c r="P560" s="804"/>
    </row>
    <row r="561">
      <c r="B561" s="802"/>
      <c r="C561" s="802"/>
      <c r="D561" s="802"/>
      <c r="E561" s="802"/>
      <c r="F561" s="802"/>
      <c r="G561" s="803"/>
      <c r="H561" s="803"/>
      <c r="I561" s="803"/>
      <c r="J561" s="803"/>
      <c r="K561" s="803"/>
      <c r="L561" s="803"/>
      <c r="M561" s="804"/>
      <c r="N561" s="804"/>
      <c r="O561" s="804"/>
      <c r="P561" s="804"/>
    </row>
    <row r="562">
      <c r="B562" s="802"/>
      <c r="C562" s="802"/>
      <c r="D562" s="802"/>
      <c r="E562" s="802"/>
      <c r="F562" s="802"/>
      <c r="G562" s="803"/>
      <c r="H562" s="803"/>
      <c r="I562" s="803"/>
      <c r="J562" s="803"/>
      <c r="K562" s="803"/>
      <c r="L562" s="803"/>
      <c r="M562" s="804"/>
      <c r="N562" s="804"/>
      <c r="O562" s="804"/>
      <c r="P562" s="804"/>
    </row>
    <row r="563">
      <c r="B563" s="802"/>
      <c r="C563" s="802"/>
      <c r="D563" s="802"/>
      <c r="E563" s="802"/>
      <c r="F563" s="802"/>
      <c r="G563" s="803"/>
      <c r="H563" s="803"/>
      <c r="I563" s="803"/>
      <c r="J563" s="803"/>
      <c r="K563" s="803"/>
      <c r="L563" s="803"/>
      <c r="M563" s="804"/>
      <c r="N563" s="804"/>
      <c r="O563" s="804"/>
      <c r="P563" s="804"/>
    </row>
    <row r="564">
      <c r="B564" s="802"/>
      <c r="C564" s="802"/>
      <c r="D564" s="802"/>
      <c r="E564" s="802"/>
      <c r="F564" s="802"/>
      <c r="G564" s="803"/>
      <c r="H564" s="803"/>
      <c r="I564" s="803"/>
      <c r="J564" s="803"/>
      <c r="K564" s="803"/>
      <c r="L564" s="803"/>
      <c r="M564" s="804"/>
      <c r="N564" s="804"/>
      <c r="O564" s="804"/>
      <c r="P564" s="804"/>
    </row>
    <row r="565">
      <c r="B565" s="802"/>
      <c r="C565" s="802"/>
      <c r="D565" s="802"/>
      <c r="E565" s="802"/>
      <c r="F565" s="802"/>
      <c r="G565" s="803"/>
      <c r="H565" s="803"/>
      <c r="I565" s="803"/>
      <c r="J565" s="803"/>
      <c r="K565" s="803"/>
      <c r="L565" s="803"/>
      <c r="M565" s="804"/>
      <c r="N565" s="804"/>
      <c r="O565" s="804"/>
      <c r="P565" s="804"/>
    </row>
    <row r="566">
      <c r="B566" s="802"/>
      <c r="C566" s="802"/>
      <c r="D566" s="802"/>
      <c r="E566" s="802"/>
      <c r="F566" s="802"/>
      <c r="G566" s="803"/>
      <c r="H566" s="803"/>
      <c r="I566" s="803"/>
      <c r="J566" s="803"/>
      <c r="K566" s="803"/>
      <c r="L566" s="803"/>
      <c r="M566" s="804"/>
      <c r="N566" s="804"/>
      <c r="O566" s="804"/>
      <c r="P566" s="804"/>
    </row>
    <row r="567">
      <c r="B567" s="802"/>
      <c r="C567" s="802"/>
      <c r="D567" s="802"/>
      <c r="E567" s="802"/>
      <c r="F567" s="802"/>
      <c r="G567" s="803"/>
      <c r="H567" s="803"/>
      <c r="I567" s="803"/>
      <c r="J567" s="803"/>
      <c r="K567" s="803"/>
      <c r="L567" s="803"/>
      <c r="M567" s="804"/>
      <c r="N567" s="804"/>
      <c r="O567" s="804"/>
      <c r="P567" s="804"/>
    </row>
    <row r="568">
      <c r="B568" s="802"/>
      <c r="C568" s="802"/>
      <c r="D568" s="802"/>
      <c r="E568" s="802"/>
      <c r="F568" s="802"/>
      <c r="G568" s="803"/>
      <c r="H568" s="803"/>
      <c r="I568" s="803"/>
      <c r="J568" s="803"/>
      <c r="K568" s="803"/>
      <c r="L568" s="803"/>
      <c r="M568" s="804"/>
      <c r="N568" s="804"/>
      <c r="O568" s="804"/>
      <c r="P568" s="804"/>
    </row>
    <row r="569">
      <c r="B569" s="802"/>
      <c r="C569" s="802"/>
      <c r="D569" s="802"/>
      <c r="E569" s="802"/>
      <c r="F569" s="802"/>
      <c r="G569" s="803"/>
      <c r="H569" s="803"/>
      <c r="I569" s="803"/>
      <c r="J569" s="803"/>
      <c r="K569" s="803"/>
      <c r="L569" s="803"/>
      <c r="M569" s="804"/>
      <c r="N569" s="804"/>
      <c r="O569" s="804"/>
      <c r="P569" s="804"/>
    </row>
    <row r="570">
      <c r="B570" s="802"/>
      <c r="C570" s="802"/>
      <c r="D570" s="802"/>
      <c r="E570" s="802"/>
      <c r="F570" s="802"/>
      <c r="G570" s="803"/>
      <c r="H570" s="803"/>
      <c r="I570" s="803"/>
      <c r="J570" s="803"/>
      <c r="K570" s="803"/>
      <c r="L570" s="803"/>
      <c r="M570" s="804"/>
      <c r="N570" s="804"/>
      <c r="O570" s="804"/>
      <c r="P570" s="804"/>
    </row>
    <row r="571">
      <c r="B571" s="802"/>
      <c r="C571" s="802"/>
      <c r="D571" s="802"/>
      <c r="E571" s="802"/>
      <c r="F571" s="802"/>
      <c r="G571" s="803"/>
      <c r="H571" s="803"/>
      <c r="I571" s="803"/>
      <c r="J571" s="803"/>
      <c r="K571" s="803"/>
      <c r="L571" s="803"/>
      <c r="M571" s="804"/>
      <c r="N571" s="804"/>
      <c r="O571" s="804"/>
      <c r="P571" s="804"/>
    </row>
    <row r="572">
      <c r="B572" s="802"/>
      <c r="C572" s="802"/>
      <c r="D572" s="802"/>
      <c r="E572" s="802"/>
      <c r="F572" s="802"/>
      <c r="G572" s="803"/>
      <c r="H572" s="803"/>
      <c r="I572" s="803"/>
      <c r="J572" s="803"/>
      <c r="K572" s="803"/>
      <c r="L572" s="803"/>
      <c r="M572" s="804"/>
      <c r="N572" s="804"/>
      <c r="O572" s="804"/>
      <c r="P572" s="804"/>
    </row>
    <row r="573">
      <c r="B573" s="802"/>
      <c r="C573" s="802"/>
      <c r="D573" s="802"/>
      <c r="E573" s="802"/>
      <c r="F573" s="802"/>
      <c r="G573" s="803"/>
      <c r="H573" s="803"/>
      <c r="I573" s="803"/>
      <c r="J573" s="803"/>
      <c r="K573" s="803"/>
      <c r="L573" s="803"/>
      <c r="M573" s="804"/>
      <c r="N573" s="804"/>
      <c r="O573" s="804"/>
      <c r="P573" s="804"/>
    </row>
    <row r="574">
      <c r="B574" s="802"/>
      <c r="C574" s="802"/>
      <c r="D574" s="802"/>
      <c r="E574" s="802"/>
      <c r="F574" s="802"/>
      <c r="G574" s="803"/>
      <c r="H574" s="803"/>
      <c r="I574" s="803"/>
      <c r="J574" s="803"/>
      <c r="K574" s="803"/>
      <c r="L574" s="803"/>
      <c r="M574" s="804"/>
      <c r="N574" s="804"/>
      <c r="O574" s="804"/>
      <c r="P574" s="804"/>
    </row>
    <row r="575">
      <c r="B575" s="802"/>
      <c r="C575" s="802"/>
      <c r="D575" s="802"/>
      <c r="E575" s="802"/>
      <c r="F575" s="802"/>
      <c r="G575" s="803"/>
      <c r="H575" s="803"/>
      <c r="I575" s="803"/>
      <c r="J575" s="803"/>
      <c r="K575" s="803"/>
      <c r="L575" s="803"/>
      <c r="M575" s="804"/>
      <c r="N575" s="804"/>
      <c r="O575" s="804"/>
      <c r="P575" s="804"/>
    </row>
    <row r="576">
      <c r="B576" s="802"/>
      <c r="C576" s="802"/>
      <c r="D576" s="802"/>
      <c r="E576" s="802"/>
      <c r="F576" s="802"/>
      <c r="G576" s="803"/>
      <c r="H576" s="803"/>
      <c r="I576" s="803"/>
      <c r="J576" s="803"/>
      <c r="K576" s="803"/>
      <c r="L576" s="803"/>
      <c r="M576" s="804"/>
      <c r="N576" s="804"/>
      <c r="O576" s="804"/>
      <c r="P576" s="804"/>
    </row>
    <row r="577">
      <c r="B577" s="802"/>
      <c r="C577" s="802"/>
      <c r="D577" s="802"/>
      <c r="E577" s="802"/>
      <c r="F577" s="802"/>
      <c r="G577" s="803"/>
      <c r="H577" s="803"/>
      <c r="I577" s="803"/>
      <c r="J577" s="803"/>
      <c r="K577" s="803"/>
      <c r="L577" s="803"/>
      <c r="M577" s="804"/>
      <c r="N577" s="804"/>
      <c r="O577" s="804"/>
      <c r="P577" s="804"/>
    </row>
    <row r="578">
      <c r="B578" s="802"/>
      <c r="C578" s="802"/>
      <c r="D578" s="802"/>
      <c r="E578" s="802"/>
      <c r="F578" s="802"/>
      <c r="G578" s="803"/>
      <c r="H578" s="803"/>
      <c r="I578" s="803"/>
      <c r="J578" s="803"/>
      <c r="K578" s="803"/>
      <c r="L578" s="803"/>
      <c r="M578" s="804"/>
      <c r="N578" s="804"/>
      <c r="O578" s="804"/>
      <c r="P578" s="804"/>
    </row>
    <row r="579">
      <c r="B579" s="802"/>
      <c r="C579" s="802"/>
      <c r="D579" s="802"/>
      <c r="E579" s="802"/>
      <c r="F579" s="802"/>
      <c r="G579" s="803"/>
      <c r="H579" s="803"/>
      <c r="I579" s="803"/>
      <c r="J579" s="803"/>
      <c r="K579" s="803"/>
      <c r="L579" s="803"/>
      <c r="M579" s="804"/>
      <c r="N579" s="804"/>
      <c r="O579" s="804"/>
      <c r="P579" s="804"/>
    </row>
    <row r="580">
      <c r="B580" s="802"/>
      <c r="C580" s="802"/>
      <c r="D580" s="802"/>
      <c r="E580" s="802"/>
      <c r="F580" s="802"/>
      <c r="G580" s="803"/>
      <c r="H580" s="803"/>
      <c r="I580" s="803"/>
      <c r="J580" s="803"/>
      <c r="K580" s="803"/>
      <c r="L580" s="803"/>
      <c r="M580" s="804"/>
      <c r="N580" s="804"/>
      <c r="O580" s="804"/>
      <c r="P580" s="804"/>
    </row>
    <row r="581">
      <c r="B581" s="802"/>
      <c r="C581" s="802"/>
      <c r="D581" s="802"/>
      <c r="E581" s="802"/>
      <c r="F581" s="802"/>
      <c r="G581" s="803"/>
      <c r="H581" s="803"/>
      <c r="I581" s="803"/>
      <c r="J581" s="803"/>
      <c r="K581" s="803"/>
      <c r="L581" s="803"/>
      <c r="M581" s="804"/>
      <c r="N581" s="804"/>
      <c r="O581" s="804"/>
      <c r="P581" s="804"/>
    </row>
    <row r="582">
      <c r="B582" s="802"/>
      <c r="C582" s="802"/>
      <c r="D582" s="802"/>
      <c r="E582" s="802"/>
      <c r="F582" s="802"/>
      <c r="G582" s="803"/>
      <c r="H582" s="803"/>
      <c r="I582" s="803"/>
      <c r="J582" s="803"/>
      <c r="K582" s="803"/>
      <c r="L582" s="803"/>
      <c r="M582" s="804"/>
      <c r="N582" s="804"/>
      <c r="O582" s="804"/>
      <c r="P582" s="804"/>
    </row>
    <row r="583">
      <c r="B583" s="802"/>
      <c r="C583" s="802"/>
      <c r="D583" s="802"/>
      <c r="E583" s="802"/>
      <c r="F583" s="802"/>
      <c r="G583" s="803"/>
      <c r="H583" s="803"/>
      <c r="I583" s="803"/>
      <c r="J583" s="803"/>
      <c r="K583" s="803"/>
      <c r="L583" s="803"/>
      <c r="M583" s="804"/>
      <c r="N583" s="804"/>
      <c r="O583" s="804"/>
      <c r="P583" s="804"/>
    </row>
    <row r="584">
      <c r="B584" s="802"/>
      <c r="C584" s="802"/>
      <c r="D584" s="802"/>
      <c r="E584" s="802"/>
      <c r="F584" s="802"/>
      <c r="G584" s="803"/>
      <c r="H584" s="803"/>
      <c r="I584" s="803"/>
      <c r="J584" s="803"/>
      <c r="K584" s="803"/>
      <c r="L584" s="803"/>
      <c r="M584" s="804"/>
      <c r="N584" s="804"/>
      <c r="O584" s="804"/>
      <c r="P584" s="804"/>
    </row>
    <row r="585">
      <c r="B585" s="802"/>
      <c r="C585" s="802"/>
      <c r="D585" s="802"/>
      <c r="E585" s="802"/>
      <c r="F585" s="802"/>
      <c r="G585" s="803"/>
      <c r="H585" s="803"/>
      <c r="I585" s="803"/>
      <c r="J585" s="803"/>
      <c r="K585" s="803"/>
      <c r="L585" s="803"/>
      <c r="M585" s="804"/>
      <c r="N585" s="804"/>
      <c r="O585" s="804"/>
      <c r="P585" s="804"/>
    </row>
    <row r="586">
      <c r="B586" s="802"/>
      <c r="C586" s="802"/>
      <c r="D586" s="802"/>
      <c r="E586" s="802"/>
      <c r="F586" s="802"/>
      <c r="G586" s="803"/>
      <c r="H586" s="803"/>
      <c r="I586" s="803"/>
      <c r="J586" s="803"/>
      <c r="K586" s="803"/>
      <c r="L586" s="803"/>
      <c r="M586" s="804"/>
      <c r="N586" s="804"/>
      <c r="O586" s="804"/>
      <c r="P586" s="804"/>
    </row>
    <row r="587">
      <c r="B587" s="802"/>
      <c r="C587" s="802"/>
      <c r="D587" s="802"/>
      <c r="E587" s="802"/>
      <c r="F587" s="802"/>
      <c r="G587" s="803"/>
      <c r="H587" s="803"/>
      <c r="I587" s="803"/>
      <c r="J587" s="803"/>
      <c r="K587" s="803"/>
      <c r="L587" s="803"/>
      <c r="M587" s="804"/>
      <c r="N587" s="804"/>
      <c r="O587" s="804"/>
      <c r="P587" s="804"/>
    </row>
    <row r="588">
      <c r="B588" s="802"/>
      <c r="C588" s="802"/>
      <c r="D588" s="802"/>
      <c r="E588" s="802"/>
      <c r="F588" s="802"/>
      <c r="G588" s="803"/>
      <c r="H588" s="803"/>
      <c r="I588" s="803"/>
      <c r="J588" s="803"/>
      <c r="K588" s="803"/>
      <c r="L588" s="803"/>
      <c r="M588" s="804"/>
      <c r="N588" s="804"/>
      <c r="O588" s="804"/>
      <c r="P588" s="804"/>
    </row>
    <row r="589">
      <c r="B589" s="802"/>
      <c r="C589" s="802"/>
      <c r="D589" s="802"/>
      <c r="E589" s="802"/>
      <c r="F589" s="802"/>
      <c r="G589" s="803"/>
      <c r="H589" s="803"/>
      <c r="I589" s="803"/>
      <c r="J589" s="803"/>
      <c r="K589" s="803"/>
      <c r="L589" s="803"/>
      <c r="M589" s="804"/>
      <c r="N589" s="804"/>
      <c r="O589" s="804"/>
      <c r="P589" s="804"/>
    </row>
    <row r="590">
      <c r="B590" s="802"/>
      <c r="C590" s="802"/>
      <c r="D590" s="802"/>
      <c r="E590" s="802"/>
      <c r="F590" s="802"/>
      <c r="G590" s="803"/>
      <c r="H590" s="803"/>
      <c r="I590" s="803"/>
      <c r="J590" s="803"/>
      <c r="K590" s="803"/>
      <c r="L590" s="803"/>
      <c r="M590" s="804"/>
      <c r="N590" s="804"/>
      <c r="O590" s="804"/>
      <c r="P590" s="804"/>
    </row>
    <row r="591">
      <c r="B591" s="802"/>
      <c r="C591" s="802"/>
      <c r="D591" s="802"/>
      <c r="E591" s="802"/>
      <c r="F591" s="802"/>
      <c r="G591" s="803"/>
      <c r="H591" s="803"/>
      <c r="I591" s="803"/>
      <c r="J591" s="803"/>
      <c r="K591" s="803"/>
      <c r="L591" s="803"/>
      <c r="M591" s="804"/>
      <c r="N591" s="804"/>
      <c r="O591" s="804"/>
      <c r="P591" s="804"/>
    </row>
    <row r="592">
      <c r="B592" s="802"/>
      <c r="C592" s="802"/>
      <c r="D592" s="802"/>
      <c r="E592" s="802"/>
      <c r="F592" s="802"/>
      <c r="G592" s="803"/>
      <c r="H592" s="803"/>
      <c r="I592" s="803"/>
      <c r="J592" s="803"/>
      <c r="K592" s="803"/>
      <c r="L592" s="803"/>
      <c r="M592" s="804"/>
      <c r="N592" s="804"/>
      <c r="O592" s="804"/>
      <c r="P592" s="804"/>
    </row>
    <row r="593">
      <c r="B593" s="802"/>
      <c r="C593" s="802"/>
      <c r="D593" s="802"/>
      <c r="E593" s="802"/>
      <c r="F593" s="802"/>
      <c r="G593" s="803"/>
      <c r="H593" s="803"/>
      <c r="I593" s="803"/>
      <c r="J593" s="803"/>
      <c r="K593" s="803"/>
      <c r="L593" s="803"/>
      <c r="M593" s="804"/>
      <c r="N593" s="804"/>
      <c r="O593" s="804"/>
      <c r="P593" s="804"/>
    </row>
    <row r="594">
      <c r="B594" s="802"/>
      <c r="C594" s="802"/>
      <c r="D594" s="802"/>
      <c r="E594" s="802"/>
      <c r="F594" s="802"/>
      <c r="G594" s="803"/>
      <c r="H594" s="803"/>
      <c r="I594" s="803"/>
      <c r="J594" s="803"/>
      <c r="K594" s="803"/>
      <c r="L594" s="803"/>
      <c r="M594" s="804"/>
      <c r="N594" s="804"/>
      <c r="O594" s="804"/>
      <c r="P594" s="804"/>
    </row>
    <row r="595">
      <c r="B595" s="802"/>
      <c r="C595" s="802"/>
      <c r="D595" s="802"/>
      <c r="E595" s="802"/>
      <c r="F595" s="802"/>
      <c r="G595" s="803"/>
      <c r="H595" s="803"/>
      <c r="I595" s="803"/>
      <c r="J595" s="803"/>
      <c r="K595" s="803"/>
      <c r="L595" s="803"/>
      <c r="M595" s="804"/>
      <c r="N595" s="804"/>
      <c r="O595" s="804"/>
      <c r="P595" s="804"/>
    </row>
    <row r="596">
      <c r="B596" s="802"/>
      <c r="C596" s="802"/>
      <c r="D596" s="802"/>
      <c r="E596" s="802"/>
      <c r="F596" s="802"/>
      <c r="G596" s="803"/>
      <c r="H596" s="803"/>
      <c r="I596" s="803"/>
      <c r="J596" s="803"/>
      <c r="K596" s="803"/>
      <c r="L596" s="803"/>
      <c r="M596" s="804"/>
      <c r="N596" s="804"/>
      <c r="O596" s="804"/>
      <c r="P596" s="804"/>
    </row>
    <row r="597">
      <c r="B597" s="802"/>
      <c r="C597" s="802"/>
      <c r="D597" s="802"/>
      <c r="E597" s="802"/>
      <c r="F597" s="802"/>
      <c r="G597" s="803"/>
      <c r="H597" s="803"/>
      <c r="I597" s="803"/>
      <c r="J597" s="803"/>
      <c r="K597" s="803"/>
      <c r="L597" s="803"/>
      <c r="M597" s="804"/>
      <c r="N597" s="804"/>
      <c r="O597" s="804"/>
      <c r="P597" s="804"/>
    </row>
    <row r="598">
      <c r="B598" s="802"/>
      <c r="C598" s="802"/>
      <c r="D598" s="802"/>
      <c r="E598" s="802"/>
      <c r="F598" s="802"/>
      <c r="G598" s="803"/>
      <c r="H598" s="803"/>
      <c r="I598" s="803"/>
      <c r="J598" s="803"/>
      <c r="K598" s="803"/>
      <c r="L598" s="803"/>
      <c r="M598" s="804"/>
      <c r="N598" s="804"/>
      <c r="O598" s="804"/>
      <c r="P598" s="804"/>
    </row>
    <row r="599">
      <c r="B599" s="802"/>
      <c r="C599" s="802"/>
      <c r="D599" s="802"/>
      <c r="E599" s="802"/>
      <c r="F599" s="802"/>
      <c r="G599" s="803"/>
      <c r="H599" s="803"/>
      <c r="I599" s="803"/>
      <c r="J599" s="803"/>
      <c r="K599" s="803"/>
      <c r="L599" s="803"/>
      <c r="M599" s="804"/>
      <c r="N599" s="804"/>
      <c r="O599" s="804"/>
      <c r="P599" s="804"/>
    </row>
    <row r="600">
      <c r="B600" s="802"/>
      <c r="C600" s="802"/>
      <c r="D600" s="802"/>
      <c r="E600" s="802"/>
      <c r="F600" s="802"/>
      <c r="G600" s="803"/>
      <c r="H600" s="803"/>
      <c r="I600" s="803"/>
      <c r="J600" s="803"/>
      <c r="K600" s="803"/>
      <c r="L600" s="803"/>
      <c r="M600" s="804"/>
      <c r="N600" s="804"/>
      <c r="O600" s="804"/>
      <c r="P600" s="804"/>
    </row>
    <row r="601">
      <c r="B601" s="802"/>
      <c r="C601" s="802"/>
      <c r="D601" s="802"/>
      <c r="E601" s="802"/>
      <c r="F601" s="802"/>
      <c r="G601" s="803"/>
      <c r="H601" s="803"/>
      <c r="I601" s="803"/>
      <c r="J601" s="803"/>
      <c r="K601" s="803"/>
      <c r="L601" s="803"/>
      <c r="M601" s="804"/>
      <c r="N601" s="804"/>
      <c r="O601" s="804"/>
      <c r="P601" s="804"/>
    </row>
    <row r="602">
      <c r="B602" s="802"/>
      <c r="C602" s="802"/>
      <c r="D602" s="802"/>
      <c r="E602" s="802"/>
      <c r="F602" s="802"/>
      <c r="G602" s="803"/>
      <c r="H602" s="803"/>
      <c r="I602" s="803"/>
      <c r="J602" s="803"/>
      <c r="K602" s="803"/>
      <c r="L602" s="803"/>
      <c r="M602" s="804"/>
      <c r="N602" s="804"/>
      <c r="O602" s="804"/>
      <c r="P602" s="804"/>
    </row>
    <row r="603">
      <c r="B603" s="802"/>
      <c r="C603" s="802"/>
      <c r="D603" s="802"/>
      <c r="E603" s="802"/>
      <c r="F603" s="802"/>
      <c r="G603" s="803"/>
      <c r="H603" s="803"/>
      <c r="I603" s="803"/>
      <c r="J603" s="803"/>
      <c r="K603" s="803"/>
      <c r="L603" s="803"/>
      <c r="M603" s="804"/>
      <c r="N603" s="804"/>
      <c r="O603" s="804"/>
      <c r="P603" s="804"/>
    </row>
    <row r="604">
      <c r="B604" s="802"/>
      <c r="C604" s="802"/>
      <c r="D604" s="802"/>
      <c r="E604" s="802"/>
      <c r="F604" s="802"/>
      <c r="G604" s="803"/>
      <c r="H604" s="803"/>
      <c r="I604" s="803"/>
      <c r="J604" s="803"/>
      <c r="K604" s="803"/>
      <c r="L604" s="803"/>
      <c r="M604" s="804"/>
      <c r="N604" s="804"/>
      <c r="O604" s="804"/>
      <c r="P604" s="804"/>
    </row>
    <row r="605">
      <c r="B605" s="802"/>
      <c r="C605" s="802"/>
      <c r="D605" s="802"/>
      <c r="E605" s="802"/>
      <c r="F605" s="802"/>
      <c r="G605" s="803"/>
      <c r="H605" s="803"/>
      <c r="I605" s="803"/>
      <c r="J605" s="803"/>
      <c r="K605" s="803"/>
      <c r="L605" s="803"/>
      <c r="M605" s="804"/>
      <c r="N605" s="804"/>
      <c r="O605" s="804"/>
      <c r="P605" s="804"/>
    </row>
    <row r="606">
      <c r="B606" s="802"/>
      <c r="C606" s="802"/>
      <c r="D606" s="802"/>
      <c r="E606" s="802"/>
      <c r="F606" s="802"/>
      <c r="G606" s="803"/>
      <c r="H606" s="803"/>
      <c r="I606" s="803"/>
      <c r="J606" s="803"/>
      <c r="K606" s="803"/>
      <c r="L606" s="803"/>
      <c r="M606" s="804"/>
      <c r="N606" s="804"/>
      <c r="O606" s="804"/>
      <c r="P606" s="804"/>
    </row>
    <row r="607">
      <c r="B607" s="802"/>
      <c r="C607" s="802"/>
      <c r="D607" s="802"/>
      <c r="E607" s="802"/>
      <c r="F607" s="802"/>
      <c r="G607" s="803"/>
      <c r="H607" s="803"/>
      <c r="I607" s="803"/>
      <c r="J607" s="803"/>
      <c r="K607" s="803"/>
      <c r="L607" s="803"/>
      <c r="M607" s="804"/>
      <c r="N607" s="804"/>
      <c r="O607" s="804"/>
      <c r="P607" s="804"/>
    </row>
    <row r="608">
      <c r="B608" s="802"/>
      <c r="C608" s="802"/>
      <c r="D608" s="802"/>
      <c r="E608" s="802"/>
      <c r="F608" s="802"/>
      <c r="G608" s="803"/>
      <c r="H608" s="803"/>
      <c r="I608" s="803"/>
      <c r="J608" s="803"/>
      <c r="K608" s="803"/>
      <c r="L608" s="803"/>
      <c r="M608" s="804"/>
      <c r="N608" s="804"/>
      <c r="O608" s="804"/>
      <c r="P608" s="804"/>
    </row>
    <row r="609">
      <c r="B609" s="802"/>
      <c r="C609" s="802"/>
      <c r="D609" s="802"/>
      <c r="E609" s="802"/>
      <c r="F609" s="802"/>
      <c r="G609" s="803"/>
      <c r="H609" s="803"/>
      <c r="I609" s="803"/>
      <c r="J609" s="803"/>
      <c r="K609" s="803"/>
      <c r="L609" s="803"/>
      <c r="M609" s="804"/>
      <c r="N609" s="804"/>
      <c r="O609" s="804"/>
      <c r="P609" s="804"/>
    </row>
    <row r="610">
      <c r="B610" s="802"/>
      <c r="C610" s="802"/>
      <c r="D610" s="802"/>
      <c r="E610" s="802"/>
      <c r="F610" s="802"/>
      <c r="G610" s="803"/>
      <c r="H610" s="803"/>
      <c r="I610" s="803"/>
      <c r="J610" s="803"/>
      <c r="K610" s="803"/>
      <c r="L610" s="803"/>
      <c r="M610" s="804"/>
      <c r="N610" s="804"/>
      <c r="O610" s="804"/>
      <c r="P610" s="804"/>
    </row>
    <row r="611">
      <c r="B611" s="802"/>
      <c r="C611" s="802"/>
      <c r="D611" s="802"/>
      <c r="E611" s="802"/>
      <c r="F611" s="802"/>
      <c r="G611" s="803"/>
      <c r="H611" s="803"/>
      <c r="I611" s="803"/>
      <c r="J611" s="803"/>
      <c r="K611" s="803"/>
      <c r="L611" s="803"/>
      <c r="M611" s="804"/>
      <c r="N611" s="804"/>
      <c r="O611" s="804"/>
      <c r="P611" s="804"/>
    </row>
    <row r="612">
      <c r="B612" s="802"/>
      <c r="C612" s="802"/>
      <c r="D612" s="802"/>
      <c r="E612" s="802"/>
      <c r="F612" s="802"/>
      <c r="G612" s="803"/>
      <c r="H612" s="803"/>
      <c r="I612" s="803"/>
      <c r="J612" s="803"/>
      <c r="K612" s="803"/>
      <c r="L612" s="803"/>
      <c r="M612" s="804"/>
      <c r="N612" s="804"/>
      <c r="O612" s="804"/>
      <c r="P612" s="804"/>
    </row>
    <row r="613">
      <c r="B613" s="802"/>
      <c r="C613" s="802"/>
      <c r="D613" s="802"/>
      <c r="E613" s="802"/>
      <c r="F613" s="802"/>
      <c r="G613" s="803"/>
      <c r="H613" s="803"/>
      <c r="I613" s="803"/>
      <c r="J613" s="803"/>
      <c r="K613" s="803"/>
      <c r="L613" s="803"/>
      <c r="M613" s="804"/>
      <c r="N613" s="804"/>
      <c r="O613" s="804"/>
      <c r="P613" s="804"/>
    </row>
    <row r="614">
      <c r="B614" s="802"/>
      <c r="C614" s="802"/>
      <c r="D614" s="802"/>
      <c r="E614" s="802"/>
      <c r="F614" s="802"/>
      <c r="G614" s="803"/>
      <c r="H614" s="803"/>
      <c r="I614" s="803"/>
      <c r="J614" s="803"/>
      <c r="K614" s="803"/>
      <c r="L614" s="803"/>
      <c r="M614" s="804"/>
      <c r="N614" s="804"/>
      <c r="O614" s="804"/>
      <c r="P614" s="804"/>
    </row>
    <row r="615">
      <c r="B615" s="802"/>
      <c r="C615" s="802"/>
      <c r="D615" s="802"/>
      <c r="E615" s="802"/>
      <c r="F615" s="802"/>
      <c r="G615" s="803"/>
      <c r="H615" s="803"/>
      <c r="I615" s="803"/>
      <c r="J615" s="803"/>
      <c r="K615" s="803"/>
      <c r="L615" s="803"/>
      <c r="M615" s="804"/>
      <c r="N615" s="804"/>
      <c r="O615" s="804"/>
      <c r="P615" s="804"/>
    </row>
    <row r="616">
      <c r="B616" s="802"/>
      <c r="C616" s="802"/>
      <c r="D616" s="802"/>
      <c r="E616" s="802"/>
      <c r="F616" s="802"/>
      <c r="G616" s="803"/>
      <c r="H616" s="803"/>
      <c r="I616" s="803"/>
      <c r="J616" s="803"/>
      <c r="K616" s="803"/>
      <c r="L616" s="803"/>
      <c r="M616" s="804"/>
      <c r="N616" s="804"/>
      <c r="O616" s="804"/>
      <c r="P616" s="804"/>
    </row>
    <row r="617">
      <c r="B617" s="802"/>
      <c r="C617" s="802"/>
      <c r="D617" s="802"/>
      <c r="E617" s="802"/>
      <c r="F617" s="802"/>
      <c r="G617" s="803"/>
      <c r="H617" s="803"/>
      <c r="I617" s="803"/>
      <c r="J617" s="803"/>
      <c r="K617" s="803"/>
      <c r="L617" s="803"/>
      <c r="M617" s="804"/>
      <c r="N617" s="804"/>
      <c r="O617" s="804"/>
      <c r="P617" s="804"/>
    </row>
    <row r="618">
      <c r="B618" s="802"/>
      <c r="C618" s="802"/>
      <c r="D618" s="802"/>
      <c r="E618" s="802"/>
      <c r="F618" s="802"/>
      <c r="G618" s="803"/>
      <c r="H618" s="803"/>
      <c r="I618" s="803"/>
      <c r="J618" s="803"/>
      <c r="K618" s="803"/>
      <c r="L618" s="803"/>
      <c r="M618" s="804"/>
      <c r="N618" s="804"/>
      <c r="O618" s="804"/>
      <c r="P618" s="804"/>
    </row>
    <row r="619">
      <c r="B619" s="802"/>
      <c r="C619" s="802"/>
      <c r="D619" s="802"/>
      <c r="E619" s="802"/>
      <c r="F619" s="802"/>
      <c r="G619" s="803"/>
      <c r="H619" s="803"/>
      <c r="I619" s="803"/>
      <c r="J619" s="803"/>
      <c r="K619" s="803"/>
      <c r="L619" s="803"/>
      <c r="M619" s="804"/>
      <c r="N619" s="804"/>
      <c r="O619" s="804"/>
      <c r="P619" s="804"/>
    </row>
    <row r="620">
      <c r="B620" s="802"/>
      <c r="C620" s="802"/>
      <c r="D620" s="802"/>
      <c r="E620" s="802"/>
      <c r="F620" s="802"/>
      <c r="G620" s="803"/>
      <c r="H620" s="803"/>
      <c r="I620" s="803"/>
      <c r="J620" s="803"/>
      <c r="K620" s="803"/>
      <c r="L620" s="803"/>
      <c r="M620" s="804"/>
      <c r="N620" s="804"/>
      <c r="O620" s="804"/>
      <c r="P620" s="804"/>
    </row>
    <row r="621">
      <c r="B621" s="802"/>
      <c r="C621" s="802"/>
      <c r="D621" s="802"/>
      <c r="E621" s="802"/>
      <c r="F621" s="802"/>
      <c r="G621" s="803"/>
      <c r="H621" s="803"/>
      <c r="I621" s="803"/>
      <c r="J621" s="803"/>
      <c r="K621" s="803"/>
      <c r="L621" s="803"/>
      <c r="M621" s="804"/>
      <c r="N621" s="804"/>
      <c r="O621" s="804"/>
      <c r="P621" s="804"/>
    </row>
    <row r="622">
      <c r="B622" s="802"/>
      <c r="C622" s="802"/>
      <c r="D622" s="802"/>
      <c r="E622" s="802"/>
      <c r="F622" s="802"/>
      <c r="G622" s="803"/>
      <c r="H622" s="803"/>
      <c r="I622" s="803"/>
      <c r="J622" s="803"/>
      <c r="K622" s="803"/>
      <c r="L622" s="803"/>
      <c r="M622" s="804"/>
      <c r="N622" s="804"/>
      <c r="O622" s="804"/>
      <c r="P622" s="804"/>
    </row>
    <row r="623">
      <c r="B623" s="802"/>
      <c r="C623" s="802"/>
      <c r="D623" s="802"/>
      <c r="E623" s="802"/>
      <c r="F623" s="802"/>
      <c r="G623" s="803"/>
      <c r="H623" s="803"/>
      <c r="I623" s="803"/>
      <c r="J623" s="803"/>
      <c r="K623" s="803"/>
      <c r="L623" s="803"/>
      <c r="M623" s="804"/>
      <c r="N623" s="804"/>
      <c r="O623" s="804"/>
      <c r="P623" s="804"/>
    </row>
    <row r="624">
      <c r="B624" s="802"/>
      <c r="C624" s="802"/>
      <c r="D624" s="802"/>
      <c r="E624" s="802"/>
      <c r="F624" s="802"/>
      <c r="G624" s="803"/>
      <c r="H624" s="803"/>
      <c r="I624" s="803"/>
      <c r="J624" s="803"/>
      <c r="K624" s="803"/>
      <c r="L624" s="803"/>
      <c r="M624" s="804"/>
      <c r="N624" s="804"/>
      <c r="O624" s="804"/>
      <c r="P624" s="804"/>
    </row>
    <row r="625">
      <c r="B625" s="802"/>
      <c r="C625" s="802"/>
      <c r="D625" s="802"/>
      <c r="E625" s="802"/>
      <c r="F625" s="802"/>
      <c r="G625" s="803"/>
      <c r="H625" s="803"/>
      <c r="I625" s="803"/>
      <c r="J625" s="803"/>
      <c r="K625" s="803"/>
      <c r="L625" s="803"/>
      <c r="M625" s="804"/>
      <c r="N625" s="804"/>
      <c r="O625" s="804"/>
      <c r="P625" s="804"/>
    </row>
    <row r="626">
      <c r="B626" s="802"/>
      <c r="C626" s="802"/>
      <c r="D626" s="802"/>
      <c r="E626" s="802"/>
      <c r="F626" s="802"/>
      <c r="G626" s="803"/>
      <c r="H626" s="803"/>
      <c r="I626" s="803"/>
      <c r="J626" s="803"/>
      <c r="K626" s="803"/>
      <c r="L626" s="803"/>
      <c r="M626" s="804"/>
      <c r="N626" s="804"/>
      <c r="O626" s="804"/>
      <c r="P626" s="804"/>
    </row>
    <row r="627">
      <c r="B627" s="802"/>
      <c r="C627" s="802"/>
      <c r="D627" s="802"/>
      <c r="E627" s="802"/>
      <c r="F627" s="802"/>
      <c r="G627" s="803"/>
      <c r="H627" s="803"/>
      <c r="I627" s="803"/>
      <c r="J627" s="803"/>
      <c r="K627" s="803"/>
      <c r="L627" s="803"/>
      <c r="M627" s="804"/>
      <c r="N627" s="804"/>
      <c r="O627" s="804"/>
      <c r="P627" s="804"/>
    </row>
    <row r="628">
      <c r="B628" s="802"/>
      <c r="C628" s="802"/>
      <c r="D628" s="802"/>
      <c r="E628" s="802"/>
      <c r="F628" s="802"/>
      <c r="G628" s="803"/>
      <c r="H628" s="803"/>
      <c r="I628" s="803"/>
      <c r="J628" s="803"/>
      <c r="K628" s="803"/>
      <c r="L628" s="803"/>
      <c r="M628" s="804"/>
      <c r="N628" s="804"/>
      <c r="O628" s="804"/>
      <c r="P628" s="804"/>
    </row>
    <row r="629">
      <c r="B629" s="802"/>
      <c r="C629" s="802"/>
      <c r="D629" s="802"/>
      <c r="E629" s="802"/>
      <c r="F629" s="802"/>
      <c r="G629" s="803"/>
      <c r="H629" s="803"/>
      <c r="I629" s="803"/>
      <c r="J629" s="803"/>
      <c r="K629" s="803"/>
      <c r="L629" s="803"/>
      <c r="M629" s="804"/>
      <c r="N629" s="804"/>
      <c r="O629" s="804"/>
      <c r="P629" s="804"/>
    </row>
    <row r="630">
      <c r="B630" s="802"/>
      <c r="C630" s="802"/>
      <c r="D630" s="802"/>
      <c r="E630" s="802"/>
      <c r="F630" s="802"/>
      <c r="G630" s="803"/>
      <c r="H630" s="803"/>
      <c r="I630" s="803"/>
      <c r="J630" s="803"/>
      <c r="K630" s="803"/>
      <c r="L630" s="803"/>
      <c r="M630" s="804"/>
      <c r="N630" s="804"/>
      <c r="O630" s="804"/>
      <c r="P630" s="804"/>
    </row>
    <row r="631">
      <c r="B631" s="802"/>
      <c r="C631" s="802"/>
      <c r="D631" s="802"/>
      <c r="E631" s="802"/>
      <c r="F631" s="802"/>
      <c r="G631" s="803"/>
      <c r="H631" s="803"/>
      <c r="I631" s="803"/>
      <c r="J631" s="803"/>
      <c r="K631" s="803"/>
      <c r="L631" s="803"/>
      <c r="M631" s="804"/>
      <c r="N631" s="804"/>
      <c r="O631" s="804"/>
      <c r="P631" s="804"/>
    </row>
    <row r="632">
      <c r="B632" s="802"/>
      <c r="C632" s="802"/>
      <c r="D632" s="802"/>
      <c r="E632" s="802"/>
      <c r="F632" s="802"/>
      <c r="G632" s="803"/>
      <c r="H632" s="803"/>
      <c r="I632" s="803"/>
      <c r="J632" s="803"/>
      <c r="K632" s="803"/>
      <c r="L632" s="803"/>
      <c r="M632" s="804"/>
      <c r="N632" s="804"/>
      <c r="O632" s="804"/>
      <c r="P632" s="804"/>
    </row>
    <row r="633">
      <c r="B633" s="802"/>
      <c r="C633" s="802"/>
      <c r="D633" s="802"/>
      <c r="E633" s="802"/>
      <c r="F633" s="802"/>
      <c r="G633" s="803"/>
      <c r="H633" s="803"/>
      <c r="I633" s="803"/>
      <c r="J633" s="803"/>
      <c r="K633" s="803"/>
      <c r="L633" s="803"/>
      <c r="M633" s="804"/>
      <c r="N633" s="804"/>
      <c r="O633" s="804"/>
      <c r="P633" s="804"/>
    </row>
    <row r="634">
      <c r="B634" s="802"/>
      <c r="C634" s="802"/>
      <c r="D634" s="802"/>
      <c r="E634" s="802"/>
      <c r="F634" s="802"/>
      <c r="G634" s="803"/>
      <c r="H634" s="803"/>
      <c r="I634" s="803"/>
      <c r="J634" s="803"/>
      <c r="K634" s="803"/>
      <c r="L634" s="803"/>
      <c r="M634" s="804"/>
      <c r="N634" s="804"/>
      <c r="O634" s="804"/>
      <c r="P634" s="804"/>
    </row>
    <row r="635">
      <c r="B635" s="802"/>
      <c r="C635" s="802"/>
      <c r="D635" s="802"/>
      <c r="E635" s="802"/>
      <c r="F635" s="802"/>
      <c r="G635" s="803"/>
      <c r="H635" s="803"/>
      <c r="I635" s="803"/>
      <c r="J635" s="803"/>
      <c r="K635" s="803"/>
      <c r="L635" s="803"/>
      <c r="M635" s="804"/>
      <c r="N635" s="804"/>
      <c r="O635" s="804"/>
      <c r="P635" s="804"/>
    </row>
    <row r="636">
      <c r="B636" s="802"/>
      <c r="C636" s="802"/>
      <c r="D636" s="802"/>
      <c r="E636" s="802"/>
      <c r="F636" s="802"/>
      <c r="G636" s="803"/>
      <c r="H636" s="803"/>
      <c r="I636" s="803"/>
      <c r="J636" s="803"/>
      <c r="K636" s="803"/>
      <c r="L636" s="803"/>
      <c r="M636" s="804"/>
      <c r="N636" s="804"/>
      <c r="O636" s="804"/>
      <c r="P636" s="804"/>
    </row>
    <row r="637">
      <c r="B637" s="802"/>
      <c r="C637" s="802"/>
      <c r="D637" s="802"/>
      <c r="E637" s="802"/>
      <c r="F637" s="802"/>
      <c r="G637" s="803"/>
      <c r="H637" s="803"/>
      <c r="I637" s="803"/>
      <c r="J637" s="803"/>
      <c r="K637" s="803"/>
      <c r="L637" s="803"/>
      <c r="M637" s="804"/>
      <c r="N637" s="804"/>
      <c r="O637" s="804"/>
      <c r="P637" s="804"/>
    </row>
    <row r="638">
      <c r="B638" s="802"/>
      <c r="C638" s="802"/>
      <c r="D638" s="802"/>
      <c r="E638" s="802"/>
      <c r="F638" s="802"/>
      <c r="G638" s="803"/>
      <c r="H638" s="803"/>
      <c r="I638" s="803"/>
      <c r="J638" s="803"/>
      <c r="K638" s="803"/>
      <c r="L638" s="803"/>
      <c r="M638" s="804"/>
      <c r="N638" s="804"/>
      <c r="O638" s="804"/>
      <c r="P638" s="804"/>
    </row>
    <row r="639">
      <c r="B639" s="802"/>
      <c r="C639" s="802"/>
      <c r="D639" s="802"/>
      <c r="E639" s="802"/>
      <c r="F639" s="802"/>
      <c r="G639" s="803"/>
      <c r="H639" s="803"/>
      <c r="I639" s="803"/>
      <c r="J639" s="803"/>
      <c r="K639" s="803"/>
      <c r="L639" s="803"/>
      <c r="M639" s="804"/>
      <c r="N639" s="804"/>
      <c r="O639" s="804"/>
      <c r="P639" s="804"/>
    </row>
    <row r="640">
      <c r="B640" s="802"/>
      <c r="C640" s="802"/>
      <c r="D640" s="802"/>
      <c r="E640" s="802"/>
      <c r="F640" s="802"/>
      <c r="G640" s="803"/>
      <c r="H640" s="803"/>
      <c r="I640" s="803"/>
      <c r="J640" s="803"/>
      <c r="K640" s="803"/>
      <c r="L640" s="803"/>
      <c r="M640" s="804"/>
      <c r="N640" s="804"/>
      <c r="O640" s="804"/>
      <c r="P640" s="804"/>
    </row>
    <row r="641">
      <c r="B641" s="802"/>
      <c r="C641" s="802"/>
      <c r="D641" s="802"/>
      <c r="E641" s="802"/>
      <c r="F641" s="802"/>
      <c r="G641" s="803"/>
      <c r="H641" s="803"/>
      <c r="I641" s="803"/>
      <c r="J641" s="803"/>
      <c r="K641" s="803"/>
      <c r="L641" s="803"/>
      <c r="M641" s="804"/>
      <c r="N641" s="804"/>
      <c r="O641" s="804"/>
      <c r="P641" s="804"/>
    </row>
    <row r="642">
      <c r="B642" s="802"/>
      <c r="C642" s="802"/>
      <c r="D642" s="802"/>
      <c r="E642" s="802"/>
      <c r="F642" s="802"/>
      <c r="G642" s="803"/>
      <c r="H642" s="803"/>
      <c r="I642" s="803"/>
      <c r="J642" s="803"/>
      <c r="K642" s="803"/>
      <c r="L642" s="803"/>
      <c r="M642" s="804"/>
      <c r="N642" s="804"/>
      <c r="O642" s="804"/>
      <c r="P642" s="804"/>
    </row>
    <row r="643">
      <c r="B643" s="802"/>
      <c r="C643" s="802"/>
      <c r="D643" s="802"/>
      <c r="E643" s="802"/>
      <c r="F643" s="802"/>
      <c r="G643" s="803"/>
      <c r="H643" s="803"/>
      <c r="I643" s="803"/>
      <c r="J643" s="803"/>
      <c r="K643" s="803"/>
      <c r="L643" s="803"/>
      <c r="M643" s="804"/>
      <c r="N643" s="804"/>
      <c r="O643" s="804"/>
      <c r="P643" s="804"/>
    </row>
    <row r="644">
      <c r="B644" s="802"/>
      <c r="C644" s="802"/>
      <c r="D644" s="802"/>
      <c r="E644" s="802"/>
      <c r="F644" s="802"/>
      <c r="G644" s="803"/>
      <c r="H644" s="803"/>
      <c r="I644" s="803"/>
      <c r="J644" s="803"/>
      <c r="K644" s="803"/>
      <c r="L644" s="803"/>
      <c r="M644" s="804"/>
      <c r="N644" s="804"/>
      <c r="O644" s="804"/>
      <c r="P644" s="804"/>
    </row>
    <row r="645">
      <c r="B645" s="802"/>
      <c r="C645" s="802"/>
      <c r="D645" s="802"/>
      <c r="E645" s="802"/>
      <c r="F645" s="802"/>
      <c r="G645" s="803"/>
      <c r="H645" s="803"/>
      <c r="I645" s="803"/>
      <c r="J645" s="803"/>
      <c r="K645" s="803"/>
      <c r="L645" s="803"/>
      <c r="M645" s="804"/>
      <c r="N645" s="804"/>
      <c r="O645" s="804"/>
      <c r="P645" s="804"/>
    </row>
    <row r="646">
      <c r="B646" s="802"/>
      <c r="C646" s="802"/>
      <c r="D646" s="802"/>
      <c r="E646" s="802"/>
      <c r="F646" s="802"/>
      <c r="G646" s="803"/>
      <c r="H646" s="803"/>
      <c r="I646" s="803"/>
      <c r="J646" s="803"/>
      <c r="K646" s="803"/>
      <c r="L646" s="803"/>
      <c r="M646" s="804"/>
      <c r="N646" s="804"/>
      <c r="O646" s="804"/>
      <c r="P646" s="804"/>
    </row>
    <row r="647">
      <c r="B647" s="802"/>
      <c r="C647" s="802"/>
      <c r="D647" s="802"/>
      <c r="E647" s="802"/>
      <c r="F647" s="802"/>
      <c r="G647" s="803"/>
      <c r="H647" s="803"/>
      <c r="I647" s="803"/>
      <c r="J647" s="803"/>
      <c r="K647" s="803"/>
      <c r="L647" s="803"/>
      <c r="M647" s="804"/>
      <c r="N647" s="804"/>
      <c r="O647" s="804"/>
      <c r="P647" s="804"/>
    </row>
    <row r="648">
      <c r="B648" s="802"/>
      <c r="C648" s="802"/>
      <c r="D648" s="802"/>
      <c r="E648" s="802"/>
      <c r="F648" s="802"/>
      <c r="G648" s="803"/>
      <c r="H648" s="803"/>
      <c r="I648" s="803"/>
      <c r="J648" s="803"/>
      <c r="K648" s="803"/>
      <c r="L648" s="803"/>
      <c r="M648" s="804"/>
      <c r="N648" s="804"/>
      <c r="O648" s="804"/>
      <c r="P648" s="804"/>
    </row>
    <row r="649">
      <c r="B649" s="802"/>
      <c r="C649" s="802"/>
      <c r="D649" s="802"/>
      <c r="E649" s="802"/>
      <c r="F649" s="802"/>
      <c r="G649" s="803"/>
      <c r="H649" s="803"/>
      <c r="I649" s="803"/>
      <c r="J649" s="803"/>
      <c r="K649" s="803"/>
      <c r="L649" s="803"/>
      <c r="M649" s="804"/>
      <c r="N649" s="804"/>
      <c r="O649" s="804"/>
      <c r="P649" s="804"/>
    </row>
    <row r="650">
      <c r="B650" s="802"/>
      <c r="C650" s="802"/>
      <c r="D650" s="802"/>
      <c r="E650" s="802"/>
      <c r="F650" s="802"/>
      <c r="G650" s="803"/>
      <c r="H650" s="803"/>
      <c r="I650" s="803"/>
      <c r="J650" s="803"/>
      <c r="K650" s="803"/>
      <c r="L650" s="803"/>
      <c r="M650" s="804"/>
      <c r="N650" s="804"/>
      <c r="O650" s="804"/>
      <c r="P650" s="804"/>
    </row>
    <row r="651">
      <c r="B651" s="802"/>
      <c r="C651" s="802"/>
      <c r="D651" s="802"/>
      <c r="E651" s="802"/>
      <c r="F651" s="802"/>
      <c r="G651" s="803"/>
      <c r="H651" s="803"/>
      <c r="I651" s="803"/>
      <c r="J651" s="803"/>
      <c r="K651" s="803"/>
      <c r="L651" s="803"/>
      <c r="M651" s="804"/>
      <c r="N651" s="804"/>
      <c r="O651" s="804"/>
      <c r="P651" s="804"/>
    </row>
    <row r="652">
      <c r="B652" s="802"/>
      <c r="C652" s="802"/>
      <c r="D652" s="802"/>
      <c r="E652" s="802"/>
      <c r="F652" s="802"/>
      <c r="G652" s="803"/>
      <c r="H652" s="803"/>
      <c r="I652" s="803"/>
      <c r="J652" s="803"/>
      <c r="K652" s="803"/>
      <c r="L652" s="803"/>
      <c r="M652" s="804"/>
      <c r="N652" s="804"/>
      <c r="O652" s="804"/>
      <c r="P652" s="804"/>
    </row>
    <row r="653">
      <c r="B653" s="802"/>
      <c r="C653" s="802"/>
      <c r="D653" s="802"/>
      <c r="E653" s="802"/>
      <c r="F653" s="802"/>
      <c r="G653" s="803"/>
      <c r="H653" s="803"/>
      <c r="I653" s="803"/>
      <c r="J653" s="803"/>
      <c r="K653" s="803"/>
      <c r="L653" s="803"/>
      <c r="M653" s="804"/>
      <c r="N653" s="804"/>
      <c r="O653" s="804"/>
      <c r="P653" s="804"/>
    </row>
    <row r="654">
      <c r="B654" s="802"/>
      <c r="C654" s="802"/>
      <c r="D654" s="802"/>
      <c r="E654" s="802"/>
      <c r="F654" s="802"/>
      <c r="G654" s="803"/>
      <c r="H654" s="803"/>
      <c r="I654" s="803"/>
      <c r="J654" s="803"/>
      <c r="K654" s="803"/>
      <c r="L654" s="803"/>
      <c r="M654" s="804"/>
      <c r="N654" s="804"/>
      <c r="O654" s="804"/>
      <c r="P654" s="804"/>
    </row>
    <row r="655">
      <c r="B655" s="802"/>
      <c r="C655" s="802"/>
      <c r="D655" s="802"/>
      <c r="E655" s="802"/>
      <c r="F655" s="802"/>
      <c r="G655" s="803"/>
      <c r="H655" s="803"/>
      <c r="I655" s="803"/>
      <c r="J655" s="803"/>
      <c r="K655" s="803"/>
      <c r="L655" s="803"/>
      <c r="M655" s="804"/>
      <c r="N655" s="804"/>
      <c r="O655" s="804"/>
      <c r="P655" s="804"/>
    </row>
    <row r="656">
      <c r="B656" s="802"/>
      <c r="C656" s="802"/>
      <c r="D656" s="802"/>
      <c r="E656" s="802"/>
      <c r="F656" s="802"/>
      <c r="G656" s="803"/>
      <c r="H656" s="803"/>
      <c r="I656" s="803"/>
      <c r="J656" s="803"/>
      <c r="K656" s="803"/>
      <c r="L656" s="803"/>
      <c r="M656" s="804"/>
      <c r="N656" s="804"/>
      <c r="O656" s="804"/>
      <c r="P656" s="804"/>
    </row>
    <row r="657">
      <c r="B657" s="802"/>
      <c r="C657" s="802"/>
      <c r="D657" s="802"/>
      <c r="E657" s="802"/>
      <c r="F657" s="802"/>
      <c r="G657" s="803"/>
      <c r="H657" s="803"/>
      <c r="I657" s="803"/>
      <c r="J657" s="803"/>
      <c r="K657" s="803"/>
      <c r="L657" s="803"/>
      <c r="M657" s="804"/>
      <c r="N657" s="804"/>
      <c r="O657" s="804"/>
      <c r="P657" s="804"/>
    </row>
    <row r="658">
      <c r="B658" s="802"/>
      <c r="C658" s="802"/>
      <c r="D658" s="802"/>
      <c r="E658" s="802"/>
      <c r="F658" s="802"/>
      <c r="G658" s="803"/>
      <c r="H658" s="803"/>
      <c r="I658" s="803"/>
      <c r="J658" s="803"/>
      <c r="K658" s="803"/>
      <c r="L658" s="803"/>
      <c r="M658" s="804"/>
      <c r="N658" s="804"/>
      <c r="O658" s="804"/>
      <c r="P658" s="804"/>
    </row>
    <row r="659">
      <c r="B659" s="802"/>
      <c r="C659" s="802"/>
      <c r="D659" s="802"/>
      <c r="E659" s="802"/>
      <c r="F659" s="802"/>
      <c r="G659" s="803"/>
      <c r="H659" s="803"/>
      <c r="I659" s="803"/>
      <c r="J659" s="803"/>
      <c r="K659" s="803"/>
      <c r="L659" s="803"/>
      <c r="M659" s="804"/>
      <c r="N659" s="804"/>
      <c r="O659" s="804"/>
      <c r="P659" s="804"/>
    </row>
    <row r="660">
      <c r="B660" s="802"/>
      <c r="C660" s="802"/>
      <c r="D660" s="802"/>
      <c r="E660" s="802"/>
      <c r="F660" s="802"/>
      <c r="G660" s="803"/>
      <c r="H660" s="803"/>
      <c r="I660" s="803"/>
      <c r="J660" s="803"/>
      <c r="K660" s="803"/>
      <c r="L660" s="803"/>
      <c r="M660" s="804"/>
      <c r="N660" s="804"/>
      <c r="O660" s="804"/>
      <c r="P660" s="804"/>
    </row>
    <row r="661">
      <c r="B661" s="802"/>
      <c r="C661" s="802"/>
      <c r="D661" s="802"/>
      <c r="E661" s="802"/>
      <c r="F661" s="802"/>
      <c r="G661" s="803"/>
      <c r="H661" s="803"/>
      <c r="I661" s="803"/>
      <c r="J661" s="803"/>
      <c r="K661" s="803"/>
      <c r="L661" s="803"/>
      <c r="M661" s="804"/>
      <c r="N661" s="804"/>
      <c r="O661" s="804"/>
      <c r="P661" s="804"/>
    </row>
    <row r="662">
      <c r="B662" s="802"/>
      <c r="C662" s="802"/>
      <c r="D662" s="802"/>
      <c r="E662" s="802"/>
      <c r="F662" s="802"/>
      <c r="G662" s="803"/>
      <c r="H662" s="803"/>
      <c r="I662" s="803"/>
      <c r="J662" s="803"/>
      <c r="K662" s="803"/>
      <c r="L662" s="803"/>
      <c r="M662" s="804"/>
      <c r="N662" s="804"/>
      <c r="O662" s="804"/>
      <c r="P662" s="804"/>
    </row>
    <row r="663">
      <c r="B663" s="802"/>
      <c r="C663" s="802"/>
      <c r="D663" s="802"/>
      <c r="E663" s="802"/>
      <c r="F663" s="802"/>
      <c r="G663" s="803"/>
      <c r="H663" s="803"/>
      <c r="I663" s="803"/>
      <c r="J663" s="803"/>
      <c r="K663" s="803"/>
      <c r="L663" s="803"/>
      <c r="M663" s="804"/>
      <c r="N663" s="804"/>
      <c r="O663" s="804"/>
      <c r="P663" s="804"/>
    </row>
    <row r="664">
      <c r="B664" s="802"/>
      <c r="C664" s="802"/>
      <c r="D664" s="802"/>
      <c r="E664" s="802"/>
      <c r="F664" s="802"/>
      <c r="G664" s="803"/>
      <c r="H664" s="803"/>
      <c r="I664" s="803"/>
      <c r="J664" s="803"/>
      <c r="K664" s="803"/>
      <c r="L664" s="803"/>
      <c r="M664" s="804"/>
      <c r="N664" s="804"/>
      <c r="O664" s="804"/>
      <c r="P664" s="804"/>
    </row>
    <row r="665">
      <c r="B665" s="802"/>
      <c r="C665" s="802"/>
      <c r="D665" s="802"/>
      <c r="E665" s="802"/>
      <c r="F665" s="802"/>
      <c r="G665" s="803"/>
      <c r="H665" s="803"/>
      <c r="I665" s="803"/>
      <c r="J665" s="803"/>
      <c r="K665" s="803"/>
      <c r="L665" s="803"/>
      <c r="M665" s="804"/>
      <c r="N665" s="804"/>
      <c r="O665" s="804"/>
      <c r="P665" s="804"/>
    </row>
    <row r="666">
      <c r="B666" s="802"/>
      <c r="C666" s="802"/>
      <c r="D666" s="802"/>
      <c r="E666" s="802"/>
      <c r="F666" s="802"/>
      <c r="G666" s="803"/>
      <c r="H666" s="803"/>
      <c r="I666" s="803"/>
      <c r="J666" s="803"/>
      <c r="K666" s="803"/>
      <c r="L666" s="803"/>
      <c r="M666" s="804"/>
      <c r="N666" s="804"/>
      <c r="O666" s="804"/>
      <c r="P666" s="804"/>
    </row>
    <row r="667">
      <c r="B667" s="802"/>
      <c r="C667" s="802"/>
      <c r="D667" s="802"/>
      <c r="E667" s="802"/>
      <c r="F667" s="802"/>
      <c r="G667" s="803"/>
      <c r="H667" s="803"/>
      <c r="I667" s="803"/>
      <c r="J667" s="803"/>
      <c r="K667" s="803"/>
      <c r="L667" s="803"/>
      <c r="M667" s="804"/>
      <c r="N667" s="804"/>
      <c r="O667" s="804"/>
      <c r="P667" s="804"/>
    </row>
    <row r="668">
      <c r="B668" s="802"/>
      <c r="C668" s="802"/>
      <c r="D668" s="802"/>
      <c r="E668" s="802"/>
      <c r="F668" s="802"/>
      <c r="G668" s="803"/>
      <c r="H668" s="803"/>
      <c r="I668" s="803"/>
      <c r="J668" s="803"/>
      <c r="K668" s="803"/>
      <c r="L668" s="803"/>
      <c r="M668" s="804"/>
      <c r="N668" s="804"/>
      <c r="O668" s="804"/>
      <c r="P668" s="804"/>
    </row>
    <row r="669">
      <c r="B669" s="802"/>
      <c r="C669" s="802"/>
      <c r="D669" s="802"/>
      <c r="E669" s="802"/>
      <c r="F669" s="802"/>
      <c r="G669" s="803"/>
      <c r="H669" s="803"/>
      <c r="I669" s="803"/>
      <c r="J669" s="803"/>
      <c r="K669" s="803"/>
      <c r="L669" s="803"/>
      <c r="M669" s="804"/>
      <c r="N669" s="804"/>
      <c r="O669" s="804"/>
      <c r="P669" s="804"/>
    </row>
    <row r="670">
      <c r="B670" s="802"/>
      <c r="C670" s="802"/>
      <c r="D670" s="802"/>
      <c r="E670" s="802"/>
      <c r="F670" s="802"/>
      <c r="G670" s="803"/>
      <c r="H670" s="803"/>
      <c r="I670" s="803"/>
      <c r="J670" s="803"/>
      <c r="K670" s="803"/>
      <c r="L670" s="803"/>
      <c r="M670" s="804"/>
      <c r="N670" s="804"/>
      <c r="O670" s="804"/>
      <c r="P670" s="804"/>
    </row>
    <row r="671">
      <c r="B671" s="802"/>
      <c r="C671" s="802"/>
      <c r="D671" s="802"/>
      <c r="E671" s="802"/>
      <c r="F671" s="802"/>
      <c r="G671" s="803"/>
      <c r="H671" s="803"/>
      <c r="I671" s="803"/>
      <c r="J671" s="803"/>
      <c r="K671" s="803"/>
      <c r="L671" s="803"/>
      <c r="M671" s="804"/>
      <c r="N671" s="804"/>
      <c r="O671" s="804"/>
      <c r="P671" s="804"/>
    </row>
    <row r="672">
      <c r="B672" s="802"/>
      <c r="C672" s="802"/>
      <c r="D672" s="802"/>
      <c r="E672" s="802"/>
      <c r="F672" s="802"/>
      <c r="G672" s="803"/>
      <c r="H672" s="803"/>
      <c r="I672" s="803"/>
      <c r="J672" s="803"/>
      <c r="K672" s="803"/>
      <c r="L672" s="803"/>
      <c r="M672" s="804"/>
      <c r="N672" s="804"/>
      <c r="O672" s="804"/>
      <c r="P672" s="804"/>
    </row>
    <row r="673">
      <c r="B673" s="802"/>
      <c r="C673" s="802"/>
      <c r="D673" s="802"/>
      <c r="E673" s="802"/>
      <c r="F673" s="802"/>
      <c r="G673" s="803"/>
      <c r="H673" s="803"/>
      <c r="I673" s="803"/>
      <c r="J673" s="803"/>
      <c r="K673" s="803"/>
      <c r="L673" s="803"/>
      <c r="M673" s="804"/>
      <c r="N673" s="804"/>
      <c r="O673" s="804"/>
      <c r="P673" s="804"/>
    </row>
    <row r="674">
      <c r="B674" s="802"/>
      <c r="C674" s="802"/>
      <c r="D674" s="802"/>
      <c r="E674" s="802"/>
      <c r="F674" s="802"/>
      <c r="G674" s="803"/>
      <c r="H674" s="803"/>
      <c r="I674" s="803"/>
      <c r="J674" s="803"/>
      <c r="K674" s="803"/>
      <c r="L674" s="803"/>
      <c r="M674" s="804"/>
      <c r="N674" s="804"/>
      <c r="O674" s="804"/>
      <c r="P674" s="804"/>
    </row>
    <row r="675">
      <c r="B675" s="802"/>
      <c r="C675" s="802"/>
      <c r="D675" s="802"/>
      <c r="E675" s="802"/>
      <c r="F675" s="802"/>
      <c r="G675" s="803"/>
      <c r="H675" s="803"/>
      <c r="I675" s="803"/>
      <c r="J675" s="803"/>
      <c r="K675" s="803"/>
      <c r="L675" s="803"/>
      <c r="M675" s="804"/>
      <c r="N675" s="804"/>
      <c r="O675" s="804"/>
      <c r="P675" s="804"/>
    </row>
    <row r="676">
      <c r="B676" s="802"/>
      <c r="C676" s="802"/>
      <c r="D676" s="802"/>
      <c r="E676" s="802"/>
      <c r="F676" s="802"/>
      <c r="G676" s="803"/>
      <c r="H676" s="803"/>
      <c r="I676" s="803"/>
      <c r="J676" s="803"/>
      <c r="K676" s="803"/>
      <c r="L676" s="803"/>
      <c r="M676" s="804"/>
      <c r="N676" s="804"/>
      <c r="O676" s="804"/>
      <c r="P676" s="804"/>
    </row>
    <row r="677">
      <c r="B677" s="802"/>
      <c r="C677" s="802"/>
      <c r="D677" s="802"/>
      <c r="E677" s="802"/>
      <c r="F677" s="802"/>
      <c r="G677" s="803"/>
      <c r="H677" s="803"/>
      <c r="I677" s="803"/>
      <c r="J677" s="803"/>
      <c r="K677" s="803"/>
      <c r="L677" s="803"/>
      <c r="M677" s="804"/>
      <c r="N677" s="804"/>
      <c r="O677" s="804"/>
      <c r="P677" s="804"/>
    </row>
    <row r="678">
      <c r="B678" s="802"/>
      <c r="C678" s="802"/>
      <c r="D678" s="802"/>
      <c r="E678" s="802"/>
      <c r="F678" s="802"/>
      <c r="G678" s="803"/>
      <c r="H678" s="803"/>
      <c r="I678" s="803"/>
      <c r="J678" s="803"/>
      <c r="K678" s="803"/>
      <c r="L678" s="803"/>
      <c r="M678" s="804"/>
      <c r="N678" s="804"/>
      <c r="O678" s="804"/>
      <c r="P678" s="804"/>
    </row>
    <row r="679">
      <c r="B679" s="802"/>
      <c r="C679" s="802"/>
      <c r="D679" s="802"/>
      <c r="E679" s="802"/>
      <c r="F679" s="802"/>
      <c r="G679" s="803"/>
      <c r="H679" s="803"/>
      <c r="I679" s="803"/>
      <c r="J679" s="803"/>
      <c r="K679" s="803"/>
      <c r="L679" s="803"/>
      <c r="M679" s="804"/>
      <c r="N679" s="804"/>
      <c r="O679" s="804"/>
      <c r="P679" s="804"/>
    </row>
    <row r="680">
      <c r="B680" s="802"/>
      <c r="C680" s="802"/>
      <c r="D680" s="802"/>
      <c r="E680" s="802"/>
      <c r="F680" s="802"/>
      <c r="G680" s="803"/>
      <c r="H680" s="803"/>
      <c r="I680" s="803"/>
      <c r="J680" s="803"/>
      <c r="K680" s="803"/>
      <c r="L680" s="803"/>
      <c r="M680" s="804"/>
      <c r="N680" s="804"/>
      <c r="O680" s="804"/>
      <c r="P680" s="804"/>
    </row>
    <row r="681">
      <c r="B681" s="802"/>
      <c r="C681" s="802"/>
      <c r="D681" s="802"/>
      <c r="E681" s="802"/>
      <c r="F681" s="802"/>
      <c r="G681" s="803"/>
      <c r="H681" s="803"/>
      <c r="I681" s="803"/>
      <c r="J681" s="803"/>
      <c r="K681" s="803"/>
      <c r="L681" s="803"/>
      <c r="M681" s="804"/>
      <c r="N681" s="804"/>
      <c r="O681" s="804"/>
      <c r="P681" s="804"/>
    </row>
    <row r="682">
      <c r="B682" s="802"/>
      <c r="C682" s="802"/>
      <c r="D682" s="802"/>
      <c r="E682" s="802"/>
      <c r="F682" s="802"/>
      <c r="G682" s="803"/>
      <c r="H682" s="803"/>
      <c r="I682" s="803"/>
      <c r="J682" s="803"/>
      <c r="K682" s="803"/>
      <c r="L682" s="803"/>
      <c r="M682" s="804"/>
      <c r="N682" s="804"/>
      <c r="O682" s="804"/>
      <c r="P682" s="804"/>
    </row>
    <row r="683">
      <c r="B683" s="802"/>
      <c r="C683" s="802"/>
      <c r="D683" s="802"/>
      <c r="E683" s="802"/>
      <c r="F683" s="802"/>
      <c r="G683" s="803"/>
      <c r="H683" s="803"/>
      <c r="I683" s="803"/>
      <c r="J683" s="803"/>
      <c r="K683" s="803"/>
      <c r="L683" s="803"/>
      <c r="M683" s="804"/>
      <c r="N683" s="804"/>
      <c r="O683" s="804"/>
      <c r="P683" s="804"/>
    </row>
    <row r="684">
      <c r="B684" s="802"/>
      <c r="C684" s="802"/>
      <c r="D684" s="802"/>
      <c r="E684" s="802"/>
      <c r="F684" s="802"/>
      <c r="G684" s="803"/>
      <c r="H684" s="803"/>
      <c r="I684" s="803"/>
      <c r="J684" s="803"/>
      <c r="K684" s="803"/>
      <c r="L684" s="803"/>
      <c r="M684" s="804"/>
      <c r="N684" s="804"/>
      <c r="O684" s="804"/>
      <c r="P684" s="804"/>
    </row>
    <row r="685">
      <c r="B685" s="802"/>
      <c r="C685" s="802"/>
      <c r="D685" s="802"/>
      <c r="E685" s="802"/>
      <c r="F685" s="802"/>
      <c r="G685" s="803"/>
      <c r="H685" s="803"/>
      <c r="I685" s="803"/>
      <c r="J685" s="803"/>
      <c r="K685" s="803"/>
      <c r="L685" s="803"/>
      <c r="M685" s="804"/>
      <c r="N685" s="804"/>
      <c r="O685" s="804"/>
      <c r="P685" s="804"/>
    </row>
    <row r="686">
      <c r="B686" s="802"/>
      <c r="C686" s="802"/>
      <c r="D686" s="802"/>
      <c r="E686" s="802"/>
      <c r="F686" s="802"/>
      <c r="G686" s="803"/>
      <c r="H686" s="803"/>
      <c r="I686" s="803"/>
      <c r="J686" s="803"/>
      <c r="K686" s="803"/>
      <c r="L686" s="803"/>
      <c r="M686" s="804"/>
      <c r="N686" s="804"/>
      <c r="O686" s="804"/>
      <c r="P686" s="804"/>
    </row>
    <row r="687">
      <c r="B687" s="802"/>
      <c r="C687" s="802"/>
      <c r="D687" s="802"/>
      <c r="E687" s="802"/>
      <c r="F687" s="802"/>
      <c r="G687" s="803"/>
      <c r="H687" s="803"/>
      <c r="I687" s="803"/>
      <c r="J687" s="803"/>
      <c r="K687" s="803"/>
      <c r="L687" s="803"/>
      <c r="M687" s="804"/>
      <c r="N687" s="804"/>
      <c r="O687" s="804"/>
      <c r="P687" s="804"/>
    </row>
    <row r="688">
      <c r="B688" s="802"/>
      <c r="C688" s="802"/>
      <c r="D688" s="802"/>
      <c r="E688" s="802"/>
      <c r="F688" s="802"/>
      <c r="G688" s="803"/>
      <c r="H688" s="803"/>
      <c r="I688" s="803"/>
      <c r="J688" s="803"/>
      <c r="K688" s="803"/>
      <c r="L688" s="803"/>
      <c r="M688" s="804"/>
      <c r="N688" s="804"/>
      <c r="O688" s="804"/>
      <c r="P688" s="804"/>
    </row>
    <row r="689">
      <c r="B689" s="802"/>
      <c r="C689" s="802"/>
      <c r="D689" s="802"/>
      <c r="E689" s="802"/>
      <c r="F689" s="802"/>
      <c r="G689" s="803"/>
      <c r="H689" s="803"/>
      <c r="I689" s="803"/>
      <c r="J689" s="803"/>
      <c r="K689" s="803"/>
      <c r="L689" s="803"/>
      <c r="M689" s="804"/>
      <c r="N689" s="804"/>
      <c r="O689" s="804"/>
      <c r="P689" s="804"/>
    </row>
    <row r="690">
      <c r="B690" s="802"/>
      <c r="C690" s="802"/>
      <c r="D690" s="802"/>
      <c r="E690" s="802"/>
      <c r="F690" s="802"/>
      <c r="G690" s="803"/>
      <c r="H690" s="803"/>
      <c r="I690" s="803"/>
      <c r="J690" s="803"/>
      <c r="K690" s="803"/>
      <c r="L690" s="803"/>
      <c r="M690" s="804"/>
      <c r="N690" s="804"/>
      <c r="O690" s="804"/>
      <c r="P690" s="804"/>
    </row>
    <row r="691">
      <c r="B691" s="802"/>
      <c r="C691" s="802"/>
      <c r="D691" s="802"/>
      <c r="E691" s="802"/>
      <c r="F691" s="802"/>
      <c r="G691" s="803"/>
      <c r="H691" s="803"/>
      <c r="I691" s="803"/>
      <c r="J691" s="803"/>
      <c r="K691" s="803"/>
      <c r="L691" s="803"/>
      <c r="M691" s="804"/>
      <c r="N691" s="804"/>
      <c r="O691" s="804"/>
      <c r="P691" s="804"/>
    </row>
    <row r="692">
      <c r="B692" s="802"/>
      <c r="C692" s="802"/>
      <c r="D692" s="802"/>
      <c r="E692" s="802"/>
      <c r="F692" s="802"/>
      <c r="G692" s="803"/>
      <c r="H692" s="803"/>
      <c r="I692" s="803"/>
      <c r="J692" s="803"/>
      <c r="K692" s="803"/>
      <c r="L692" s="803"/>
      <c r="M692" s="804"/>
      <c r="N692" s="804"/>
      <c r="O692" s="804"/>
      <c r="P692" s="804"/>
    </row>
    <row r="693">
      <c r="B693" s="802"/>
      <c r="C693" s="802"/>
      <c r="D693" s="802"/>
      <c r="E693" s="802"/>
      <c r="F693" s="802"/>
      <c r="G693" s="803"/>
      <c r="H693" s="803"/>
      <c r="I693" s="803"/>
      <c r="J693" s="803"/>
      <c r="K693" s="803"/>
      <c r="L693" s="803"/>
      <c r="M693" s="804"/>
      <c r="N693" s="804"/>
      <c r="O693" s="804"/>
      <c r="P693" s="804"/>
    </row>
    <row r="694">
      <c r="B694" s="802"/>
      <c r="C694" s="802"/>
      <c r="D694" s="802"/>
      <c r="E694" s="802"/>
      <c r="F694" s="802"/>
      <c r="G694" s="803"/>
      <c r="H694" s="803"/>
      <c r="I694" s="803"/>
      <c r="J694" s="803"/>
      <c r="K694" s="803"/>
      <c r="L694" s="803"/>
      <c r="M694" s="804"/>
      <c r="N694" s="804"/>
      <c r="O694" s="804"/>
      <c r="P694" s="804"/>
    </row>
    <row r="695">
      <c r="B695" s="802"/>
      <c r="C695" s="802"/>
      <c r="D695" s="802"/>
      <c r="E695" s="802"/>
      <c r="F695" s="802"/>
      <c r="G695" s="803"/>
      <c r="H695" s="803"/>
      <c r="I695" s="803"/>
      <c r="J695" s="803"/>
      <c r="K695" s="803"/>
      <c r="L695" s="803"/>
      <c r="M695" s="804"/>
      <c r="N695" s="804"/>
      <c r="O695" s="804"/>
      <c r="P695" s="804"/>
    </row>
    <row r="696">
      <c r="B696" s="802"/>
      <c r="C696" s="802"/>
      <c r="D696" s="802"/>
      <c r="E696" s="802"/>
      <c r="F696" s="802"/>
      <c r="G696" s="803"/>
      <c r="H696" s="803"/>
      <c r="I696" s="803"/>
      <c r="J696" s="803"/>
      <c r="K696" s="803"/>
      <c r="L696" s="803"/>
      <c r="M696" s="804"/>
      <c r="N696" s="804"/>
      <c r="O696" s="804"/>
      <c r="P696" s="804"/>
    </row>
    <row r="697">
      <c r="B697" s="802"/>
      <c r="C697" s="802"/>
      <c r="D697" s="802"/>
      <c r="E697" s="802"/>
      <c r="F697" s="802"/>
      <c r="G697" s="803"/>
      <c r="H697" s="803"/>
      <c r="I697" s="803"/>
      <c r="J697" s="803"/>
      <c r="K697" s="803"/>
      <c r="L697" s="803"/>
      <c r="M697" s="804"/>
      <c r="N697" s="804"/>
      <c r="O697" s="804"/>
      <c r="P697" s="804"/>
    </row>
    <row r="698">
      <c r="B698" s="802"/>
      <c r="C698" s="802"/>
      <c r="D698" s="802"/>
      <c r="E698" s="802"/>
      <c r="F698" s="802"/>
      <c r="G698" s="803"/>
      <c r="H698" s="803"/>
      <c r="I698" s="803"/>
      <c r="J698" s="803"/>
      <c r="K698" s="803"/>
      <c r="L698" s="803"/>
      <c r="M698" s="804"/>
      <c r="N698" s="804"/>
      <c r="O698" s="804"/>
      <c r="P698" s="804"/>
    </row>
    <row r="699">
      <c r="B699" s="802"/>
      <c r="C699" s="802"/>
      <c r="D699" s="802"/>
      <c r="E699" s="802"/>
      <c r="F699" s="802"/>
      <c r="G699" s="803"/>
      <c r="H699" s="803"/>
      <c r="I699" s="803"/>
      <c r="J699" s="803"/>
      <c r="K699" s="803"/>
      <c r="L699" s="803"/>
      <c r="M699" s="804"/>
      <c r="N699" s="804"/>
      <c r="O699" s="804"/>
      <c r="P699" s="804"/>
    </row>
    <row r="700">
      <c r="B700" s="802"/>
      <c r="C700" s="802"/>
      <c r="D700" s="802"/>
      <c r="E700" s="802"/>
      <c r="F700" s="802"/>
      <c r="G700" s="803"/>
      <c r="H700" s="803"/>
      <c r="I700" s="803"/>
      <c r="J700" s="803"/>
      <c r="K700" s="803"/>
      <c r="L700" s="803"/>
      <c r="M700" s="804"/>
      <c r="N700" s="804"/>
      <c r="O700" s="804"/>
      <c r="P700" s="804"/>
    </row>
    <row r="701">
      <c r="B701" s="802"/>
      <c r="C701" s="802"/>
      <c r="D701" s="802"/>
      <c r="E701" s="802"/>
      <c r="F701" s="802"/>
      <c r="G701" s="803"/>
      <c r="H701" s="803"/>
      <c r="I701" s="803"/>
      <c r="J701" s="803"/>
      <c r="K701" s="803"/>
      <c r="L701" s="803"/>
      <c r="M701" s="804"/>
      <c r="N701" s="804"/>
      <c r="O701" s="804"/>
      <c r="P701" s="804"/>
    </row>
    <row r="702">
      <c r="B702" s="802"/>
      <c r="C702" s="802"/>
      <c r="D702" s="802"/>
      <c r="E702" s="802"/>
      <c r="F702" s="802"/>
      <c r="G702" s="803"/>
      <c r="H702" s="803"/>
      <c r="I702" s="803"/>
      <c r="J702" s="803"/>
      <c r="K702" s="803"/>
      <c r="L702" s="803"/>
      <c r="M702" s="804"/>
      <c r="N702" s="804"/>
      <c r="O702" s="804"/>
      <c r="P702" s="804"/>
    </row>
    <row r="703">
      <c r="B703" s="802"/>
      <c r="C703" s="802"/>
      <c r="D703" s="802"/>
      <c r="E703" s="802"/>
      <c r="F703" s="802"/>
      <c r="G703" s="803"/>
      <c r="H703" s="803"/>
      <c r="I703" s="803"/>
      <c r="J703" s="803"/>
      <c r="K703" s="803"/>
      <c r="L703" s="803"/>
      <c r="M703" s="804"/>
      <c r="N703" s="804"/>
      <c r="O703" s="804"/>
      <c r="P703" s="804"/>
    </row>
    <row r="704">
      <c r="B704" s="802"/>
      <c r="C704" s="802"/>
      <c r="D704" s="802"/>
      <c r="E704" s="802"/>
      <c r="F704" s="802"/>
      <c r="G704" s="803"/>
      <c r="H704" s="803"/>
      <c r="I704" s="803"/>
      <c r="J704" s="803"/>
      <c r="K704" s="803"/>
      <c r="L704" s="803"/>
      <c r="M704" s="804"/>
      <c r="N704" s="804"/>
      <c r="O704" s="804"/>
      <c r="P704" s="804"/>
    </row>
    <row r="705">
      <c r="B705" s="802"/>
      <c r="C705" s="802"/>
      <c r="D705" s="802"/>
      <c r="E705" s="802"/>
      <c r="F705" s="802"/>
      <c r="G705" s="803"/>
      <c r="H705" s="803"/>
      <c r="I705" s="803"/>
      <c r="J705" s="803"/>
      <c r="K705" s="803"/>
      <c r="L705" s="803"/>
      <c r="M705" s="804"/>
      <c r="N705" s="804"/>
      <c r="O705" s="804"/>
      <c r="P705" s="804"/>
    </row>
    <row r="706">
      <c r="B706" s="802"/>
      <c r="C706" s="802"/>
      <c r="D706" s="802"/>
      <c r="E706" s="802"/>
      <c r="F706" s="802"/>
      <c r="G706" s="803"/>
      <c r="H706" s="803"/>
      <c r="I706" s="803"/>
      <c r="J706" s="803"/>
      <c r="K706" s="803"/>
      <c r="L706" s="803"/>
      <c r="M706" s="804"/>
      <c r="N706" s="804"/>
      <c r="O706" s="804"/>
      <c r="P706" s="804"/>
    </row>
    <row r="707">
      <c r="B707" s="802"/>
      <c r="C707" s="802"/>
      <c r="D707" s="802"/>
      <c r="E707" s="802"/>
      <c r="F707" s="802"/>
      <c r="G707" s="803"/>
      <c r="H707" s="803"/>
      <c r="I707" s="803"/>
      <c r="J707" s="803"/>
      <c r="K707" s="803"/>
      <c r="L707" s="803"/>
      <c r="M707" s="804"/>
      <c r="N707" s="804"/>
      <c r="O707" s="804"/>
      <c r="P707" s="804"/>
    </row>
    <row r="708">
      <c r="B708" s="802"/>
      <c r="C708" s="802"/>
      <c r="D708" s="802"/>
      <c r="E708" s="802"/>
      <c r="F708" s="802"/>
      <c r="G708" s="803"/>
      <c r="H708" s="803"/>
      <c r="I708" s="803"/>
      <c r="J708" s="803"/>
      <c r="K708" s="803"/>
      <c r="L708" s="803"/>
      <c r="M708" s="804"/>
      <c r="N708" s="804"/>
      <c r="O708" s="804"/>
      <c r="P708" s="804"/>
    </row>
    <row r="709">
      <c r="B709" s="802"/>
      <c r="C709" s="802"/>
      <c r="D709" s="802"/>
      <c r="E709" s="802"/>
      <c r="F709" s="802"/>
      <c r="G709" s="803"/>
      <c r="H709" s="803"/>
      <c r="I709" s="803"/>
      <c r="J709" s="803"/>
      <c r="K709" s="803"/>
      <c r="L709" s="803"/>
      <c r="M709" s="804"/>
      <c r="N709" s="804"/>
      <c r="O709" s="804"/>
      <c r="P709" s="804"/>
    </row>
    <row r="710">
      <c r="B710" s="802"/>
      <c r="C710" s="802"/>
      <c r="D710" s="802"/>
      <c r="E710" s="802"/>
      <c r="F710" s="802"/>
      <c r="G710" s="803"/>
      <c r="H710" s="803"/>
      <c r="I710" s="803"/>
      <c r="J710" s="803"/>
      <c r="K710" s="803"/>
      <c r="L710" s="803"/>
      <c r="M710" s="804"/>
      <c r="N710" s="804"/>
      <c r="O710" s="804"/>
      <c r="P710" s="804"/>
    </row>
    <row r="711">
      <c r="B711" s="802"/>
      <c r="C711" s="802"/>
      <c r="D711" s="802"/>
      <c r="E711" s="802"/>
      <c r="F711" s="802"/>
      <c r="G711" s="803"/>
      <c r="H711" s="803"/>
      <c r="I711" s="803"/>
      <c r="J711" s="803"/>
      <c r="K711" s="803"/>
      <c r="L711" s="803"/>
      <c r="M711" s="804"/>
      <c r="N711" s="804"/>
      <c r="O711" s="804"/>
      <c r="P711" s="804"/>
    </row>
    <row r="712">
      <c r="B712" s="802"/>
      <c r="C712" s="802"/>
      <c r="D712" s="802"/>
      <c r="E712" s="802"/>
      <c r="F712" s="802"/>
      <c r="G712" s="803"/>
      <c r="H712" s="803"/>
      <c r="I712" s="803"/>
      <c r="J712" s="803"/>
      <c r="K712" s="803"/>
      <c r="L712" s="803"/>
      <c r="M712" s="804"/>
      <c r="N712" s="804"/>
      <c r="O712" s="804"/>
      <c r="P712" s="804"/>
    </row>
    <row r="713">
      <c r="B713" s="802"/>
      <c r="C713" s="802"/>
      <c r="D713" s="802"/>
      <c r="E713" s="802"/>
      <c r="F713" s="802"/>
      <c r="G713" s="803"/>
      <c r="H713" s="803"/>
      <c r="I713" s="803"/>
      <c r="J713" s="803"/>
      <c r="K713" s="803"/>
      <c r="L713" s="803"/>
      <c r="M713" s="804"/>
      <c r="N713" s="804"/>
      <c r="O713" s="804"/>
      <c r="P713" s="804"/>
    </row>
    <row r="714">
      <c r="B714" s="802"/>
      <c r="C714" s="802"/>
      <c r="D714" s="802"/>
      <c r="E714" s="802"/>
      <c r="F714" s="802"/>
      <c r="G714" s="803"/>
      <c r="H714" s="803"/>
      <c r="I714" s="803"/>
      <c r="J714" s="803"/>
      <c r="K714" s="803"/>
      <c r="L714" s="803"/>
      <c r="M714" s="804"/>
      <c r="N714" s="804"/>
      <c r="O714" s="804"/>
      <c r="P714" s="804"/>
    </row>
    <row r="715">
      <c r="B715" s="802"/>
      <c r="C715" s="802"/>
      <c r="D715" s="802"/>
      <c r="E715" s="802"/>
      <c r="F715" s="802"/>
      <c r="G715" s="803"/>
      <c r="H715" s="803"/>
      <c r="I715" s="803"/>
      <c r="J715" s="803"/>
      <c r="K715" s="803"/>
      <c r="L715" s="803"/>
      <c r="M715" s="804"/>
      <c r="N715" s="804"/>
      <c r="O715" s="804"/>
      <c r="P715" s="804"/>
    </row>
    <row r="716">
      <c r="B716" s="802"/>
      <c r="C716" s="802"/>
      <c r="D716" s="802"/>
      <c r="E716" s="802"/>
      <c r="F716" s="802"/>
      <c r="G716" s="803"/>
      <c r="H716" s="803"/>
      <c r="I716" s="803"/>
      <c r="J716" s="803"/>
      <c r="K716" s="803"/>
      <c r="L716" s="803"/>
      <c r="M716" s="804"/>
      <c r="N716" s="804"/>
      <c r="O716" s="804"/>
      <c r="P716" s="804"/>
    </row>
    <row r="717">
      <c r="B717" s="802"/>
      <c r="C717" s="802"/>
      <c r="D717" s="802"/>
      <c r="E717" s="802"/>
      <c r="F717" s="802"/>
      <c r="G717" s="803"/>
      <c r="H717" s="803"/>
      <c r="I717" s="803"/>
      <c r="J717" s="803"/>
      <c r="K717" s="803"/>
      <c r="L717" s="803"/>
      <c r="M717" s="804"/>
      <c r="N717" s="804"/>
      <c r="O717" s="804"/>
      <c r="P717" s="804"/>
    </row>
    <row r="718">
      <c r="B718" s="802"/>
      <c r="C718" s="802"/>
      <c r="D718" s="802"/>
      <c r="E718" s="802"/>
      <c r="F718" s="802"/>
      <c r="G718" s="803"/>
      <c r="H718" s="803"/>
      <c r="I718" s="803"/>
      <c r="J718" s="803"/>
      <c r="K718" s="803"/>
      <c r="L718" s="803"/>
      <c r="M718" s="804"/>
      <c r="N718" s="804"/>
      <c r="O718" s="804"/>
      <c r="P718" s="804"/>
    </row>
    <row r="719">
      <c r="B719" s="802"/>
      <c r="C719" s="802"/>
      <c r="D719" s="802"/>
      <c r="E719" s="802"/>
      <c r="F719" s="802"/>
      <c r="G719" s="803"/>
      <c r="H719" s="803"/>
      <c r="I719" s="803"/>
      <c r="J719" s="803"/>
      <c r="K719" s="803"/>
      <c r="L719" s="803"/>
      <c r="M719" s="804"/>
      <c r="N719" s="804"/>
      <c r="O719" s="804"/>
      <c r="P719" s="804"/>
    </row>
    <row r="720">
      <c r="B720" s="802"/>
      <c r="C720" s="802"/>
      <c r="D720" s="802"/>
      <c r="E720" s="802"/>
      <c r="F720" s="802"/>
      <c r="G720" s="803"/>
      <c r="H720" s="803"/>
      <c r="I720" s="803"/>
      <c r="J720" s="803"/>
      <c r="K720" s="803"/>
      <c r="L720" s="803"/>
      <c r="M720" s="804"/>
      <c r="N720" s="804"/>
      <c r="O720" s="804"/>
      <c r="P720" s="804"/>
    </row>
    <row r="721">
      <c r="B721" s="802"/>
      <c r="C721" s="802"/>
      <c r="D721" s="802"/>
      <c r="E721" s="802"/>
      <c r="F721" s="802"/>
      <c r="G721" s="803"/>
      <c r="H721" s="803"/>
      <c r="I721" s="803"/>
      <c r="J721" s="803"/>
      <c r="K721" s="803"/>
      <c r="L721" s="803"/>
      <c r="M721" s="804"/>
      <c r="N721" s="804"/>
      <c r="O721" s="804"/>
      <c r="P721" s="804"/>
    </row>
    <row r="722">
      <c r="B722" s="802"/>
      <c r="C722" s="802"/>
      <c r="D722" s="802"/>
      <c r="E722" s="802"/>
      <c r="F722" s="802"/>
      <c r="G722" s="803"/>
      <c r="H722" s="803"/>
      <c r="I722" s="803"/>
      <c r="J722" s="803"/>
      <c r="K722" s="803"/>
      <c r="L722" s="803"/>
      <c r="M722" s="804"/>
      <c r="N722" s="804"/>
      <c r="O722" s="804"/>
      <c r="P722" s="804"/>
    </row>
    <row r="723">
      <c r="B723" s="802"/>
      <c r="C723" s="802"/>
      <c r="D723" s="802"/>
      <c r="E723" s="802"/>
      <c r="F723" s="802"/>
      <c r="G723" s="803"/>
      <c r="H723" s="803"/>
      <c r="I723" s="803"/>
      <c r="J723" s="803"/>
      <c r="K723" s="803"/>
      <c r="L723" s="803"/>
      <c r="M723" s="804"/>
      <c r="N723" s="804"/>
      <c r="O723" s="804"/>
      <c r="P723" s="804"/>
    </row>
    <row r="724">
      <c r="B724" s="802"/>
      <c r="C724" s="802"/>
      <c r="D724" s="802"/>
      <c r="E724" s="802"/>
      <c r="F724" s="802"/>
      <c r="G724" s="803"/>
      <c r="H724" s="803"/>
      <c r="I724" s="803"/>
      <c r="J724" s="803"/>
      <c r="K724" s="803"/>
      <c r="L724" s="803"/>
      <c r="M724" s="804"/>
      <c r="N724" s="804"/>
      <c r="O724" s="804"/>
      <c r="P724" s="804"/>
    </row>
    <row r="725">
      <c r="B725" s="802"/>
      <c r="C725" s="802"/>
      <c r="D725" s="802"/>
      <c r="E725" s="802"/>
      <c r="F725" s="802"/>
      <c r="G725" s="803"/>
      <c r="H725" s="803"/>
      <c r="I725" s="803"/>
      <c r="J725" s="803"/>
      <c r="K725" s="803"/>
      <c r="L725" s="803"/>
      <c r="M725" s="804"/>
      <c r="N725" s="804"/>
      <c r="O725" s="804"/>
      <c r="P725" s="804"/>
    </row>
    <row r="726">
      <c r="B726" s="802"/>
      <c r="C726" s="802"/>
      <c r="D726" s="802"/>
      <c r="E726" s="802"/>
      <c r="F726" s="802"/>
      <c r="G726" s="803"/>
      <c r="H726" s="803"/>
      <c r="I726" s="803"/>
      <c r="J726" s="803"/>
      <c r="K726" s="803"/>
      <c r="L726" s="803"/>
      <c r="M726" s="804"/>
      <c r="N726" s="804"/>
      <c r="O726" s="804"/>
      <c r="P726" s="804"/>
    </row>
    <row r="727">
      <c r="B727" s="802"/>
      <c r="C727" s="802"/>
      <c r="D727" s="802"/>
      <c r="E727" s="802"/>
      <c r="F727" s="802"/>
      <c r="G727" s="803"/>
      <c r="H727" s="803"/>
      <c r="I727" s="803"/>
      <c r="J727" s="803"/>
      <c r="K727" s="803"/>
      <c r="L727" s="803"/>
      <c r="M727" s="804"/>
      <c r="N727" s="804"/>
      <c r="O727" s="804"/>
      <c r="P727" s="804"/>
    </row>
    <row r="728">
      <c r="B728" s="802"/>
      <c r="C728" s="802"/>
      <c r="D728" s="802"/>
      <c r="E728" s="802"/>
      <c r="F728" s="802"/>
      <c r="G728" s="803"/>
      <c r="H728" s="803"/>
      <c r="I728" s="803"/>
      <c r="J728" s="803"/>
      <c r="K728" s="803"/>
      <c r="L728" s="803"/>
      <c r="M728" s="804"/>
      <c r="N728" s="804"/>
      <c r="O728" s="804"/>
      <c r="P728" s="804"/>
    </row>
    <row r="729">
      <c r="B729" s="802"/>
      <c r="C729" s="802"/>
      <c r="D729" s="802"/>
      <c r="E729" s="802"/>
      <c r="F729" s="802"/>
      <c r="G729" s="803"/>
      <c r="H729" s="803"/>
      <c r="I729" s="803"/>
      <c r="J729" s="803"/>
      <c r="K729" s="803"/>
      <c r="L729" s="803"/>
      <c r="M729" s="804"/>
      <c r="N729" s="804"/>
      <c r="O729" s="804"/>
      <c r="P729" s="804"/>
    </row>
    <row r="730">
      <c r="B730" s="802"/>
      <c r="C730" s="802"/>
      <c r="D730" s="802"/>
      <c r="E730" s="802"/>
      <c r="F730" s="802"/>
      <c r="G730" s="803"/>
      <c r="H730" s="803"/>
      <c r="I730" s="803"/>
      <c r="J730" s="803"/>
      <c r="K730" s="803"/>
      <c r="L730" s="803"/>
      <c r="M730" s="804"/>
      <c r="N730" s="804"/>
      <c r="O730" s="804"/>
      <c r="P730" s="804"/>
    </row>
    <row r="731">
      <c r="B731" s="802"/>
      <c r="C731" s="802"/>
      <c r="D731" s="802"/>
      <c r="E731" s="802"/>
      <c r="F731" s="802"/>
      <c r="G731" s="803"/>
      <c r="H731" s="803"/>
      <c r="I731" s="803"/>
      <c r="J731" s="803"/>
      <c r="K731" s="803"/>
      <c r="L731" s="803"/>
      <c r="M731" s="804"/>
      <c r="N731" s="804"/>
      <c r="O731" s="804"/>
      <c r="P731" s="804"/>
    </row>
    <row r="732">
      <c r="B732" s="802"/>
      <c r="C732" s="802"/>
      <c r="D732" s="802"/>
      <c r="E732" s="802"/>
      <c r="F732" s="802"/>
      <c r="G732" s="803"/>
      <c r="H732" s="803"/>
      <c r="I732" s="803"/>
      <c r="J732" s="803"/>
      <c r="K732" s="803"/>
      <c r="L732" s="803"/>
      <c r="M732" s="804"/>
      <c r="N732" s="804"/>
      <c r="O732" s="804"/>
      <c r="P732" s="804"/>
    </row>
    <row r="733">
      <c r="B733" s="802"/>
      <c r="C733" s="802"/>
      <c r="D733" s="802"/>
      <c r="E733" s="802"/>
      <c r="F733" s="802"/>
      <c r="G733" s="803"/>
      <c r="H733" s="803"/>
      <c r="I733" s="803"/>
      <c r="J733" s="803"/>
      <c r="K733" s="803"/>
      <c r="L733" s="803"/>
      <c r="M733" s="804"/>
      <c r="N733" s="804"/>
      <c r="O733" s="804"/>
      <c r="P733" s="804"/>
    </row>
    <row r="734">
      <c r="B734" s="802"/>
      <c r="C734" s="802"/>
      <c r="D734" s="802"/>
      <c r="E734" s="802"/>
      <c r="F734" s="802"/>
      <c r="G734" s="803"/>
      <c r="H734" s="803"/>
      <c r="I734" s="803"/>
      <c r="J734" s="803"/>
      <c r="K734" s="803"/>
      <c r="L734" s="803"/>
      <c r="M734" s="804"/>
      <c r="N734" s="804"/>
      <c r="O734" s="804"/>
      <c r="P734" s="804"/>
    </row>
    <row r="735">
      <c r="B735" s="802"/>
      <c r="C735" s="802"/>
      <c r="D735" s="802"/>
      <c r="E735" s="802"/>
      <c r="F735" s="802"/>
      <c r="G735" s="803"/>
      <c r="H735" s="803"/>
      <c r="I735" s="803"/>
      <c r="J735" s="803"/>
      <c r="K735" s="803"/>
      <c r="L735" s="803"/>
      <c r="M735" s="804"/>
      <c r="N735" s="804"/>
      <c r="O735" s="804"/>
      <c r="P735" s="804"/>
    </row>
    <row r="736">
      <c r="B736" s="802"/>
      <c r="C736" s="802"/>
      <c r="D736" s="802"/>
      <c r="E736" s="802"/>
      <c r="F736" s="802"/>
      <c r="G736" s="803"/>
      <c r="H736" s="803"/>
      <c r="I736" s="803"/>
      <c r="J736" s="803"/>
      <c r="K736" s="803"/>
      <c r="L736" s="803"/>
      <c r="M736" s="804"/>
      <c r="N736" s="804"/>
      <c r="O736" s="804"/>
      <c r="P736" s="804"/>
    </row>
    <row r="737">
      <c r="B737" s="802"/>
      <c r="C737" s="802"/>
      <c r="D737" s="802"/>
      <c r="E737" s="802"/>
      <c r="F737" s="802"/>
      <c r="G737" s="803"/>
      <c r="H737" s="803"/>
      <c r="I737" s="803"/>
      <c r="J737" s="803"/>
      <c r="K737" s="803"/>
      <c r="L737" s="803"/>
      <c r="M737" s="804"/>
      <c r="N737" s="804"/>
      <c r="O737" s="804"/>
      <c r="P737" s="804"/>
    </row>
    <row r="738">
      <c r="B738" s="802"/>
      <c r="C738" s="802"/>
      <c r="D738" s="802"/>
      <c r="E738" s="802"/>
      <c r="F738" s="802"/>
      <c r="G738" s="803"/>
      <c r="H738" s="803"/>
      <c r="I738" s="803"/>
      <c r="J738" s="803"/>
      <c r="K738" s="803"/>
      <c r="L738" s="803"/>
      <c r="M738" s="804"/>
      <c r="N738" s="804"/>
      <c r="O738" s="804"/>
      <c r="P738" s="804"/>
    </row>
    <row r="739">
      <c r="B739" s="802"/>
      <c r="C739" s="802"/>
      <c r="D739" s="802"/>
      <c r="E739" s="802"/>
      <c r="F739" s="802"/>
      <c r="G739" s="803"/>
      <c r="H739" s="803"/>
      <c r="I739" s="803"/>
      <c r="J739" s="803"/>
      <c r="K739" s="803"/>
      <c r="L739" s="803"/>
      <c r="M739" s="804"/>
      <c r="N739" s="804"/>
      <c r="O739" s="804"/>
      <c r="P739" s="804"/>
    </row>
    <row r="740">
      <c r="B740" s="802"/>
      <c r="C740" s="802"/>
      <c r="D740" s="802"/>
      <c r="E740" s="802"/>
      <c r="F740" s="802"/>
      <c r="G740" s="803"/>
      <c r="H740" s="803"/>
      <c r="I740" s="803"/>
      <c r="J740" s="803"/>
      <c r="K740" s="803"/>
      <c r="L740" s="803"/>
      <c r="M740" s="804"/>
      <c r="N740" s="804"/>
      <c r="O740" s="804"/>
      <c r="P740" s="804"/>
    </row>
    <row r="741">
      <c r="B741" s="802"/>
      <c r="C741" s="802"/>
      <c r="D741" s="802"/>
      <c r="E741" s="802"/>
      <c r="F741" s="802"/>
      <c r="G741" s="803"/>
      <c r="H741" s="803"/>
      <c r="I741" s="803"/>
      <c r="J741" s="803"/>
      <c r="K741" s="803"/>
      <c r="L741" s="803"/>
      <c r="M741" s="804"/>
      <c r="N741" s="804"/>
      <c r="O741" s="804"/>
      <c r="P741" s="804"/>
    </row>
    <row r="742">
      <c r="B742" s="802"/>
      <c r="C742" s="802"/>
      <c r="D742" s="802"/>
      <c r="E742" s="802"/>
      <c r="F742" s="802"/>
      <c r="G742" s="803"/>
      <c r="H742" s="803"/>
      <c r="I742" s="803"/>
      <c r="J742" s="803"/>
      <c r="K742" s="803"/>
      <c r="L742" s="803"/>
      <c r="M742" s="804"/>
      <c r="N742" s="804"/>
      <c r="O742" s="804"/>
      <c r="P742" s="804"/>
    </row>
    <row r="743">
      <c r="B743" s="802"/>
      <c r="C743" s="802"/>
      <c r="D743" s="802"/>
      <c r="E743" s="802"/>
      <c r="F743" s="802"/>
      <c r="G743" s="803"/>
      <c r="H743" s="803"/>
      <c r="I743" s="803"/>
      <c r="J743" s="803"/>
      <c r="K743" s="803"/>
      <c r="L743" s="803"/>
      <c r="M743" s="804"/>
      <c r="N743" s="804"/>
      <c r="O743" s="804"/>
      <c r="P743" s="804"/>
    </row>
    <row r="744">
      <c r="B744" s="802"/>
      <c r="C744" s="802"/>
      <c r="D744" s="802"/>
      <c r="E744" s="802"/>
      <c r="F744" s="802"/>
      <c r="G744" s="803"/>
      <c r="H744" s="803"/>
      <c r="I744" s="803"/>
      <c r="J744" s="803"/>
      <c r="K744" s="803"/>
      <c r="L744" s="803"/>
      <c r="M744" s="804"/>
      <c r="N744" s="804"/>
      <c r="O744" s="804"/>
      <c r="P744" s="804"/>
    </row>
    <row r="745">
      <c r="B745" s="802"/>
      <c r="C745" s="802"/>
      <c r="D745" s="802"/>
      <c r="E745" s="802"/>
      <c r="F745" s="802"/>
      <c r="G745" s="803"/>
      <c r="H745" s="803"/>
      <c r="I745" s="803"/>
      <c r="J745" s="803"/>
      <c r="K745" s="803"/>
      <c r="L745" s="803"/>
      <c r="M745" s="804"/>
      <c r="N745" s="804"/>
      <c r="O745" s="804"/>
      <c r="P745" s="804"/>
    </row>
    <row r="746">
      <c r="B746" s="802"/>
      <c r="C746" s="802"/>
      <c r="D746" s="802"/>
      <c r="E746" s="802"/>
      <c r="F746" s="802"/>
      <c r="G746" s="803"/>
      <c r="H746" s="803"/>
      <c r="I746" s="803"/>
      <c r="J746" s="803"/>
      <c r="K746" s="803"/>
      <c r="L746" s="803"/>
      <c r="M746" s="804"/>
      <c r="N746" s="804"/>
      <c r="O746" s="804"/>
      <c r="P746" s="804"/>
    </row>
    <row r="747">
      <c r="B747" s="802"/>
      <c r="C747" s="802"/>
      <c r="D747" s="802"/>
      <c r="E747" s="802"/>
      <c r="F747" s="802"/>
      <c r="G747" s="803"/>
      <c r="H747" s="803"/>
      <c r="I747" s="803"/>
      <c r="J747" s="803"/>
      <c r="K747" s="803"/>
      <c r="L747" s="803"/>
      <c r="M747" s="804"/>
      <c r="N747" s="804"/>
      <c r="O747" s="804"/>
      <c r="P747" s="804"/>
    </row>
    <row r="748">
      <c r="B748" s="802"/>
      <c r="C748" s="802"/>
      <c r="D748" s="802"/>
      <c r="E748" s="802"/>
      <c r="F748" s="802"/>
      <c r="G748" s="803"/>
      <c r="H748" s="803"/>
      <c r="I748" s="803"/>
      <c r="J748" s="803"/>
      <c r="K748" s="803"/>
      <c r="L748" s="803"/>
      <c r="M748" s="804"/>
      <c r="N748" s="804"/>
      <c r="O748" s="804"/>
      <c r="P748" s="804"/>
    </row>
    <row r="749">
      <c r="B749" s="802"/>
      <c r="C749" s="802"/>
      <c r="D749" s="802"/>
      <c r="E749" s="802"/>
      <c r="F749" s="802"/>
      <c r="G749" s="803"/>
      <c r="H749" s="803"/>
      <c r="I749" s="803"/>
      <c r="J749" s="803"/>
      <c r="K749" s="803"/>
      <c r="L749" s="803"/>
      <c r="M749" s="804"/>
      <c r="N749" s="804"/>
      <c r="O749" s="804"/>
      <c r="P749" s="804"/>
    </row>
    <row r="750">
      <c r="B750" s="802"/>
      <c r="C750" s="802"/>
      <c r="D750" s="802"/>
      <c r="E750" s="802"/>
      <c r="F750" s="802"/>
      <c r="G750" s="803"/>
      <c r="H750" s="803"/>
      <c r="I750" s="803"/>
      <c r="J750" s="803"/>
      <c r="K750" s="803"/>
      <c r="L750" s="803"/>
      <c r="M750" s="804"/>
      <c r="N750" s="804"/>
      <c r="O750" s="804"/>
      <c r="P750" s="804"/>
    </row>
    <row r="751">
      <c r="B751" s="802"/>
      <c r="C751" s="802"/>
      <c r="D751" s="802"/>
      <c r="E751" s="802"/>
      <c r="F751" s="802"/>
      <c r="G751" s="803"/>
      <c r="H751" s="803"/>
      <c r="I751" s="803"/>
      <c r="J751" s="803"/>
      <c r="K751" s="803"/>
      <c r="L751" s="803"/>
      <c r="M751" s="804"/>
      <c r="N751" s="804"/>
      <c r="O751" s="804"/>
      <c r="P751" s="804"/>
    </row>
    <row r="752">
      <c r="B752" s="802"/>
      <c r="C752" s="802"/>
      <c r="D752" s="802"/>
      <c r="E752" s="802"/>
      <c r="F752" s="802"/>
      <c r="G752" s="803"/>
      <c r="H752" s="803"/>
      <c r="I752" s="803"/>
      <c r="J752" s="803"/>
      <c r="K752" s="803"/>
      <c r="L752" s="803"/>
      <c r="M752" s="804"/>
      <c r="N752" s="804"/>
      <c r="O752" s="804"/>
      <c r="P752" s="804"/>
    </row>
    <row r="753">
      <c r="B753" s="802"/>
      <c r="C753" s="802"/>
      <c r="D753" s="802"/>
      <c r="E753" s="802"/>
      <c r="F753" s="802"/>
      <c r="G753" s="803"/>
      <c r="H753" s="803"/>
      <c r="I753" s="803"/>
      <c r="J753" s="803"/>
      <c r="K753" s="803"/>
      <c r="L753" s="803"/>
      <c r="M753" s="804"/>
      <c r="N753" s="804"/>
      <c r="O753" s="804"/>
      <c r="P753" s="804"/>
    </row>
    <row r="754">
      <c r="B754" s="802"/>
      <c r="C754" s="802"/>
      <c r="D754" s="802"/>
      <c r="E754" s="802"/>
      <c r="F754" s="802"/>
      <c r="G754" s="803"/>
      <c r="H754" s="803"/>
      <c r="I754" s="803"/>
      <c r="J754" s="803"/>
      <c r="K754" s="803"/>
      <c r="L754" s="803"/>
      <c r="M754" s="804"/>
      <c r="N754" s="804"/>
      <c r="O754" s="804"/>
      <c r="P754" s="804"/>
    </row>
    <row r="755">
      <c r="B755" s="802"/>
      <c r="C755" s="802"/>
      <c r="D755" s="802"/>
      <c r="E755" s="802"/>
      <c r="F755" s="802"/>
      <c r="G755" s="803"/>
      <c r="H755" s="803"/>
      <c r="I755" s="803"/>
      <c r="J755" s="803"/>
      <c r="K755" s="803"/>
      <c r="L755" s="803"/>
      <c r="M755" s="804"/>
      <c r="N755" s="804"/>
      <c r="O755" s="804"/>
      <c r="P755" s="804"/>
    </row>
    <row r="756">
      <c r="B756" s="802"/>
      <c r="C756" s="802"/>
      <c r="D756" s="802"/>
      <c r="E756" s="802"/>
      <c r="F756" s="802"/>
      <c r="G756" s="803"/>
      <c r="H756" s="803"/>
      <c r="I756" s="803"/>
      <c r="J756" s="803"/>
      <c r="K756" s="803"/>
      <c r="L756" s="803"/>
      <c r="M756" s="804"/>
      <c r="N756" s="804"/>
      <c r="O756" s="804"/>
      <c r="P756" s="804"/>
    </row>
    <row r="757">
      <c r="B757" s="802"/>
      <c r="C757" s="802"/>
      <c r="D757" s="802"/>
      <c r="E757" s="802"/>
      <c r="F757" s="802"/>
      <c r="G757" s="803"/>
      <c r="H757" s="803"/>
      <c r="I757" s="803"/>
      <c r="J757" s="803"/>
      <c r="K757" s="803"/>
      <c r="L757" s="803"/>
      <c r="M757" s="804"/>
      <c r="N757" s="804"/>
      <c r="O757" s="804"/>
      <c r="P757" s="804"/>
    </row>
    <row r="758">
      <c r="B758" s="802"/>
      <c r="C758" s="802"/>
      <c r="D758" s="802"/>
      <c r="E758" s="802"/>
      <c r="F758" s="802"/>
      <c r="G758" s="803"/>
      <c r="H758" s="803"/>
      <c r="I758" s="803"/>
      <c r="J758" s="803"/>
      <c r="K758" s="803"/>
      <c r="L758" s="803"/>
      <c r="M758" s="804"/>
      <c r="N758" s="804"/>
      <c r="O758" s="804"/>
      <c r="P758" s="804"/>
    </row>
    <row r="759">
      <c r="B759" s="802"/>
      <c r="C759" s="802"/>
      <c r="D759" s="802"/>
      <c r="E759" s="802"/>
      <c r="F759" s="802"/>
      <c r="G759" s="803"/>
      <c r="H759" s="803"/>
      <c r="I759" s="803"/>
      <c r="J759" s="803"/>
      <c r="K759" s="803"/>
      <c r="L759" s="803"/>
      <c r="M759" s="804"/>
      <c r="N759" s="804"/>
      <c r="O759" s="804"/>
      <c r="P759" s="804"/>
    </row>
    <row r="760">
      <c r="B760" s="802"/>
      <c r="C760" s="802"/>
      <c r="D760" s="802"/>
      <c r="E760" s="802"/>
      <c r="F760" s="802"/>
      <c r="G760" s="803"/>
      <c r="H760" s="803"/>
      <c r="I760" s="803"/>
      <c r="J760" s="803"/>
      <c r="K760" s="803"/>
      <c r="L760" s="803"/>
      <c r="M760" s="804"/>
      <c r="N760" s="804"/>
      <c r="O760" s="804"/>
      <c r="P760" s="804"/>
    </row>
    <row r="761">
      <c r="B761" s="802"/>
      <c r="C761" s="802"/>
      <c r="D761" s="802"/>
      <c r="E761" s="802"/>
      <c r="F761" s="802"/>
      <c r="G761" s="803"/>
      <c r="H761" s="803"/>
      <c r="I761" s="803"/>
      <c r="J761" s="803"/>
      <c r="K761" s="803"/>
      <c r="L761" s="803"/>
      <c r="M761" s="804"/>
      <c r="N761" s="804"/>
      <c r="O761" s="804"/>
      <c r="P761" s="804"/>
    </row>
    <row r="762">
      <c r="B762" s="802"/>
      <c r="C762" s="802"/>
      <c r="D762" s="802"/>
      <c r="E762" s="802"/>
      <c r="F762" s="802"/>
      <c r="G762" s="803"/>
      <c r="H762" s="803"/>
      <c r="I762" s="803"/>
      <c r="J762" s="803"/>
      <c r="K762" s="803"/>
      <c r="L762" s="803"/>
      <c r="M762" s="804"/>
      <c r="N762" s="804"/>
      <c r="O762" s="804"/>
      <c r="P762" s="804"/>
    </row>
    <row r="763">
      <c r="B763" s="802"/>
      <c r="C763" s="802"/>
      <c r="D763" s="802"/>
      <c r="E763" s="802"/>
      <c r="F763" s="802"/>
      <c r="G763" s="803"/>
      <c r="H763" s="803"/>
      <c r="I763" s="803"/>
      <c r="J763" s="803"/>
      <c r="K763" s="803"/>
      <c r="L763" s="803"/>
      <c r="M763" s="804"/>
      <c r="N763" s="804"/>
      <c r="O763" s="804"/>
      <c r="P763" s="804"/>
    </row>
    <row r="764">
      <c r="B764" s="802"/>
      <c r="C764" s="802"/>
      <c r="D764" s="802"/>
      <c r="E764" s="802"/>
      <c r="F764" s="802"/>
      <c r="G764" s="803"/>
      <c r="H764" s="803"/>
      <c r="I764" s="803"/>
      <c r="J764" s="803"/>
      <c r="K764" s="803"/>
      <c r="L764" s="803"/>
      <c r="M764" s="804"/>
      <c r="N764" s="804"/>
      <c r="O764" s="804"/>
      <c r="P764" s="804"/>
    </row>
    <row r="765">
      <c r="B765" s="802"/>
      <c r="C765" s="802"/>
      <c r="D765" s="802"/>
      <c r="E765" s="802"/>
      <c r="F765" s="802"/>
      <c r="G765" s="803"/>
      <c r="H765" s="803"/>
      <c r="I765" s="803"/>
      <c r="J765" s="803"/>
      <c r="K765" s="803"/>
      <c r="L765" s="803"/>
      <c r="M765" s="804"/>
      <c r="N765" s="804"/>
      <c r="O765" s="804"/>
      <c r="P765" s="804"/>
    </row>
    <row r="766">
      <c r="B766" s="802"/>
      <c r="C766" s="802"/>
      <c r="D766" s="802"/>
      <c r="E766" s="802"/>
      <c r="F766" s="802"/>
      <c r="G766" s="803"/>
      <c r="H766" s="803"/>
      <c r="I766" s="803"/>
      <c r="J766" s="803"/>
      <c r="K766" s="803"/>
      <c r="L766" s="803"/>
      <c r="M766" s="804"/>
      <c r="N766" s="804"/>
      <c r="O766" s="804"/>
      <c r="P766" s="804"/>
    </row>
    <row r="767">
      <c r="B767" s="802"/>
      <c r="C767" s="802"/>
      <c r="D767" s="802"/>
      <c r="E767" s="802"/>
      <c r="F767" s="802"/>
      <c r="G767" s="803"/>
      <c r="H767" s="803"/>
      <c r="I767" s="803"/>
      <c r="J767" s="803"/>
      <c r="K767" s="803"/>
      <c r="L767" s="803"/>
      <c r="M767" s="804"/>
      <c r="N767" s="804"/>
      <c r="O767" s="804"/>
      <c r="P767" s="804"/>
    </row>
    <row r="768">
      <c r="B768" s="802"/>
      <c r="C768" s="802"/>
      <c r="D768" s="802"/>
      <c r="E768" s="802"/>
      <c r="F768" s="802"/>
      <c r="G768" s="803"/>
      <c r="H768" s="803"/>
      <c r="I768" s="803"/>
      <c r="J768" s="803"/>
      <c r="K768" s="803"/>
      <c r="L768" s="803"/>
      <c r="M768" s="804"/>
      <c r="N768" s="804"/>
      <c r="O768" s="804"/>
      <c r="P768" s="804"/>
    </row>
    <row r="769">
      <c r="B769" s="802"/>
      <c r="C769" s="802"/>
      <c r="D769" s="802"/>
      <c r="E769" s="802"/>
      <c r="F769" s="802"/>
      <c r="G769" s="803"/>
      <c r="H769" s="803"/>
      <c r="I769" s="803"/>
      <c r="J769" s="803"/>
      <c r="K769" s="803"/>
      <c r="L769" s="803"/>
      <c r="M769" s="804"/>
      <c r="N769" s="804"/>
      <c r="O769" s="804"/>
      <c r="P769" s="804"/>
    </row>
    <row r="770">
      <c r="B770" s="802"/>
      <c r="C770" s="802"/>
      <c r="D770" s="802"/>
      <c r="E770" s="802"/>
      <c r="F770" s="802"/>
      <c r="G770" s="803"/>
      <c r="H770" s="803"/>
      <c r="I770" s="803"/>
      <c r="J770" s="803"/>
      <c r="K770" s="803"/>
      <c r="L770" s="803"/>
      <c r="M770" s="804"/>
      <c r="N770" s="804"/>
      <c r="O770" s="804"/>
      <c r="P770" s="804"/>
    </row>
    <row r="771">
      <c r="B771" s="802"/>
      <c r="C771" s="802"/>
      <c r="D771" s="802"/>
      <c r="E771" s="802"/>
      <c r="F771" s="802"/>
      <c r="G771" s="803"/>
      <c r="H771" s="803"/>
      <c r="I771" s="803"/>
      <c r="J771" s="803"/>
      <c r="K771" s="803"/>
      <c r="L771" s="803"/>
      <c r="M771" s="804"/>
      <c r="N771" s="804"/>
      <c r="O771" s="804"/>
      <c r="P771" s="804"/>
    </row>
    <row r="772">
      <c r="B772" s="802"/>
      <c r="C772" s="802"/>
      <c r="D772" s="802"/>
      <c r="E772" s="802"/>
      <c r="F772" s="802"/>
      <c r="G772" s="803"/>
      <c r="H772" s="803"/>
      <c r="I772" s="803"/>
      <c r="J772" s="803"/>
      <c r="K772" s="803"/>
      <c r="L772" s="803"/>
      <c r="M772" s="804"/>
      <c r="N772" s="804"/>
      <c r="O772" s="804"/>
      <c r="P772" s="804"/>
    </row>
    <row r="773">
      <c r="B773" s="802"/>
      <c r="C773" s="802"/>
      <c r="D773" s="802"/>
      <c r="E773" s="802"/>
      <c r="F773" s="802"/>
      <c r="G773" s="803"/>
      <c r="H773" s="803"/>
      <c r="I773" s="803"/>
      <c r="J773" s="803"/>
      <c r="K773" s="803"/>
      <c r="L773" s="803"/>
      <c r="M773" s="804"/>
      <c r="N773" s="804"/>
      <c r="O773" s="804"/>
      <c r="P773" s="804"/>
    </row>
    <row r="774">
      <c r="B774" s="802"/>
      <c r="C774" s="802"/>
      <c r="D774" s="802"/>
      <c r="E774" s="802"/>
      <c r="F774" s="802"/>
      <c r="G774" s="803"/>
      <c r="H774" s="803"/>
      <c r="I774" s="803"/>
      <c r="J774" s="803"/>
      <c r="K774" s="803"/>
      <c r="L774" s="803"/>
      <c r="M774" s="804"/>
      <c r="N774" s="804"/>
      <c r="O774" s="804"/>
      <c r="P774" s="804"/>
    </row>
    <row r="775">
      <c r="B775" s="802"/>
      <c r="C775" s="802"/>
      <c r="D775" s="802"/>
      <c r="E775" s="802"/>
      <c r="F775" s="802"/>
      <c r="G775" s="803"/>
      <c r="H775" s="803"/>
      <c r="I775" s="803"/>
      <c r="J775" s="803"/>
      <c r="K775" s="803"/>
      <c r="L775" s="803"/>
      <c r="M775" s="804"/>
      <c r="N775" s="804"/>
      <c r="O775" s="804"/>
      <c r="P775" s="804"/>
    </row>
    <row r="776">
      <c r="B776" s="802"/>
      <c r="C776" s="802"/>
      <c r="D776" s="802"/>
      <c r="E776" s="802"/>
      <c r="F776" s="802"/>
      <c r="G776" s="803"/>
      <c r="H776" s="803"/>
      <c r="I776" s="803"/>
      <c r="J776" s="803"/>
      <c r="K776" s="803"/>
      <c r="L776" s="803"/>
      <c r="M776" s="804"/>
      <c r="N776" s="804"/>
      <c r="O776" s="804"/>
      <c r="P776" s="804"/>
    </row>
    <row r="777">
      <c r="B777" s="802"/>
      <c r="C777" s="802"/>
      <c r="D777" s="802"/>
      <c r="E777" s="802"/>
      <c r="F777" s="802"/>
      <c r="G777" s="803"/>
      <c r="H777" s="803"/>
      <c r="I777" s="803"/>
      <c r="J777" s="803"/>
      <c r="K777" s="803"/>
      <c r="L777" s="803"/>
      <c r="M777" s="804"/>
      <c r="N777" s="804"/>
      <c r="O777" s="804"/>
      <c r="P777" s="804"/>
    </row>
    <row r="778">
      <c r="B778" s="802"/>
      <c r="C778" s="802"/>
      <c r="D778" s="802"/>
      <c r="E778" s="802"/>
      <c r="F778" s="802"/>
      <c r="G778" s="803"/>
      <c r="H778" s="803"/>
      <c r="I778" s="803"/>
      <c r="J778" s="803"/>
      <c r="K778" s="803"/>
      <c r="L778" s="803"/>
      <c r="M778" s="804"/>
      <c r="N778" s="804"/>
      <c r="O778" s="804"/>
      <c r="P778" s="804"/>
    </row>
    <row r="779">
      <c r="B779" s="802"/>
      <c r="C779" s="802"/>
      <c r="D779" s="802"/>
      <c r="E779" s="802"/>
      <c r="F779" s="802"/>
      <c r="G779" s="803"/>
      <c r="H779" s="803"/>
      <c r="I779" s="803"/>
      <c r="J779" s="803"/>
      <c r="K779" s="803"/>
      <c r="L779" s="803"/>
      <c r="M779" s="804"/>
      <c r="N779" s="804"/>
      <c r="O779" s="804"/>
      <c r="P779" s="804"/>
    </row>
    <row r="780">
      <c r="B780" s="802"/>
      <c r="C780" s="802"/>
      <c r="D780" s="802"/>
      <c r="E780" s="802"/>
      <c r="F780" s="802"/>
      <c r="G780" s="803"/>
      <c r="H780" s="803"/>
      <c r="I780" s="803"/>
      <c r="J780" s="803"/>
      <c r="K780" s="803"/>
      <c r="L780" s="803"/>
      <c r="M780" s="804"/>
      <c r="N780" s="804"/>
      <c r="O780" s="804"/>
      <c r="P780" s="804"/>
    </row>
    <row r="781">
      <c r="B781" s="802"/>
      <c r="C781" s="802"/>
      <c r="D781" s="802"/>
      <c r="E781" s="802"/>
      <c r="F781" s="802"/>
      <c r="G781" s="803"/>
      <c r="H781" s="803"/>
      <c r="I781" s="803"/>
      <c r="J781" s="803"/>
      <c r="K781" s="803"/>
      <c r="L781" s="803"/>
      <c r="M781" s="804"/>
      <c r="N781" s="804"/>
      <c r="O781" s="804"/>
      <c r="P781" s="804"/>
    </row>
    <row r="782">
      <c r="B782" s="802"/>
      <c r="C782" s="802"/>
      <c r="D782" s="802"/>
      <c r="E782" s="802"/>
      <c r="F782" s="802"/>
      <c r="G782" s="803"/>
      <c r="H782" s="803"/>
      <c r="I782" s="803"/>
      <c r="J782" s="803"/>
      <c r="K782" s="803"/>
      <c r="L782" s="803"/>
      <c r="M782" s="804"/>
      <c r="N782" s="804"/>
      <c r="O782" s="804"/>
      <c r="P782" s="804"/>
    </row>
    <row r="783">
      <c r="B783" s="802"/>
      <c r="C783" s="802"/>
      <c r="D783" s="802"/>
      <c r="E783" s="802"/>
      <c r="F783" s="802"/>
      <c r="G783" s="803"/>
      <c r="H783" s="803"/>
      <c r="I783" s="803"/>
      <c r="J783" s="803"/>
      <c r="K783" s="803"/>
      <c r="L783" s="803"/>
      <c r="M783" s="804"/>
      <c r="N783" s="804"/>
      <c r="O783" s="804"/>
      <c r="P783" s="804"/>
    </row>
    <row r="784">
      <c r="B784" s="802"/>
      <c r="C784" s="802"/>
      <c r="D784" s="802"/>
      <c r="E784" s="802"/>
      <c r="F784" s="802"/>
      <c r="G784" s="803"/>
      <c r="H784" s="803"/>
      <c r="I784" s="803"/>
      <c r="J784" s="803"/>
      <c r="K784" s="803"/>
      <c r="L784" s="803"/>
      <c r="M784" s="804"/>
      <c r="N784" s="804"/>
      <c r="O784" s="804"/>
      <c r="P784" s="804"/>
    </row>
    <row r="785">
      <c r="B785" s="802"/>
      <c r="C785" s="802"/>
      <c r="D785" s="802"/>
      <c r="E785" s="802"/>
      <c r="F785" s="802"/>
      <c r="G785" s="803"/>
      <c r="H785" s="803"/>
      <c r="I785" s="803"/>
      <c r="J785" s="803"/>
      <c r="K785" s="803"/>
      <c r="L785" s="803"/>
      <c r="M785" s="804"/>
      <c r="N785" s="804"/>
      <c r="O785" s="804"/>
      <c r="P785" s="804"/>
    </row>
    <row r="786">
      <c r="B786" s="802"/>
      <c r="C786" s="802"/>
      <c r="D786" s="802"/>
      <c r="E786" s="802"/>
      <c r="F786" s="802"/>
      <c r="G786" s="803"/>
      <c r="H786" s="803"/>
      <c r="I786" s="803"/>
      <c r="J786" s="803"/>
      <c r="K786" s="803"/>
      <c r="L786" s="803"/>
      <c r="M786" s="804"/>
      <c r="N786" s="804"/>
      <c r="O786" s="804"/>
      <c r="P786" s="804"/>
    </row>
    <row r="787">
      <c r="B787" s="802"/>
      <c r="C787" s="802"/>
      <c r="D787" s="802"/>
      <c r="E787" s="802"/>
      <c r="F787" s="802"/>
      <c r="G787" s="803"/>
      <c r="H787" s="803"/>
      <c r="I787" s="803"/>
      <c r="J787" s="803"/>
      <c r="K787" s="803"/>
      <c r="L787" s="803"/>
      <c r="M787" s="804"/>
      <c r="N787" s="804"/>
      <c r="O787" s="804"/>
      <c r="P787" s="804"/>
    </row>
    <row r="788">
      <c r="B788" s="802"/>
      <c r="C788" s="802"/>
      <c r="D788" s="802"/>
      <c r="E788" s="802"/>
      <c r="F788" s="802"/>
      <c r="G788" s="803"/>
      <c r="H788" s="803"/>
      <c r="I788" s="803"/>
      <c r="J788" s="803"/>
      <c r="K788" s="803"/>
      <c r="L788" s="803"/>
      <c r="M788" s="804"/>
      <c r="N788" s="804"/>
      <c r="O788" s="804"/>
      <c r="P788" s="804"/>
    </row>
    <row r="789">
      <c r="B789" s="802"/>
      <c r="C789" s="802"/>
      <c r="D789" s="802"/>
      <c r="E789" s="802"/>
      <c r="F789" s="802"/>
      <c r="G789" s="803"/>
      <c r="H789" s="803"/>
      <c r="I789" s="803"/>
      <c r="J789" s="803"/>
      <c r="K789" s="803"/>
      <c r="L789" s="803"/>
      <c r="M789" s="804"/>
      <c r="N789" s="804"/>
      <c r="O789" s="804"/>
      <c r="P789" s="804"/>
    </row>
    <row r="790">
      <c r="B790" s="802"/>
      <c r="C790" s="802"/>
      <c r="D790" s="802"/>
      <c r="E790" s="802"/>
      <c r="F790" s="802"/>
      <c r="G790" s="803"/>
      <c r="H790" s="803"/>
      <c r="I790" s="803"/>
      <c r="J790" s="803"/>
      <c r="K790" s="803"/>
      <c r="L790" s="803"/>
      <c r="M790" s="804"/>
      <c r="N790" s="804"/>
      <c r="O790" s="804"/>
      <c r="P790" s="804"/>
    </row>
    <row r="791">
      <c r="B791" s="802"/>
      <c r="C791" s="802"/>
      <c r="D791" s="802"/>
      <c r="E791" s="802"/>
      <c r="F791" s="802"/>
      <c r="G791" s="803"/>
      <c r="H791" s="803"/>
      <c r="I791" s="803"/>
      <c r="J791" s="803"/>
      <c r="K791" s="803"/>
      <c r="L791" s="803"/>
      <c r="M791" s="804"/>
      <c r="N791" s="804"/>
      <c r="O791" s="804"/>
      <c r="P791" s="804"/>
    </row>
    <row r="792">
      <c r="B792" s="802"/>
      <c r="C792" s="802"/>
      <c r="D792" s="802"/>
      <c r="E792" s="802"/>
      <c r="F792" s="802"/>
      <c r="G792" s="803"/>
      <c r="H792" s="803"/>
      <c r="I792" s="803"/>
      <c r="J792" s="803"/>
      <c r="K792" s="803"/>
      <c r="L792" s="803"/>
      <c r="M792" s="804"/>
      <c r="N792" s="804"/>
      <c r="O792" s="804"/>
      <c r="P792" s="804"/>
    </row>
    <row r="793">
      <c r="B793" s="802"/>
      <c r="C793" s="802"/>
      <c r="D793" s="802"/>
      <c r="E793" s="802"/>
      <c r="F793" s="802"/>
      <c r="G793" s="803"/>
      <c r="H793" s="803"/>
      <c r="I793" s="803"/>
      <c r="J793" s="803"/>
      <c r="K793" s="803"/>
      <c r="L793" s="803"/>
      <c r="M793" s="804"/>
      <c r="N793" s="804"/>
      <c r="O793" s="804"/>
      <c r="P793" s="804"/>
    </row>
    <row r="794">
      <c r="B794" s="802"/>
      <c r="C794" s="802"/>
      <c r="D794" s="802"/>
      <c r="E794" s="802"/>
      <c r="F794" s="802"/>
      <c r="G794" s="803"/>
      <c r="H794" s="803"/>
      <c r="I794" s="803"/>
      <c r="J794" s="803"/>
      <c r="K794" s="803"/>
      <c r="L794" s="803"/>
      <c r="M794" s="804"/>
      <c r="N794" s="804"/>
      <c r="O794" s="804"/>
      <c r="P794" s="804"/>
    </row>
    <row r="795">
      <c r="B795" s="802"/>
      <c r="C795" s="802"/>
      <c r="D795" s="802"/>
      <c r="E795" s="802"/>
      <c r="F795" s="802"/>
      <c r="G795" s="803"/>
      <c r="H795" s="803"/>
      <c r="I795" s="803"/>
      <c r="J795" s="803"/>
      <c r="K795" s="803"/>
      <c r="L795" s="803"/>
      <c r="M795" s="804"/>
      <c r="N795" s="804"/>
      <c r="O795" s="804"/>
      <c r="P795" s="804"/>
    </row>
    <row r="796">
      <c r="B796" s="802"/>
      <c r="C796" s="802"/>
      <c r="D796" s="802"/>
      <c r="E796" s="802"/>
      <c r="F796" s="802"/>
      <c r="G796" s="803"/>
      <c r="H796" s="803"/>
      <c r="I796" s="803"/>
      <c r="J796" s="803"/>
      <c r="K796" s="803"/>
      <c r="L796" s="803"/>
      <c r="M796" s="804"/>
      <c r="N796" s="804"/>
      <c r="O796" s="804"/>
      <c r="P796" s="804"/>
    </row>
    <row r="797">
      <c r="B797" s="802"/>
      <c r="C797" s="802"/>
      <c r="D797" s="802"/>
      <c r="E797" s="802"/>
      <c r="F797" s="802"/>
      <c r="G797" s="803"/>
      <c r="H797" s="803"/>
      <c r="I797" s="803"/>
      <c r="J797" s="803"/>
      <c r="K797" s="803"/>
      <c r="L797" s="803"/>
      <c r="M797" s="804"/>
      <c r="N797" s="804"/>
      <c r="O797" s="804"/>
      <c r="P797" s="804"/>
    </row>
    <row r="798">
      <c r="B798" s="802"/>
      <c r="C798" s="802"/>
      <c r="D798" s="802"/>
      <c r="E798" s="802"/>
      <c r="F798" s="802"/>
      <c r="G798" s="803"/>
      <c r="H798" s="803"/>
      <c r="I798" s="803"/>
      <c r="J798" s="803"/>
      <c r="K798" s="803"/>
      <c r="L798" s="803"/>
      <c r="M798" s="804"/>
      <c r="N798" s="804"/>
      <c r="O798" s="804"/>
      <c r="P798" s="804"/>
    </row>
    <row r="799">
      <c r="B799" s="802"/>
      <c r="C799" s="802"/>
      <c r="D799" s="802"/>
      <c r="E799" s="802"/>
      <c r="F799" s="802"/>
      <c r="G799" s="803"/>
      <c r="H799" s="803"/>
      <c r="I799" s="803"/>
      <c r="J799" s="803"/>
      <c r="K799" s="803"/>
      <c r="L799" s="803"/>
      <c r="M799" s="804"/>
      <c r="N799" s="804"/>
      <c r="O799" s="804"/>
      <c r="P799" s="804"/>
    </row>
    <row r="800">
      <c r="B800" s="802"/>
      <c r="C800" s="802"/>
      <c r="D800" s="802"/>
      <c r="E800" s="802"/>
      <c r="F800" s="802"/>
      <c r="G800" s="803"/>
      <c r="H800" s="803"/>
      <c r="I800" s="803"/>
      <c r="J800" s="803"/>
      <c r="K800" s="803"/>
      <c r="L800" s="803"/>
      <c r="M800" s="804"/>
      <c r="N800" s="804"/>
      <c r="O800" s="804"/>
      <c r="P800" s="804"/>
    </row>
    <row r="801">
      <c r="B801" s="802"/>
      <c r="C801" s="802"/>
      <c r="D801" s="802"/>
      <c r="E801" s="802"/>
      <c r="F801" s="802"/>
      <c r="G801" s="803"/>
      <c r="H801" s="803"/>
      <c r="I801" s="803"/>
      <c r="J801" s="803"/>
      <c r="K801" s="803"/>
      <c r="L801" s="803"/>
      <c r="M801" s="804"/>
      <c r="N801" s="804"/>
      <c r="O801" s="804"/>
      <c r="P801" s="804"/>
    </row>
    <row r="802">
      <c r="B802" s="802"/>
      <c r="C802" s="802"/>
      <c r="D802" s="802"/>
      <c r="E802" s="802"/>
      <c r="F802" s="802"/>
      <c r="G802" s="803"/>
      <c r="H802" s="803"/>
      <c r="I802" s="803"/>
      <c r="J802" s="803"/>
      <c r="K802" s="803"/>
      <c r="L802" s="803"/>
      <c r="M802" s="804"/>
      <c r="N802" s="804"/>
      <c r="O802" s="804"/>
      <c r="P802" s="804"/>
    </row>
    <row r="803">
      <c r="B803" s="802"/>
      <c r="C803" s="802"/>
      <c r="D803" s="802"/>
      <c r="E803" s="802"/>
      <c r="F803" s="802"/>
      <c r="G803" s="803"/>
      <c r="H803" s="803"/>
      <c r="I803" s="803"/>
      <c r="J803" s="803"/>
      <c r="K803" s="803"/>
      <c r="L803" s="803"/>
      <c r="M803" s="804"/>
      <c r="N803" s="804"/>
      <c r="O803" s="804"/>
      <c r="P803" s="804"/>
    </row>
    <row r="804">
      <c r="B804" s="802"/>
      <c r="C804" s="802"/>
      <c r="D804" s="802"/>
      <c r="E804" s="802"/>
      <c r="F804" s="802"/>
      <c r="G804" s="803"/>
      <c r="H804" s="803"/>
      <c r="I804" s="803"/>
      <c r="J804" s="803"/>
      <c r="K804" s="803"/>
      <c r="L804" s="803"/>
      <c r="M804" s="804"/>
      <c r="N804" s="804"/>
      <c r="O804" s="804"/>
      <c r="P804" s="804"/>
    </row>
    <row r="805">
      <c r="B805" s="802"/>
      <c r="C805" s="802"/>
      <c r="D805" s="802"/>
      <c r="E805" s="802"/>
      <c r="F805" s="802"/>
      <c r="G805" s="803"/>
      <c r="H805" s="803"/>
      <c r="I805" s="803"/>
      <c r="J805" s="803"/>
      <c r="K805" s="803"/>
      <c r="L805" s="803"/>
      <c r="M805" s="804"/>
      <c r="N805" s="804"/>
      <c r="O805" s="804"/>
      <c r="P805" s="804"/>
    </row>
    <row r="806">
      <c r="B806" s="802"/>
      <c r="C806" s="802"/>
      <c r="D806" s="802"/>
      <c r="E806" s="802"/>
      <c r="F806" s="802"/>
      <c r="G806" s="803"/>
      <c r="H806" s="803"/>
      <c r="I806" s="803"/>
      <c r="J806" s="803"/>
      <c r="K806" s="803"/>
      <c r="L806" s="803"/>
      <c r="M806" s="804"/>
      <c r="N806" s="804"/>
      <c r="O806" s="804"/>
      <c r="P806" s="804"/>
    </row>
    <row r="807">
      <c r="B807" s="802"/>
      <c r="C807" s="802"/>
      <c r="D807" s="802"/>
      <c r="E807" s="802"/>
      <c r="F807" s="802"/>
      <c r="G807" s="803"/>
      <c r="H807" s="803"/>
      <c r="I807" s="803"/>
      <c r="J807" s="803"/>
      <c r="K807" s="803"/>
      <c r="L807" s="803"/>
      <c r="M807" s="804"/>
      <c r="N807" s="804"/>
      <c r="O807" s="804"/>
      <c r="P807" s="804"/>
    </row>
    <row r="808">
      <c r="B808" s="802"/>
      <c r="C808" s="802"/>
      <c r="D808" s="802"/>
      <c r="E808" s="802"/>
      <c r="F808" s="802"/>
      <c r="G808" s="803"/>
      <c r="H808" s="803"/>
      <c r="I808" s="803"/>
      <c r="J808" s="803"/>
      <c r="K808" s="803"/>
      <c r="L808" s="803"/>
      <c r="M808" s="804"/>
      <c r="N808" s="804"/>
      <c r="O808" s="804"/>
      <c r="P808" s="804"/>
    </row>
    <row r="809">
      <c r="B809" s="802"/>
      <c r="C809" s="802"/>
      <c r="D809" s="802"/>
      <c r="E809" s="802"/>
      <c r="F809" s="802"/>
      <c r="G809" s="803"/>
      <c r="H809" s="803"/>
      <c r="I809" s="803"/>
      <c r="J809" s="803"/>
      <c r="K809" s="803"/>
      <c r="L809" s="803"/>
      <c r="M809" s="804"/>
      <c r="N809" s="804"/>
      <c r="O809" s="804"/>
      <c r="P809" s="804"/>
    </row>
    <row r="810">
      <c r="B810" s="802"/>
      <c r="C810" s="802"/>
      <c r="D810" s="802"/>
      <c r="E810" s="802"/>
      <c r="F810" s="802"/>
      <c r="G810" s="803"/>
      <c r="H810" s="803"/>
      <c r="I810" s="803"/>
      <c r="J810" s="803"/>
      <c r="K810" s="803"/>
      <c r="L810" s="803"/>
      <c r="M810" s="804"/>
      <c r="N810" s="804"/>
      <c r="O810" s="804"/>
      <c r="P810" s="804"/>
    </row>
    <row r="811">
      <c r="B811" s="802"/>
      <c r="C811" s="802"/>
      <c r="D811" s="802"/>
      <c r="E811" s="802"/>
      <c r="F811" s="802"/>
      <c r="G811" s="803"/>
      <c r="H811" s="803"/>
      <c r="I811" s="803"/>
      <c r="J811" s="803"/>
      <c r="K811" s="803"/>
      <c r="L811" s="803"/>
      <c r="M811" s="804"/>
      <c r="N811" s="804"/>
      <c r="O811" s="804"/>
      <c r="P811" s="804"/>
    </row>
    <row r="812">
      <c r="B812" s="802"/>
      <c r="C812" s="802"/>
      <c r="D812" s="802"/>
      <c r="E812" s="802"/>
      <c r="F812" s="802"/>
      <c r="G812" s="803"/>
      <c r="H812" s="803"/>
      <c r="I812" s="803"/>
      <c r="J812" s="803"/>
      <c r="K812" s="803"/>
      <c r="L812" s="803"/>
      <c r="M812" s="804"/>
      <c r="N812" s="804"/>
      <c r="O812" s="804"/>
      <c r="P812" s="804"/>
    </row>
    <row r="813">
      <c r="B813" s="802"/>
      <c r="C813" s="802"/>
      <c r="D813" s="802"/>
      <c r="E813" s="802"/>
      <c r="F813" s="802"/>
      <c r="G813" s="803"/>
      <c r="H813" s="803"/>
      <c r="I813" s="803"/>
      <c r="J813" s="803"/>
      <c r="K813" s="803"/>
      <c r="L813" s="803"/>
      <c r="M813" s="804"/>
      <c r="N813" s="804"/>
      <c r="O813" s="804"/>
      <c r="P813" s="804"/>
    </row>
    <row r="814">
      <c r="B814" s="802"/>
      <c r="C814" s="802"/>
      <c r="D814" s="802"/>
      <c r="E814" s="802"/>
      <c r="F814" s="802"/>
      <c r="G814" s="803"/>
      <c r="H814" s="803"/>
      <c r="I814" s="803"/>
      <c r="J814" s="803"/>
      <c r="K814" s="803"/>
      <c r="L814" s="803"/>
      <c r="M814" s="804"/>
      <c r="N814" s="804"/>
      <c r="O814" s="804"/>
      <c r="P814" s="804"/>
    </row>
    <row r="815">
      <c r="B815" s="802"/>
      <c r="C815" s="802"/>
      <c r="D815" s="802"/>
      <c r="E815" s="802"/>
      <c r="F815" s="802"/>
      <c r="G815" s="803"/>
      <c r="H815" s="803"/>
      <c r="I815" s="803"/>
      <c r="J815" s="803"/>
      <c r="K815" s="803"/>
      <c r="L815" s="803"/>
      <c r="M815" s="804"/>
      <c r="N815" s="804"/>
      <c r="O815" s="804"/>
      <c r="P815" s="804"/>
    </row>
    <row r="816">
      <c r="B816" s="802"/>
      <c r="C816" s="802"/>
      <c r="D816" s="802"/>
      <c r="E816" s="802"/>
      <c r="F816" s="802"/>
      <c r="G816" s="803"/>
      <c r="H816" s="803"/>
      <c r="I816" s="803"/>
      <c r="J816" s="803"/>
      <c r="K816" s="803"/>
      <c r="L816" s="803"/>
      <c r="M816" s="804"/>
      <c r="N816" s="804"/>
      <c r="O816" s="804"/>
      <c r="P816" s="804"/>
    </row>
    <row r="817">
      <c r="B817" s="802"/>
      <c r="C817" s="802"/>
      <c r="D817" s="802"/>
      <c r="E817" s="802"/>
      <c r="F817" s="802"/>
      <c r="G817" s="803"/>
      <c r="H817" s="803"/>
      <c r="I817" s="803"/>
      <c r="J817" s="803"/>
      <c r="K817" s="803"/>
      <c r="L817" s="803"/>
      <c r="M817" s="804"/>
      <c r="N817" s="804"/>
      <c r="O817" s="804"/>
      <c r="P817" s="804"/>
    </row>
    <row r="818">
      <c r="B818" s="802"/>
      <c r="C818" s="802"/>
      <c r="D818" s="802"/>
      <c r="E818" s="802"/>
      <c r="F818" s="802"/>
      <c r="G818" s="803"/>
      <c r="H818" s="803"/>
      <c r="I818" s="803"/>
      <c r="J818" s="803"/>
      <c r="K818" s="803"/>
      <c r="L818" s="803"/>
      <c r="M818" s="804"/>
      <c r="N818" s="804"/>
      <c r="O818" s="804"/>
      <c r="P818" s="804"/>
    </row>
    <row r="819">
      <c r="B819" s="802"/>
      <c r="C819" s="802"/>
      <c r="D819" s="802"/>
      <c r="E819" s="802"/>
      <c r="F819" s="802"/>
      <c r="G819" s="803"/>
      <c r="H819" s="803"/>
      <c r="I819" s="803"/>
      <c r="J819" s="803"/>
      <c r="K819" s="803"/>
      <c r="L819" s="803"/>
      <c r="M819" s="804"/>
      <c r="N819" s="804"/>
      <c r="O819" s="804"/>
      <c r="P819" s="804"/>
    </row>
    <row r="820">
      <c r="B820" s="802"/>
      <c r="C820" s="802"/>
      <c r="D820" s="802"/>
      <c r="E820" s="802"/>
      <c r="F820" s="802"/>
      <c r="G820" s="803"/>
      <c r="H820" s="803"/>
      <c r="I820" s="803"/>
      <c r="J820" s="803"/>
      <c r="K820" s="803"/>
      <c r="L820" s="803"/>
      <c r="M820" s="804"/>
      <c r="N820" s="804"/>
      <c r="O820" s="804"/>
      <c r="P820" s="804"/>
    </row>
    <row r="821">
      <c r="B821" s="802"/>
      <c r="C821" s="802"/>
      <c r="D821" s="802"/>
      <c r="E821" s="802"/>
      <c r="F821" s="802"/>
      <c r="G821" s="803"/>
      <c r="H821" s="803"/>
      <c r="I821" s="803"/>
      <c r="J821" s="803"/>
      <c r="K821" s="803"/>
      <c r="L821" s="803"/>
      <c r="M821" s="804"/>
      <c r="N821" s="804"/>
      <c r="O821" s="804"/>
      <c r="P821" s="804"/>
    </row>
    <row r="822">
      <c r="B822" s="802"/>
      <c r="C822" s="802"/>
      <c r="D822" s="802"/>
      <c r="E822" s="802"/>
      <c r="F822" s="802"/>
      <c r="G822" s="803"/>
      <c r="H822" s="803"/>
      <c r="I822" s="803"/>
      <c r="J822" s="803"/>
      <c r="K822" s="803"/>
      <c r="L822" s="803"/>
      <c r="M822" s="804"/>
      <c r="N822" s="804"/>
      <c r="O822" s="804"/>
      <c r="P822" s="804"/>
    </row>
    <row r="823">
      <c r="B823" s="802"/>
      <c r="C823" s="802"/>
      <c r="D823" s="802"/>
      <c r="E823" s="802"/>
      <c r="F823" s="802"/>
      <c r="G823" s="803"/>
      <c r="H823" s="803"/>
      <c r="I823" s="803"/>
      <c r="J823" s="803"/>
      <c r="K823" s="803"/>
      <c r="L823" s="803"/>
      <c r="M823" s="804"/>
      <c r="N823" s="804"/>
      <c r="O823" s="804"/>
      <c r="P823" s="804"/>
    </row>
    <row r="824">
      <c r="B824" s="802"/>
      <c r="C824" s="802"/>
      <c r="D824" s="802"/>
      <c r="E824" s="802"/>
      <c r="F824" s="802"/>
      <c r="G824" s="803"/>
      <c r="H824" s="803"/>
      <c r="I824" s="803"/>
      <c r="J824" s="803"/>
      <c r="K824" s="803"/>
      <c r="L824" s="803"/>
      <c r="M824" s="804"/>
      <c r="N824" s="804"/>
      <c r="O824" s="804"/>
      <c r="P824" s="804"/>
    </row>
    <row r="825">
      <c r="B825" s="802"/>
      <c r="C825" s="802"/>
      <c r="D825" s="802"/>
      <c r="E825" s="802"/>
      <c r="F825" s="802"/>
      <c r="G825" s="803"/>
      <c r="H825" s="803"/>
      <c r="I825" s="803"/>
      <c r="J825" s="803"/>
      <c r="K825" s="803"/>
      <c r="L825" s="803"/>
      <c r="M825" s="804"/>
      <c r="N825" s="804"/>
      <c r="O825" s="804"/>
      <c r="P825" s="804"/>
    </row>
    <row r="826">
      <c r="B826" s="802"/>
      <c r="C826" s="802"/>
      <c r="D826" s="802"/>
      <c r="E826" s="802"/>
      <c r="F826" s="802"/>
      <c r="G826" s="803"/>
      <c r="H826" s="803"/>
      <c r="I826" s="803"/>
      <c r="J826" s="803"/>
      <c r="K826" s="803"/>
      <c r="L826" s="803"/>
      <c r="M826" s="804"/>
      <c r="N826" s="804"/>
      <c r="O826" s="804"/>
      <c r="P826" s="804"/>
    </row>
    <row r="827">
      <c r="B827" s="802"/>
      <c r="C827" s="802"/>
      <c r="D827" s="802"/>
      <c r="E827" s="802"/>
      <c r="F827" s="802"/>
      <c r="G827" s="803"/>
      <c r="H827" s="803"/>
      <c r="I827" s="803"/>
      <c r="J827" s="803"/>
      <c r="K827" s="803"/>
      <c r="L827" s="803"/>
      <c r="M827" s="804"/>
      <c r="N827" s="804"/>
      <c r="O827" s="804"/>
      <c r="P827" s="804"/>
    </row>
    <row r="828">
      <c r="B828" s="802"/>
      <c r="C828" s="802"/>
      <c r="D828" s="802"/>
      <c r="E828" s="802"/>
      <c r="F828" s="802"/>
      <c r="G828" s="803"/>
      <c r="H828" s="803"/>
      <c r="I828" s="803"/>
      <c r="J828" s="803"/>
      <c r="K828" s="803"/>
      <c r="L828" s="803"/>
      <c r="M828" s="804"/>
      <c r="N828" s="804"/>
      <c r="O828" s="804"/>
      <c r="P828" s="804"/>
    </row>
    <row r="829">
      <c r="B829" s="802"/>
      <c r="C829" s="802"/>
      <c r="D829" s="802"/>
      <c r="E829" s="802"/>
      <c r="F829" s="802"/>
      <c r="G829" s="803"/>
      <c r="H829" s="803"/>
      <c r="I829" s="803"/>
      <c r="J829" s="803"/>
      <c r="K829" s="803"/>
      <c r="L829" s="803"/>
      <c r="M829" s="804"/>
      <c r="N829" s="804"/>
      <c r="O829" s="804"/>
      <c r="P829" s="804"/>
    </row>
    <row r="830">
      <c r="B830" s="802"/>
      <c r="C830" s="802"/>
      <c r="D830" s="802"/>
      <c r="E830" s="802"/>
      <c r="F830" s="802"/>
      <c r="G830" s="803"/>
      <c r="H830" s="803"/>
      <c r="I830" s="803"/>
      <c r="J830" s="803"/>
      <c r="K830" s="803"/>
      <c r="L830" s="803"/>
      <c r="M830" s="804"/>
      <c r="N830" s="804"/>
      <c r="O830" s="804"/>
      <c r="P830" s="804"/>
    </row>
    <row r="831">
      <c r="B831" s="802"/>
      <c r="C831" s="802"/>
      <c r="D831" s="802"/>
      <c r="E831" s="802"/>
      <c r="F831" s="802"/>
      <c r="G831" s="803"/>
      <c r="H831" s="803"/>
      <c r="I831" s="803"/>
      <c r="J831" s="803"/>
      <c r="K831" s="803"/>
      <c r="L831" s="803"/>
      <c r="M831" s="804"/>
      <c r="N831" s="804"/>
      <c r="O831" s="804"/>
      <c r="P831" s="804"/>
    </row>
    <row r="832">
      <c r="B832" s="802"/>
      <c r="C832" s="802"/>
      <c r="D832" s="802"/>
      <c r="E832" s="802"/>
      <c r="F832" s="802"/>
      <c r="G832" s="803"/>
      <c r="H832" s="803"/>
      <c r="I832" s="803"/>
      <c r="J832" s="803"/>
      <c r="K832" s="803"/>
      <c r="L832" s="803"/>
      <c r="M832" s="804"/>
      <c r="N832" s="804"/>
      <c r="O832" s="804"/>
      <c r="P832" s="804"/>
    </row>
    <row r="833">
      <c r="B833" s="802"/>
      <c r="C833" s="802"/>
      <c r="D833" s="802"/>
      <c r="E833" s="802"/>
      <c r="F833" s="802"/>
      <c r="G833" s="803"/>
      <c r="H833" s="803"/>
      <c r="I833" s="803"/>
      <c r="J833" s="803"/>
      <c r="K833" s="803"/>
      <c r="L833" s="803"/>
      <c r="M833" s="804"/>
      <c r="N833" s="804"/>
      <c r="O833" s="804"/>
      <c r="P833" s="804"/>
    </row>
    <row r="834">
      <c r="B834" s="802"/>
      <c r="C834" s="802"/>
      <c r="D834" s="802"/>
      <c r="E834" s="802"/>
      <c r="F834" s="802"/>
      <c r="G834" s="803"/>
      <c r="H834" s="803"/>
      <c r="I834" s="803"/>
      <c r="J834" s="803"/>
      <c r="K834" s="803"/>
      <c r="L834" s="803"/>
      <c r="M834" s="804"/>
      <c r="N834" s="804"/>
      <c r="O834" s="804"/>
      <c r="P834" s="804"/>
    </row>
    <row r="835">
      <c r="B835" s="802"/>
      <c r="C835" s="802"/>
      <c r="D835" s="802"/>
      <c r="E835" s="802"/>
      <c r="F835" s="802"/>
      <c r="G835" s="803"/>
      <c r="H835" s="803"/>
      <c r="I835" s="803"/>
      <c r="J835" s="803"/>
      <c r="K835" s="803"/>
      <c r="L835" s="803"/>
      <c r="M835" s="804"/>
      <c r="N835" s="804"/>
      <c r="O835" s="804"/>
      <c r="P835" s="804"/>
    </row>
    <row r="836">
      <c r="B836" s="802"/>
      <c r="C836" s="802"/>
      <c r="D836" s="802"/>
      <c r="E836" s="802"/>
      <c r="F836" s="802"/>
      <c r="G836" s="803"/>
      <c r="H836" s="803"/>
      <c r="I836" s="803"/>
      <c r="J836" s="803"/>
      <c r="K836" s="803"/>
      <c r="L836" s="803"/>
      <c r="M836" s="804"/>
      <c r="N836" s="804"/>
      <c r="O836" s="804"/>
      <c r="P836" s="804"/>
    </row>
    <row r="837">
      <c r="B837" s="802"/>
      <c r="C837" s="802"/>
      <c r="D837" s="802"/>
      <c r="E837" s="802"/>
      <c r="F837" s="802"/>
      <c r="G837" s="803"/>
      <c r="H837" s="803"/>
      <c r="I837" s="803"/>
      <c r="J837" s="803"/>
      <c r="K837" s="803"/>
      <c r="L837" s="803"/>
      <c r="M837" s="804"/>
      <c r="N837" s="804"/>
      <c r="O837" s="804"/>
      <c r="P837" s="804"/>
    </row>
    <row r="838">
      <c r="B838" s="802"/>
      <c r="C838" s="802"/>
      <c r="D838" s="802"/>
      <c r="E838" s="802"/>
      <c r="F838" s="802"/>
      <c r="G838" s="803"/>
      <c r="H838" s="803"/>
      <c r="I838" s="803"/>
      <c r="J838" s="803"/>
      <c r="K838" s="803"/>
      <c r="L838" s="803"/>
      <c r="M838" s="804"/>
      <c r="N838" s="804"/>
      <c r="O838" s="804"/>
      <c r="P838" s="804"/>
    </row>
    <row r="839">
      <c r="B839" s="802"/>
      <c r="C839" s="802"/>
      <c r="D839" s="802"/>
      <c r="E839" s="802"/>
      <c r="F839" s="802"/>
      <c r="G839" s="803"/>
      <c r="H839" s="803"/>
      <c r="I839" s="803"/>
      <c r="J839" s="803"/>
      <c r="K839" s="803"/>
      <c r="L839" s="803"/>
      <c r="M839" s="804"/>
      <c r="N839" s="804"/>
      <c r="O839" s="804"/>
      <c r="P839" s="804"/>
    </row>
    <row r="840">
      <c r="B840" s="802"/>
      <c r="C840" s="802"/>
      <c r="D840" s="802"/>
      <c r="E840" s="802"/>
      <c r="F840" s="802"/>
      <c r="G840" s="803"/>
      <c r="H840" s="803"/>
      <c r="I840" s="803"/>
      <c r="J840" s="803"/>
      <c r="K840" s="803"/>
      <c r="L840" s="803"/>
      <c r="M840" s="804"/>
      <c r="N840" s="804"/>
      <c r="O840" s="804"/>
      <c r="P840" s="804"/>
    </row>
    <row r="841">
      <c r="B841" s="802"/>
      <c r="C841" s="802"/>
      <c r="D841" s="802"/>
      <c r="E841" s="802"/>
      <c r="F841" s="802"/>
      <c r="G841" s="803"/>
      <c r="H841" s="803"/>
      <c r="I841" s="803"/>
      <c r="J841" s="803"/>
      <c r="K841" s="803"/>
      <c r="L841" s="803"/>
      <c r="M841" s="804"/>
      <c r="N841" s="804"/>
      <c r="O841" s="804"/>
      <c r="P841" s="804"/>
    </row>
    <row r="842">
      <c r="B842" s="802"/>
      <c r="C842" s="802"/>
      <c r="D842" s="802"/>
      <c r="E842" s="802"/>
      <c r="F842" s="802"/>
      <c r="G842" s="803"/>
      <c r="H842" s="803"/>
      <c r="I842" s="803"/>
      <c r="J842" s="803"/>
      <c r="K842" s="803"/>
      <c r="L842" s="803"/>
      <c r="M842" s="804"/>
      <c r="N842" s="804"/>
      <c r="O842" s="804"/>
      <c r="P842" s="804"/>
    </row>
    <row r="843">
      <c r="B843" s="802"/>
      <c r="C843" s="802"/>
      <c r="D843" s="802"/>
      <c r="E843" s="802"/>
      <c r="F843" s="802"/>
      <c r="G843" s="803"/>
      <c r="H843" s="803"/>
      <c r="I843" s="803"/>
      <c r="J843" s="803"/>
      <c r="K843" s="803"/>
      <c r="L843" s="803"/>
      <c r="M843" s="804"/>
      <c r="N843" s="804"/>
      <c r="O843" s="804"/>
      <c r="P843" s="804"/>
    </row>
    <row r="844">
      <c r="B844" s="802"/>
      <c r="C844" s="802"/>
      <c r="D844" s="802"/>
      <c r="E844" s="802"/>
      <c r="F844" s="802"/>
      <c r="G844" s="803"/>
      <c r="H844" s="803"/>
      <c r="I844" s="803"/>
      <c r="J844" s="803"/>
      <c r="K844" s="803"/>
      <c r="L844" s="803"/>
      <c r="M844" s="804"/>
      <c r="N844" s="804"/>
      <c r="O844" s="804"/>
      <c r="P844" s="804"/>
    </row>
    <row r="845">
      <c r="B845" s="802"/>
      <c r="C845" s="802"/>
      <c r="D845" s="802"/>
      <c r="E845" s="802"/>
      <c r="F845" s="802"/>
      <c r="G845" s="803"/>
      <c r="H845" s="803"/>
      <c r="I845" s="803"/>
      <c r="J845" s="803"/>
      <c r="K845" s="803"/>
      <c r="L845" s="803"/>
      <c r="M845" s="804"/>
      <c r="N845" s="804"/>
      <c r="O845" s="804"/>
      <c r="P845" s="804"/>
    </row>
    <row r="846">
      <c r="B846" s="802"/>
      <c r="C846" s="802"/>
      <c r="D846" s="802"/>
      <c r="E846" s="802"/>
      <c r="F846" s="802"/>
      <c r="G846" s="803"/>
      <c r="H846" s="803"/>
      <c r="I846" s="803"/>
      <c r="J846" s="803"/>
      <c r="K846" s="803"/>
      <c r="L846" s="803"/>
      <c r="M846" s="804"/>
      <c r="N846" s="804"/>
      <c r="O846" s="804"/>
      <c r="P846" s="804"/>
    </row>
    <row r="847">
      <c r="B847" s="802"/>
      <c r="C847" s="802"/>
      <c r="D847" s="802"/>
      <c r="E847" s="802"/>
      <c r="F847" s="802"/>
      <c r="G847" s="803"/>
      <c r="H847" s="803"/>
      <c r="I847" s="803"/>
      <c r="J847" s="803"/>
      <c r="K847" s="803"/>
      <c r="L847" s="803"/>
      <c r="M847" s="804"/>
      <c r="N847" s="804"/>
      <c r="O847" s="804"/>
      <c r="P847" s="804"/>
    </row>
    <row r="848">
      <c r="B848" s="802"/>
      <c r="C848" s="802"/>
      <c r="D848" s="802"/>
      <c r="E848" s="802"/>
      <c r="F848" s="802"/>
      <c r="G848" s="803"/>
      <c r="H848" s="803"/>
      <c r="I848" s="803"/>
      <c r="J848" s="803"/>
      <c r="K848" s="803"/>
      <c r="L848" s="803"/>
      <c r="M848" s="804"/>
      <c r="N848" s="804"/>
      <c r="O848" s="804"/>
      <c r="P848" s="804"/>
    </row>
    <row r="849">
      <c r="B849" s="802"/>
      <c r="C849" s="802"/>
      <c r="D849" s="802"/>
      <c r="E849" s="802"/>
      <c r="F849" s="802"/>
      <c r="G849" s="803"/>
      <c r="H849" s="803"/>
      <c r="I849" s="803"/>
      <c r="J849" s="803"/>
      <c r="K849" s="803"/>
      <c r="L849" s="803"/>
      <c r="M849" s="804"/>
      <c r="N849" s="804"/>
      <c r="O849" s="804"/>
      <c r="P849" s="804"/>
    </row>
    <row r="850">
      <c r="B850" s="802"/>
      <c r="C850" s="802"/>
      <c r="D850" s="802"/>
      <c r="E850" s="802"/>
      <c r="F850" s="802"/>
      <c r="G850" s="803"/>
      <c r="H850" s="803"/>
      <c r="I850" s="803"/>
      <c r="J850" s="803"/>
      <c r="K850" s="803"/>
      <c r="L850" s="803"/>
      <c r="M850" s="804"/>
      <c r="N850" s="804"/>
      <c r="O850" s="804"/>
      <c r="P850" s="804"/>
    </row>
    <row r="851">
      <c r="B851" s="802"/>
      <c r="C851" s="802"/>
      <c r="D851" s="802"/>
      <c r="E851" s="802"/>
      <c r="F851" s="802"/>
      <c r="G851" s="803"/>
      <c r="H851" s="803"/>
      <c r="I851" s="803"/>
      <c r="J851" s="803"/>
      <c r="K851" s="803"/>
      <c r="L851" s="803"/>
      <c r="M851" s="804"/>
      <c r="N851" s="804"/>
      <c r="O851" s="804"/>
      <c r="P851" s="804"/>
    </row>
    <row r="852">
      <c r="B852" s="802"/>
      <c r="C852" s="802"/>
      <c r="D852" s="802"/>
      <c r="E852" s="802"/>
      <c r="F852" s="802"/>
      <c r="G852" s="803"/>
      <c r="H852" s="803"/>
      <c r="I852" s="803"/>
      <c r="J852" s="803"/>
      <c r="K852" s="803"/>
      <c r="L852" s="803"/>
      <c r="M852" s="804"/>
      <c r="N852" s="804"/>
      <c r="O852" s="804"/>
      <c r="P852" s="804"/>
    </row>
    <row r="853">
      <c r="B853" s="802"/>
      <c r="C853" s="802"/>
      <c r="D853" s="802"/>
      <c r="E853" s="802"/>
      <c r="F853" s="802"/>
      <c r="G853" s="803"/>
      <c r="H853" s="803"/>
      <c r="I853" s="803"/>
      <c r="J853" s="803"/>
      <c r="K853" s="803"/>
      <c r="L853" s="803"/>
      <c r="M853" s="804"/>
      <c r="N853" s="804"/>
      <c r="O853" s="804"/>
      <c r="P853" s="804"/>
    </row>
    <row r="854">
      <c r="B854" s="802"/>
      <c r="C854" s="802"/>
      <c r="D854" s="802"/>
      <c r="E854" s="802"/>
      <c r="F854" s="802"/>
      <c r="G854" s="803"/>
      <c r="H854" s="803"/>
      <c r="I854" s="803"/>
      <c r="J854" s="803"/>
      <c r="K854" s="803"/>
      <c r="L854" s="803"/>
      <c r="M854" s="804"/>
      <c r="N854" s="804"/>
      <c r="O854" s="804"/>
      <c r="P854" s="804"/>
    </row>
    <row r="855">
      <c r="B855" s="802"/>
      <c r="C855" s="802"/>
      <c r="D855" s="802"/>
      <c r="E855" s="802"/>
      <c r="F855" s="802"/>
      <c r="G855" s="803"/>
      <c r="H855" s="803"/>
      <c r="I855" s="803"/>
      <c r="J855" s="803"/>
      <c r="K855" s="803"/>
      <c r="L855" s="803"/>
      <c r="M855" s="804"/>
      <c r="N855" s="804"/>
      <c r="O855" s="804"/>
      <c r="P855" s="804"/>
    </row>
    <row r="856">
      <c r="B856" s="802"/>
      <c r="C856" s="802"/>
      <c r="D856" s="802"/>
      <c r="E856" s="802"/>
      <c r="F856" s="802"/>
      <c r="G856" s="803"/>
      <c r="H856" s="803"/>
      <c r="I856" s="803"/>
      <c r="J856" s="803"/>
      <c r="K856" s="803"/>
      <c r="L856" s="803"/>
      <c r="M856" s="804"/>
      <c r="N856" s="804"/>
      <c r="O856" s="804"/>
      <c r="P856" s="804"/>
    </row>
    <row r="857">
      <c r="B857" s="802"/>
      <c r="C857" s="802"/>
      <c r="D857" s="802"/>
      <c r="E857" s="802"/>
      <c r="F857" s="802"/>
      <c r="G857" s="803"/>
      <c r="H857" s="803"/>
      <c r="I857" s="803"/>
      <c r="J857" s="803"/>
      <c r="K857" s="803"/>
      <c r="L857" s="803"/>
      <c r="M857" s="804"/>
      <c r="N857" s="804"/>
      <c r="O857" s="804"/>
      <c r="P857" s="804"/>
    </row>
    <row r="858">
      <c r="B858" s="802"/>
      <c r="C858" s="802"/>
      <c r="D858" s="802"/>
      <c r="E858" s="802"/>
      <c r="F858" s="802"/>
      <c r="G858" s="803"/>
      <c r="H858" s="803"/>
      <c r="I858" s="803"/>
      <c r="J858" s="803"/>
      <c r="K858" s="803"/>
      <c r="L858" s="803"/>
      <c r="M858" s="804"/>
      <c r="N858" s="804"/>
      <c r="O858" s="804"/>
      <c r="P858" s="804"/>
    </row>
    <row r="859">
      <c r="B859" s="802"/>
      <c r="C859" s="802"/>
      <c r="D859" s="802"/>
      <c r="E859" s="802"/>
      <c r="F859" s="802"/>
      <c r="G859" s="803"/>
      <c r="H859" s="803"/>
      <c r="I859" s="803"/>
      <c r="J859" s="803"/>
      <c r="K859" s="803"/>
      <c r="L859" s="803"/>
      <c r="M859" s="804"/>
      <c r="N859" s="804"/>
      <c r="O859" s="804"/>
      <c r="P859" s="804"/>
    </row>
    <row r="860">
      <c r="B860" s="802"/>
      <c r="C860" s="802"/>
      <c r="D860" s="802"/>
      <c r="E860" s="802"/>
      <c r="F860" s="802"/>
      <c r="G860" s="803"/>
      <c r="H860" s="803"/>
      <c r="I860" s="803"/>
      <c r="J860" s="803"/>
      <c r="K860" s="803"/>
      <c r="L860" s="803"/>
      <c r="M860" s="804"/>
      <c r="N860" s="804"/>
      <c r="O860" s="804"/>
      <c r="P860" s="804"/>
    </row>
    <row r="861">
      <c r="B861" s="802"/>
      <c r="C861" s="802"/>
      <c r="D861" s="802"/>
      <c r="E861" s="802"/>
      <c r="F861" s="802"/>
      <c r="G861" s="803"/>
      <c r="H861" s="803"/>
      <c r="I861" s="803"/>
      <c r="J861" s="803"/>
      <c r="K861" s="803"/>
      <c r="L861" s="803"/>
      <c r="M861" s="804"/>
      <c r="N861" s="804"/>
      <c r="O861" s="804"/>
      <c r="P861" s="804"/>
    </row>
    <row r="862">
      <c r="B862" s="802"/>
      <c r="C862" s="802"/>
      <c r="D862" s="802"/>
      <c r="E862" s="802"/>
      <c r="F862" s="802"/>
      <c r="G862" s="803"/>
      <c r="H862" s="803"/>
      <c r="I862" s="803"/>
      <c r="J862" s="803"/>
      <c r="K862" s="803"/>
      <c r="L862" s="803"/>
      <c r="M862" s="804"/>
      <c r="N862" s="804"/>
      <c r="O862" s="804"/>
      <c r="P862" s="804"/>
    </row>
    <row r="863">
      <c r="B863" s="802"/>
      <c r="C863" s="802"/>
      <c r="D863" s="802"/>
      <c r="E863" s="802"/>
      <c r="F863" s="802"/>
      <c r="G863" s="803"/>
      <c r="H863" s="803"/>
      <c r="I863" s="803"/>
      <c r="J863" s="803"/>
      <c r="K863" s="803"/>
      <c r="L863" s="803"/>
      <c r="M863" s="804"/>
      <c r="N863" s="804"/>
      <c r="O863" s="804"/>
      <c r="P863" s="804"/>
    </row>
    <row r="864">
      <c r="B864" s="802"/>
      <c r="C864" s="802"/>
      <c r="D864" s="802"/>
      <c r="E864" s="802"/>
      <c r="F864" s="802"/>
      <c r="G864" s="803"/>
      <c r="H864" s="803"/>
      <c r="I864" s="803"/>
      <c r="J864" s="803"/>
      <c r="K864" s="803"/>
      <c r="L864" s="803"/>
      <c r="M864" s="804"/>
      <c r="N864" s="804"/>
      <c r="O864" s="804"/>
      <c r="P864" s="804"/>
    </row>
    <row r="865">
      <c r="B865" s="802"/>
      <c r="C865" s="802"/>
      <c r="D865" s="802"/>
      <c r="E865" s="802"/>
      <c r="F865" s="802"/>
      <c r="G865" s="803"/>
      <c r="H865" s="803"/>
      <c r="I865" s="803"/>
      <c r="J865" s="803"/>
      <c r="K865" s="803"/>
      <c r="L865" s="803"/>
      <c r="M865" s="804"/>
      <c r="N865" s="804"/>
      <c r="O865" s="804"/>
      <c r="P865" s="804"/>
    </row>
    <row r="866">
      <c r="B866" s="802"/>
      <c r="C866" s="802"/>
      <c r="D866" s="802"/>
      <c r="E866" s="802"/>
      <c r="F866" s="802"/>
      <c r="G866" s="803"/>
      <c r="H866" s="803"/>
      <c r="I866" s="803"/>
      <c r="J866" s="803"/>
      <c r="K866" s="803"/>
      <c r="L866" s="803"/>
      <c r="M866" s="804"/>
      <c r="N866" s="804"/>
      <c r="O866" s="804"/>
      <c r="P866" s="804"/>
    </row>
    <row r="867">
      <c r="B867" s="802"/>
      <c r="C867" s="802"/>
      <c r="D867" s="802"/>
      <c r="E867" s="802"/>
      <c r="F867" s="802"/>
      <c r="G867" s="803"/>
      <c r="H867" s="803"/>
      <c r="I867" s="803"/>
      <c r="J867" s="803"/>
      <c r="K867" s="803"/>
      <c r="L867" s="803"/>
      <c r="M867" s="804"/>
      <c r="N867" s="804"/>
      <c r="O867" s="804"/>
      <c r="P867" s="804"/>
    </row>
    <row r="868">
      <c r="B868" s="802"/>
      <c r="C868" s="802"/>
      <c r="D868" s="802"/>
      <c r="E868" s="802"/>
      <c r="F868" s="802"/>
      <c r="G868" s="803"/>
      <c r="H868" s="803"/>
      <c r="I868" s="803"/>
      <c r="J868" s="803"/>
      <c r="K868" s="803"/>
      <c r="L868" s="803"/>
      <c r="M868" s="804"/>
      <c r="N868" s="804"/>
      <c r="O868" s="804"/>
      <c r="P868" s="804"/>
    </row>
    <row r="869">
      <c r="B869" s="802"/>
      <c r="C869" s="802"/>
      <c r="D869" s="802"/>
      <c r="E869" s="802"/>
      <c r="F869" s="802"/>
      <c r="G869" s="803"/>
      <c r="H869" s="803"/>
      <c r="I869" s="803"/>
      <c r="J869" s="803"/>
      <c r="K869" s="803"/>
      <c r="L869" s="803"/>
      <c r="M869" s="804"/>
      <c r="N869" s="804"/>
      <c r="O869" s="804"/>
      <c r="P869" s="804"/>
    </row>
    <row r="870">
      <c r="B870" s="802"/>
      <c r="C870" s="802"/>
      <c r="D870" s="802"/>
      <c r="E870" s="802"/>
      <c r="F870" s="802"/>
      <c r="G870" s="803"/>
      <c r="H870" s="803"/>
      <c r="I870" s="803"/>
      <c r="J870" s="803"/>
      <c r="K870" s="803"/>
      <c r="L870" s="803"/>
      <c r="M870" s="804"/>
      <c r="N870" s="804"/>
      <c r="O870" s="804"/>
      <c r="P870" s="804"/>
    </row>
    <row r="871">
      <c r="B871" s="802"/>
      <c r="C871" s="802"/>
      <c r="D871" s="802"/>
      <c r="E871" s="802"/>
      <c r="F871" s="802"/>
      <c r="G871" s="803"/>
      <c r="H871" s="803"/>
      <c r="I871" s="803"/>
      <c r="J871" s="803"/>
      <c r="K871" s="803"/>
      <c r="L871" s="803"/>
      <c r="M871" s="804"/>
      <c r="N871" s="804"/>
      <c r="O871" s="804"/>
      <c r="P871" s="804"/>
    </row>
    <row r="872">
      <c r="B872" s="802"/>
      <c r="C872" s="802"/>
      <c r="D872" s="802"/>
      <c r="E872" s="802"/>
      <c r="F872" s="802"/>
      <c r="G872" s="803"/>
      <c r="H872" s="803"/>
      <c r="I872" s="803"/>
      <c r="J872" s="803"/>
      <c r="K872" s="803"/>
      <c r="L872" s="803"/>
      <c r="M872" s="804"/>
      <c r="N872" s="804"/>
      <c r="O872" s="804"/>
      <c r="P872" s="804"/>
    </row>
    <row r="873">
      <c r="B873" s="802"/>
      <c r="C873" s="802"/>
      <c r="D873" s="802"/>
      <c r="E873" s="802"/>
      <c r="F873" s="802"/>
      <c r="G873" s="803"/>
      <c r="H873" s="803"/>
      <c r="I873" s="803"/>
      <c r="J873" s="803"/>
      <c r="K873" s="803"/>
      <c r="L873" s="803"/>
      <c r="M873" s="804"/>
      <c r="N873" s="804"/>
      <c r="O873" s="804"/>
      <c r="P873" s="804"/>
    </row>
    <row r="874">
      <c r="B874" s="802"/>
      <c r="C874" s="802"/>
      <c r="D874" s="802"/>
      <c r="E874" s="802"/>
      <c r="F874" s="802"/>
      <c r="G874" s="803"/>
      <c r="H874" s="803"/>
      <c r="I874" s="803"/>
      <c r="J874" s="803"/>
      <c r="K874" s="803"/>
      <c r="L874" s="803"/>
      <c r="M874" s="804"/>
      <c r="N874" s="804"/>
      <c r="O874" s="804"/>
      <c r="P874" s="804"/>
    </row>
    <row r="875">
      <c r="B875" s="802"/>
      <c r="C875" s="802"/>
      <c r="D875" s="802"/>
      <c r="E875" s="802"/>
      <c r="F875" s="802"/>
      <c r="G875" s="803"/>
      <c r="H875" s="803"/>
      <c r="I875" s="803"/>
      <c r="J875" s="803"/>
      <c r="K875" s="803"/>
      <c r="L875" s="803"/>
      <c r="M875" s="804"/>
      <c r="N875" s="804"/>
      <c r="O875" s="804"/>
      <c r="P875" s="804"/>
    </row>
    <row r="876">
      <c r="B876" s="802"/>
      <c r="C876" s="802"/>
      <c r="D876" s="802"/>
      <c r="E876" s="802"/>
      <c r="F876" s="802"/>
      <c r="G876" s="803"/>
      <c r="H876" s="803"/>
      <c r="I876" s="803"/>
      <c r="J876" s="803"/>
      <c r="K876" s="803"/>
      <c r="L876" s="803"/>
      <c r="M876" s="804"/>
      <c r="N876" s="804"/>
      <c r="O876" s="804"/>
      <c r="P876" s="804"/>
    </row>
    <row r="877">
      <c r="B877" s="802"/>
      <c r="C877" s="802"/>
      <c r="D877" s="802"/>
      <c r="E877" s="802"/>
      <c r="F877" s="802"/>
      <c r="G877" s="803"/>
      <c r="H877" s="803"/>
      <c r="I877" s="803"/>
      <c r="J877" s="803"/>
      <c r="K877" s="803"/>
      <c r="L877" s="803"/>
      <c r="M877" s="804"/>
      <c r="N877" s="804"/>
      <c r="O877" s="804"/>
      <c r="P877" s="804"/>
    </row>
    <row r="878">
      <c r="B878" s="802"/>
      <c r="C878" s="802"/>
      <c r="D878" s="802"/>
      <c r="E878" s="802"/>
      <c r="F878" s="802"/>
      <c r="G878" s="803"/>
      <c r="H878" s="803"/>
      <c r="I878" s="803"/>
      <c r="J878" s="803"/>
      <c r="K878" s="803"/>
      <c r="L878" s="803"/>
      <c r="M878" s="804"/>
      <c r="N878" s="804"/>
      <c r="O878" s="804"/>
      <c r="P878" s="804"/>
    </row>
    <row r="879">
      <c r="B879" s="802"/>
      <c r="C879" s="802"/>
      <c r="D879" s="802"/>
      <c r="E879" s="802"/>
      <c r="F879" s="802"/>
      <c r="G879" s="803"/>
      <c r="H879" s="803"/>
      <c r="I879" s="803"/>
      <c r="J879" s="803"/>
      <c r="K879" s="803"/>
      <c r="L879" s="803"/>
      <c r="M879" s="804"/>
      <c r="N879" s="804"/>
      <c r="O879" s="804"/>
      <c r="P879" s="804"/>
    </row>
    <row r="880">
      <c r="B880" s="802"/>
      <c r="C880" s="802"/>
      <c r="D880" s="802"/>
      <c r="E880" s="802"/>
      <c r="F880" s="802"/>
      <c r="G880" s="803"/>
      <c r="H880" s="803"/>
      <c r="I880" s="803"/>
      <c r="J880" s="803"/>
      <c r="K880" s="803"/>
      <c r="L880" s="803"/>
      <c r="M880" s="804"/>
      <c r="N880" s="804"/>
      <c r="O880" s="804"/>
      <c r="P880" s="804"/>
    </row>
    <row r="881">
      <c r="B881" s="802"/>
      <c r="C881" s="802"/>
      <c r="D881" s="802"/>
      <c r="E881" s="802"/>
      <c r="F881" s="802"/>
      <c r="G881" s="803"/>
      <c r="H881" s="803"/>
      <c r="I881" s="803"/>
      <c r="J881" s="803"/>
      <c r="K881" s="803"/>
      <c r="L881" s="803"/>
      <c r="M881" s="804"/>
      <c r="N881" s="804"/>
      <c r="O881" s="804"/>
      <c r="P881" s="804"/>
    </row>
    <row r="882">
      <c r="B882" s="802"/>
      <c r="C882" s="802"/>
      <c r="D882" s="802"/>
      <c r="E882" s="802"/>
      <c r="F882" s="802"/>
      <c r="G882" s="803"/>
      <c r="H882" s="803"/>
      <c r="I882" s="803"/>
      <c r="J882" s="803"/>
      <c r="K882" s="803"/>
      <c r="L882" s="803"/>
      <c r="M882" s="804"/>
      <c r="N882" s="804"/>
      <c r="O882" s="804"/>
      <c r="P882" s="804"/>
    </row>
    <row r="883">
      <c r="B883" s="802"/>
      <c r="C883" s="802"/>
      <c r="D883" s="802"/>
      <c r="E883" s="802"/>
      <c r="F883" s="802"/>
      <c r="G883" s="803"/>
      <c r="H883" s="803"/>
      <c r="I883" s="803"/>
      <c r="J883" s="803"/>
      <c r="K883" s="803"/>
      <c r="L883" s="803"/>
      <c r="M883" s="804"/>
      <c r="N883" s="804"/>
      <c r="O883" s="804"/>
      <c r="P883" s="804"/>
    </row>
    <row r="884">
      <c r="B884" s="802"/>
      <c r="C884" s="802"/>
      <c r="D884" s="802"/>
      <c r="E884" s="802"/>
      <c r="F884" s="802"/>
      <c r="G884" s="803"/>
      <c r="H884" s="803"/>
      <c r="I884" s="803"/>
      <c r="J884" s="803"/>
      <c r="K884" s="803"/>
      <c r="L884" s="803"/>
      <c r="M884" s="804"/>
      <c r="N884" s="804"/>
      <c r="O884" s="804"/>
      <c r="P884" s="804"/>
    </row>
    <row r="885">
      <c r="B885" s="802"/>
      <c r="C885" s="802"/>
      <c r="D885" s="802"/>
      <c r="E885" s="802"/>
      <c r="F885" s="802"/>
      <c r="G885" s="803"/>
      <c r="H885" s="803"/>
      <c r="I885" s="803"/>
      <c r="J885" s="803"/>
      <c r="K885" s="803"/>
      <c r="L885" s="803"/>
      <c r="M885" s="804"/>
      <c r="N885" s="804"/>
      <c r="O885" s="804"/>
      <c r="P885" s="804"/>
    </row>
    <row r="886">
      <c r="B886" s="802"/>
      <c r="C886" s="802"/>
      <c r="D886" s="802"/>
      <c r="E886" s="802"/>
      <c r="F886" s="802"/>
      <c r="G886" s="803"/>
      <c r="H886" s="803"/>
      <c r="I886" s="803"/>
      <c r="J886" s="803"/>
      <c r="K886" s="803"/>
      <c r="L886" s="803"/>
      <c r="M886" s="804"/>
      <c r="N886" s="804"/>
      <c r="O886" s="804"/>
      <c r="P886" s="804"/>
    </row>
    <row r="887">
      <c r="B887" s="802"/>
      <c r="C887" s="802"/>
      <c r="D887" s="802"/>
      <c r="E887" s="802"/>
      <c r="F887" s="802"/>
      <c r="G887" s="803"/>
      <c r="H887" s="803"/>
      <c r="I887" s="803"/>
      <c r="J887" s="803"/>
      <c r="K887" s="803"/>
      <c r="L887" s="803"/>
      <c r="M887" s="804"/>
      <c r="N887" s="804"/>
      <c r="O887" s="804"/>
      <c r="P887" s="804"/>
    </row>
    <row r="888">
      <c r="B888" s="802"/>
      <c r="C888" s="802"/>
      <c r="D888" s="802"/>
      <c r="E888" s="802"/>
      <c r="F888" s="802"/>
      <c r="G888" s="803"/>
      <c r="H888" s="803"/>
      <c r="I888" s="803"/>
      <c r="J888" s="803"/>
      <c r="K888" s="803"/>
      <c r="L888" s="803"/>
      <c r="M888" s="804"/>
      <c r="N888" s="804"/>
      <c r="O888" s="804"/>
      <c r="P888" s="804"/>
    </row>
    <row r="889">
      <c r="B889" s="802"/>
      <c r="C889" s="802"/>
      <c r="D889" s="802"/>
      <c r="E889" s="802"/>
      <c r="F889" s="802"/>
      <c r="G889" s="803"/>
      <c r="H889" s="803"/>
      <c r="I889" s="803"/>
      <c r="J889" s="803"/>
      <c r="K889" s="803"/>
      <c r="L889" s="803"/>
      <c r="M889" s="804"/>
      <c r="N889" s="804"/>
      <c r="O889" s="804"/>
      <c r="P889" s="804"/>
    </row>
    <row r="890">
      <c r="B890" s="802"/>
      <c r="C890" s="802"/>
      <c r="D890" s="802"/>
      <c r="E890" s="802"/>
      <c r="F890" s="802"/>
      <c r="G890" s="803"/>
      <c r="H890" s="803"/>
      <c r="I890" s="803"/>
      <c r="J890" s="803"/>
      <c r="K890" s="803"/>
      <c r="L890" s="803"/>
      <c r="M890" s="804"/>
      <c r="N890" s="804"/>
      <c r="O890" s="804"/>
      <c r="P890" s="804"/>
    </row>
    <row r="891">
      <c r="B891" s="802"/>
      <c r="C891" s="802"/>
      <c r="D891" s="802"/>
      <c r="E891" s="802"/>
      <c r="F891" s="802"/>
      <c r="G891" s="803"/>
      <c r="H891" s="803"/>
      <c r="I891" s="803"/>
      <c r="J891" s="803"/>
      <c r="K891" s="803"/>
      <c r="L891" s="803"/>
      <c r="M891" s="804"/>
      <c r="N891" s="804"/>
      <c r="O891" s="804"/>
      <c r="P891" s="804"/>
    </row>
    <row r="892">
      <c r="B892" s="802"/>
      <c r="C892" s="802"/>
      <c r="D892" s="802"/>
      <c r="E892" s="802"/>
      <c r="F892" s="802"/>
      <c r="G892" s="803"/>
      <c r="H892" s="803"/>
      <c r="I892" s="803"/>
      <c r="J892" s="803"/>
      <c r="K892" s="803"/>
      <c r="L892" s="803"/>
      <c r="M892" s="804"/>
      <c r="N892" s="804"/>
      <c r="O892" s="804"/>
      <c r="P892" s="804"/>
    </row>
    <row r="893">
      <c r="B893" s="802"/>
      <c r="C893" s="802"/>
      <c r="D893" s="802"/>
      <c r="E893" s="802"/>
      <c r="F893" s="802"/>
      <c r="G893" s="803"/>
      <c r="H893" s="803"/>
      <c r="I893" s="803"/>
      <c r="J893" s="803"/>
      <c r="K893" s="803"/>
      <c r="L893" s="803"/>
      <c r="M893" s="804"/>
      <c r="N893" s="804"/>
      <c r="O893" s="804"/>
      <c r="P893" s="804"/>
    </row>
    <row r="894">
      <c r="B894" s="802"/>
      <c r="C894" s="802"/>
      <c r="D894" s="802"/>
      <c r="E894" s="802"/>
      <c r="F894" s="802"/>
      <c r="G894" s="803"/>
      <c r="H894" s="803"/>
      <c r="I894" s="803"/>
      <c r="J894" s="803"/>
      <c r="K894" s="803"/>
      <c r="L894" s="803"/>
      <c r="M894" s="804"/>
      <c r="N894" s="804"/>
      <c r="O894" s="804"/>
      <c r="P894" s="804"/>
    </row>
    <row r="895">
      <c r="B895" s="802"/>
      <c r="C895" s="802"/>
      <c r="D895" s="802"/>
      <c r="E895" s="802"/>
      <c r="F895" s="802"/>
      <c r="G895" s="803"/>
      <c r="H895" s="803"/>
      <c r="I895" s="803"/>
      <c r="J895" s="803"/>
      <c r="K895" s="803"/>
      <c r="L895" s="803"/>
      <c r="M895" s="804"/>
      <c r="N895" s="804"/>
      <c r="O895" s="804"/>
      <c r="P895" s="804"/>
    </row>
    <row r="896">
      <c r="B896" s="802"/>
      <c r="C896" s="802"/>
      <c r="D896" s="802"/>
      <c r="E896" s="802"/>
      <c r="F896" s="802"/>
      <c r="G896" s="803"/>
      <c r="H896" s="803"/>
      <c r="I896" s="803"/>
      <c r="J896" s="803"/>
      <c r="K896" s="803"/>
      <c r="L896" s="803"/>
      <c r="M896" s="804"/>
      <c r="N896" s="804"/>
      <c r="O896" s="804"/>
      <c r="P896" s="804"/>
    </row>
    <row r="897">
      <c r="B897" s="802"/>
      <c r="C897" s="802"/>
      <c r="D897" s="802"/>
      <c r="E897" s="802"/>
      <c r="F897" s="802"/>
      <c r="G897" s="803"/>
      <c r="H897" s="803"/>
      <c r="I897" s="803"/>
      <c r="J897" s="803"/>
      <c r="K897" s="803"/>
      <c r="L897" s="803"/>
      <c r="M897" s="804"/>
      <c r="N897" s="804"/>
      <c r="O897" s="804"/>
      <c r="P897" s="804"/>
    </row>
    <row r="898">
      <c r="B898" s="802"/>
      <c r="C898" s="802"/>
      <c r="D898" s="802"/>
      <c r="E898" s="802"/>
      <c r="F898" s="802"/>
      <c r="G898" s="803"/>
      <c r="H898" s="803"/>
      <c r="I898" s="803"/>
      <c r="J898" s="803"/>
      <c r="K898" s="803"/>
      <c r="L898" s="803"/>
      <c r="M898" s="804"/>
      <c r="N898" s="804"/>
      <c r="O898" s="804"/>
      <c r="P898" s="804"/>
    </row>
    <row r="899">
      <c r="B899" s="802"/>
      <c r="C899" s="802"/>
      <c r="D899" s="802"/>
      <c r="E899" s="802"/>
      <c r="F899" s="802"/>
      <c r="G899" s="803"/>
      <c r="H899" s="803"/>
      <c r="I899" s="803"/>
      <c r="J899" s="803"/>
      <c r="K899" s="803"/>
      <c r="L899" s="803"/>
      <c r="M899" s="804"/>
      <c r="N899" s="804"/>
      <c r="O899" s="804"/>
      <c r="P899" s="804"/>
    </row>
    <row r="900">
      <c r="B900" s="802"/>
      <c r="C900" s="802"/>
      <c r="D900" s="802"/>
      <c r="E900" s="802"/>
      <c r="F900" s="802"/>
      <c r="G900" s="803"/>
      <c r="H900" s="803"/>
      <c r="I900" s="803"/>
      <c r="J900" s="803"/>
      <c r="K900" s="803"/>
      <c r="L900" s="803"/>
      <c r="M900" s="804"/>
      <c r="N900" s="804"/>
      <c r="O900" s="804"/>
      <c r="P900" s="804"/>
    </row>
    <row r="901">
      <c r="B901" s="802"/>
      <c r="C901" s="802"/>
      <c r="D901" s="802"/>
      <c r="E901" s="802"/>
      <c r="F901" s="802"/>
      <c r="G901" s="803"/>
      <c r="H901" s="803"/>
      <c r="I901" s="803"/>
      <c r="J901" s="803"/>
      <c r="K901" s="803"/>
      <c r="L901" s="803"/>
      <c r="M901" s="804"/>
      <c r="N901" s="804"/>
      <c r="O901" s="804"/>
      <c r="P901" s="804"/>
    </row>
    <row r="902">
      <c r="B902" s="802"/>
      <c r="C902" s="802"/>
      <c r="D902" s="802"/>
      <c r="E902" s="802"/>
      <c r="F902" s="802"/>
      <c r="G902" s="803"/>
      <c r="H902" s="803"/>
      <c r="I902" s="803"/>
      <c r="J902" s="803"/>
      <c r="K902" s="803"/>
      <c r="L902" s="803"/>
      <c r="M902" s="804"/>
      <c r="N902" s="804"/>
      <c r="O902" s="804"/>
      <c r="P902" s="804"/>
    </row>
    <row r="903">
      <c r="B903" s="802"/>
      <c r="C903" s="802"/>
      <c r="D903" s="802"/>
      <c r="E903" s="802"/>
      <c r="F903" s="802"/>
      <c r="G903" s="803"/>
      <c r="H903" s="803"/>
      <c r="I903" s="803"/>
      <c r="J903" s="803"/>
      <c r="K903" s="803"/>
      <c r="L903" s="803"/>
      <c r="M903" s="804"/>
      <c r="N903" s="804"/>
      <c r="O903" s="804"/>
      <c r="P903" s="804"/>
    </row>
    <row r="904">
      <c r="B904" s="802"/>
      <c r="C904" s="802"/>
      <c r="D904" s="802"/>
      <c r="E904" s="802"/>
      <c r="F904" s="802"/>
      <c r="G904" s="803"/>
      <c r="H904" s="803"/>
      <c r="I904" s="803"/>
      <c r="J904" s="803"/>
      <c r="K904" s="803"/>
      <c r="L904" s="803"/>
      <c r="M904" s="804"/>
      <c r="N904" s="804"/>
      <c r="O904" s="804"/>
      <c r="P904" s="804"/>
    </row>
    <row r="905">
      <c r="B905" s="802"/>
      <c r="C905" s="802"/>
      <c r="D905" s="802"/>
      <c r="E905" s="802"/>
      <c r="F905" s="802"/>
      <c r="G905" s="803"/>
      <c r="H905" s="803"/>
      <c r="I905" s="803"/>
      <c r="J905" s="803"/>
      <c r="K905" s="803"/>
      <c r="L905" s="803"/>
      <c r="M905" s="804"/>
      <c r="N905" s="804"/>
      <c r="O905" s="804"/>
      <c r="P905" s="804"/>
    </row>
    <row r="906">
      <c r="B906" s="802"/>
      <c r="C906" s="802"/>
      <c r="D906" s="802"/>
      <c r="E906" s="802"/>
      <c r="F906" s="802"/>
      <c r="G906" s="803"/>
      <c r="H906" s="803"/>
      <c r="I906" s="803"/>
      <c r="J906" s="803"/>
      <c r="K906" s="803"/>
      <c r="L906" s="803"/>
      <c r="M906" s="804"/>
      <c r="N906" s="804"/>
      <c r="O906" s="804"/>
      <c r="P906" s="804"/>
    </row>
    <row r="907">
      <c r="B907" s="802"/>
      <c r="C907" s="802"/>
      <c r="D907" s="802"/>
      <c r="E907" s="802"/>
      <c r="F907" s="802"/>
      <c r="G907" s="803"/>
      <c r="H907" s="803"/>
      <c r="I907" s="803"/>
      <c r="J907" s="803"/>
      <c r="K907" s="803"/>
      <c r="L907" s="803"/>
      <c r="M907" s="804"/>
      <c r="N907" s="804"/>
      <c r="O907" s="804"/>
      <c r="P907" s="804"/>
    </row>
    <row r="908">
      <c r="B908" s="802"/>
      <c r="C908" s="802"/>
      <c r="D908" s="802"/>
      <c r="E908" s="802"/>
      <c r="F908" s="802"/>
      <c r="G908" s="803"/>
      <c r="H908" s="803"/>
      <c r="I908" s="803"/>
      <c r="J908" s="803"/>
      <c r="K908" s="803"/>
      <c r="L908" s="803"/>
      <c r="M908" s="804"/>
      <c r="N908" s="804"/>
      <c r="O908" s="804"/>
      <c r="P908" s="804"/>
    </row>
    <row r="909">
      <c r="B909" s="802"/>
      <c r="C909" s="802"/>
      <c r="D909" s="802"/>
      <c r="E909" s="802"/>
      <c r="F909" s="802"/>
      <c r="G909" s="803"/>
      <c r="H909" s="803"/>
      <c r="I909" s="803"/>
      <c r="J909" s="803"/>
      <c r="K909" s="803"/>
      <c r="L909" s="803"/>
      <c r="M909" s="804"/>
      <c r="N909" s="804"/>
      <c r="O909" s="804"/>
      <c r="P909" s="804"/>
    </row>
    <row r="910">
      <c r="B910" s="802"/>
      <c r="C910" s="802"/>
      <c r="D910" s="802"/>
      <c r="E910" s="802"/>
      <c r="F910" s="802"/>
      <c r="G910" s="803"/>
      <c r="H910" s="803"/>
      <c r="I910" s="803"/>
      <c r="J910" s="803"/>
      <c r="K910" s="803"/>
      <c r="L910" s="803"/>
      <c r="M910" s="804"/>
      <c r="N910" s="804"/>
      <c r="O910" s="804"/>
      <c r="P910" s="804"/>
    </row>
    <row r="911">
      <c r="B911" s="802"/>
      <c r="C911" s="802"/>
      <c r="D911" s="802"/>
      <c r="E911" s="802"/>
      <c r="F911" s="802"/>
      <c r="G911" s="803"/>
      <c r="H911" s="803"/>
      <c r="I911" s="803"/>
      <c r="J911" s="803"/>
      <c r="K911" s="803"/>
      <c r="L911" s="803"/>
      <c r="M911" s="804"/>
      <c r="N911" s="804"/>
      <c r="O911" s="804"/>
      <c r="P911" s="804"/>
    </row>
    <row r="912">
      <c r="B912" s="802"/>
      <c r="C912" s="802"/>
      <c r="D912" s="802"/>
      <c r="E912" s="802"/>
      <c r="F912" s="802"/>
      <c r="G912" s="803"/>
      <c r="H912" s="803"/>
      <c r="I912" s="803"/>
      <c r="J912" s="803"/>
      <c r="K912" s="803"/>
      <c r="L912" s="803"/>
      <c r="M912" s="804"/>
      <c r="N912" s="804"/>
      <c r="O912" s="804"/>
      <c r="P912" s="804"/>
    </row>
    <row r="913">
      <c r="B913" s="802"/>
      <c r="C913" s="802"/>
      <c r="D913" s="802"/>
      <c r="E913" s="802"/>
      <c r="F913" s="802"/>
      <c r="G913" s="803"/>
      <c r="H913" s="803"/>
      <c r="I913" s="803"/>
      <c r="J913" s="803"/>
      <c r="K913" s="803"/>
      <c r="L913" s="803"/>
      <c r="M913" s="804"/>
      <c r="N913" s="804"/>
      <c r="O913" s="804"/>
      <c r="P913" s="804"/>
    </row>
    <row r="914">
      <c r="B914" s="802"/>
      <c r="C914" s="802"/>
      <c r="D914" s="802"/>
      <c r="E914" s="802"/>
      <c r="F914" s="802"/>
      <c r="G914" s="803"/>
      <c r="H914" s="803"/>
      <c r="I914" s="803"/>
      <c r="J914" s="803"/>
      <c r="K914" s="803"/>
      <c r="L914" s="803"/>
      <c r="M914" s="804"/>
      <c r="N914" s="804"/>
      <c r="O914" s="804"/>
      <c r="P914" s="804"/>
    </row>
    <row r="915">
      <c r="B915" s="802"/>
      <c r="C915" s="802"/>
      <c r="D915" s="802"/>
      <c r="E915" s="802"/>
      <c r="F915" s="802"/>
      <c r="G915" s="803"/>
      <c r="H915" s="803"/>
      <c r="I915" s="803"/>
      <c r="J915" s="803"/>
      <c r="K915" s="803"/>
      <c r="L915" s="803"/>
      <c r="M915" s="804"/>
      <c r="N915" s="804"/>
      <c r="O915" s="804"/>
      <c r="P915" s="804"/>
    </row>
    <row r="916">
      <c r="B916" s="802"/>
      <c r="C916" s="802"/>
      <c r="D916" s="802"/>
      <c r="E916" s="802"/>
      <c r="F916" s="802"/>
      <c r="G916" s="803"/>
      <c r="H916" s="803"/>
      <c r="I916" s="803"/>
      <c r="J916" s="803"/>
      <c r="K916" s="803"/>
      <c r="L916" s="803"/>
      <c r="M916" s="804"/>
      <c r="N916" s="804"/>
      <c r="O916" s="804"/>
      <c r="P916" s="804"/>
    </row>
    <row r="917">
      <c r="B917" s="802"/>
      <c r="C917" s="802"/>
      <c r="D917" s="802"/>
      <c r="E917" s="802"/>
      <c r="F917" s="802"/>
      <c r="G917" s="803"/>
      <c r="H917" s="803"/>
      <c r="I917" s="803"/>
      <c r="J917" s="803"/>
      <c r="K917" s="803"/>
      <c r="L917" s="803"/>
      <c r="M917" s="804"/>
      <c r="N917" s="804"/>
      <c r="O917" s="804"/>
      <c r="P917" s="804"/>
    </row>
    <row r="918">
      <c r="B918" s="802"/>
      <c r="C918" s="802"/>
      <c r="D918" s="802"/>
      <c r="E918" s="802"/>
      <c r="F918" s="802"/>
      <c r="G918" s="803"/>
      <c r="H918" s="803"/>
      <c r="I918" s="803"/>
      <c r="J918" s="803"/>
      <c r="K918" s="803"/>
      <c r="L918" s="803"/>
      <c r="M918" s="804"/>
      <c r="N918" s="804"/>
      <c r="O918" s="804"/>
      <c r="P918" s="804"/>
    </row>
    <row r="919">
      <c r="B919" s="802"/>
      <c r="C919" s="802"/>
      <c r="D919" s="802"/>
      <c r="E919" s="802"/>
      <c r="F919" s="802"/>
      <c r="G919" s="803"/>
      <c r="H919" s="803"/>
      <c r="I919" s="803"/>
      <c r="J919" s="803"/>
      <c r="K919" s="803"/>
      <c r="L919" s="803"/>
      <c r="M919" s="804"/>
      <c r="N919" s="804"/>
      <c r="O919" s="804"/>
      <c r="P919" s="804"/>
    </row>
    <row r="920">
      <c r="B920" s="802"/>
      <c r="C920" s="802"/>
      <c r="D920" s="802"/>
      <c r="E920" s="802"/>
      <c r="F920" s="802"/>
      <c r="G920" s="803"/>
      <c r="H920" s="803"/>
      <c r="I920" s="803"/>
      <c r="J920" s="803"/>
      <c r="K920" s="803"/>
      <c r="L920" s="803"/>
      <c r="M920" s="804"/>
      <c r="N920" s="804"/>
      <c r="O920" s="804"/>
      <c r="P920" s="804"/>
    </row>
    <row r="921">
      <c r="B921" s="802"/>
      <c r="C921" s="802"/>
      <c r="D921" s="802"/>
      <c r="E921" s="802"/>
      <c r="F921" s="802"/>
      <c r="G921" s="803"/>
      <c r="H921" s="803"/>
      <c r="I921" s="803"/>
      <c r="J921" s="803"/>
      <c r="K921" s="803"/>
      <c r="L921" s="803"/>
      <c r="M921" s="804"/>
      <c r="N921" s="804"/>
      <c r="O921" s="804"/>
      <c r="P921" s="804"/>
    </row>
    <row r="922">
      <c r="B922" s="802"/>
      <c r="C922" s="802"/>
      <c r="D922" s="802"/>
      <c r="E922" s="802"/>
      <c r="F922" s="802"/>
      <c r="G922" s="803"/>
      <c r="H922" s="803"/>
      <c r="I922" s="803"/>
      <c r="J922" s="803"/>
      <c r="K922" s="803"/>
      <c r="L922" s="803"/>
      <c r="M922" s="804"/>
      <c r="N922" s="804"/>
      <c r="O922" s="804"/>
      <c r="P922" s="804"/>
    </row>
    <row r="923">
      <c r="B923" s="802"/>
      <c r="C923" s="802"/>
      <c r="D923" s="802"/>
      <c r="E923" s="802"/>
      <c r="F923" s="802"/>
      <c r="G923" s="803"/>
      <c r="H923" s="803"/>
      <c r="I923" s="803"/>
      <c r="J923" s="803"/>
      <c r="K923" s="803"/>
      <c r="L923" s="803"/>
      <c r="M923" s="804"/>
      <c r="N923" s="804"/>
      <c r="O923" s="804"/>
      <c r="P923" s="804"/>
    </row>
    <row r="924">
      <c r="B924" s="802"/>
      <c r="C924" s="802"/>
      <c r="D924" s="802"/>
      <c r="E924" s="802"/>
      <c r="F924" s="802"/>
      <c r="G924" s="803"/>
      <c r="H924" s="803"/>
      <c r="I924" s="803"/>
      <c r="J924" s="803"/>
      <c r="K924" s="803"/>
      <c r="L924" s="803"/>
      <c r="M924" s="804"/>
      <c r="N924" s="804"/>
      <c r="O924" s="804"/>
      <c r="P924" s="804"/>
    </row>
    <row r="925">
      <c r="B925" s="802"/>
      <c r="C925" s="802"/>
      <c r="D925" s="802"/>
      <c r="E925" s="802"/>
      <c r="F925" s="802"/>
      <c r="G925" s="803"/>
      <c r="H925" s="803"/>
      <c r="I925" s="803"/>
      <c r="J925" s="803"/>
      <c r="K925" s="803"/>
      <c r="L925" s="803"/>
      <c r="M925" s="804"/>
      <c r="N925" s="804"/>
      <c r="O925" s="804"/>
      <c r="P925" s="804"/>
    </row>
    <row r="926">
      <c r="B926" s="802"/>
      <c r="C926" s="802"/>
      <c r="D926" s="802"/>
      <c r="E926" s="802"/>
      <c r="F926" s="802"/>
      <c r="G926" s="803"/>
      <c r="H926" s="803"/>
      <c r="I926" s="803"/>
      <c r="J926" s="803"/>
      <c r="K926" s="803"/>
      <c r="L926" s="803"/>
      <c r="M926" s="804"/>
      <c r="N926" s="804"/>
      <c r="O926" s="804"/>
      <c r="P926" s="804"/>
    </row>
    <row r="927">
      <c r="B927" s="802"/>
      <c r="C927" s="802"/>
      <c r="D927" s="802"/>
      <c r="E927" s="802"/>
      <c r="F927" s="802"/>
      <c r="G927" s="803"/>
      <c r="H927" s="803"/>
      <c r="I927" s="803"/>
      <c r="J927" s="803"/>
      <c r="K927" s="803"/>
      <c r="L927" s="803"/>
      <c r="M927" s="804"/>
      <c r="N927" s="804"/>
      <c r="O927" s="804"/>
      <c r="P927" s="804"/>
    </row>
    <row r="928">
      <c r="B928" s="802"/>
      <c r="C928" s="802"/>
      <c r="D928" s="802"/>
      <c r="E928" s="802"/>
      <c r="F928" s="802"/>
      <c r="G928" s="803"/>
      <c r="H928" s="803"/>
      <c r="I928" s="803"/>
      <c r="J928" s="803"/>
      <c r="K928" s="803"/>
      <c r="L928" s="803"/>
      <c r="M928" s="804"/>
      <c r="N928" s="804"/>
      <c r="O928" s="804"/>
      <c r="P928" s="804"/>
    </row>
    <row r="929">
      <c r="B929" s="802"/>
      <c r="C929" s="802"/>
      <c r="D929" s="802"/>
      <c r="E929" s="802"/>
      <c r="F929" s="802"/>
      <c r="G929" s="803"/>
      <c r="H929" s="803"/>
      <c r="I929" s="803"/>
      <c r="J929" s="803"/>
      <c r="K929" s="803"/>
      <c r="L929" s="803"/>
      <c r="M929" s="804"/>
      <c r="N929" s="804"/>
      <c r="O929" s="804"/>
      <c r="P929" s="804"/>
    </row>
    <row r="930">
      <c r="B930" s="802"/>
      <c r="C930" s="802"/>
      <c r="D930" s="802"/>
      <c r="E930" s="802"/>
      <c r="F930" s="802"/>
      <c r="G930" s="803"/>
      <c r="H930" s="803"/>
      <c r="I930" s="803"/>
      <c r="J930" s="803"/>
      <c r="K930" s="803"/>
      <c r="L930" s="803"/>
      <c r="M930" s="804"/>
      <c r="N930" s="804"/>
      <c r="O930" s="804"/>
      <c r="P930" s="804"/>
    </row>
    <row r="931">
      <c r="B931" s="802"/>
      <c r="C931" s="802"/>
      <c r="D931" s="802"/>
      <c r="E931" s="802"/>
      <c r="F931" s="802"/>
      <c r="G931" s="803"/>
      <c r="H931" s="803"/>
      <c r="I931" s="803"/>
      <c r="J931" s="803"/>
      <c r="K931" s="803"/>
      <c r="L931" s="803"/>
      <c r="M931" s="804"/>
      <c r="N931" s="804"/>
      <c r="O931" s="804"/>
      <c r="P931" s="804"/>
    </row>
    <row r="932">
      <c r="B932" s="802"/>
      <c r="C932" s="802"/>
      <c r="D932" s="802"/>
      <c r="E932" s="802"/>
      <c r="F932" s="802"/>
      <c r="G932" s="803"/>
      <c r="H932" s="803"/>
      <c r="I932" s="803"/>
      <c r="J932" s="803"/>
      <c r="K932" s="803"/>
      <c r="L932" s="803"/>
      <c r="M932" s="804"/>
      <c r="N932" s="804"/>
      <c r="O932" s="804"/>
      <c r="P932" s="804"/>
    </row>
    <row r="933">
      <c r="B933" s="802"/>
      <c r="C933" s="802"/>
      <c r="D933" s="802"/>
      <c r="E933" s="802"/>
      <c r="F933" s="802"/>
      <c r="G933" s="803"/>
      <c r="H933" s="803"/>
      <c r="I933" s="803"/>
      <c r="J933" s="803"/>
      <c r="K933" s="803"/>
      <c r="L933" s="803"/>
      <c r="M933" s="804"/>
      <c r="N933" s="804"/>
      <c r="O933" s="804"/>
      <c r="P933" s="804"/>
    </row>
    <row r="934">
      <c r="B934" s="802"/>
      <c r="C934" s="802"/>
      <c r="D934" s="802"/>
      <c r="E934" s="802"/>
      <c r="F934" s="802"/>
      <c r="G934" s="803"/>
      <c r="H934" s="803"/>
      <c r="I934" s="803"/>
      <c r="J934" s="803"/>
      <c r="K934" s="803"/>
      <c r="L934" s="803"/>
      <c r="M934" s="804"/>
      <c r="N934" s="804"/>
      <c r="O934" s="804"/>
      <c r="P934" s="804"/>
    </row>
    <row r="935">
      <c r="B935" s="802"/>
      <c r="C935" s="802"/>
      <c r="D935" s="802"/>
      <c r="E935" s="802"/>
      <c r="F935" s="802"/>
      <c r="G935" s="803"/>
      <c r="H935" s="803"/>
      <c r="I935" s="803"/>
      <c r="J935" s="803"/>
      <c r="K935" s="803"/>
      <c r="L935" s="803"/>
      <c r="M935" s="804"/>
      <c r="N935" s="804"/>
      <c r="O935" s="804"/>
      <c r="P935" s="804"/>
    </row>
    <row r="936">
      <c r="B936" s="802"/>
      <c r="C936" s="802"/>
      <c r="D936" s="802"/>
      <c r="E936" s="802"/>
      <c r="F936" s="802"/>
      <c r="G936" s="803"/>
      <c r="H936" s="803"/>
      <c r="I936" s="803"/>
      <c r="J936" s="803"/>
      <c r="K936" s="803"/>
      <c r="L936" s="803"/>
      <c r="M936" s="804"/>
      <c r="N936" s="804"/>
      <c r="O936" s="804"/>
      <c r="P936" s="804"/>
    </row>
    <row r="937">
      <c r="B937" s="802"/>
      <c r="C937" s="802"/>
      <c r="D937" s="802"/>
      <c r="E937" s="802"/>
      <c r="F937" s="802"/>
      <c r="G937" s="803"/>
      <c r="H937" s="803"/>
      <c r="I937" s="803"/>
      <c r="J937" s="803"/>
      <c r="K937" s="803"/>
      <c r="L937" s="803"/>
      <c r="M937" s="804"/>
      <c r="N937" s="804"/>
      <c r="O937" s="804"/>
      <c r="P937" s="804"/>
    </row>
    <row r="938">
      <c r="B938" s="802"/>
      <c r="C938" s="802"/>
      <c r="D938" s="802"/>
      <c r="E938" s="802"/>
      <c r="F938" s="802"/>
      <c r="G938" s="803"/>
      <c r="H938" s="803"/>
      <c r="I938" s="803"/>
      <c r="J938" s="803"/>
      <c r="K938" s="803"/>
      <c r="L938" s="803"/>
      <c r="M938" s="804"/>
      <c r="N938" s="804"/>
      <c r="O938" s="804"/>
      <c r="P938" s="804"/>
    </row>
    <row r="939">
      <c r="B939" s="802"/>
      <c r="C939" s="802"/>
      <c r="D939" s="802"/>
      <c r="E939" s="802"/>
      <c r="F939" s="802"/>
      <c r="G939" s="803"/>
      <c r="H939" s="803"/>
      <c r="I939" s="803"/>
      <c r="J939" s="803"/>
      <c r="K939" s="803"/>
      <c r="L939" s="803"/>
      <c r="M939" s="804"/>
      <c r="N939" s="804"/>
      <c r="O939" s="804"/>
      <c r="P939" s="804"/>
    </row>
    <row r="940">
      <c r="B940" s="802"/>
      <c r="C940" s="802"/>
      <c r="D940" s="802"/>
      <c r="E940" s="802"/>
      <c r="F940" s="802"/>
      <c r="G940" s="803"/>
      <c r="H940" s="803"/>
      <c r="I940" s="803"/>
      <c r="J940" s="803"/>
      <c r="K940" s="803"/>
      <c r="L940" s="803"/>
      <c r="M940" s="804"/>
      <c r="N940" s="804"/>
      <c r="O940" s="804"/>
      <c r="P940" s="804"/>
    </row>
    <row r="941">
      <c r="B941" s="802"/>
      <c r="C941" s="802"/>
      <c r="D941" s="802"/>
      <c r="E941" s="802"/>
      <c r="F941" s="802"/>
      <c r="G941" s="803"/>
      <c r="H941" s="803"/>
      <c r="I941" s="803"/>
      <c r="J941" s="803"/>
      <c r="K941" s="803"/>
      <c r="L941" s="803"/>
      <c r="M941" s="804"/>
      <c r="N941" s="804"/>
      <c r="O941" s="804"/>
      <c r="P941" s="804"/>
    </row>
    <row r="942">
      <c r="B942" s="802"/>
      <c r="C942" s="802"/>
      <c r="D942" s="802"/>
      <c r="E942" s="802"/>
      <c r="F942" s="802"/>
      <c r="G942" s="803"/>
      <c r="H942" s="803"/>
      <c r="I942" s="803"/>
      <c r="J942" s="803"/>
      <c r="K942" s="803"/>
      <c r="L942" s="803"/>
      <c r="M942" s="804"/>
      <c r="N942" s="804"/>
      <c r="O942" s="804"/>
      <c r="P942" s="804"/>
    </row>
    <row r="943">
      <c r="B943" s="802"/>
      <c r="C943" s="802"/>
      <c r="D943" s="802"/>
      <c r="E943" s="802"/>
      <c r="F943" s="802"/>
      <c r="G943" s="803"/>
      <c r="H943" s="803"/>
      <c r="I943" s="803"/>
      <c r="J943" s="803"/>
      <c r="K943" s="803"/>
      <c r="L943" s="803"/>
      <c r="M943" s="804"/>
      <c r="N943" s="804"/>
      <c r="O943" s="804"/>
      <c r="P943" s="804"/>
    </row>
    <row r="944">
      <c r="B944" s="802"/>
      <c r="C944" s="802"/>
      <c r="D944" s="802"/>
      <c r="E944" s="802"/>
      <c r="F944" s="802"/>
      <c r="G944" s="803"/>
      <c r="H944" s="803"/>
      <c r="I944" s="803"/>
      <c r="J944" s="803"/>
      <c r="K944" s="803"/>
      <c r="L944" s="803"/>
      <c r="M944" s="804"/>
      <c r="N944" s="804"/>
      <c r="O944" s="804"/>
      <c r="P944" s="804"/>
    </row>
    <row r="945">
      <c r="B945" s="802"/>
      <c r="C945" s="802"/>
      <c r="D945" s="802"/>
      <c r="E945" s="802"/>
      <c r="F945" s="802"/>
      <c r="G945" s="803"/>
      <c r="H945" s="803"/>
      <c r="I945" s="803"/>
      <c r="J945" s="803"/>
      <c r="K945" s="803"/>
      <c r="L945" s="803"/>
      <c r="M945" s="804"/>
      <c r="N945" s="804"/>
      <c r="O945" s="804"/>
      <c r="P945" s="804"/>
    </row>
    <row r="946">
      <c r="B946" s="802"/>
      <c r="C946" s="802"/>
      <c r="D946" s="802"/>
      <c r="E946" s="802"/>
      <c r="F946" s="802"/>
      <c r="G946" s="803"/>
      <c r="H946" s="803"/>
      <c r="I946" s="803"/>
      <c r="J946" s="803"/>
      <c r="K946" s="803"/>
      <c r="L946" s="803"/>
      <c r="M946" s="804"/>
      <c r="N946" s="804"/>
      <c r="O946" s="804"/>
      <c r="P946" s="804"/>
    </row>
    <row r="947">
      <c r="B947" s="802"/>
      <c r="C947" s="802"/>
      <c r="D947" s="802"/>
      <c r="E947" s="802"/>
      <c r="F947" s="802"/>
      <c r="G947" s="803"/>
      <c r="H947" s="803"/>
      <c r="I947" s="803"/>
      <c r="J947" s="803"/>
      <c r="K947" s="803"/>
      <c r="L947" s="803"/>
      <c r="M947" s="804"/>
      <c r="N947" s="804"/>
      <c r="O947" s="804"/>
      <c r="P947" s="804"/>
    </row>
    <row r="948">
      <c r="B948" s="802"/>
      <c r="C948" s="802"/>
      <c r="D948" s="802"/>
      <c r="E948" s="802"/>
      <c r="F948" s="802"/>
      <c r="G948" s="803"/>
      <c r="H948" s="803"/>
      <c r="I948" s="803"/>
      <c r="J948" s="803"/>
      <c r="K948" s="803"/>
      <c r="L948" s="803"/>
      <c r="M948" s="804"/>
      <c r="N948" s="804"/>
      <c r="O948" s="804"/>
      <c r="P948" s="804"/>
    </row>
    <row r="949">
      <c r="B949" s="802"/>
      <c r="C949" s="802"/>
      <c r="D949" s="802"/>
      <c r="E949" s="802"/>
      <c r="F949" s="802"/>
      <c r="G949" s="803"/>
      <c r="H949" s="803"/>
      <c r="I949" s="803"/>
      <c r="J949" s="803"/>
      <c r="K949" s="803"/>
      <c r="L949" s="803"/>
      <c r="M949" s="804"/>
      <c r="N949" s="804"/>
      <c r="O949" s="804"/>
      <c r="P949" s="804"/>
    </row>
    <row r="950">
      <c r="B950" s="802"/>
      <c r="C950" s="802"/>
      <c r="D950" s="802"/>
      <c r="E950" s="802"/>
      <c r="F950" s="802"/>
      <c r="G950" s="803"/>
      <c r="H950" s="803"/>
      <c r="I950" s="803"/>
      <c r="J950" s="803"/>
      <c r="K950" s="803"/>
      <c r="L950" s="803"/>
      <c r="M950" s="804"/>
      <c r="N950" s="804"/>
      <c r="O950" s="804"/>
      <c r="P950" s="804"/>
    </row>
    <row r="951">
      <c r="B951" s="802"/>
      <c r="C951" s="802"/>
      <c r="D951" s="802"/>
      <c r="E951" s="802"/>
      <c r="F951" s="802"/>
      <c r="G951" s="803"/>
      <c r="H951" s="803"/>
      <c r="I951" s="803"/>
      <c r="J951" s="803"/>
      <c r="K951" s="803"/>
      <c r="L951" s="803"/>
      <c r="M951" s="804"/>
      <c r="N951" s="804"/>
      <c r="O951" s="804"/>
      <c r="P951" s="804"/>
    </row>
    <row r="952">
      <c r="B952" s="802"/>
      <c r="C952" s="802"/>
      <c r="D952" s="802"/>
      <c r="E952" s="802"/>
      <c r="F952" s="802"/>
      <c r="G952" s="803"/>
      <c r="H952" s="803"/>
      <c r="I952" s="803"/>
      <c r="J952" s="803"/>
      <c r="K952" s="803"/>
      <c r="L952" s="803"/>
      <c r="M952" s="804"/>
      <c r="N952" s="804"/>
      <c r="O952" s="804"/>
      <c r="P952" s="804"/>
    </row>
    <row r="953">
      <c r="B953" s="802"/>
      <c r="C953" s="802"/>
      <c r="D953" s="802"/>
      <c r="E953" s="802"/>
      <c r="F953" s="802"/>
      <c r="G953" s="803"/>
      <c r="H953" s="803"/>
      <c r="I953" s="803"/>
      <c r="J953" s="803"/>
      <c r="K953" s="803"/>
      <c r="L953" s="803"/>
      <c r="M953" s="804"/>
      <c r="N953" s="804"/>
      <c r="O953" s="804"/>
      <c r="P953" s="804"/>
    </row>
    <row r="954">
      <c r="B954" s="802"/>
      <c r="C954" s="802"/>
      <c r="D954" s="802"/>
      <c r="E954" s="802"/>
      <c r="F954" s="802"/>
      <c r="G954" s="803"/>
      <c r="H954" s="803"/>
      <c r="I954" s="803"/>
      <c r="J954" s="803"/>
      <c r="K954" s="803"/>
      <c r="L954" s="803"/>
      <c r="M954" s="804"/>
      <c r="N954" s="804"/>
      <c r="O954" s="804"/>
      <c r="P954" s="804"/>
    </row>
    <row r="955">
      <c r="B955" s="802"/>
      <c r="C955" s="802"/>
      <c r="D955" s="802"/>
      <c r="E955" s="802"/>
      <c r="F955" s="802"/>
      <c r="G955" s="803"/>
      <c r="H955" s="803"/>
      <c r="I955" s="803"/>
      <c r="J955" s="803"/>
      <c r="K955" s="803"/>
      <c r="L955" s="803"/>
      <c r="M955" s="804"/>
      <c r="N955" s="804"/>
      <c r="O955" s="804"/>
      <c r="P955" s="804"/>
    </row>
    <row r="956">
      <c r="B956" s="802"/>
      <c r="C956" s="802"/>
      <c r="D956" s="802"/>
      <c r="E956" s="802"/>
      <c r="F956" s="802"/>
      <c r="G956" s="803"/>
      <c r="H956" s="803"/>
      <c r="I956" s="803"/>
      <c r="J956" s="803"/>
      <c r="K956" s="803"/>
      <c r="L956" s="803"/>
      <c r="M956" s="804"/>
      <c r="N956" s="804"/>
      <c r="O956" s="804"/>
      <c r="P956" s="804"/>
    </row>
    <row r="957">
      <c r="B957" s="802"/>
      <c r="C957" s="802"/>
      <c r="D957" s="802"/>
      <c r="E957" s="802"/>
      <c r="F957" s="802"/>
      <c r="G957" s="803"/>
      <c r="H957" s="803"/>
      <c r="I957" s="803"/>
      <c r="J957" s="803"/>
      <c r="K957" s="803"/>
      <c r="L957" s="803"/>
      <c r="M957" s="804"/>
      <c r="N957" s="804"/>
      <c r="O957" s="804"/>
      <c r="P957" s="804"/>
    </row>
    <row r="958">
      <c r="B958" s="802"/>
      <c r="C958" s="802"/>
      <c r="D958" s="802"/>
      <c r="E958" s="802"/>
      <c r="F958" s="802"/>
      <c r="G958" s="803"/>
      <c r="H958" s="803"/>
      <c r="I958" s="803"/>
      <c r="J958" s="803"/>
      <c r="K958" s="803"/>
      <c r="L958" s="803"/>
      <c r="M958" s="804"/>
      <c r="N958" s="804"/>
      <c r="O958" s="804"/>
      <c r="P958" s="804"/>
    </row>
    <row r="959">
      <c r="B959" s="802"/>
      <c r="C959" s="802"/>
      <c r="D959" s="802"/>
      <c r="E959" s="802"/>
      <c r="F959" s="802"/>
      <c r="G959" s="803"/>
      <c r="H959" s="803"/>
      <c r="I959" s="803"/>
      <c r="J959" s="803"/>
      <c r="K959" s="803"/>
      <c r="L959" s="803"/>
      <c r="M959" s="804"/>
      <c r="N959" s="804"/>
      <c r="O959" s="804"/>
      <c r="P959" s="804"/>
    </row>
    <row r="960">
      <c r="B960" s="802"/>
      <c r="C960" s="802"/>
      <c r="D960" s="802"/>
      <c r="E960" s="802"/>
      <c r="F960" s="802"/>
      <c r="G960" s="803"/>
      <c r="H960" s="803"/>
      <c r="I960" s="803"/>
      <c r="J960" s="803"/>
      <c r="K960" s="803"/>
      <c r="L960" s="803"/>
      <c r="M960" s="804"/>
      <c r="N960" s="804"/>
      <c r="O960" s="804"/>
      <c r="P960" s="804"/>
    </row>
    <row r="961">
      <c r="B961" s="802"/>
      <c r="C961" s="802"/>
      <c r="D961" s="802"/>
      <c r="E961" s="802"/>
      <c r="F961" s="802"/>
      <c r="G961" s="803"/>
      <c r="H961" s="803"/>
      <c r="I961" s="803"/>
      <c r="J961" s="803"/>
      <c r="K961" s="803"/>
      <c r="L961" s="803"/>
      <c r="M961" s="804"/>
      <c r="N961" s="804"/>
      <c r="O961" s="804"/>
      <c r="P961" s="804"/>
    </row>
    <row r="962">
      <c r="B962" s="802"/>
      <c r="C962" s="802"/>
      <c r="D962" s="802"/>
      <c r="E962" s="802"/>
      <c r="F962" s="802"/>
      <c r="G962" s="803"/>
      <c r="H962" s="803"/>
      <c r="I962" s="803"/>
      <c r="J962" s="803"/>
      <c r="K962" s="803"/>
      <c r="L962" s="803"/>
      <c r="M962" s="804"/>
      <c r="N962" s="804"/>
      <c r="O962" s="804"/>
      <c r="P962" s="804"/>
    </row>
    <row r="963">
      <c r="B963" s="802"/>
      <c r="C963" s="802"/>
      <c r="D963" s="802"/>
      <c r="E963" s="802"/>
      <c r="F963" s="802"/>
      <c r="G963" s="803"/>
      <c r="H963" s="803"/>
      <c r="I963" s="803"/>
      <c r="J963" s="803"/>
      <c r="K963" s="803"/>
      <c r="L963" s="803"/>
      <c r="M963" s="804"/>
      <c r="N963" s="804"/>
      <c r="O963" s="804"/>
      <c r="P963" s="804"/>
    </row>
    <row r="964">
      <c r="B964" s="802"/>
      <c r="C964" s="802"/>
      <c r="D964" s="802"/>
      <c r="E964" s="802"/>
      <c r="F964" s="802"/>
      <c r="G964" s="803"/>
      <c r="H964" s="803"/>
      <c r="I964" s="803"/>
      <c r="J964" s="803"/>
      <c r="K964" s="803"/>
      <c r="L964" s="803"/>
      <c r="M964" s="804"/>
      <c r="N964" s="804"/>
      <c r="O964" s="804"/>
      <c r="P964" s="804"/>
    </row>
    <row r="965">
      <c r="B965" s="802"/>
      <c r="C965" s="802"/>
      <c r="D965" s="802"/>
      <c r="E965" s="802"/>
      <c r="F965" s="802"/>
      <c r="G965" s="803"/>
      <c r="H965" s="803"/>
      <c r="I965" s="803"/>
      <c r="J965" s="803"/>
      <c r="K965" s="803"/>
      <c r="L965" s="803"/>
      <c r="M965" s="804"/>
      <c r="N965" s="804"/>
      <c r="O965" s="804"/>
      <c r="P965" s="804"/>
    </row>
    <row r="966">
      <c r="B966" s="802"/>
      <c r="C966" s="802"/>
      <c r="D966" s="802"/>
      <c r="E966" s="802"/>
      <c r="F966" s="802"/>
      <c r="G966" s="803"/>
      <c r="H966" s="803"/>
      <c r="I966" s="803"/>
      <c r="J966" s="803"/>
      <c r="K966" s="803"/>
      <c r="L966" s="803"/>
      <c r="M966" s="804"/>
      <c r="N966" s="804"/>
      <c r="O966" s="804"/>
      <c r="P966" s="804"/>
    </row>
    <row r="967">
      <c r="B967" s="802"/>
      <c r="C967" s="802"/>
      <c r="D967" s="802"/>
      <c r="E967" s="802"/>
      <c r="F967" s="802"/>
      <c r="G967" s="803"/>
      <c r="H967" s="803"/>
      <c r="I967" s="803"/>
      <c r="J967" s="803"/>
      <c r="K967" s="803"/>
      <c r="L967" s="803"/>
      <c r="M967" s="804"/>
      <c r="N967" s="804"/>
      <c r="O967" s="804"/>
      <c r="P967" s="804"/>
    </row>
    <row r="968">
      <c r="B968" s="802"/>
      <c r="C968" s="802"/>
      <c r="D968" s="802"/>
      <c r="E968" s="802"/>
      <c r="F968" s="802"/>
      <c r="G968" s="803"/>
      <c r="H968" s="803"/>
      <c r="I968" s="803"/>
      <c r="J968" s="803"/>
      <c r="K968" s="803"/>
      <c r="L968" s="803"/>
      <c r="M968" s="804"/>
      <c r="N968" s="804"/>
      <c r="O968" s="804"/>
      <c r="P968" s="804"/>
    </row>
    <row r="969">
      <c r="B969" s="802"/>
      <c r="C969" s="802"/>
      <c r="D969" s="802"/>
      <c r="E969" s="802"/>
      <c r="F969" s="802"/>
      <c r="G969" s="803"/>
      <c r="H969" s="803"/>
      <c r="I969" s="803"/>
      <c r="J969" s="803"/>
      <c r="K969" s="803"/>
      <c r="L969" s="803"/>
      <c r="M969" s="804"/>
      <c r="N969" s="804"/>
      <c r="O969" s="804"/>
      <c r="P969" s="804"/>
    </row>
    <row r="970">
      <c r="B970" s="802"/>
      <c r="C970" s="802"/>
      <c r="D970" s="802"/>
      <c r="E970" s="802"/>
      <c r="F970" s="802"/>
      <c r="G970" s="803"/>
      <c r="H970" s="803"/>
      <c r="I970" s="803"/>
      <c r="J970" s="803"/>
      <c r="K970" s="803"/>
      <c r="L970" s="803"/>
      <c r="M970" s="804"/>
      <c r="N970" s="804"/>
      <c r="O970" s="804"/>
      <c r="P970" s="804"/>
    </row>
    <row r="971">
      <c r="B971" s="802"/>
      <c r="C971" s="802"/>
      <c r="D971" s="802"/>
      <c r="E971" s="802"/>
      <c r="F971" s="802"/>
      <c r="G971" s="803"/>
      <c r="H971" s="803"/>
      <c r="I971" s="803"/>
      <c r="J971" s="803"/>
      <c r="K971" s="803"/>
      <c r="L971" s="803"/>
      <c r="M971" s="804"/>
      <c r="N971" s="804"/>
      <c r="O971" s="804"/>
      <c r="P971" s="804"/>
    </row>
    <row r="972">
      <c r="B972" s="802"/>
      <c r="C972" s="802"/>
      <c r="D972" s="802"/>
      <c r="E972" s="802"/>
      <c r="F972" s="802"/>
      <c r="G972" s="803"/>
      <c r="H972" s="803"/>
      <c r="I972" s="803"/>
      <c r="J972" s="803"/>
      <c r="K972" s="803"/>
      <c r="L972" s="803"/>
      <c r="M972" s="804"/>
      <c r="N972" s="804"/>
      <c r="O972" s="804"/>
      <c r="P972" s="804"/>
    </row>
    <row r="973">
      <c r="B973" s="802"/>
      <c r="C973" s="802"/>
      <c r="D973" s="802"/>
      <c r="E973" s="802"/>
      <c r="F973" s="802"/>
      <c r="G973" s="803"/>
      <c r="H973" s="803"/>
      <c r="I973" s="803"/>
      <c r="J973" s="803"/>
      <c r="K973" s="803"/>
      <c r="L973" s="803"/>
      <c r="M973" s="804"/>
      <c r="N973" s="804"/>
      <c r="O973" s="804"/>
      <c r="P973" s="804"/>
    </row>
    <row r="974">
      <c r="B974" s="802"/>
      <c r="C974" s="802"/>
      <c r="D974" s="802"/>
      <c r="E974" s="802"/>
      <c r="F974" s="802"/>
      <c r="G974" s="803"/>
      <c r="H974" s="803"/>
      <c r="I974" s="803"/>
      <c r="J974" s="803"/>
      <c r="K974" s="803"/>
      <c r="L974" s="803"/>
      <c r="M974" s="804"/>
      <c r="N974" s="804"/>
      <c r="O974" s="804"/>
      <c r="P974" s="804"/>
    </row>
    <row r="975">
      <c r="B975" s="802"/>
      <c r="C975" s="802"/>
      <c r="D975" s="802"/>
      <c r="E975" s="802"/>
      <c r="F975" s="802"/>
      <c r="G975" s="803"/>
      <c r="H975" s="803"/>
      <c r="I975" s="803"/>
      <c r="J975" s="803"/>
      <c r="K975" s="803"/>
      <c r="L975" s="803"/>
      <c r="M975" s="804"/>
      <c r="N975" s="804"/>
      <c r="O975" s="804"/>
      <c r="P975" s="804"/>
    </row>
    <row r="976">
      <c r="B976" s="802"/>
      <c r="C976" s="802"/>
      <c r="D976" s="802"/>
      <c r="E976" s="802"/>
      <c r="F976" s="802"/>
      <c r="G976" s="803"/>
      <c r="H976" s="803"/>
      <c r="I976" s="803"/>
      <c r="J976" s="803"/>
      <c r="K976" s="803"/>
      <c r="L976" s="803"/>
      <c r="M976" s="804"/>
      <c r="N976" s="804"/>
      <c r="O976" s="804"/>
      <c r="P976" s="804"/>
    </row>
    <row r="977">
      <c r="B977" s="802"/>
      <c r="C977" s="802"/>
      <c r="D977" s="802"/>
      <c r="E977" s="802"/>
      <c r="F977" s="802"/>
      <c r="G977" s="803"/>
      <c r="H977" s="803"/>
      <c r="I977" s="803"/>
      <c r="J977" s="803"/>
      <c r="K977" s="803"/>
      <c r="L977" s="803"/>
      <c r="M977" s="804"/>
      <c r="N977" s="804"/>
      <c r="O977" s="804"/>
      <c r="P977" s="804"/>
    </row>
    <row r="978">
      <c r="B978" s="802"/>
      <c r="C978" s="802"/>
      <c r="D978" s="802"/>
      <c r="E978" s="802"/>
      <c r="F978" s="802"/>
      <c r="G978" s="803"/>
      <c r="H978" s="803"/>
      <c r="I978" s="803"/>
      <c r="J978" s="803"/>
      <c r="K978" s="803"/>
      <c r="L978" s="803"/>
      <c r="M978" s="804"/>
      <c r="N978" s="804"/>
      <c r="O978" s="804"/>
      <c r="P978" s="804"/>
    </row>
    <row r="979">
      <c r="B979" s="802"/>
      <c r="C979" s="802"/>
      <c r="D979" s="802"/>
      <c r="E979" s="802"/>
      <c r="F979" s="802"/>
      <c r="G979" s="803"/>
      <c r="H979" s="803"/>
      <c r="I979" s="803"/>
      <c r="J979" s="803"/>
      <c r="K979" s="803"/>
      <c r="L979" s="803"/>
      <c r="M979" s="804"/>
      <c r="N979" s="804"/>
      <c r="O979" s="804"/>
      <c r="P979" s="804"/>
    </row>
    <row r="980">
      <c r="B980" s="802"/>
      <c r="C980" s="802"/>
      <c r="D980" s="802"/>
      <c r="E980" s="802"/>
      <c r="F980" s="802"/>
      <c r="G980" s="803"/>
      <c r="H980" s="803"/>
      <c r="I980" s="803"/>
      <c r="J980" s="803"/>
      <c r="K980" s="803"/>
      <c r="L980" s="803"/>
      <c r="M980" s="804"/>
      <c r="N980" s="804"/>
      <c r="O980" s="804"/>
      <c r="P980" s="804"/>
    </row>
    <row r="981">
      <c r="B981" s="802"/>
      <c r="C981" s="802"/>
      <c r="D981" s="802"/>
      <c r="E981" s="802"/>
      <c r="F981" s="802"/>
      <c r="G981" s="803"/>
      <c r="H981" s="803"/>
      <c r="I981" s="803"/>
      <c r="J981" s="803"/>
      <c r="K981" s="803"/>
      <c r="L981" s="803"/>
      <c r="M981" s="804"/>
      <c r="N981" s="804"/>
      <c r="O981" s="804"/>
      <c r="P981" s="804"/>
    </row>
    <row r="982">
      <c r="B982" s="802"/>
      <c r="C982" s="802"/>
      <c r="D982" s="802"/>
      <c r="E982" s="802"/>
      <c r="F982" s="802"/>
      <c r="G982" s="803"/>
      <c r="H982" s="803"/>
      <c r="I982" s="803"/>
      <c r="J982" s="803"/>
      <c r="K982" s="803"/>
      <c r="L982" s="803"/>
      <c r="M982" s="804"/>
      <c r="N982" s="804"/>
      <c r="O982" s="804"/>
      <c r="P982" s="804"/>
    </row>
    <row r="983">
      <c r="B983" s="802"/>
      <c r="C983" s="802"/>
      <c r="D983" s="802"/>
      <c r="E983" s="802"/>
      <c r="F983" s="802"/>
      <c r="G983" s="803"/>
      <c r="H983" s="803"/>
      <c r="I983" s="803"/>
      <c r="J983" s="803"/>
      <c r="K983" s="803"/>
      <c r="L983" s="803"/>
      <c r="M983" s="804"/>
      <c r="N983" s="804"/>
      <c r="O983" s="804"/>
      <c r="P983" s="804"/>
    </row>
    <row r="984">
      <c r="B984" s="802"/>
      <c r="C984" s="802"/>
      <c r="D984" s="802"/>
      <c r="E984" s="802"/>
      <c r="F984" s="802"/>
      <c r="G984" s="803"/>
      <c r="H984" s="803"/>
      <c r="I984" s="803"/>
      <c r="J984" s="803"/>
      <c r="K984" s="803"/>
      <c r="L984" s="803"/>
      <c r="M984" s="804"/>
      <c r="N984" s="804"/>
      <c r="O984" s="804"/>
      <c r="P984" s="804"/>
    </row>
    <row r="985">
      <c r="B985" s="802"/>
      <c r="C985" s="802"/>
      <c r="D985" s="802"/>
      <c r="E985" s="802"/>
      <c r="F985" s="802"/>
      <c r="G985" s="803"/>
      <c r="H985" s="803"/>
      <c r="I985" s="803"/>
      <c r="J985" s="803"/>
      <c r="K985" s="803"/>
      <c r="L985" s="803"/>
      <c r="M985" s="804"/>
      <c r="N985" s="804"/>
      <c r="O985" s="804"/>
      <c r="P985" s="804"/>
    </row>
    <row r="986">
      <c r="B986" s="802"/>
      <c r="C986" s="802"/>
      <c r="D986" s="802"/>
      <c r="E986" s="802"/>
      <c r="F986" s="802"/>
      <c r="G986" s="803"/>
      <c r="H986" s="803"/>
      <c r="I986" s="803"/>
      <c r="J986" s="803"/>
      <c r="K986" s="803"/>
      <c r="L986" s="803"/>
      <c r="M986" s="804"/>
      <c r="N986" s="804"/>
      <c r="O986" s="804"/>
      <c r="P986" s="804"/>
    </row>
    <row r="987">
      <c r="B987" s="802"/>
      <c r="C987" s="802"/>
      <c r="D987" s="802"/>
      <c r="E987" s="802"/>
      <c r="F987" s="802"/>
      <c r="G987" s="803"/>
      <c r="H987" s="803"/>
      <c r="I987" s="803"/>
      <c r="J987" s="803"/>
      <c r="K987" s="803"/>
      <c r="L987" s="803"/>
      <c r="M987" s="804"/>
      <c r="N987" s="804"/>
      <c r="O987" s="804"/>
      <c r="P987" s="804"/>
    </row>
    <row r="988">
      <c r="B988" s="802"/>
      <c r="C988" s="802"/>
      <c r="D988" s="802"/>
      <c r="E988" s="802"/>
      <c r="F988" s="802"/>
      <c r="G988" s="803"/>
      <c r="H988" s="803"/>
      <c r="I988" s="803"/>
      <c r="J988" s="803"/>
      <c r="K988" s="803"/>
      <c r="L988" s="803"/>
      <c r="M988" s="804"/>
      <c r="N988" s="804"/>
      <c r="O988" s="804"/>
      <c r="P988" s="804"/>
    </row>
    <row r="989">
      <c r="B989" s="802"/>
      <c r="C989" s="802"/>
      <c r="D989" s="802"/>
      <c r="E989" s="802"/>
      <c r="F989" s="802"/>
      <c r="G989" s="803"/>
      <c r="H989" s="803"/>
      <c r="I989" s="803"/>
      <c r="J989" s="803"/>
      <c r="K989" s="803"/>
      <c r="L989" s="803"/>
      <c r="M989" s="804"/>
      <c r="N989" s="804"/>
      <c r="O989" s="804"/>
      <c r="P989" s="804"/>
    </row>
    <row r="990">
      <c r="B990" s="802"/>
      <c r="C990" s="802"/>
      <c r="D990" s="802"/>
      <c r="E990" s="802"/>
      <c r="F990" s="802"/>
      <c r="G990" s="803"/>
      <c r="H990" s="803"/>
      <c r="I990" s="803"/>
      <c r="J990" s="803"/>
      <c r="K990" s="803"/>
      <c r="L990" s="803"/>
      <c r="M990" s="804"/>
      <c r="N990" s="804"/>
      <c r="O990" s="804"/>
      <c r="P990" s="804"/>
    </row>
    <row r="991">
      <c r="B991" s="802"/>
      <c r="C991" s="802"/>
      <c r="D991" s="802"/>
      <c r="E991" s="802"/>
      <c r="F991" s="802"/>
      <c r="G991" s="803"/>
      <c r="H991" s="803"/>
      <c r="I991" s="803"/>
      <c r="J991" s="803"/>
      <c r="K991" s="803"/>
      <c r="L991" s="803"/>
      <c r="M991" s="804"/>
      <c r="N991" s="804"/>
      <c r="O991" s="804"/>
      <c r="P991" s="804"/>
    </row>
    <row r="992">
      <c r="B992" s="802"/>
      <c r="C992" s="802"/>
      <c r="D992" s="802"/>
      <c r="E992" s="802"/>
      <c r="F992" s="802"/>
      <c r="G992" s="803"/>
      <c r="H992" s="803"/>
      <c r="I992" s="803"/>
      <c r="J992" s="803"/>
      <c r="K992" s="803"/>
      <c r="L992" s="803"/>
      <c r="M992" s="804"/>
      <c r="N992" s="804"/>
      <c r="O992" s="804"/>
      <c r="P992" s="804"/>
    </row>
    <row r="993">
      <c r="B993" s="802"/>
      <c r="C993" s="802"/>
      <c r="D993" s="802"/>
      <c r="E993" s="802"/>
      <c r="F993" s="802"/>
      <c r="G993" s="803"/>
      <c r="H993" s="803"/>
      <c r="I993" s="803"/>
      <c r="J993" s="803"/>
      <c r="K993" s="803"/>
      <c r="L993" s="803"/>
      <c r="M993" s="804"/>
      <c r="N993" s="804"/>
      <c r="O993" s="804"/>
      <c r="P993" s="804"/>
    </row>
    <row r="994">
      <c r="B994" s="802"/>
      <c r="C994" s="802"/>
      <c r="D994" s="802"/>
      <c r="E994" s="802"/>
      <c r="F994" s="802"/>
      <c r="G994" s="803"/>
      <c r="H994" s="803"/>
      <c r="I994" s="803"/>
      <c r="J994" s="803"/>
      <c r="K994" s="803"/>
      <c r="L994" s="803"/>
      <c r="M994" s="804"/>
      <c r="N994" s="804"/>
      <c r="O994" s="804"/>
      <c r="P994" s="804"/>
    </row>
    <row r="995">
      <c r="B995" s="802"/>
      <c r="C995" s="802"/>
      <c r="D995" s="802"/>
      <c r="E995" s="802"/>
      <c r="F995" s="802"/>
      <c r="G995" s="803"/>
      <c r="H995" s="803"/>
      <c r="I995" s="803"/>
      <c r="J995" s="803"/>
      <c r="K995" s="803"/>
      <c r="L995" s="803"/>
      <c r="M995" s="804"/>
      <c r="N995" s="804"/>
      <c r="O995" s="804"/>
      <c r="P995" s="804"/>
    </row>
    <row r="996">
      <c r="B996" s="802"/>
      <c r="C996" s="802"/>
      <c r="D996" s="802"/>
      <c r="E996" s="802"/>
      <c r="F996" s="802"/>
      <c r="G996" s="803"/>
      <c r="H996" s="803"/>
      <c r="I996" s="803"/>
      <c r="J996" s="803"/>
      <c r="K996" s="803"/>
      <c r="L996" s="803"/>
      <c r="M996" s="804"/>
      <c r="N996" s="804"/>
      <c r="O996" s="804"/>
      <c r="P996" s="804"/>
    </row>
    <row r="997">
      <c r="B997" s="802"/>
      <c r="C997" s="802"/>
      <c r="D997" s="802"/>
      <c r="E997" s="802"/>
      <c r="F997" s="802"/>
      <c r="G997" s="803"/>
      <c r="H997" s="803"/>
      <c r="I997" s="803"/>
      <c r="J997" s="803"/>
      <c r="K997" s="803"/>
      <c r="L997" s="803"/>
      <c r="M997" s="804"/>
      <c r="N997" s="804"/>
      <c r="O997" s="804"/>
      <c r="P997" s="804"/>
    </row>
    <row r="998">
      <c r="B998" s="802"/>
      <c r="C998" s="802"/>
      <c r="D998" s="802"/>
      <c r="E998" s="802"/>
      <c r="F998" s="802"/>
      <c r="G998" s="803"/>
      <c r="H998" s="803"/>
      <c r="I998" s="803"/>
      <c r="J998" s="803"/>
      <c r="K998" s="803"/>
      <c r="L998" s="803"/>
      <c r="M998" s="804"/>
      <c r="N998" s="804"/>
      <c r="O998" s="804"/>
      <c r="P998" s="804"/>
    </row>
    <row r="999">
      <c r="B999" s="802"/>
      <c r="C999" s="802"/>
      <c r="D999" s="802"/>
      <c r="E999" s="802"/>
      <c r="F999" s="802"/>
      <c r="G999" s="803"/>
      <c r="H999" s="803"/>
      <c r="I999" s="803"/>
      <c r="J999" s="803"/>
      <c r="K999" s="803"/>
      <c r="L999" s="803"/>
      <c r="M999" s="804"/>
      <c r="N999" s="804"/>
      <c r="O999" s="804"/>
      <c r="P999" s="804"/>
    </row>
    <row r="1000">
      <c r="B1000" s="802"/>
      <c r="C1000" s="802"/>
      <c r="D1000" s="802"/>
      <c r="E1000" s="802"/>
      <c r="F1000" s="802"/>
      <c r="G1000" s="803"/>
      <c r="H1000" s="803"/>
      <c r="I1000" s="803"/>
      <c r="J1000" s="803"/>
      <c r="K1000" s="803"/>
      <c r="L1000" s="803"/>
      <c r="M1000" s="804"/>
      <c r="N1000" s="804"/>
      <c r="O1000" s="804"/>
      <c r="P1000" s="804"/>
    </row>
    <row r="1001">
      <c r="B1001" s="802"/>
      <c r="C1001" s="802"/>
      <c r="D1001" s="802"/>
      <c r="E1001" s="802"/>
      <c r="F1001" s="802"/>
      <c r="G1001" s="803"/>
      <c r="H1001" s="803"/>
      <c r="I1001" s="803"/>
      <c r="J1001" s="803"/>
      <c r="K1001" s="803"/>
      <c r="L1001" s="803"/>
      <c r="M1001" s="804"/>
      <c r="N1001" s="804"/>
      <c r="O1001" s="804"/>
      <c r="P1001" s="804"/>
    </row>
    <row r="1002">
      <c r="B1002" s="802"/>
      <c r="C1002" s="802"/>
      <c r="D1002" s="802"/>
      <c r="E1002" s="802"/>
      <c r="F1002" s="802"/>
      <c r="G1002" s="803"/>
      <c r="H1002" s="803"/>
      <c r="I1002" s="803"/>
      <c r="J1002" s="803"/>
      <c r="K1002" s="803"/>
      <c r="L1002" s="803"/>
      <c r="M1002" s="804"/>
      <c r="N1002" s="804"/>
      <c r="O1002" s="804"/>
      <c r="P1002" s="804"/>
    </row>
    <row r="1003">
      <c r="B1003" s="802"/>
      <c r="C1003" s="802"/>
      <c r="D1003" s="802"/>
      <c r="E1003" s="802"/>
      <c r="F1003" s="802"/>
      <c r="G1003" s="803"/>
      <c r="H1003" s="803"/>
      <c r="I1003" s="803"/>
      <c r="J1003" s="803"/>
      <c r="K1003" s="803"/>
      <c r="L1003" s="803"/>
      <c r="M1003" s="804"/>
      <c r="N1003" s="804"/>
      <c r="O1003" s="804"/>
      <c r="P1003" s="804"/>
    </row>
  </sheetData>
  <mergeCells count="22">
    <mergeCell ref="B2:C2"/>
    <mergeCell ref="G2:I2"/>
    <mergeCell ref="K2:X2"/>
    <mergeCell ref="H3:I3"/>
    <mergeCell ref="H4:I4"/>
    <mergeCell ref="H5:I5"/>
    <mergeCell ref="H6:I6"/>
    <mergeCell ref="H14:I14"/>
    <mergeCell ref="H15:I15"/>
    <mergeCell ref="H16:I16"/>
    <mergeCell ref="H17:I17"/>
    <mergeCell ref="H18:I18"/>
    <mergeCell ref="O20:Y20"/>
    <mergeCell ref="F40:J40"/>
    <mergeCell ref="L40:M40"/>
    <mergeCell ref="H7:I7"/>
    <mergeCell ref="H8:I8"/>
    <mergeCell ref="H9:I9"/>
    <mergeCell ref="H10:I10"/>
    <mergeCell ref="H11:I11"/>
    <mergeCell ref="H12:I12"/>
    <mergeCell ref="H13:I1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57"/>
    <col customWidth="1" min="2" max="2" width="8.29"/>
    <col customWidth="1" min="3" max="3" width="7.29"/>
    <col customWidth="1" min="4" max="4" width="10.86"/>
    <col customWidth="1" min="5" max="12" width="21.57"/>
  </cols>
  <sheetData>
    <row r="1">
      <c r="A1" s="905" t="s">
        <v>168</v>
      </c>
      <c r="B1" s="905" t="s">
        <v>681</v>
      </c>
      <c r="C1" s="905" t="s">
        <v>171</v>
      </c>
      <c r="D1" s="905" t="s">
        <v>230</v>
      </c>
      <c r="E1" s="905" t="s">
        <v>682</v>
      </c>
      <c r="F1" s="905" t="s">
        <v>683</v>
      </c>
      <c r="G1" s="905" t="s">
        <v>684</v>
      </c>
      <c r="H1" s="905" t="s">
        <v>685</v>
      </c>
      <c r="I1" s="905" t="s">
        <v>686</v>
      </c>
      <c r="J1" s="905" t="s">
        <v>687</v>
      </c>
      <c r="K1" s="906" t="s">
        <v>688</v>
      </c>
      <c r="L1" s="906" t="s">
        <v>689</v>
      </c>
    </row>
    <row r="2">
      <c r="A2" s="907" t="s">
        <v>578</v>
      </c>
      <c r="B2" s="907" t="s">
        <v>113</v>
      </c>
      <c r="C2" s="907" t="s">
        <v>690</v>
      </c>
      <c r="D2" s="907" t="s">
        <v>691</v>
      </c>
      <c r="E2" s="907" t="s">
        <v>692</v>
      </c>
      <c r="F2" s="907" t="str">
        <f>IF('角色卡'!$AP$7='索引資料'!P30,"費尼亞抗性 Fernian Resistance","天界抗性 Celestial Resistance")</f>
        <v>天界抗性 Celestial Resistance</v>
      </c>
      <c r="G2" s="907" t="s">
        <v>693</v>
      </c>
      <c r="H2" s="907" t="str">
        <f>IF('角色卡'!$AP$7='索引資料'!P30,"烈火掌者 Fire Bearer",IF('角色卡'!$AP$7='索引資料'!Q30,"亡者高呼 Herald of Death","光輝掌者 Light Bearer"))</f>
        <v>光輝掌者 Light Bearer</v>
      </c>
      <c r="I2" s="907" t="s">
        <v>694</v>
      </c>
      <c r="J2" s="907"/>
      <c r="K2" s="907"/>
      <c r="L2" s="907"/>
    </row>
    <row r="3">
      <c r="A3" s="907" t="s">
        <v>538</v>
      </c>
      <c r="B3" s="907" t="s">
        <v>113</v>
      </c>
      <c r="C3" s="907" t="s">
        <v>690</v>
      </c>
      <c r="D3" s="907" t="s">
        <v>691</v>
      </c>
      <c r="E3" s="907" t="s">
        <v>692</v>
      </c>
      <c r="F3" s="907" t="str">
        <f>"龍族血統："&amp;'角色卡'!AP7&amp;" Draconic Ancestry"</f>
        <v>龍族血統： Draconic Ancestry</v>
      </c>
      <c r="G3" s="907" t="s">
        <v>695</v>
      </c>
      <c r="H3" s="907" t="s">
        <v>696</v>
      </c>
      <c r="I3" s="907" t="s">
        <v>697</v>
      </c>
      <c r="J3" s="907"/>
      <c r="K3" s="907"/>
      <c r="L3" s="907"/>
    </row>
    <row r="4">
      <c r="A4" s="907" t="s">
        <v>698</v>
      </c>
      <c r="B4" s="907" t="s">
        <v>113</v>
      </c>
      <c r="C4" s="907" t="s">
        <v>690</v>
      </c>
      <c r="D4" s="907" t="s">
        <v>691</v>
      </c>
      <c r="E4" s="907" t="s">
        <v>692</v>
      </c>
      <c r="F4" s="907" t="s">
        <v>699</v>
      </c>
      <c r="G4" s="907" t="s">
        <v>700</v>
      </c>
      <c r="H4" s="907" t="s">
        <v>701</v>
      </c>
      <c r="I4" s="907"/>
      <c r="J4" s="907"/>
      <c r="K4" s="907"/>
      <c r="L4" s="907"/>
    </row>
    <row r="5">
      <c r="A5" s="907" t="s">
        <v>549</v>
      </c>
      <c r="B5" s="907" t="s">
        <v>113</v>
      </c>
      <c r="C5" s="907" t="s">
        <v>690</v>
      </c>
      <c r="D5" s="907" t="s">
        <v>691</v>
      </c>
      <c r="E5" s="907" t="s">
        <v>692</v>
      </c>
      <c r="F5" s="907" t="str">
        <f>"精靈血脈："&amp;'角色卡'!AP7&amp;" Elven Lineage"</f>
        <v>精靈血脈： Elven Lineage</v>
      </c>
      <c r="G5" s="907" t="s">
        <v>702</v>
      </c>
      <c r="H5" s="907" t="s">
        <v>703</v>
      </c>
      <c r="I5" s="907" t="s">
        <v>704</v>
      </c>
      <c r="J5" s="907"/>
      <c r="K5" s="907"/>
      <c r="L5" s="907"/>
    </row>
    <row r="6">
      <c r="A6" s="907" t="s">
        <v>553</v>
      </c>
      <c r="B6" s="907" t="s">
        <v>113</v>
      </c>
      <c r="C6" s="907" t="s">
        <v>705</v>
      </c>
      <c r="D6" s="907" t="s">
        <v>691</v>
      </c>
      <c r="E6" s="907" t="s">
        <v>692</v>
      </c>
      <c r="F6" s="907" t="s">
        <v>706</v>
      </c>
      <c r="G6" s="907" t="str">
        <f>"地侏血脈："&amp;'角色卡'!AP7&amp;" Elven Lineage"</f>
        <v>地侏血脈： Elven Lineage</v>
      </c>
      <c r="H6" s="907"/>
      <c r="I6" s="907"/>
      <c r="J6" s="907"/>
      <c r="K6" s="907"/>
      <c r="L6" s="907"/>
    </row>
    <row r="7">
      <c r="A7" s="907" t="s">
        <v>556</v>
      </c>
      <c r="B7" s="907" t="s">
        <v>113</v>
      </c>
      <c r="C7" s="907" t="s">
        <v>690</v>
      </c>
      <c r="D7" s="907" t="s">
        <v>691</v>
      </c>
      <c r="E7" s="907" t="str">
        <f>"巨人血統："&amp;'角色卡'!AP7&amp;" Giant Ancestry"</f>
        <v>巨人血統： Giant Ancestry</v>
      </c>
      <c r="F7" s="907" t="s">
        <v>707</v>
      </c>
      <c r="G7" s="907" t="s">
        <v>708</v>
      </c>
      <c r="H7" s="907"/>
      <c r="I7" s="907"/>
      <c r="J7" s="907"/>
      <c r="K7" s="907"/>
      <c r="L7" s="907"/>
    </row>
    <row r="8">
      <c r="A8" s="907" t="s">
        <v>709</v>
      </c>
      <c r="B8" s="907" t="s">
        <v>113</v>
      </c>
      <c r="C8" s="907" t="s">
        <v>705</v>
      </c>
      <c r="D8" s="907" t="s">
        <v>691</v>
      </c>
      <c r="E8" s="907" t="s">
        <v>710</v>
      </c>
      <c r="F8" s="907" t="s">
        <v>711</v>
      </c>
      <c r="G8" s="907" t="s">
        <v>712</v>
      </c>
      <c r="H8" s="907" t="s">
        <v>713</v>
      </c>
      <c r="I8" s="907"/>
      <c r="J8" s="907"/>
      <c r="K8" s="907"/>
      <c r="L8" s="907"/>
    </row>
    <row r="9">
      <c r="A9" s="907" t="s">
        <v>225</v>
      </c>
      <c r="B9" s="907" t="s">
        <v>113</v>
      </c>
      <c r="C9" s="907" t="s">
        <v>714</v>
      </c>
      <c r="D9" s="907" t="s">
        <v>691</v>
      </c>
      <c r="E9" s="907" t="s">
        <v>715</v>
      </c>
      <c r="F9" s="907" t="s">
        <v>716</v>
      </c>
      <c r="G9" s="907" t="s">
        <v>717</v>
      </c>
      <c r="H9" s="907"/>
      <c r="I9" s="907"/>
      <c r="J9" s="907"/>
      <c r="K9" s="907"/>
      <c r="L9" s="907"/>
    </row>
    <row r="10">
      <c r="A10" s="907" t="s">
        <v>718</v>
      </c>
      <c r="B10" s="907" t="s">
        <v>113</v>
      </c>
      <c r="C10" s="907" t="s">
        <v>690</v>
      </c>
      <c r="D10" s="907" t="s">
        <v>691</v>
      </c>
      <c r="E10" s="907" t="s">
        <v>692</v>
      </c>
      <c r="F10" s="907" t="s">
        <v>719</v>
      </c>
      <c r="G10" s="907" t="s">
        <v>720</v>
      </c>
      <c r="H10" s="907"/>
      <c r="I10" s="907"/>
      <c r="J10" s="907"/>
      <c r="K10" s="907"/>
      <c r="L10" s="907"/>
    </row>
    <row r="11">
      <c r="A11" s="907" t="s">
        <v>563</v>
      </c>
      <c r="B11" s="907" t="s">
        <v>113</v>
      </c>
      <c r="C11" s="907" t="s">
        <v>714</v>
      </c>
      <c r="D11" s="907" t="s">
        <v>691</v>
      </c>
      <c r="E11" s="907" t="s">
        <v>692</v>
      </c>
      <c r="F11" s="907" t="str">
        <f>"邪魔遺贈："&amp;'角色卡'!AP7&amp;" Fiendish Legacy"</f>
        <v>邪魔遺贈： Fiendish Legacy</v>
      </c>
      <c r="G11" s="907" t="s">
        <v>721</v>
      </c>
      <c r="H11" s="907"/>
      <c r="I11" s="907"/>
      <c r="J11" s="907"/>
      <c r="K11" s="907"/>
      <c r="L11" s="907"/>
    </row>
    <row r="12">
      <c r="A12" s="908" t="str">
        <f>if('請先閱讀'!F32=true,"博格特 Boggart","")</f>
        <v>博格特 Boggart</v>
      </c>
      <c r="B12" s="908" t="s">
        <v>140</v>
      </c>
      <c r="C12" s="908" t="s">
        <v>705</v>
      </c>
      <c r="D12" s="908" t="s">
        <v>691</v>
      </c>
      <c r="E12" s="908" t="s">
        <v>692</v>
      </c>
      <c r="F12" s="908" t="s">
        <v>702</v>
      </c>
      <c r="G12" s="908" t="s">
        <v>722</v>
      </c>
      <c r="H12" s="908" t="s">
        <v>723</v>
      </c>
      <c r="I12" s="908"/>
      <c r="J12" s="908"/>
      <c r="K12" s="908"/>
      <c r="L12" s="908"/>
    </row>
    <row r="13">
      <c r="A13" s="909" t="str">
        <f>if('請先閱讀'!F32=true,"仙靈 Faerie","")</f>
        <v>仙靈 Faerie</v>
      </c>
      <c r="B13" s="909" t="s">
        <v>140</v>
      </c>
      <c r="C13" s="909" t="s">
        <v>705</v>
      </c>
      <c r="D13" s="909" t="s">
        <v>724</v>
      </c>
      <c r="E13" s="909" t="s">
        <v>725</v>
      </c>
      <c r="F13" s="909" t="s">
        <v>726</v>
      </c>
      <c r="G13" s="909" t="str">
        <f>IFNA(IF('角色卡'!AO7='索引資料'!P26,"黑暗視覺 Darkvision",""),"")</f>
        <v/>
      </c>
      <c r="H13" s="909"/>
      <c r="I13" s="909"/>
      <c r="J13" s="909"/>
      <c r="K13" s="909"/>
      <c r="L13" s="909"/>
    </row>
    <row r="14">
      <c r="A14" s="908" t="str">
        <f>if('請先閱讀'!F32=true,"炎親 Flamekin","")</f>
        <v>炎親 Flamekin</v>
      </c>
      <c r="B14" s="908" t="s">
        <v>140</v>
      </c>
      <c r="C14" s="908" t="s">
        <v>727</v>
      </c>
      <c r="D14" s="908" t="s">
        <v>691</v>
      </c>
      <c r="E14" s="908" t="s">
        <v>692</v>
      </c>
      <c r="F14" s="908" t="s">
        <v>728</v>
      </c>
      <c r="G14" s="908" t="s">
        <v>729</v>
      </c>
      <c r="H14" s="908"/>
      <c r="I14" s="908"/>
      <c r="J14" s="908"/>
      <c r="K14" s="908"/>
      <c r="L14" s="908"/>
    </row>
    <row r="15">
      <c r="A15" s="909" t="str">
        <f>if('請先閱讀'!F32=true,"潔英 Kithkin","")</f>
        <v>潔英 Kithkin</v>
      </c>
      <c r="B15" s="909" t="s">
        <v>140</v>
      </c>
      <c r="C15" s="909" t="s">
        <v>705</v>
      </c>
      <c r="D15" s="909" t="s">
        <v>691</v>
      </c>
      <c r="E15" s="909" t="s">
        <v>710</v>
      </c>
      <c r="F15" s="909" t="s">
        <v>711</v>
      </c>
      <c r="G15" s="909" t="s">
        <v>712</v>
      </c>
      <c r="H15" s="909" t="s">
        <v>713</v>
      </c>
      <c r="I15" s="909" t="str">
        <f>IFNA(IF('角色卡'!AO7='索引資料'!P27,"黑暗視覺 Darkvision",""),"")</f>
        <v/>
      </c>
      <c r="J15" s="909"/>
      <c r="K15" s="909"/>
      <c r="L15" s="909"/>
    </row>
    <row r="16">
      <c r="A16" s="908" t="str">
        <f>if('請先閱讀'!F32=true,"洛溫幻身靈 Lorwyn Changeling","")</f>
        <v>洛溫幻身靈 Lorwyn Changeling</v>
      </c>
      <c r="B16" s="908" t="s">
        <v>140</v>
      </c>
      <c r="C16" s="908" t="s">
        <v>727</v>
      </c>
      <c r="D16" s="908" t="s">
        <v>724</v>
      </c>
      <c r="E16" s="908" t="s">
        <v>692</v>
      </c>
      <c r="F16" s="908" t="s">
        <v>730</v>
      </c>
      <c r="G16" s="908" t="s">
        <v>731</v>
      </c>
      <c r="H16" s="908"/>
      <c r="I16" s="908"/>
      <c r="J16" s="908"/>
      <c r="K16" s="908"/>
      <c r="L16" s="908"/>
    </row>
    <row r="17">
      <c r="A17" s="909" t="str">
        <f>if('請先閱讀'!F32=true,"霜親 Rimekin","")</f>
        <v>霜親 Rimekin</v>
      </c>
      <c r="B17" s="909" t="s">
        <v>140</v>
      </c>
      <c r="C17" s="909" t="s">
        <v>727</v>
      </c>
      <c r="D17" s="909" t="s">
        <v>691</v>
      </c>
      <c r="E17" s="909" t="s">
        <v>692</v>
      </c>
      <c r="F17" s="909" t="s">
        <v>732</v>
      </c>
      <c r="G17" s="909" t="s">
        <v>733</v>
      </c>
      <c r="H17" s="909"/>
      <c r="I17" s="909"/>
      <c r="J17" s="909"/>
      <c r="K17" s="909"/>
      <c r="L17" s="909"/>
    </row>
    <row r="18">
      <c r="A18" s="910" t="str">
        <f>if('請先閱讀'!F33=true,"半血裔 Dhampir","")</f>
        <v>半血裔 Dhampir</v>
      </c>
      <c r="B18" s="910" t="s">
        <v>734</v>
      </c>
      <c r="C18" s="910" t="s">
        <v>714</v>
      </c>
      <c r="D18" s="910" t="s">
        <v>691</v>
      </c>
      <c r="E18" s="910" t="s">
        <v>692</v>
      </c>
      <c r="F18" s="910" t="s">
        <v>735</v>
      </c>
      <c r="G18" s="910" t="s">
        <v>736</v>
      </c>
      <c r="H18" s="910" t="s">
        <v>737</v>
      </c>
      <c r="I18" s="910"/>
      <c r="J18" s="910"/>
      <c r="K18" s="910"/>
      <c r="L18" s="910"/>
    </row>
    <row r="19">
      <c r="A19" s="911" t="str">
        <f>if('請先閱讀'!$F$34=true,"幻身靈 Changeling","")</f>
        <v>幻身靈 Changeling</v>
      </c>
      <c r="B19" s="911" t="s">
        <v>151</v>
      </c>
      <c r="C19" s="911" t="s">
        <v>727</v>
      </c>
      <c r="D19" s="911" t="s">
        <v>724</v>
      </c>
      <c r="E19" s="911" t="s">
        <v>738</v>
      </c>
      <c r="F19" s="911" t="s">
        <v>739</v>
      </c>
      <c r="G19" s="911"/>
      <c r="H19" s="911"/>
      <c r="I19" s="911"/>
      <c r="J19" s="911"/>
      <c r="K19" s="911"/>
      <c r="L19" s="911"/>
    </row>
    <row r="20">
      <c r="A20" s="912" t="str">
        <f>if('請先閱讀'!$F$34=true,"離夢人 Kalashtar","")</f>
        <v>離夢人 Kalashtar</v>
      </c>
      <c r="B20" s="912" t="s">
        <v>151</v>
      </c>
      <c r="C20" s="912" t="s">
        <v>690</v>
      </c>
      <c r="D20" s="912" t="s">
        <v>740</v>
      </c>
      <c r="E20" s="912" t="s">
        <v>741</v>
      </c>
      <c r="F20" s="912" t="s">
        <v>742</v>
      </c>
      <c r="G20" s="912" t="s">
        <v>743</v>
      </c>
      <c r="H20" s="912" t="s">
        <v>744</v>
      </c>
      <c r="I20" s="912"/>
      <c r="J20" s="912"/>
      <c r="K20" s="912"/>
      <c r="L20" s="912"/>
    </row>
    <row r="21">
      <c r="A21" s="911" t="str">
        <f>if('請先閱讀'!$F$34=true,"混血精靈 Khoravar","")</f>
        <v>混血精靈 Khoravar</v>
      </c>
      <c r="B21" s="911" t="s">
        <v>151</v>
      </c>
      <c r="C21" s="911" t="s">
        <v>727</v>
      </c>
      <c r="D21" s="911" t="s">
        <v>691</v>
      </c>
      <c r="E21" s="911" t="s">
        <v>702</v>
      </c>
      <c r="F21" s="911" t="s">
        <v>745</v>
      </c>
      <c r="G21" s="911" t="s">
        <v>746</v>
      </c>
      <c r="H21" s="911" t="s">
        <v>747</v>
      </c>
      <c r="I21" s="911"/>
      <c r="J21" s="911"/>
      <c r="K21" s="911"/>
      <c r="L21" s="911"/>
    </row>
    <row r="22">
      <c r="A22" s="912" t="str">
        <f>if('請先閱讀'!$F$34=true,"化獸者 Shifter","")</f>
        <v>化獸者 Shifter</v>
      </c>
      <c r="B22" s="912" t="s">
        <v>151</v>
      </c>
      <c r="C22" s="912" t="s">
        <v>714</v>
      </c>
      <c r="D22" s="912" t="s">
        <v>691</v>
      </c>
      <c r="E22" s="912" t="s">
        <v>692</v>
      </c>
      <c r="F22" s="912" t="s">
        <v>748</v>
      </c>
      <c r="G22" s="912" t="s">
        <v>749</v>
      </c>
      <c r="H22" s="912"/>
      <c r="I22" s="912"/>
      <c r="J22" s="912"/>
      <c r="K22" s="912"/>
      <c r="L22" s="912"/>
    </row>
    <row r="23">
      <c r="A23" s="911" t="str">
        <f>if('請先閱讀'!$F$34=true,"戰俑 Warforged","")</f>
        <v>戰俑 Warforged</v>
      </c>
      <c r="B23" s="911" t="s">
        <v>151</v>
      </c>
      <c r="C23" s="911" t="s">
        <v>727</v>
      </c>
      <c r="D23" s="911" t="s">
        <v>750</v>
      </c>
      <c r="E23" s="911" t="s">
        <v>751</v>
      </c>
      <c r="F23" s="911" t="s">
        <v>752</v>
      </c>
      <c r="G23" s="911" t="s">
        <v>753</v>
      </c>
      <c r="H23" s="911" t="s">
        <v>754</v>
      </c>
      <c r="I23" s="911" t="s">
        <v>755</v>
      </c>
      <c r="J23" s="911"/>
      <c r="K23" s="911"/>
      <c r="L23" s="911"/>
    </row>
    <row r="24">
      <c r="A24" s="913" t="str">
        <f>IF('請先閱讀'!$O$27=true,"灰燼裔 Ashborn","")</f>
        <v/>
      </c>
      <c r="B24" s="913" t="str">
        <f>'請先閱讀'!M$27</f>
        <v>TCM</v>
      </c>
      <c r="C24" s="913" t="s">
        <v>705</v>
      </c>
      <c r="D24" s="913" t="s">
        <v>756</v>
      </c>
      <c r="E24" s="913" t="s">
        <v>757</v>
      </c>
      <c r="F24" s="913" t="s">
        <v>692</v>
      </c>
      <c r="G24" s="913" t="s">
        <v>758</v>
      </c>
      <c r="H24" s="913" t="s">
        <v>759</v>
      </c>
      <c r="I24" s="913"/>
      <c r="J24" s="913"/>
      <c r="K24" s="913"/>
      <c r="L24" s="913"/>
    </row>
    <row r="25">
      <c r="A25" s="914" t="str">
        <f>IF('請先閱讀'!$O$27=true,"蒼羽裔 Azureborn","")</f>
        <v/>
      </c>
      <c r="B25" s="914" t="str">
        <f>'請先閱讀'!M$27</f>
        <v>TCM</v>
      </c>
      <c r="C25" s="914" t="s">
        <v>690</v>
      </c>
      <c r="D25" s="914" t="s">
        <v>691</v>
      </c>
      <c r="E25" s="914" t="s">
        <v>760</v>
      </c>
      <c r="F25" s="914" t="s">
        <v>692</v>
      </c>
      <c r="G25" s="914" t="s">
        <v>761</v>
      </c>
      <c r="H25" s="914" t="s">
        <v>762</v>
      </c>
      <c r="I25" s="914"/>
      <c r="J25" s="914"/>
      <c r="K25" s="914"/>
      <c r="L25" s="914"/>
    </row>
    <row r="26">
      <c r="A26" s="913" t="str">
        <f>IF('請先閱讀'!$O$27=true,"沼澤裔 Ashborn","")</f>
        <v/>
      </c>
      <c r="B26" s="913" t="str">
        <f>'請先閱讀'!M$27</f>
        <v>TCM</v>
      </c>
      <c r="C26" s="913" t="s">
        <v>690</v>
      </c>
      <c r="D26" s="913" t="s">
        <v>763</v>
      </c>
      <c r="E26" s="913" t="s">
        <v>764</v>
      </c>
      <c r="F26" s="913" t="s">
        <v>692</v>
      </c>
      <c r="G26" s="913" t="s">
        <v>765</v>
      </c>
      <c r="H26" s="913" t="s">
        <v>703</v>
      </c>
      <c r="I26" s="913" t="s">
        <v>766</v>
      </c>
      <c r="J26" s="913"/>
      <c r="K26" s="913"/>
      <c r="L26" s="913"/>
    </row>
    <row r="27">
      <c r="A27" s="914" t="str">
        <f>IF('請先閱讀'!$O$27=true,"咒狼裔 Curseborn","")</f>
        <v/>
      </c>
      <c r="B27" s="914" t="str">
        <f>'請先閱讀'!M$27</f>
        <v>TCM</v>
      </c>
      <c r="C27" s="914" t="s">
        <v>690</v>
      </c>
      <c r="D27" s="914" t="s">
        <v>691</v>
      </c>
      <c r="E27" s="914" t="s">
        <v>767</v>
      </c>
      <c r="F27" s="914" t="s">
        <v>692</v>
      </c>
      <c r="G27" s="914" t="s">
        <v>768</v>
      </c>
      <c r="H27" s="914" t="s">
        <v>769</v>
      </c>
      <c r="I27" s="914"/>
      <c r="J27" s="914"/>
      <c r="K27" s="914"/>
      <c r="L27" s="914"/>
    </row>
    <row r="28">
      <c r="A28" s="913" t="str">
        <f>IF('請先閱讀'!$O$27=true,"深潛裔 Deepborn","")</f>
        <v/>
      </c>
      <c r="B28" s="913" t="str">
        <f>'請先閱讀'!M$27</f>
        <v>TCM</v>
      </c>
      <c r="C28" s="913" t="s">
        <v>690</v>
      </c>
      <c r="D28" s="913" t="s">
        <v>740</v>
      </c>
      <c r="E28" s="913" t="s">
        <v>770</v>
      </c>
      <c r="F28" s="913" t="s">
        <v>692</v>
      </c>
      <c r="G28" s="913" t="s">
        <v>771</v>
      </c>
      <c r="H28" s="913" t="s">
        <v>772</v>
      </c>
      <c r="I28" s="913"/>
      <c r="J28" s="913"/>
      <c r="K28" s="913"/>
      <c r="L28" s="913"/>
    </row>
    <row r="29">
      <c r="A29" s="914" t="str">
        <f>IF('請先閱讀'!$O$27=true,"詭木裔 Gnarlborn","")</f>
        <v/>
      </c>
      <c r="B29" s="914" t="str">
        <f>'請先閱讀'!M$27</f>
        <v>TCM</v>
      </c>
      <c r="C29" s="914" t="s">
        <v>690</v>
      </c>
      <c r="D29" s="914" t="s">
        <v>773</v>
      </c>
      <c r="E29" s="914" t="s">
        <v>774</v>
      </c>
      <c r="F29" s="914" t="s">
        <v>775</v>
      </c>
      <c r="G29" s="914" t="s">
        <v>776</v>
      </c>
      <c r="H29" s="914" t="s">
        <v>777</v>
      </c>
      <c r="I29" s="914" t="s">
        <v>778</v>
      </c>
      <c r="J29" s="914"/>
      <c r="K29" s="914"/>
      <c r="L29" s="914"/>
    </row>
    <row r="30">
      <c r="A30" s="913" t="str">
        <f>IF('請先閱讀'!$O$27=true,"霜墓裔 Graveborn","")</f>
        <v/>
      </c>
      <c r="B30" s="913" t="str">
        <f>'請先閱讀'!M$27</f>
        <v>TCM</v>
      </c>
      <c r="C30" s="913" t="s">
        <v>690</v>
      </c>
      <c r="D30" s="913" t="s">
        <v>779</v>
      </c>
      <c r="E30" s="913" t="s">
        <v>692</v>
      </c>
      <c r="F30" s="913" t="s">
        <v>780</v>
      </c>
      <c r="G30" s="913" t="s">
        <v>781</v>
      </c>
      <c r="H30" s="913" t="s">
        <v>782</v>
      </c>
      <c r="I30" s="913"/>
      <c r="J30" s="913"/>
      <c r="K30" s="913"/>
      <c r="L30" s="913"/>
    </row>
    <row r="31">
      <c r="A31" s="914" t="str">
        <f>IF('請先閱讀'!$O$27=true,"豐收裔 Harvestborn","")</f>
        <v/>
      </c>
      <c r="B31" s="914" t="str">
        <f>'請先閱讀'!M$27</f>
        <v>TCM</v>
      </c>
      <c r="C31" s="914" t="s">
        <v>690</v>
      </c>
      <c r="D31" s="914" t="s">
        <v>750</v>
      </c>
      <c r="E31" s="914" t="s">
        <v>783</v>
      </c>
      <c r="F31" s="914" t="s">
        <v>784</v>
      </c>
      <c r="G31" s="914" t="s">
        <v>785</v>
      </c>
      <c r="H31" s="914" t="s">
        <v>786</v>
      </c>
      <c r="I31" s="914" t="s">
        <v>787</v>
      </c>
      <c r="J31" s="914"/>
      <c r="K31" s="914"/>
      <c r="L31" s="914"/>
    </row>
    <row r="32">
      <c r="A32" s="913" t="str">
        <f>IF('請先閱讀'!$O$27=true,"疫鼠裔 Plagueborn","")</f>
        <v/>
      </c>
      <c r="B32" s="913" t="str">
        <f>'請先閱讀'!M$27</f>
        <v>TCM</v>
      </c>
      <c r="C32" s="913" t="s">
        <v>690</v>
      </c>
      <c r="D32" s="913" t="s">
        <v>691</v>
      </c>
      <c r="E32" s="913" t="s">
        <v>788</v>
      </c>
      <c r="F32" s="913" t="s">
        <v>692</v>
      </c>
      <c r="G32" s="913" t="s">
        <v>789</v>
      </c>
      <c r="H32" s="913" t="s">
        <v>790</v>
      </c>
      <c r="I32" s="913"/>
      <c r="J32" s="913"/>
      <c r="K32" s="913"/>
      <c r="L32" s="913"/>
    </row>
    <row r="33">
      <c r="A33" s="914" t="str">
        <f>IF('請先閱讀'!$O$27=true,"遺骷裔 Relicborn","")</f>
        <v/>
      </c>
      <c r="B33" s="914" t="str">
        <f>'請先閱讀'!M$27</f>
        <v>TCM</v>
      </c>
      <c r="C33" s="914" t="s">
        <v>690</v>
      </c>
      <c r="D33" s="914" t="s">
        <v>779</v>
      </c>
      <c r="E33" s="914" t="s">
        <v>791</v>
      </c>
      <c r="F33" s="914" t="s">
        <v>792</v>
      </c>
      <c r="G33" s="914" t="s">
        <v>793</v>
      </c>
      <c r="H33" s="914" t="s">
        <v>794</v>
      </c>
      <c r="I33" s="914"/>
      <c r="J33" s="914"/>
      <c r="K33" s="914"/>
      <c r="L33" s="914"/>
    </row>
    <row r="34">
      <c r="A34" s="913" t="str">
        <f>IF('請先閱讀'!$O$27=true,"絲蛛裔 Silkborn","")</f>
        <v/>
      </c>
      <c r="B34" s="913" t="str">
        <f>'請先閱讀'!M$27</f>
        <v>TCM</v>
      </c>
      <c r="C34" s="913" t="s">
        <v>690</v>
      </c>
      <c r="D34" s="913" t="s">
        <v>691</v>
      </c>
      <c r="E34" s="913" t="s">
        <v>795</v>
      </c>
      <c r="F34" s="913" t="s">
        <v>692</v>
      </c>
      <c r="G34" s="913" t="s">
        <v>796</v>
      </c>
      <c r="H34" s="913" t="s">
        <v>735</v>
      </c>
      <c r="I34" s="913"/>
      <c r="J34" s="913"/>
      <c r="K34" s="913"/>
      <c r="L34" s="913"/>
    </row>
    <row r="35">
      <c r="A35" s="914" t="str">
        <f>IF('請先閱讀'!$O$27=true,"石像裔 Stoneborn","")</f>
        <v/>
      </c>
      <c r="B35" s="914" t="str">
        <f>'請先閱讀'!M$27</f>
        <v>TCM</v>
      </c>
      <c r="C35" s="914" t="s">
        <v>714</v>
      </c>
      <c r="D35" s="914" t="s">
        <v>750</v>
      </c>
      <c r="E35" s="914" t="s">
        <v>797</v>
      </c>
      <c r="F35" s="914" t="s">
        <v>798</v>
      </c>
      <c r="G35" s="914" t="s">
        <v>799</v>
      </c>
      <c r="H35" s="914"/>
      <c r="I35" s="914"/>
      <c r="J35" s="914"/>
      <c r="K35" s="914"/>
      <c r="L35" s="914"/>
    </row>
    <row r="36">
      <c r="A36" s="913" t="str">
        <f>IF('請先閱讀'!$O$27=true,"絲偶裔 Threadborn","")</f>
        <v/>
      </c>
      <c r="B36" s="913" t="str">
        <f>'請先閱讀'!M$27</f>
        <v>TCM</v>
      </c>
      <c r="C36" s="913" t="s">
        <v>690</v>
      </c>
      <c r="D36" s="913" t="s">
        <v>750</v>
      </c>
      <c r="E36" s="913" t="s">
        <v>800</v>
      </c>
      <c r="F36" s="913" t="s">
        <v>801</v>
      </c>
      <c r="G36" s="913" t="s">
        <v>802</v>
      </c>
      <c r="H36" s="913" t="s">
        <v>803</v>
      </c>
      <c r="I36" s="913" t="s">
        <v>804</v>
      </c>
      <c r="J36" s="913"/>
      <c r="K36" s="913"/>
      <c r="L36" s="913"/>
    </row>
    <row r="37">
      <c r="A37" s="915" t="str">
        <f>IF('請先閱讀'!O28=true,"吉佩廷 Geppettin","")</f>
        <v/>
      </c>
      <c r="B37" s="915" t="s">
        <v>122</v>
      </c>
      <c r="C37" s="915" t="s">
        <v>714</v>
      </c>
      <c r="D37" s="915" t="s">
        <v>750</v>
      </c>
      <c r="E37" s="915" t="s">
        <v>692</v>
      </c>
      <c r="F37" s="915" t="s">
        <v>805</v>
      </c>
      <c r="G37" s="915" t="s">
        <v>806</v>
      </c>
      <c r="H37" s="915" t="str">
        <f>"吉佩廷構造："&amp;'角色卡'!AP7&amp;" Gepettin Construction"</f>
        <v>吉佩廷構造： Gepettin Construction</v>
      </c>
      <c r="I37" s="915"/>
      <c r="J37" s="915"/>
      <c r="K37" s="915"/>
      <c r="L37" s="915"/>
    </row>
    <row r="38">
      <c r="A38" s="916" t="str">
        <f>IF('請先閱讀'!O28=true,"曼德拉 Mandrake","")</f>
        <v/>
      </c>
      <c r="B38" s="916" t="s">
        <v>122</v>
      </c>
      <c r="C38" s="916" t="s">
        <v>690</v>
      </c>
      <c r="D38" s="916" t="s">
        <v>773</v>
      </c>
      <c r="E38" s="916" t="s">
        <v>807</v>
      </c>
      <c r="F38" s="916" t="s">
        <v>808</v>
      </c>
      <c r="G38" s="916" t="s">
        <v>809</v>
      </c>
      <c r="H38" s="916" t="s">
        <v>810</v>
      </c>
      <c r="I38" s="916"/>
      <c r="J38" s="916"/>
      <c r="K38" s="916"/>
      <c r="L38" s="916"/>
    </row>
    <row r="39">
      <c r="A39" s="917" t="str">
        <f>IF('請先閱讀'!$O$31=true,"GH龍裔 Dragonborn","")</f>
        <v/>
      </c>
      <c r="B39" s="917" t="s">
        <v>137</v>
      </c>
      <c r="C39" s="917" t="s">
        <v>690</v>
      </c>
      <c r="D39" s="917" t="s">
        <v>691</v>
      </c>
      <c r="E39" s="917" t="s">
        <v>695</v>
      </c>
      <c r="F39" s="917" t="s">
        <v>696</v>
      </c>
      <c r="G39" s="917" t="s">
        <v>811</v>
      </c>
      <c r="H39" s="917" t="s">
        <v>692</v>
      </c>
      <c r="I39" s="917" t="s">
        <v>812</v>
      </c>
      <c r="J39" s="917" t="s">
        <v>813</v>
      </c>
      <c r="K39" s="917" t="s">
        <v>814</v>
      </c>
      <c r="L39" s="917" t="s">
        <v>815</v>
      </c>
    </row>
    <row r="40">
      <c r="A40" s="918" t="str">
        <f>IF('請先閱讀'!$O$31=true,"GH矮人 Dwarf","")</f>
        <v/>
      </c>
      <c r="B40" s="918" t="s">
        <v>137</v>
      </c>
      <c r="C40" s="918" t="s">
        <v>690</v>
      </c>
      <c r="D40" s="918" t="s">
        <v>691</v>
      </c>
      <c r="E40" s="918" t="s">
        <v>816</v>
      </c>
      <c r="F40" s="918" t="s">
        <v>817</v>
      </c>
      <c r="G40" s="918" t="s">
        <v>818</v>
      </c>
      <c r="H40" s="918" t="s">
        <v>692</v>
      </c>
      <c r="I40" s="918" t="s">
        <v>819</v>
      </c>
      <c r="J40" s="918" t="s">
        <v>820</v>
      </c>
      <c r="K40" s="918" t="s">
        <v>821</v>
      </c>
      <c r="L40" s="918" t="s">
        <v>822</v>
      </c>
    </row>
    <row r="41">
      <c r="A41" s="917" t="str">
        <f>IF('請先閱讀'!$O$31=true,"GH精靈 Elf","")</f>
        <v/>
      </c>
      <c r="B41" s="917" t="s">
        <v>137</v>
      </c>
      <c r="C41" s="917" t="s">
        <v>690</v>
      </c>
      <c r="D41" s="917" t="s">
        <v>691</v>
      </c>
      <c r="E41" s="917" t="s">
        <v>823</v>
      </c>
      <c r="F41" s="917" t="s">
        <v>824</v>
      </c>
      <c r="G41" s="917" t="s">
        <v>818</v>
      </c>
      <c r="H41" s="917" t="s">
        <v>692</v>
      </c>
      <c r="I41" s="917" t="s">
        <v>825</v>
      </c>
      <c r="J41" s="917" t="s">
        <v>826</v>
      </c>
      <c r="K41" s="917" t="s">
        <v>827</v>
      </c>
      <c r="L41" s="917" t="s">
        <v>828</v>
      </c>
    </row>
    <row r="42">
      <c r="A42" s="918" t="str">
        <f>IF('請先閱讀'!$O$31=true,"GH地侏 Gnome","")</f>
        <v/>
      </c>
      <c r="B42" s="918" t="s">
        <v>137</v>
      </c>
      <c r="C42" s="918" t="s">
        <v>705</v>
      </c>
      <c r="D42" s="918" t="s">
        <v>691</v>
      </c>
      <c r="E42" s="918" t="s">
        <v>829</v>
      </c>
      <c r="F42" s="918" t="s">
        <v>830</v>
      </c>
      <c r="G42" s="918" t="s">
        <v>831</v>
      </c>
      <c r="H42" s="918" t="s">
        <v>692</v>
      </c>
      <c r="I42" s="918" t="s">
        <v>832</v>
      </c>
      <c r="J42" s="918" t="s">
        <v>833</v>
      </c>
      <c r="K42" s="918" t="s">
        <v>834</v>
      </c>
      <c r="L42" s="918" t="s">
        <v>835</v>
      </c>
    </row>
    <row r="43">
      <c r="A43" s="917" t="str">
        <f>IF('請先閱讀'!$O$31=true,"GH半身人 Halfling","")</f>
        <v/>
      </c>
      <c r="B43" s="917" t="s">
        <v>137</v>
      </c>
      <c r="C43" s="917" t="s">
        <v>705</v>
      </c>
      <c r="D43" s="917" t="s">
        <v>691</v>
      </c>
      <c r="E43" s="917" t="s">
        <v>836</v>
      </c>
      <c r="F43" s="917" t="s">
        <v>837</v>
      </c>
      <c r="G43" s="917" t="s">
        <v>712</v>
      </c>
      <c r="H43" s="917" t="s">
        <v>838</v>
      </c>
      <c r="I43" s="917" t="s">
        <v>839</v>
      </c>
      <c r="J43" s="917" t="s">
        <v>840</v>
      </c>
      <c r="K43" s="917" t="s">
        <v>821</v>
      </c>
      <c r="L43" s="917" t="s">
        <v>841</v>
      </c>
    </row>
    <row r="44">
      <c r="A44" s="918" t="str">
        <f>IF('請先閱讀'!$O$31=true,"GH人類 Human","")</f>
        <v/>
      </c>
      <c r="B44" s="918" t="s">
        <v>137</v>
      </c>
      <c r="C44" s="918" t="s">
        <v>690</v>
      </c>
      <c r="D44" s="918" t="s">
        <v>691</v>
      </c>
      <c r="E44" s="918" t="s">
        <v>842</v>
      </c>
      <c r="F44" s="918" t="s">
        <v>843</v>
      </c>
      <c r="G44" s="918" t="s">
        <v>818</v>
      </c>
      <c r="H44" s="918" t="s">
        <v>838</v>
      </c>
      <c r="I44" s="918" t="s">
        <v>844</v>
      </c>
      <c r="J44" s="918" t="s">
        <v>821</v>
      </c>
      <c r="K44" s="918" t="s">
        <v>845</v>
      </c>
      <c r="L44" s="918" t="s">
        <v>846</v>
      </c>
    </row>
    <row r="45">
      <c r="A45" s="917" t="str">
        <f>IF('請先閱讀'!$O$31=true,"夢行者 Dreamer","")</f>
        <v/>
      </c>
      <c r="B45" s="917" t="s">
        <v>137</v>
      </c>
      <c r="C45" s="917" t="s">
        <v>690</v>
      </c>
      <c r="D45" s="917" t="s">
        <v>691</v>
      </c>
      <c r="E45" s="917" t="s">
        <v>847</v>
      </c>
      <c r="F45" s="917" t="s">
        <v>848</v>
      </c>
      <c r="G45" s="917" t="s">
        <v>692</v>
      </c>
      <c r="H45" s="917" t="s">
        <v>838</v>
      </c>
      <c r="I45" s="917" t="s">
        <v>840</v>
      </c>
      <c r="J45" s="917" t="s">
        <v>849</v>
      </c>
      <c r="K45" s="917" t="s">
        <v>850</v>
      </c>
      <c r="L45" s="917" t="s">
        <v>827</v>
      </c>
    </row>
    <row r="46">
      <c r="A46" s="918" t="str">
        <f>IF('請先閱讀'!$O$31=true,"怨恨 Grudgel","")</f>
        <v/>
      </c>
      <c r="B46" s="918" t="s">
        <v>137</v>
      </c>
      <c r="C46" s="918" t="s">
        <v>690</v>
      </c>
      <c r="D46" s="918" t="s">
        <v>691</v>
      </c>
      <c r="E46" s="918" t="s">
        <v>851</v>
      </c>
      <c r="F46" s="918" t="s">
        <v>852</v>
      </c>
      <c r="G46" s="918" t="s">
        <v>692</v>
      </c>
      <c r="H46" s="918" t="s">
        <v>708</v>
      </c>
      <c r="I46" s="918" t="s">
        <v>755</v>
      </c>
      <c r="J46" s="918" t="s">
        <v>821</v>
      </c>
      <c r="K46" s="918" t="s">
        <v>853</v>
      </c>
      <c r="L46" s="918" t="s">
        <v>828</v>
      </c>
    </row>
    <row r="47">
      <c r="A47" s="917" t="str">
        <f>IF('請先閱讀'!$O$31=true,"溟族 Laneshi","")</f>
        <v/>
      </c>
      <c r="B47" s="917" t="s">
        <v>137</v>
      </c>
      <c r="C47" s="917" t="s">
        <v>690</v>
      </c>
      <c r="D47" s="917" t="s">
        <v>691</v>
      </c>
      <c r="E47" s="917" t="s">
        <v>823</v>
      </c>
      <c r="F47" s="917" t="s">
        <v>854</v>
      </c>
      <c r="G47" s="917" t="s">
        <v>770</v>
      </c>
      <c r="H47" s="917" t="s">
        <v>692</v>
      </c>
      <c r="I47" s="917" t="s">
        <v>855</v>
      </c>
      <c r="J47" s="917" t="s">
        <v>856</v>
      </c>
      <c r="K47" s="917" t="s">
        <v>857</v>
      </c>
      <c r="L47" s="917" t="s">
        <v>835</v>
      </c>
    </row>
    <row r="48">
      <c r="A48" s="918" t="str">
        <f>IF('請先閱讀'!$O$31=true,"食人魔族 Ogresh","")</f>
        <v/>
      </c>
      <c r="B48" s="918" t="s">
        <v>137</v>
      </c>
      <c r="C48" s="918" t="s">
        <v>690</v>
      </c>
      <c r="D48" s="918" t="s">
        <v>691</v>
      </c>
      <c r="E48" s="918" t="s">
        <v>858</v>
      </c>
      <c r="F48" s="918" t="s">
        <v>824</v>
      </c>
      <c r="G48" s="918" t="s">
        <v>859</v>
      </c>
      <c r="H48" s="918" t="s">
        <v>812</v>
      </c>
      <c r="I48" s="918" t="s">
        <v>708</v>
      </c>
      <c r="J48" s="918" t="s">
        <v>860</v>
      </c>
      <c r="K48" s="918" t="s">
        <v>861</v>
      </c>
      <c r="L48" s="918" t="s">
        <v>862</v>
      </c>
    </row>
    <row r="49">
      <c r="A49" s="917" t="str">
        <f>IF('請先閱讀'!$O$31=true,"咒縛者 Accursed","")</f>
        <v/>
      </c>
      <c r="B49" s="917" t="s">
        <v>137</v>
      </c>
      <c r="C49" s="917" t="s">
        <v>714</v>
      </c>
      <c r="D49" s="917" t="s">
        <v>691</v>
      </c>
      <c r="E49" s="917"/>
      <c r="F49" s="917"/>
      <c r="G49" s="917"/>
      <c r="H49" s="917"/>
      <c r="I49" s="917"/>
      <c r="J49" s="917"/>
      <c r="K49" s="917"/>
      <c r="L49" s="917"/>
    </row>
    <row r="50">
      <c r="A50" s="918" t="str">
        <f>IF('請先閱讀'!$O$31=true,"復生人 Arisen","")</f>
        <v/>
      </c>
      <c r="B50" s="918" t="s">
        <v>137</v>
      </c>
      <c r="C50" s="918" t="s">
        <v>714</v>
      </c>
      <c r="D50" s="918" t="s">
        <v>691</v>
      </c>
      <c r="E50" s="918" t="s">
        <v>829</v>
      </c>
      <c r="F50" s="918" t="s">
        <v>863</v>
      </c>
      <c r="G50" s="918" t="s">
        <v>817</v>
      </c>
      <c r="H50" s="918" t="s">
        <v>864</v>
      </c>
      <c r="I50" s="918" t="s">
        <v>865</v>
      </c>
      <c r="J50" s="918" t="s">
        <v>841</v>
      </c>
      <c r="K50" s="918" t="s">
        <v>866</v>
      </c>
      <c r="L50" s="918" t="s">
        <v>867</v>
      </c>
    </row>
    <row r="51">
      <c r="A51" s="917" t="str">
        <f>IF('請先閱讀'!$O$31=true,"GH半血裔 Dhampir","")</f>
        <v/>
      </c>
      <c r="B51" s="917" t="s">
        <v>137</v>
      </c>
      <c r="C51" s="917" t="s">
        <v>714</v>
      </c>
      <c r="D51" s="917" t="s">
        <v>691</v>
      </c>
      <c r="E51" s="917" t="s">
        <v>868</v>
      </c>
      <c r="F51" s="917" t="s">
        <v>869</v>
      </c>
      <c r="G51" s="917" t="s">
        <v>870</v>
      </c>
      <c r="H51" s="917" t="s">
        <v>871</v>
      </c>
      <c r="I51" s="917" t="s">
        <v>692</v>
      </c>
      <c r="J51" s="917" t="s">
        <v>872</v>
      </c>
      <c r="K51" s="917" t="s">
        <v>873</v>
      </c>
      <c r="L51" s="917" t="s">
        <v>874</v>
      </c>
    </row>
    <row r="52">
      <c r="A52" s="918" t="str">
        <f>IF('請先閱讀'!$O$31=true,"靈體化者 Disembodied","")</f>
        <v/>
      </c>
      <c r="B52" s="918" t="s">
        <v>137</v>
      </c>
      <c r="C52" s="918" t="s">
        <v>714</v>
      </c>
      <c r="D52" s="918" t="s">
        <v>691</v>
      </c>
      <c r="E52" s="918" t="s">
        <v>829</v>
      </c>
      <c r="F52" s="918" t="s">
        <v>875</v>
      </c>
      <c r="G52" s="918" t="s">
        <v>876</v>
      </c>
      <c r="H52" s="918" t="s">
        <v>877</v>
      </c>
      <c r="I52" s="918" t="s">
        <v>865</v>
      </c>
      <c r="J52" s="918" t="s">
        <v>866</v>
      </c>
      <c r="K52" s="918" t="s">
        <v>878</v>
      </c>
      <c r="L52" s="918" t="s">
        <v>879</v>
      </c>
    </row>
    <row r="53">
      <c r="A53" s="917" t="str">
        <f>IF('請先閱讀'!$O$31=true,"放逐者 Downcast","")</f>
        <v/>
      </c>
      <c r="B53" s="917" t="s">
        <v>137</v>
      </c>
      <c r="C53" s="917" t="s">
        <v>690</v>
      </c>
      <c r="D53" s="917" t="s">
        <v>691</v>
      </c>
      <c r="E53" s="917" t="s">
        <v>880</v>
      </c>
      <c r="F53" s="917" t="s">
        <v>881</v>
      </c>
      <c r="G53" s="917" t="s">
        <v>865</v>
      </c>
      <c r="H53" s="917" t="s">
        <v>825</v>
      </c>
      <c r="I53" s="917" t="s">
        <v>755</v>
      </c>
      <c r="J53" s="917" t="s">
        <v>882</v>
      </c>
      <c r="K53" s="917" t="s">
        <v>883</v>
      </c>
      <c r="L53" s="917" t="s">
        <v>815</v>
      </c>
    </row>
    <row r="54">
      <c r="A54" s="918" t="str">
        <f>IF('請先閱讀'!$O$31=true,"易魂者 Wechselkind","")</f>
        <v/>
      </c>
      <c r="B54" s="918" t="s">
        <v>137</v>
      </c>
      <c r="C54" s="918" t="s">
        <v>705</v>
      </c>
      <c r="D54" s="918" t="s">
        <v>691</v>
      </c>
      <c r="E54" s="918" t="s">
        <v>837</v>
      </c>
      <c r="F54" s="918" t="s">
        <v>829</v>
      </c>
      <c r="G54" s="918" t="s">
        <v>864</v>
      </c>
      <c r="H54" s="918" t="s">
        <v>838</v>
      </c>
      <c r="I54" s="918" t="s">
        <v>839</v>
      </c>
      <c r="J54" s="918" t="s">
        <v>884</v>
      </c>
      <c r="K54" s="918" t="s">
        <v>885</v>
      </c>
      <c r="L54" s="918" t="s">
        <v>886</v>
      </c>
    </row>
    <row r="55">
      <c r="A55" s="917" t="str">
        <f>IF('請先閱讀'!$O$31=true,"狼人 Wulven","")</f>
        <v/>
      </c>
      <c r="B55" s="917" t="s">
        <v>137</v>
      </c>
      <c r="C55" s="917" t="s">
        <v>714</v>
      </c>
      <c r="D55" s="917" t="s">
        <v>691</v>
      </c>
      <c r="E55" s="917" t="s">
        <v>887</v>
      </c>
      <c r="F55" s="917" t="s">
        <v>888</v>
      </c>
      <c r="G55" s="917" t="s">
        <v>889</v>
      </c>
      <c r="H55" s="917" t="s">
        <v>890</v>
      </c>
      <c r="I55" s="917" t="s">
        <v>871</v>
      </c>
      <c r="J55" s="917" t="s">
        <v>891</v>
      </c>
      <c r="K55" s="917" t="s">
        <v>827</v>
      </c>
      <c r="L55" s="917" t="s">
        <v>835</v>
      </c>
    </row>
    <row r="56">
      <c r="A56" s="919" t="str">
        <f>IF('請先閱讀'!$O$32=true,"雪裔 Snowborn","")</f>
        <v/>
      </c>
      <c r="B56" s="919" t="s">
        <v>142</v>
      </c>
      <c r="C56" s="919" t="s">
        <v>714</v>
      </c>
      <c r="D56" s="919" t="s">
        <v>750</v>
      </c>
      <c r="E56" s="919" t="s">
        <v>892</v>
      </c>
      <c r="F56" s="919" t="s">
        <v>893</v>
      </c>
      <c r="G56" s="919" t="s">
        <v>894</v>
      </c>
      <c r="H56" s="919" t="s">
        <v>895</v>
      </c>
      <c r="I56" s="919"/>
      <c r="J56" s="919"/>
      <c r="K56" s="919"/>
      <c r="L56" s="919"/>
    </row>
    <row r="57">
      <c r="A57" s="920" t="str">
        <f>IF('請先閱讀'!$O$32=true,"馴鹿人 Tarandus","")</f>
        <v/>
      </c>
      <c r="B57" s="920" t="s">
        <v>142</v>
      </c>
      <c r="C57" s="920" t="s">
        <v>690</v>
      </c>
      <c r="D57" s="920" t="s">
        <v>691</v>
      </c>
      <c r="E57" s="920" t="s">
        <v>896</v>
      </c>
      <c r="F57" s="920" t="s">
        <v>897</v>
      </c>
      <c r="G57" s="920" t="s">
        <v>898</v>
      </c>
      <c r="H57" s="920" t="s">
        <v>899</v>
      </c>
      <c r="I57" s="920"/>
      <c r="J57" s="920"/>
      <c r="K57" s="920"/>
      <c r="L57" s="920"/>
    </row>
    <row r="58">
      <c r="A58" s="919" t="str">
        <f>IF('請先閱讀'!$O$32=true,"常春人 Hederan","")</f>
        <v/>
      </c>
      <c r="B58" s="919" t="s">
        <v>142</v>
      </c>
      <c r="C58" s="919" t="s">
        <v>714</v>
      </c>
      <c r="D58" s="919" t="s">
        <v>691</v>
      </c>
      <c r="E58" s="919" t="s">
        <v>692</v>
      </c>
      <c r="F58" s="919" t="s">
        <v>900</v>
      </c>
      <c r="G58" s="919" t="s">
        <v>901</v>
      </c>
      <c r="H58" s="919" t="s">
        <v>902</v>
      </c>
      <c r="I58" s="919"/>
      <c r="J58" s="919"/>
      <c r="K58" s="919"/>
      <c r="L58" s="919"/>
    </row>
    <row r="59">
      <c r="A59" s="920" t="str">
        <f>IF('請先閱讀'!$O$32=true,"卡尼薩 Canisar","")</f>
        <v/>
      </c>
      <c r="B59" s="920" t="s">
        <v>142</v>
      </c>
      <c r="C59" s="920" t="s">
        <v>705</v>
      </c>
      <c r="D59" s="920" t="s">
        <v>691</v>
      </c>
      <c r="E59" s="920" t="s">
        <v>692</v>
      </c>
      <c r="F59" s="920" t="s">
        <v>903</v>
      </c>
      <c r="G59" s="920" t="s">
        <v>904</v>
      </c>
      <c r="H59" s="920" t="s">
        <v>905</v>
      </c>
      <c r="I59" s="920" t="s">
        <v>906</v>
      </c>
      <c r="J59" s="920"/>
      <c r="K59" s="920"/>
      <c r="L59" s="920"/>
    </row>
    <row r="60">
      <c r="A60" s="911" t="str">
        <f>IF('請先閱讀'!$O$33=true,"Dhakaani Ghaal'dar (大哥布林)","")</f>
        <v/>
      </c>
      <c r="B60" s="911" t="s">
        <v>147</v>
      </c>
      <c r="C60" s="911" t="s">
        <v>690</v>
      </c>
      <c r="D60" s="911" t="s">
        <v>691</v>
      </c>
      <c r="E60" s="911" t="s">
        <v>692</v>
      </c>
      <c r="F60" s="911" t="s">
        <v>907</v>
      </c>
      <c r="G60" s="911" t="s">
        <v>908</v>
      </c>
      <c r="H60" s="911" t="s">
        <v>909</v>
      </c>
      <c r="I60" s="911"/>
      <c r="J60" s="911"/>
      <c r="K60" s="911"/>
      <c r="L60" s="911"/>
    </row>
    <row r="61">
      <c r="A61" s="912" t="str">
        <f>IF('請先閱讀'!$O$33=true,"Dhakaani Guul'dar (熊地精)","")</f>
        <v/>
      </c>
      <c r="B61" s="912" t="s">
        <v>147</v>
      </c>
      <c r="C61" s="912" t="s">
        <v>690</v>
      </c>
      <c r="D61" s="912" t="s">
        <v>691</v>
      </c>
      <c r="E61" s="912" t="s">
        <v>692</v>
      </c>
      <c r="F61" s="912" t="s">
        <v>710</v>
      </c>
      <c r="G61" s="912" t="s">
        <v>910</v>
      </c>
      <c r="H61" s="912" t="s">
        <v>708</v>
      </c>
      <c r="I61" s="912" t="s">
        <v>911</v>
      </c>
      <c r="J61" s="912"/>
      <c r="K61" s="912"/>
      <c r="L61" s="912"/>
    </row>
    <row r="62">
      <c r="A62" s="911" t="str">
        <f>IF('請先閱讀'!$O$33=true,"Dhakanni Golin'dar (哥布林)","")</f>
        <v/>
      </c>
      <c r="B62" s="911" t="s">
        <v>147</v>
      </c>
      <c r="C62" s="911" t="s">
        <v>690</v>
      </c>
      <c r="D62" s="911" t="s">
        <v>691</v>
      </c>
      <c r="E62" s="911" t="s">
        <v>692</v>
      </c>
      <c r="F62" s="911" t="s">
        <v>907</v>
      </c>
      <c r="G62" s="911" t="s">
        <v>713</v>
      </c>
      <c r="H62" s="911" t="s">
        <v>912</v>
      </c>
      <c r="I62" s="911"/>
      <c r="J62" s="911"/>
      <c r="K62" s="911"/>
      <c r="L62" s="911"/>
    </row>
    <row r="63">
      <c r="A63" s="912" t="str">
        <f>IF('請先閱讀'!$O$33=true,"豺狼人","")</f>
        <v/>
      </c>
      <c r="B63" s="912" t="s">
        <v>147</v>
      </c>
      <c r="C63" s="912" t="s">
        <v>690</v>
      </c>
      <c r="D63" s="912" t="s">
        <v>691</v>
      </c>
      <c r="E63" s="912" t="s">
        <v>692</v>
      </c>
      <c r="F63" s="912" t="s">
        <v>913</v>
      </c>
      <c r="G63" s="912" t="s">
        <v>914</v>
      </c>
      <c r="H63" s="912" t="s">
        <v>915</v>
      </c>
      <c r="I63" s="912"/>
      <c r="J63" s="912"/>
      <c r="K63" s="912"/>
      <c r="L63" s="912"/>
    </row>
    <row r="64">
      <c r="A64" s="911" t="str">
        <f>IF('請先閱讀'!$O$33=true,"Jhorgun'taal (半獸人)","")</f>
        <v/>
      </c>
      <c r="B64" s="911" t="s">
        <v>147</v>
      </c>
      <c r="C64" s="911" t="s">
        <v>690</v>
      </c>
      <c r="D64" s="911" t="s">
        <v>691</v>
      </c>
      <c r="E64" s="911" t="s">
        <v>692</v>
      </c>
      <c r="F64" s="911" t="s">
        <v>720</v>
      </c>
      <c r="G64" s="911" t="s">
        <v>717</v>
      </c>
      <c r="H64" s="911"/>
      <c r="I64" s="911"/>
      <c r="J64" s="911"/>
      <c r="K64" s="911"/>
      <c r="L64" s="911"/>
    </row>
    <row r="65">
      <c r="A65" s="912" t="str">
        <f>IF('請先閱讀'!$O$33=true,"卡拉默陸行者 (人魚)","")</f>
        <v/>
      </c>
      <c r="B65" s="912" t="s">
        <v>147</v>
      </c>
      <c r="C65" s="912" t="s">
        <v>690</v>
      </c>
      <c r="D65" s="912" t="s">
        <v>691</v>
      </c>
      <c r="E65" s="912" t="s">
        <v>692</v>
      </c>
      <c r="F65" s="912" t="s">
        <v>770</v>
      </c>
      <c r="G65" s="912" t="s">
        <v>916</v>
      </c>
      <c r="H65" s="912" t="s">
        <v>917</v>
      </c>
      <c r="I65" s="912"/>
      <c r="J65" s="912"/>
      <c r="K65" s="912"/>
      <c r="L65" s="912"/>
    </row>
    <row r="66">
      <c r="A66" s="911" t="str">
        <f>IF('請先閱讀'!$O$33=true,"腐化宿主 Ruinbound","")</f>
        <v/>
      </c>
      <c r="B66" s="911" t="s">
        <v>147</v>
      </c>
      <c r="C66" s="911" t="s">
        <v>714</v>
      </c>
      <c r="D66" s="911" t="s">
        <v>691</v>
      </c>
      <c r="E66" s="911" t="s">
        <v>692</v>
      </c>
      <c r="F66" s="911" t="s">
        <v>918</v>
      </c>
      <c r="G66" s="911" t="s">
        <v>919</v>
      </c>
      <c r="H66" s="911" t="s">
        <v>920</v>
      </c>
      <c r="I66" s="911"/>
      <c r="J66" s="911"/>
      <c r="K66" s="911"/>
      <c r="L66" s="911"/>
    </row>
    <row r="67">
      <c r="A67" s="912" t="str">
        <f>IF('請先閱讀'!$O$33=true,"沙華魚人 Sahuagin","")</f>
        <v/>
      </c>
      <c r="B67" s="912" t="s">
        <v>147</v>
      </c>
      <c r="C67" s="912" t="s">
        <v>690</v>
      </c>
      <c r="D67" s="912" t="s">
        <v>691</v>
      </c>
      <c r="E67" s="912" t="s">
        <v>692</v>
      </c>
      <c r="F67" s="912" t="s">
        <v>921</v>
      </c>
      <c r="G67" s="912" t="s">
        <v>922</v>
      </c>
      <c r="H67" s="912" t="s">
        <v>923</v>
      </c>
      <c r="I67" s="912" t="s">
        <v>924</v>
      </c>
      <c r="J67" s="912"/>
      <c r="K67" s="912"/>
      <c r="L67" s="912"/>
    </row>
    <row r="68">
      <c r="A68" s="921" t="str">
        <f>IF('請先閱讀'!$O$35=true,"羽裔 Feathren","")</f>
        <v/>
      </c>
      <c r="B68" s="921" t="s">
        <v>157</v>
      </c>
      <c r="C68" s="921" t="s">
        <v>690</v>
      </c>
      <c r="D68" s="921" t="s">
        <v>691</v>
      </c>
      <c r="E68" s="921" t="s">
        <v>692</v>
      </c>
      <c r="F68" s="921" t="str">
        <f>"羽族血統："&amp;'角色卡'!AP7&amp;" Feathren Ancestry"</f>
        <v>羽族血統： Feathren Ancestry</v>
      </c>
      <c r="G68" s="921" t="s">
        <v>925</v>
      </c>
      <c r="H68" s="921" t="s">
        <v>926</v>
      </c>
      <c r="I68" s="921" t="s">
        <v>927</v>
      </c>
      <c r="J68" s="921"/>
      <c r="K68" s="921"/>
      <c r="L68" s="921"/>
    </row>
    <row r="69">
      <c r="A69" s="922" t="str">
        <f>IF('請先閱讀'!$O$36=true,"甲龍人 Ankylier","")</f>
        <v/>
      </c>
      <c r="B69" s="922" t="s">
        <v>162</v>
      </c>
      <c r="C69" s="922" t="s">
        <v>690</v>
      </c>
      <c r="D69" s="922" t="s">
        <v>928</v>
      </c>
      <c r="E69" s="922" t="s">
        <v>929</v>
      </c>
      <c r="F69" s="922" t="s">
        <v>930</v>
      </c>
      <c r="G69" s="922" t="s">
        <v>931</v>
      </c>
      <c r="H69" s="922" t="s">
        <v>932</v>
      </c>
      <c r="I69" s="922" t="s">
        <v>933</v>
      </c>
      <c r="J69" s="922"/>
      <c r="K69" s="922"/>
      <c r="L69" s="922"/>
    </row>
    <row r="70">
      <c r="A70" s="923" t="str">
        <f>IF('請先閱讀'!$O$36=true,"賽特之子 Child of Seth","")</f>
        <v/>
      </c>
      <c r="B70" s="923" t="s">
        <v>162</v>
      </c>
      <c r="C70" s="923" t="s">
        <v>690</v>
      </c>
      <c r="D70" s="923" t="s">
        <v>934</v>
      </c>
      <c r="E70" s="923" t="s">
        <v>929</v>
      </c>
      <c r="F70" s="923" t="s">
        <v>726</v>
      </c>
      <c r="G70" s="923" t="s">
        <v>935</v>
      </c>
      <c r="H70" s="923" t="s">
        <v>936</v>
      </c>
      <c r="I70" s="923" t="s">
        <v>937</v>
      </c>
      <c r="J70" s="923"/>
      <c r="K70" s="923"/>
      <c r="L70" s="923"/>
    </row>
    <row r="71">
      <c r="A71" s="922" t="str">
        <f>IF('請先閱讀'!$O$36=true,"熱河龍人 Jeholrak","")</f>
        <v/>
      </c>
      <c r="B71" s="922" t="s">
        <v>162</v>
      </c>
      <c r="C71" s="922" t="s">
        <v>705</v>
      </c>
      <c r="D71" s="922" t="s">
        <v>928</v>
      </c>
      <c r="E71" s="922" t="s">
        <v>929</v>
      </c>
      <c r="F71" s="922" t="s">
        <v>938</v>
      </c>
      <c r="G71" s="922" t="s">
        <v>939</v>
      </c>
      <c r="H71" s="922"/>
      <c r="I71" s="922"/>
      <c r="J71" s="922"/>
      <c r="K71" s="922"/>
      <c r="L71" s="922"/>
    </row>
    <row r="72">
      <c r="A72" s="923" t="str">
        <f>IF('請先閱讀'!$O$36=true,"泥潭龍人 Limukin","")</f>
        <v/>
      </c>
      <c r="B72" s="923" t="s">
        <v>162</v>
      </c>
      <c r="C72" s="923" t="s">
        <v>714</v>
      </c>
      <c r="D72" s="923" t="s">
        <v>928</v>
      </c>
      <c r="E72" s="923" t="s">
        <v>929</v>
      </c>
      <c r="F72" s="923" t="s">
        <v>940</v>
      </c>
      <c r="G72" s="923" t="s">
        <v>941</v>
      </c>
      <c r="H72" s="923" t="s">
        <v>942</v>
      </c>
      <c r="I72" s="923" t="s">
        <v>943</v>
      </c>
      <c r="J72" s="923"/>
      <c r="K72" s="923"/>
      <c r="L72" s="923"/>
    </row>
    <row r="73">
      <c r="A73" s="922" t="str">
        <f>IF('請先閱讀'!$O$36=true,"多角龍人 Manyhorn","")</f>
        <v/>
      </c>
      <c r="B73" s="922" t="s">
        <v>162</v>
      </c>
      <c r="C73" s="922" t="s">
        <v>714</v>
      </c>
      <c r="D73" s="922" t="s">
        <v>928</v>
      </c>
      <c r="E73" s="922" t="s">
        <v>929</v>
      </c>
      <c r="F73" s="922" t="s">
        <v>930</v>
      </c>
      <c r="G73" s="922" t="s">
        <v>944</v>
      </c>
      <c r="H73" s="922" t="s">
        <v>945</v>
      </c>
      <c r="I73" s="922" t="s">
        <v>946</v>
      </c>
      <c r="J73" s="922"/>
      <c r="K73" s="922"/>
      <c r="L73" s="922"/>
    </row>
    <row r="74">
      <c r="A74" s="923" t="str">
        <f>IF('請先閱讀'!$O$36=true,"羽龍人 Pluvenn","")</f>
        <v/>
      </c>
      <c r="B74" s="923" t="s">
        <v>162</v>
      </c>
      <c r="C74" s="923" t="s">
        <v>714</v>
      </c>
      <c r="D74" s="923" t="s">
        <v>928</v>
      </c>
      <c r="E74" s="923" t="s">
        <v>929</v>
      </c>
      <c r="F74" s="923" t="s">
        <v>947</v>
      </c>
      <c r="G74" s="923" t="s">
        <v>948</v>
      </c>
      <c r="H74" s="923" t="s">
        <v>949</v>
      </c>
      <c r="I74" s="923" t="s">
        <v>950</v>
      </c>
      <c r="J74" s="923"/>
      <c r="K74" s="923"/>
      <c r="L74" s="923"/>
    </row>
    <row r="75">
      <c r="A75" s="907"/>
      <c r="B75" s="907"/>
      <c r="C75" s="907"/>
      <c r="D75" s="907"/>
      <c r="E75" s="907"/>
      <c r="F75" s="907"/>
      <c r="G75" s="907"/>
      <c r="H75" s="907"/>
      <c r="I75" s="907"/>
      <c r="J75" s="907"/>
      <c r="K75" s="907"/>
      <c r="L75" s="907"/>
    </row>
    <row r="76">
      <c r="A76" s="907"/>
      <c r="B76" s="907"/>
      <c r="C76" s="907"/>
      <c r="D76" s="907"/>
      <c r="E76" s="907"/>
      <c r="F76" s="907"/>
      <c r="G76" s="907"/>
      <c r="H76" s="907"/>
      <c r="I76" s="907"/>
      <c r="J76" s="907"/>
      <c r="K76" s="907"/>
      <c r="L76" s="907"/>
    </row>
    <row r="77">
      <c r="A77" s="907"/>
      <c r="B77" s="907"/>
      <c r="C77" s="907"/>
      <c r="D77" s="907"/>
      <c r="E77" s="907"/>
      <c r="F77" s="907"/>
      <c r="G77" s="907"/>
      <c r="H77" s="907"/>
      <c r="I77" s="907"/>
      <c r="J77" s="907"/>
      <c r="K77" s="907"/>
      <c r="L77" s="907"/>
    </row>
    <row r="78">
      <c r="A78" s="907"/>
      <c r="B78" s="907"/>
      <c r="C78" s="907"/>
      <c r="D78" s="907"/>
      <c r="E78" s="907"/>
      <c r="F78" s="907"/>
      <c r="G78" s="907"/>
      <c r="H78" s="907"/>
      <c r="I78" s="907"/>
      <c r="J78" s="907"/>
      <c r="K78" s="907"/>
      <c r="L78" s="907"/>
    </row>
    <row r="79">
      <c r="A79" s="907"/>
      <c r="B79" s="907"/>
      <c r="C79" s="907"/>
      <c r="D79" s="907"/>
      <c r="E79" s="907"/>
      <c r="F79" s="907"/>
      <c r="G79" s="907"/>
      <c r="H79" s="907"/>
      <c r="I79" s="907"/>
      <c r="J79" s="907"/>
      <c r="K79" s="907"/>
      <c r="L79" s="907"/>
    </row>
    <row r="80">
      <c r="A80" s="907"/>
      <c r="B80" s="907"/>
      <c r="C80" s="907"/>
      <c r="D80" s="907"/>
      <c r="E80" s="907"/>
      <c r="F80" s="907"/>
      <c r="G80" s="907"/>
      <c r="H80" s="907"/>
      <c r="I80" s="907"/>
      <c r="J80" s="907"/>
      <c r="K80" s="907"/>
      <c r="L80" s="907"/>
    </row>
    <row r="81">
      <c r="A81" s="907"/>
      <c r="B81" s="907"/>
      <c r="C81" s="907"/>
      <c r="D81" s="907"/>
      <c r="E81" s="907"/>
      <c r="F81" s="907"/>
      <c r="G81" s="907"/>
      <c r="H81" s="907"/>
      <c r="I81" s="907"/>
      <c r="J81" s="907"/>
      <c r="K81" s="907"/>
      <c r="L81" s="907"/>
    </row>
    <row r="82">
      <c r="A82" s="907"/>
      <c r="B82" s="907"/>
      <c r="C82" s="907"/>
      <c r="D82" s="907"/>
      <c r="E82" s="907"/>
      <c r="F82" s="907"/>
      <c r="G82" s="907"/>
      <c r="H82" s="907"/>
      <c r="I82" s="907"/>
      <c r="J82" s="907"/>
      <c r="K82" s="907"/>
      <c r="L82" s="907"/>
    </row>
    <row r="83">
      <c r="A83" s="907"/>
      <c r="B83" s="907"/>
      <c r="C83" s="907"/>
      <c r="D83" s="907"/>
      <c r="E83" s="907"/>
      <c r="F83" s="907"/>
      <c r="G83" s="907"/>
      <c r="H83" s="907"/>
      <c r="I83" s="907"/>
      <c r="J83" s="907"/>
      <c r="K83" s="907"/>
      <c r="L83" s="907"/>
    </row>
    <row r="84">
      <c r="A84" s="907"/>
      <c r="B84" s="907"/>
      <c r="C84" s="907"/>
      <c r="D84" s="907"/>
      <c r="E84" s="907"/>
      <c r="F84" s="907"/>
      <c r="G84" s="907"/>
      <c r="H84" s="907"/>
      <c r="I84" s="907"/>
      <c r="J84" s="907"/>
      <c r="K84" s="907"/>
      <c r="L84" s="907"/>
    </row>
    <row r="85">
      <c r="A85" s="907"/>
      <c r="B85" s="907"/>
      <c r="C85" s="907"/>
      <c r="D85" s="907"/>
      <c r="E85" s="907"/>
      <c r="F85" s="907"/>
      <c r="G85" s="907"/>
      <c r="H85" s="907"/>
      <c r="I85" s="907"/>
      <c r="J85" s="907"/>
      <c r="K85" s="907"/>
      <c r="L85" s="907"/>
    </row>
    <row r="86">
      <c r="A86" s="907"/>
      <c r="B86" s="907"/>
      <c r="C86" s="907"/>
      <c r="D86" s="907"/>
      <c r="E86" s="907"/>
      <c r="F86" s="907"/>
      <c r="G86" s="907"/>
      <c r="H86" s="907"/>
      <c r="I86" s="907"/>
      <c r="J86" s="907"/>
      <c r="K86" s="907"/>
      <c r="L86" s="907"/>
    </row>
    <row r="87">
      <c r="A87" s="907"/>
      <c r="B87" s="907"/>
      <c r="C87" s="907"/>
      <c r="D87" s="907"/>
      <c r="E87" s="907"/>
      <c r="F87" s="907"/>
      <c r="G87" s="907"/>
      <c r="H87" s="907"/>
      <c r="I87" s="907"/>
      <c r="J87" s="907"/>
      <c r="K87" s="907"/>
      <c r="L87" s="907"/>
    </row>
    <row r="88">
      <c r="A88" s="907"/>
      <c r="B88" s="907"/>
      <c r="C88" s="907"/>
      <c r="D88" s="907"/>
      <c r="E88" s="907"/>
      <c r="F88" s="907"/>
      <c r="G88" s="907"/>
      <c r="H88" s="907"/>
      <c r="I88" s="907"/>
      <c r="J88" s="907"/>
      <c r="K88" s="907"/>
      <c r="L88" s="907"/>
    </row>
    <row r="89">
      <c r="A89" s="907"/>
      <c r="B89" s="907"/>
      <c r="C89" s="907"/>
      <c r="D89" s="907"/>
      <c r="E89" s="907"/>
      <c r="F89" s="907"/>
      <c r="G89" s="907"/>
      <c r="H89" s="907"/>
      <c r="I89" s="907"/>
      <c r="J89" s="907"/>
      <c r="K89" s="907"/>
      <c r="L89" s="907"/>
    </row>
    <row r="90">
      <c r="A90" s="907"/>
      <c r="B90" s="907"/>
      <c r="C90" s="907"/>
      <c r="D90" s="907"/>
      <c r="E90" s="907"/>
      <c r="F90" s="907"/>
      <c r="G90" s="907"/>
      <c r="H90" s="907"/>
      <c r="I90" s="907"/>
      <c r="J90" s="907"/>
      <c r="K90" s="907"/>
      <c r="L90" s="907"/>
    </row>
    <row r="91">
      <c r="A91" s="907"/>
      <c r="B91" s="907"/>
      <c r="C91" s="907"/>
      <c r="D91" s="907"/>
      <c r="E91" s="907"/>
      <c r="F91" s="907"/>
      <c r="G91" s="907"/>
      <c r="H91" s="907"/>
      <c r="I91" s="907"/>
      <c r="J91" s="907"/>
      <c r="K91" s="907"/>
      <c r="L91" s="907"/>
    </row>
    <row r="92">
      <c r="A92" s="907"/>
      <c r="B92" s="907"/>
      <c r="C92" s="907"/>
      <c r="D92" s="907"/>
      <c r="E92" s="907"/>
      <c r="F92" s="907"/>
      <c r="G92" s="907"/>
      <c r="H92" s="907"/>
      <c r="I92" s="907"/>
      <c r="J92" s="907"/>
      <c r="K92" s="907"/>
      <c r="L92" s="907"/>
    </row>
    <row r="93">
      <c r="A93" s="907"/>
      <c r="B93" s="907"/>
      <c r="C93" s="907"/>
      <c r="D93" s="907"/>
      <c r="E93" s="907"/>
      <c r="F93" s="907"/>
      <c r="G93" s="907"/>
      <c r="H93" s="907"/>
      <c r="I93" s="907"/>
      <c r="J93" s="907"/>
      <c r="K93" s="907"/>
      <c r="L93" s="907"/>
    </row>
    <row r="94">
      <c r="A94" s="907"/>
      <c r="B94" s="907"/>
      <c r="C94" s="907"/>
      <c r="D94" s="907"/>
      <c r="E94" s="907"/>
      <c r="F94" s="907"/>
      <c r="G94" s="907"/>
      <c r="H94" s="907"/>
      <c r="I94" s="907"/>
      <c r="J94" s="907"/>
      <c r="K94" s="907"/>
      <c r="L94" s="907"/>
    </row>
    <row r="95">
      <c r="A95" s="907"/>
      <c r="B95" s="907"/>
      <c r="C95" s="907"/>
      <c r="D95" s="907"/>
      <c r="E95" s="907"/>
      <c r="F95" s="907"/>
      <c r="G95" s="907"/>
      <c r="H95" s="907"/>
      <c r="I95" s="907"/>
      <c r="J95" s="907"/>
      <c r="K95" s="907"/>
      <c r="L95" s="907"/>
    </row>
    <row r="96">
      <c r="A96" s="907"/>
      <c r="B96" s="907"/>
      <c r="C96" s="907"/>
      <c r="D96" s="907"/>
      <c r="E96" s="907"/>
      <c r="F96" s="907"/>
      <c r="G96" s="907"/>
      <c r="H96" s="907"/>
      <c r="I96" s="907"/>
      <c r="J96" s="907"/>
      <c r="K96" s="907"/>
      <c r="L96" s="907"/>
    </row>
    <row r="97">
      <c r="A97" s="907"/>
      <c r="B97" s="907"/>
      <c r="C97" s="907"/>
      <c r="D97" s="907"/>
      <c r="E97" s="907"/>
      <c r="F97" s="907"/>
      <c r="G97" s="907"/>
      <c r="H97" s="907"/>
      <c r="I97" s="907"/>
      <c r="J97" s="907"/>
      <c r="K97" s="907"/>
      <c r="L97" s="907"/>
    </row>
    <row r="98">
      <c r="A98" s="907"/>
      <c r="B98" s="907"/>
      <c r="C98" s="907"/>
      <c r="D98" s="907"/>
      <c r="E98" s="907"/>
      <c r="F98" s="907"/>
      <c r="G98" s="907"/>
      <c r="H98" s="907"/>
      <c r="I98" s="907"/>
      <c r="J98" s="907"/>
      <c r="K98" s="907"/>
      <c r="L98" s="907"/>
    </row>
    <row r="99">
      <c r="A99" s="907"/>
      <c r="B99" s="907"/>
      <c r="C99" s="907"/>
      <c r="D99" s="907"/>
      <c r="E99" s="907"/>
      <c r="F99" s="907"/>
      <c r="G99" s="907"/>
      <c r="H99" s="907"/>
      <c r="I99" s="907"/>
      <c r="J99" s="907"/>
      <c r="K99" s="907"/>
      <c r="L99" s="907"/>
    </row>
    <row r="100">
      <c r="A100" s="907"/>
      <c r="B100" s="907"/>
      <c r="C100" s="907"/>
      <c r="D100" s="907"/>
      <c r="E100" s="907"/>
      <c r="F100" s="907"/>
      <c r="G100" s="907"/>
      <c r="H100" s="907"/>
      <c r="I100" s="907"/>
      <c r="J100" s="907"/>
      <c r="K100" s="907"/>
      <c r="L100" s="907"/>
    </row>
    <row r="101">
      <c r="A101" s="907"/>
      <c r="B101" s="907"/>
      <c r="C101" s="907"/>
      <c r="D101" s="907"/>
      <c r="E101" s="907"/>
      <c r="F101" s="907"/>
      <c r="G101" s="907"/>
      <c r="H101" s="907"/>
      <c r="I101" s="907"/>
      <c r="J101" s="907"/>
      <c r="K101" s="907"/>
      <c r="L101" s="907"/>
    </row>
    <row r="102">
      <c r="A102" s="907"/>
      <c r="B102" s="907"/>
      <c r="C102" s="907"/>
      <c r="D102" s="907"/>
      <c r="E102" s="907"/>
      <c r="F102" s="907"/>
      <c r="G102" s="907"/>
      <c r="H102" s="907"/>
      <c r="I102" s="907"/>
      <c r="J102" s="907"/>
      <c r="K102" s="907"/>
      <c r="L102" s="907"/>
    </row>
    <row r="103">
      <c r="A103" s="907"/>
      <c r="B103" s="907"/>
      <c r="C103" s="907"/>
      <c r="D103" s="907"/>
      <c r="E103" s="907"/>
      <c r="F103" s="907"/>
      <c r="G103" s="907"/>
      <c r="H103" s="907"/>
      <c r="I103" s="907"/>
      <c r="J103" s="907"/>
      <c r="K103" s="907"/>
      <c r="L103" s="907"/>
    </row>
    <row r="104">
      <c r="A104" s="907"/>
      <c r="B104" s="907"/>
      <c r="C104" s="907"/>
      <c r="D104" s="907"/>
      <c r="E104" s="907"/>
      <c r="F104" s="907"/>
      <c r="G104" s="907"/>
      <c r="H104" s="907"/>
      <c r="I104" s="907"/>
      <c r="J104" s="907"/>
      <c r="K104" s="907"/>
      <c r="L104" s="907"/>
    </row>
    <row r="105">
      <c r="A105" s="907"/>
      <c r="B105" s="907"/>
      <c r="C105" s="907"/>
      <c r="D105" s="907"/>
      <c r="E105" s="907"/>
      <c r="F105" s="907"/>
      <c r="G105" s="907"/>
      <c r="H105" s="907"/>
      <c r="I105" s="907"/>
      <c r="J105" s="907"/>
      <c r="K105" s="907"/>
      <c r="L105" s="907"/>
    </row>
    <row r="106">
      <c r="A106" s="907"/>
      <c r="B106" s="907"/>
      <c r="C106" s="907"/>
      <c r="D106" s="907"/>
      <c r="E106" s="907"/>
      <c r="F106" s="907"/>
      <c r="G106" s="907"/>
      <c r="H106" s="907"/>
      <c r="I106" s="907"/>
      <c r="J106" s="907"/>
      <c r="K106" s="907"/>
      <c r="L106" s="907"/>
    </row>
    <row r="107">
      <c r="A107" s="907"/>
      <c r="B107" s="907"/>
      <c r="C107" s="907"/>
      <c r="D107" s="907"/>
      <c r="E107" s="907"/>
      <c r="F107" s="907"/>
      <c r="G107" s="907"/>
      <c r="H107" s="907"/>
      <c r="I107" s="907"/>
      <c r="J107" s="907"/>
      <c r="K107" s="907"/>
      <c r="L107" s="907"/>
    </row>
    <row r="108">
      <c r="A108" s="907"/>
      <c r="B108" s="907"/>
      <c r="C108" s="907"/>
      <c r="D108" s="907"/>
      <c r="E108" s="907"/>
      <c r="F108" s="907"/>
      <c r="G108" s="907"/>
      <c r="H108" s="907"/>
      <c r="I108" s="907"/>
      <c r="J108" s="907"/>
      <c r="K108" s="907"/>
      <c r="L108" s="907"/>
    </row>
    <row r="109">
      <c r="A109" s="907"/>
      <c r="B109" s="907"/>
      <c r="C109" s="907"/>
      <c r="D109" s="907"/>
      <c r="E109" s="907"/>
      <c r="F109" s="907"/>
      <c r="G109" s="907"/>
      <c r="H109" s="907"/>
      <c r="I109" s="907"/>
      <c r="J109" s="907"/>
      <c r="K109" s="907"/>
      <c r="L109" s="907"/>
    </row>
    <row r="110">
      <c r="A110" s="907"/>
      <c r="B110" s="907"/>
      <c r="C110" s="907"/>
      <c r="D110" s="907"/>
      <c r="E110" s="907"/>
      <c r="F110" s="907"/>
      <c r="G110" s="907"/>
      <c r="H110" s="907"/>
      <c r="I110" s="907"/>
      <c r="J110" s="907"/>
      <c r="K110" s="907"/>
      <c r="L110" s="907"/>
    </row>
    <row r="111">
      <c r="A111" s="907"/>
      <c r="B111" s="907"/>
      <c r="C111" s="907"/>
      <c r="D111" s="907"/>
      <c r="E111" s="907"/>
      <c r="F111" s="907"/>
      <c r="G111" s="907"/>
      <c r="H111" s="907"/>
      <c r="I111" s="907"/>
      <c r="J111" s="907"/>
      <c r="K111" s="907"/>
      <c r="L111" s="907"/>
    </row>
    <row r="112">
      <c r="A112" s="907"/>
      <c r="B112" s="907"/>
      <c r="C112" s="907"/>
      <c r="D112" s="907"/>
      <c r="E112" s="907"/>
      <c r="F112" s="907"/>
      <c r="G112" s="907"/>
      <c r="H112" s="907"/>
      <c r="I112" s="907"/>
      <c r="J112" s="907"/>
      <c r="K112" s="907"/>
      <c r="L112" s="907"/>
    </row>
    <row r="113">
      <c r="A113" s="907"/>
      <c r="B113" s="907"/>
      <c r="C113" s="907"/>
      <c r="D113" s="907"/>
      <c r="E113" s="907"/>
      <c r="F113" s="907"/>
      <c r="G113" s="907"/>
      <c r="H113" s="907"/>
      <c r="I113" s="907"/>
      <c r="J113" s="907"/>
      <c r="K113" s="907"/>
      <c r="L113" s="907"/>
    </row>
    <row r="114">
      <c r="A114" s="907"/>
      <c r="B114" s="907"/>
      <c r="C114" s="907"/>
      <c r="D114" s="907"/>
      <c r="E114" s="907"/>
      <c r="F114" s="907"/>
      <c r="G114" s="907"/>
      <c r="H114" s="907"/>
      <c r="I114" s="907"/>
      <c r="J114" s="907"/>
      <c r="K114" s="907"/>
      <c r="L114" s="907"/>
    </row>
    <row r="115">
      <c r="A115" s="907"/>
      <c r="B115" s="907"/>
      <c r="C115" s="907"/>
      <c r="D115" s="907"/>
      <c r="E115" s="907"/>
      <c r="F115" s="907"/>
      <c r="G115" s="907"/>
      <c r="H115" s="907"/>
      <c r="I115" s="907"/>
      <c r="J115" s="907"/>
      <c r="K115" s="907"/>
      <c r="L115" s="907"/>
    </row>
    <row r="116">
      <c r="A116" s="907"/>
      <c r="B116" s="907"/>
      <c r="C116" s="907"/>
      <c r="D116" s="907"/>
      <c r="E116" s="907"/>
      <c r="F116" s="907"/>
      <c r="G116" s="907"/>
      <c r="H116" s="907"/>
      <c r="I116" s="907"/>
      <c r="J116" s="907"/>
      <c r="K116" s="907"/>
      <c r="L116" s="907"/>
    </row>
    <row r="117">
      <c r="A117" s="907"/>
      <c r="B117" s="907"/>
      <c r="C117" s="907"/>
      <c r="D117" s="907"/>
      <c r="E117" s="907"/>
      <c r="F117" s="907"/>
      <c r="G117" s="907"/>
      <c r="H117" s="907"/>
      <c r="I117" s="907"/>
      <c r="J117" s="907"/>
      <c r="K117" s="907"/>
      <c r="L117" s="907"/>
    </row>
    <row r="118">
      <c r="A118" s="907"/>
      <c r="B118" s="907"/>
      <c r="C118" s="907"/>
      <c r="D118" s="907"/>
      <c r="E118" s="907"/>
      <c r="F118" s="907"/>
      <c r="G118" s="907"/>
      <c r="H118" s="907"/>
      <c r="I118" s="907"/>
      <c r="J118" s="907"/>
      <c r="K118" s="907"/>
      <c r="L118" s="907"/>
    </row>
    <row r="119">
      <c r="A119" s="907"/>
      <c r="B119" s="907"/>
      <c r="C119" s="907"/>
      <c r="D119" s="907"/>
      <c r="E119" s="907"/>
      <c r="F119" s="907"/>
      <c r="G119" s="907"/>
      <c r="H119" s="907"/>
      <c r="I119" s="907"/>
      <c r="J119" s="907"/>
      <c r="K119" s="907"/>
      <c r="L119" s="907"/>
    </row>
    <row r="120">
      <c r="A120" s="907"/>
      <c r="B120" s="907"/>
      <c r="C120" s="907"/>
      <c r="D120" s="907"/>
      <c r="E120" s="907"/>
      <c r="F120" s="907"/>
      <c r="G120" s="907"/>
      <c r="H120" s="907"/>
      <c r="I120" s="907"/>
      <c r="J120" s="907"/>
      <c r="K120" s="907"/>
      <c r="L120" s="907"/>
    </row>
    <row r="121">
      <c r="A121" s="907"/>
      <c r="B121" s="907"/>
      <c r="C121" s="907"/>
      <c r="D121" s="907"/>
      <c r="E121" s="907"/>
      <c r="F121" s="907"/>
      <c r="G121" s="907"/>
      <c r="H121" s="907"/>
      <c r="I121" s="907"/>
      <c r="J121" s="907"/>
      <c r="K121" s="907"/>
      <c r="L121" s="907"/>
    </row>
    <row r="122">
      <c r="A122" s="907"/>
      <c r="B122" s="907"/>
      <c r="C122" s="907"/>
      <c r="D122" s="907"/>
      <c r="E122" s="907"/>
      <c r="F122" s="907"/>
      <c r="G122" s="907"/>
      <c r="H122" s="907"/>
      <c r="I122" s="907"/>
      <c r="J122" s="907"/>
      <c r="K122" s="907"/>
      <c r="L122" s="907"/>
    </row>
    <row r="123">
      <c r="A123" s="907"/>
      <c r="B123" s="907"/>
      <c r="C123" s="907"/>
      <c r="D123" s="907"/>
      <c r="E123" s="907"/>
      <c r="F123" s="907"/>
      <c r="G123" s="907"/>
      <c r="H123" s="907"/>
      <c r="I123" s="907"/>
      <c r="J123" s="907"/>
      <c r="K123" s="907"/>
      <c r="L123" s="907"/>
    </row>
    <row r="124">
      <c r="A124" s="907"/>
      <c r="B124" s="907"/>
      <c r="C124" s="907"/>
      <c r="D124" s="907"/>
      <c r="E124" s="907"/>
      <c r="F124" s="907"/>
      <c r="G124" s="907"/>
      <c r="H124" s="907"/>
      <c r="I124" s="907"/>
      <c r="J124" s="907"/>
      <c r="K124" s="907"/>
      <c r="L124" s="907"/>
    </row>
    <row r="125">
      <c r="A125" s="907"/>
      <c r="B125" s="907"/>
      <c r="C125" s="907"/>
      <c r="D125" s="907"/>
      <c r="E125" s="907"/>
      <c r="F125" s="907"/>
      <c r="G125" s="907"/>
      <c r="H125" s="907"/>
      <c r="I125" s="907"/>
      <c r="J125" s="907"/>
      <c r="K125" s="907"/>
      <c r="L125" s="907"/>
    </row>
    <row r="126">
      <c r="A126" s="907"/>
      <c r="B126" s="907"/>
      <c r="C126" s="907"/>
      <c r="D126" s="907"/>
      <c r="E126" s="907"/>
      <c r="F126" s="907"/>
      <c r="G126" s="907"/>
      <c r="H126" s="907"/>
      <c r="I126" s="907"/>
      <c r="J126" s="907"/>
      <c r="K126" s="907"/>
      <c r="L126" s="907"/>
    </row>
    <row r="127">
      <c r="A127" s="907"/>
      <c r="B127" s="907"/>
      <c r="C127" s="907"/>
      <c r="D127" s="907"/>
      <c r="E127" s="907"/>
      <c r="F127" s="907"/>
      <c r="G127" s="907"/>
      <c r="H127" s="907"/>
      <c r="I127" s="907"/>
      <c r="J127" s="907"/>
      <c r="K127" s="907"/>
      <c r="L127" s="907"/>
    </row>
    <row r="128">
      <c r="A128" s="907"/>
      <c r="B128" s="907"/>
      <c r="C128" s="907"/>
      <c r="D128" s="907"/>
      <c r="E128" s="907"/>
      <c r="F128" s="907"/>
      <c r="G128" s="907"/>
      <c r="H128" s="907"/>
      <c r="I128" s="907"/>
      <c r="J128" s="907"/>
      <c r="K128" s="907"/>
      <c r="L128" s="907"/>
    </row>
    <row r="129">
      <c r="A129" s="907"/>
      <c r="B129" s="907"/>
      <c r="C129" s="907"/>
      <c r="D129" s="907"/>
      <c r="E129" s="907"/>
      <c r="F129" s="907"/>
      <c r="G129" s="907"/>
      <c r="H129" s="907"/>
      <c r="I129" s="907"/>
      <c r="J129" s="907"/>
      <c r="K129" s="907"/>
      <c r="L129" s="907"/>
    </row>
    <row r="130">
      <c r="A130" s="907"/>
      <c r="B130" s="907"/>
      <c r="C130" s="907"/>
      <c r="D130" s="907"/>
      <c r="E130" s="907"/>
      <c r="F130" s="907"/>
      <c r="G130" s="907"/>
      <c r="H130" s="907"/>
      <c r="I130" s="907"/>
      <c r="J130" s="907"/>
      <c r="K130" s="907"/>
      <c r="L130" s="907"/>
    </row>
    <row r="131">
      <c r="A131" s="907"/>
      <c r="B131" s="907"/>
      <c r="C131" s="907"/>
      <c r="D131" s="907"/>
      <c r="E131" s="907"/>
      <c r="F131" s="907"/>
      <c r="G131" s="907"/>
      <c r="H131" s="907"/>
      <c r="I131" s="907"/>
      <c r="J131" s="907"/>
      <c r="K131" s="907"/>
      <c r="L131" s="907"/>
    </row>
    <row r="132">
      <c r="A132" s="907"/>
      <c r="B132" s="907"/>
      <c r="C132" s="907"/>
      <c r="D132" s="907"/>
      <c r="E132" s="907"/>
      <c r="F132" s="907"/>
      <c r="G132" s="907"/>
      <c r="H132" s="907"/>
      <c r="I132" s="907"/>
      <c r="J132" s="907"/>
      <c r="K132" s="907"/>
      <c r="L132" s="907"/>
    </row>
    <row r="133">
      <c r="A133" s="907"/>
      <c r="B133" s="907"/>
      <c r="C133" s="907"/>
      <c r="D133" s="907"/>
      <c r="E133" s="907"/>
      <c r="F133" s="907"/>
      <c r="G133" s="907"/>
      <c r="H133" s="907"/>
      <c r="I133" s="907"/>
      <c r="J133" s="907"/>
      <c r="K133" s="907"/>
      <c r="L133" s="907"/>
    </row>
    <row r="134">
      <c r="A134" s="907"/>
      <c r="B134" s="907"/>
      <c r="C134" s="907"/>
      <c r="D134" s="907"/>
      <c r="E134" s="907"/>
      <c r="F134" s="907"/>
      <c r="G134" s="907"/>
      <c r="H134" s="907"/>
      <c r="I134" s="907"/>
      <c r="J134" s="907"/>
      <c r="K134" s="907"/>
      <c r="L134" s="907"/>
    </row>
    <row r="135">
      <c r="A135" s="907"/>
      <c r="B135" s="907"/>
      <c r="C135" s="907"/>
      <c r="D135" s="907"/>
      <c r="E135" s="907"/>
      <c r="F135" s="907"/>
      <c r="G135" s="907"/>
      <c r="H135" s="907"/>
      <c r="I135" s="907"/>
      <c r="J135" s="907"/>
      <c r="K135" s="907"/>
      <c r="L135" s="907"/>
    </row>
    <row r="136">
      <c r="A136" s="907"/>
      <c r="B136" s="907"/>
      <c r="C136" s="907"/>
      <c r="D136" s="907"/>
      <c r="E136" s="907"/>
      <c r="F136" s="907"/>
      <c r="G136" s="907"/>
      <c r="H136" s="907"/>
      <c r="I136" s="907"/>
      <c r="J136" s="907"/>
      <c r="K136" s="907"/>
      <c r="L136" s="907"/>
    </row>
    <row r="137">
      <c r="A137" s="907"/>
      <c r="B137" s="907"/>
      <c r="C137" s="907"/>
      <c r="D137" s="907"/>
      <c r="E137" s="907"/>
      <c r="F137" s="907"/>
      <c r="G137" s="907"/>
      <c r="H137" s="907"/>
      <c r="I137" s="907"/>
      <c r="J137" s="907"/>
      <c r="K137" s="907"/>
      <c r="L137" s="907"/>
    </row>
    <row r="138">
      <c r="A138" s="907"/>
      <c r="B138" s="907"/>
      <c r="C138" s="907"/>
      <c r="D138" s="907"/>
      <c r="E138" s="907"/>
      <c r="F138" s="907"/>
      <c r="G138" s="907"/>
      <c r="H138" s="907"/>
      <c r="I138" s="907"/>
      <c r="J138" s="907"/>
      <c r="K138" s="907"/>
      <c r="L138" s="907"/>
    </row>
    <row r="139">
      <c r="A139" s="907"/>
      <c r="B139" s="907"/>
      <c r="C139" s="907"/>
      <c r="D139" s="907"/>
      <c r="E139" s="907"/>
      <c r="F139" s="907"/>
      <c r="G139" s="907"/>
      <c r="H139" s="907"/>
      <c r="I139" s="907"/>
      <c r="J139" s="907"/>
      <c r="K139" s="907"/>
      <c r="L139" s="907"/>
    </row>
    <row r="140">
      <c r="A140" s="907"/>
      <c r="B140" s="907"/>
      <c r="C140" s="907"/>
      <c r="D140" s="907"/>
      <c r="E140" s="907"/>
      <c r="F140" s="907"/>
      <c r="G140" s="907"/>
      <c r="H140" s="907"/>
      <c r="I140" s="907"/>
      <c r="J140" s="907"/>
      <c r="K140" s="907"/>
      <c r="L140" s="907"/>
    </row>
    <row r="141">
      <c r="A141" s="907"/>
      <c r="B141" s="907"/>
      <c r="C141" s="907"/>
      <c r="D141" s="907"/>
      <c r="E141" s="907"/>
      <c r="F141" s="907"/>
      <c r="G141" s="907"/>
      <c r="H141" s="907"/>
      <c r="I141" s="907"/>
      <c r="J141" s="907"/>
      <c r="K141" s="907"/>
      <c r="L141" s="907"/>
    </row>
    <row r="142">
      <c r="A142" s="907"/>
      <c r="B142" s="907"/>
      <c r="C142" s="907"/>
      <c r="D142" s="907"/>
      <c r="E142" s="907"/>
      <c r="F142" s="907"/>
      <c r="G142" s="907"/>
      <c r="H142" s="907"/>
      <c r="I142" s="907"/>
      <c r="J142" s="907"/>
      <c r="K142" s="907"/>
      <c r="L142" s="907"/>
    </row>
    <row r="143">
      <c r="A143" s="907"/>
      <c r="B143" s="907"/>
      <c r="C143" s="907"/>
      <c r="D143" s="907"/>
      <c r="E143" s="907"/>
      <c r="F143" s="907"/>
      <c r="G143" s="907"/>
      <c r="H143" s="907"/>
      <c r="I143" s="907"/>
      <c r="J143" s="907"/>
      <c r="K143" s="907"/>
      <c r="L143" s="907"/>
    </row>
    <row r="144">
      <c r="A144" s="907"/>
      <c r="B144" s="907"/>
      <c r="C144" s="907"/>
      <c r="D144" s="907"/>
      <c r="E144" s="907"/>
      <c r="F144" s="907"/>
      <c r="G144" s="907"/>
      <c r="H144" s="907"/>
      <c r="I144" s="907"/>
      <c r="J144" s="907"/>
      <c r="K144" s="907"/>
      <c r="L144" s="907"/>
    </row>
    <row r="145">
      <c r="A145" s="907"/>
      <c r="B145" s="907"/>
      <c r="C145" s="907"/>
      <c r="D145" s="907"/>
      <c r="E145" s="907"/>
      <c r="F145" s="907"/>
      <c r="G145" s="907"/>
      <c r="H145" s="907"/>
      <c r="I145" s="907"/>
      <c r="J145" s="907"/>
      <c r="K145" s="907"/>
      <c r="L145" s="907"/>
    </row>
    <row r="146">
      <c r="A146" s="907"/>
      <c r="B146" s="907"/>
      <c r="C146" s="907"/>
      <c r="D146" s="907"/>
      <c r="E146" s="907"/>
      <c r="F146" s="907"/>
      <c r="G146" s="907"/>
      <c r="H146" s="907"/>
      <c r="I146" s="907"/>
      <c r="J146" s="907"/>
      <c r="K146" s="907"/>
      <c r="L146" s="907"/>
    </row>
    <row r="147">
      <c r="A147" s="907"/>
      <c r="B147" s="907"/>
      <c r="C147" s="907"/>
      <c r="D147" s="907"/>
      <c r="E147" s="907"/>
      <c r="F147" s="907"/>
      <c r="G147" s="907"/>
      <c r="H147" s="907"/>
      <c r="I147" s="907"/>
      <c r="J147" s="907"/>
      <c r="K147" s="907"/>
      <c r="L147" s="907"/>
    </row>
    <row r="148">
      <c r="A148" s="907"/>
      <c r="B148" s="907"/>
      <c r="C148" s="907"/>
      <c r="D148" s="907"/>
      <c r="E148" s="907"/>
      <c r="F148" s="907"/>
      <c r="G148" s="907"/>
      <c r="H148" s="907"/>
      <c r="I148" s="907"/>
      <c r="J148" s="907"/>
      <c r="K148" s="907"/>
      <c r="L148" s="907"/>
    </row>
    <row r="149">
      <c r="A149" s="907"/>
      <c r="B149" s="907"/>
      <c r="C149" s="907"/>
      <c r="D149" s="907"/>
      <c r="E149" s="907"/>
      <c r="F149" s="907"/>
      <c r="G149" s="907"/>
      <c r="H149" s="907"/>
      <c r="I149" s="907"/>
      <c r="J149" s="907"/>
      <c r="K149" s="907"/>
      <c r="L149" s="907"/>
    </row>
    <row r="150">
      <c r="A150" s="907"/>
      <c r="B150" s="907"/>
      <c r="C150" s="907"/>
      <c r="D150" s="907"/>
      <c r="E150" s="907"/>
      <c r="F150" s="907"/>
      <c r="G150" s="907"/>
      <c r="H150" s="907"/>
      <c r="I150" s="907"/>
      <c r="J150" s="907"/>
      <c r="K150" s="907"/>
      <c r="L150" s="907"/>
    </row>
    <row r="151">
      <c r="A151" s="907"/>
      <c r="B151" s="907"/>
      <c r="C151" s="907"/>
      <c r="D151" s="907"/>
      <c r="E151" s="907"/>
      <c r="F151" s="907"/>
      <c r="G151" s="907"/>
      <c r="H151" s="907"/>
      <c r="I151" s="907"/>
      <c r="J151" s="907"/>
      <c r="K151" s="907"/>
      <c r="L151" s="907"/>
    </row>
    <row r="152">
      <c r="A152" s="907"/>
      <c r="B152" s="907"/>
      <c r="C152" s="907"/>
      <c r="D152" s="907"/>
      <c r="E152" s="907"/>
      <c r="F152" s="907"/>
      <c r="G152" s="907"/>
      <c r="H152" s="907"/>
      <c r="I152" s="907"/>
      <c r="J152" s="907"/>
      <c r="K152" s="907"/>
      <c r="L152" s="907"/>
    </row>
    <row r="153">
      <c r="A153" s="907"/>
      <c r="B153" s="907"/>
      <c r="C153" s="907"/>
      <c r="D153" s="907"/>
      <c r="E153" s="907"/>
      <c r="F153" s="907"/>
      <c r="G153" s="907"/>
      <c r="H153" s="907"/>
      <c r="I153" s="907"/>
      <c r="J153" s="907"/>
      <c r="K153" s="907"/>
      <c r="L153" s="907"/>
    </row>
    <row r="154">
      <c r="A154" s="907"/>
      <c r="B154" s="907"/>
      <c r="C154" s="907"/>
      <c r="D154" s="907"/>
      <c r="E154" s="907"/>
      <c r="F154" s="907"/>
      <c r="G154" s="907"/>
      <c r="H154" s="907"/>
      <c r="I154" s="907"/>
      <c r="J154" s="907"/>
      <c r="K154" s="907"/>
      <c r="L154" s="907"/>
    </row>
    <row r="155">
      <c r="A155" s="907"/>
      <c r="B155" s="907"/>
      <c r="C155" s="907"/>
      <c r="D155" s="907"/>
      <c r="E155" s="907"/>
      <c r="F155" s="907"/>
      <c r="G155" s="907"/>
      <c r="H155" s="907"/>
      <c r="I155" s="907"/>
      <c r="J155" s="907"/>
      <c r="K155" s="907"/>
      <c r="L155" s="907"/>
    </row>
    <row r="156">
      <c r="A156" s="907"/>
      <c r="B156" s="907"/>
      <c r="C156" s="907"/>
      <c r="D156" s="907"/>
      <c r="E156" s="907"/>
      <c r="F156" s="907"/>
      <c r="G156" s="907"/>
      <c r="H156" s="907"/>
      <c r="I156" s="907"/>
      <c r="J156" s="907"/>
      <c r="K156" s="907"/>
      <c r="L156" s="907"/>
    </row>
    <row r="157">
      <c r="A157" s="907"/>
      <c r="B157" s="907"/>
      <c r="C157" s="907"/>
      <c r="D157" s="907"/>
      <c r="E157" s="907"/>
      <c r="F157" s="907"/>
      <c r="G157" s="907"/>
      <c r="H157" s="907"/>
      <c r="I157" s="907"/>
      <c r="J157" s="907"/>
      <c r="K157" s="907"/>
      <c r="L157" s="907"/>
    </row>
    <row r="158">
      <c r="A158" s="907"/>
      <c r="B158" s="907"/>
      <c r="C158" s="907"/>
      <c r="D158" s="907"/>
      <c r="E158" s="907"/>
      <c r="F158" s="907"/>
      <c r="G158" s="907"/>
      <c r="H158" s="907"/>
      <c r="I158" s="907"/>
      <c r="J158" s="907"/>
      <c r="K158" s="907"/>
      <c r="L158" s="907"/>
    </row>
    <row r="159">
      <c r="A159" s="907"/>
      <c r="B159" s="907"/>
      <c r="C159" s="907"/>
      <c r="D159" s="907"/>
      <c r="E159" s="907"/>
      <c r="F159" s="907"/>
      <c r="G159" s="907"/>
      <c r="H159" s="907"/>
      <c r="I159" s="907"/>
      <c r="J159" s="907"/>
      <c r="K159" s="907"/>
      <c r="L159" s="907"/>
    </row>
    <row r="160">
      <c r="A160" s="907"/>
      <c r="B160" s="907"/>
      <c r="C160" s="907"/>
      <c r="D160" s="907"/>
      <c r="E160" s="907"/>
      <c r="F160" s="907"/>
      <c r="G160" s="907"/>
      <c r="H160" s="907"/>
      <c r="I160" s="907"/>
      <c r="J160" s="907"/>
      <c r="K160" s="907"/>
      <c r="L160" s="907"/>
    </row>
    <row r="161">
      <c r="A161" s="907"/>
      <c r="B161" s="907"/>
      <c r="C161" s="907"/>
      <c r="D161" s="907"/>
      <c r="E161" s="907"/>
      <c r="F161" s="907"/>
      <c r="G161" s="907"/>
      <c r="H161" s="907"/>
      <c r="I161" s="907"/>
      <c r="J161" s="907"/>
      <c r="K161" s="907"/>
      <c r="L161" s="907"/>
    </row>
    <row r="162">
      <c r="A162" s="907"/>
      <c r="B162" s="907"/>
      <c r="C162" s="907"/>
      <c r="D162" s="907"/>
      <c r="E162" s="907"/>
      <c r="F162" s="907"/>
      <c r="G162" s="907"/>
      <c r="H162" s="907"/>
      <c r="I162" s="907"/>
      <c r="J162" s="907"/>
      <c r="K162" s="907"/>
      <c r="L162" s="907"/>
    </row>
    <row r="163">
      <c r="A163" s="907"/>
      <c r="B163" s="907"/>
      <c r="C163" s="907"/>
      <c r="D163" s="907"/>
      <c r="E163" s="907"/>
      <c r="F163" s="907"/>
      <c r="G163" s="907"/>
      <c r="H163" s="907"/>
      <c r="I163" s="907"/>
      <c r="J163" s="907"/>
      <c r="K163" s="907"/>
      <c r="L163" s="907"/>
    </row>
    <row r="164">
      <c r="A164" s="907"/>
      <c r="B164" s="907"/>
      <c r="C164" s="907"/>
      <c r="D164" s="907"/>
      <c r="E164" s="907"/>
      <c r="F164" s="907"/>
      <c r="G164" s="907"/>
      <c r="H164" s="907"/>
      <c r="I164" s="907"/>
      <c r="J164" s="907"/>
      <c r="K164" s="907"/>
      <c r="L164" s="907"/>
    </row>
    <row r="165">
      <c r="A165" s="907"/>
      <c r="B165" s="907"/>
      <c r="C165" s="907"/>
      <c r="D165" s="907"/>
      <c r="E165" s="907"/>
      <c r="F165" s="907"/>
      <c r="G165" s="907"/>
      <c r="H165" s="907"/>
      <c r="I165" s="907"/>
      <c r="J165" s="907"/>
      <c r="K165" s="907"/>
      <c r="L165" s="907"/>
    </row>
    <row r="166">
      <c r="A166" s="907"/>
      <c r="B166" s="907"/>
      <c r="C166" s="907"/>
      <c r="D166" s="907"/>
      <c r="E166" s="907"/>
      <c r="F166" s="907"/>
      <c r="G166" s="907"/>
      <c r="H166" s="907"/>
      <c r="I166" s="907"/>
      <c r="J166" s="907"/>
      <c r="K166" s="907"/>
      <c r="L166" s="907"/>
    </row>
    <row r="167">
      <c r="A167" s="907"/>
      <c r="B167" s="907"/>
      <c r="C167" s="907"/>
      <c r="D167" s="907"/>
      <c r="E167" s="907"/>
      <c r="F167" s="907"/>
      <c r="G167" s="907"/>
      <c r="H167" s="907"/>
      <c r="I167" s="907"/>
      <c r="J167" s="907"/>
      <c r="K167" s="907"/>
      <c r="L167" s="907"/>
    </row>
    <row r="168">
      <c r="A168" s="907"/>
      <c r="B168" s="907"/>
      <c r="C168" s="907"/>
      <c r="D168" s="907"/>
      <c r="E168" s="907"/>
      <c r="F168" s="907"/>
      <c r="G168" s="907"/>
      <c r="H168" s="907"/>
      <c r="I168" s="907"/>
      <c r="J168" s="907"/>
      <c r="K168" s="907"/>
      <c r="L168" s="907"/>
    </row>
    <row r="169">
      <c r="A169" s="907"/>
      <c r="B169" s="907"/>
      <c r="C169" s="907"/>
      <c r="D169" s="907"/>
      <c r="E169" s="907"/>
      <c r="F169" s="907"/>
      <c r="G169" s="907"/>
      <c r="H169" s="907"/>
      <c r="I169" s="907"/>
      <c r="J169" s="907"/>
      <c r="K169" s="907"/>
      <c r="L169" s="907"/>
    </row>
    <row r="170">
      <c r="A170" s="907"/>
      <c r="B170" s="907"/>
      <c r="C170" s="907"/>
      <c r="D170" s="907"/>
      <c r="E170" s="907"/>
      <c r="F170" s="907"/>
      <c r="G170" s="907"/>
      <c r="H170" s="907"/>
      <c r="I170" s="907"/>
      <c r="J170" s="907"/>
      <c r="K170" s="907"/>
      <c r="L170" s="907"/>
    </row>
    <row r="171">
      <c r="A171" s="907"/>
      <c r="B171" s="907"/>
      <c r="C171" s="907"/>
      <c r="D171" s="907"/>
      <c r="E171" s="907"/>
      <c r="F171" s="907"/>
      <c r="G171" s="907"/>
      <c r="H171" s="907"/>
      <c r="I171" s="907"/>
      <c r="J171" s="907"/>
      <c r="K171" s="907"/>
      <c r="L171" s="907"/>
    </row>
    <row r="172">
      <c r="A172" s="907"/>
      <c r="B172" s="907"/>
      <c r="C172" s="907"/>
      <c r="D172" s="907"/>
      <c r="E172" s="907"/>
      <c r="F172" s="907"/>
      <c r="G172" s="907"/>
      <c r="H172" s="907"/>
      <c r="I172" s="907"/>
      <c r="J172" s="907"/>
      <c r="K172" s="907"/>
      <c r="L172" s="907"/>
    </row>
    <row r="173">
      <c r="A173" s="907"/>
      <c r="B173" s="907"/>
      <c r="C173" s="907"/>
      <c r="D173" s="907"/>
      <c r="E173" s="907"/>
      <c r="F173" s="907"/>
      <c r="G173" s="907"/>
      <c r="H173" s="907"/>
      <c r="I173" s="907"/>
      <c r="J173" s="907"/>
      <c r="K173" s="907"/>
      <c r="L173" s="907"/>
    </row>
    <row r="174">
      <c r="A174" s="907"/>
      <c r="B174" s="907"/>
      <c r="C174" s="907"/>
      <c r="D174" s="907"/>
      <c r="E174" s="907"/>
      <c r="F174" s="907"/>
      <c r="G174" s="907"/>
      <c r="H174" s="907"/>
      <c r="I174" s="907"/>
      <c r="J174" s="907"/>
      <c r="K174" s="907"/>
      <c r="L174" s="907"/>
    </row>
    <row r="175">
      <c r="A175" s="907"/>
      <c r="B175" s="907"/>
      <c r="C175" s="907"/>
      <c r="D175" s="907"/>
      <c r="E175" s="907"/>
      <c r="F175" s="907"/>
      <c r="G175" s="907"/>
      <c r="H175" s="907"/>
      <c r="I175" s="907"/>
      <c r="J175" s="907"/>
      <c r="K175" s="907"/>
      <c r="L175" s="907"/>
    </row>
    <row r="176">
      <c r="A176" s="907"/>
      <c r="B176" s="907"/>
      <c r="C176" s="907"/>
      <c r="D176" s="907"/>
      <c r="E176" s="907"/>
      <c r="F176" s="907"/>
      <c r="G176" s="907"/>
      <c r="H176" s="907"/>
      <c r="I176" s="907"/>
      <c r="J176" s="907"/>
      <c r="K176" s="907"/>
      <c r="L176" s="907"/>
    </row>
    <row r="177">
      <c r="A177" s="907"/>
      <c r="B177" s="907"/>
      <c r="C177" s="907"/>
      <c r="D177" s="907"/>
      <c r="E177" s="907"/>
      <c r="F177" s="907"/>
      <c r="G177" s="907"/>
      <c r="H177" s="907"/>
      <c r="I177" s="907"/>
      <c r="J177" s="907"/>
      <c r="K177" s="907"/>
      <c r="L177" s="907"/>
    </row>
    <row r="178">
      <c r="A178" s="907"/>
      <c r="B178" s="907"/>
      <c r="C178" s="907"/>
      <c r="D178" s="907"/>
      <c r="E178" s="907"/>
      <c r="F178" s="907"/>
      <c r="G178" s="907"/>
      <c r="H178" s="907"/>
      <c r="I178" s="907"/>
      <c r="J178" s="907"/>
      <c r="K178" s="907"/>
      <c r="L178" s="907"/>
    </row>
    <row r="179">
      <c r="A179" s="907"/>
      <c r="B179" s="907"/>
      <c r="C179" s="907"/>
      <c r="D179" s="907"/>
      <c r="E179" s="907"/>
      <c r="F179" s="907"/>
      <c r="G179" s="907"/>
      <c r="H179" s="907"/>
      <c r="I179" s="907"/>
      <c r="J179" s="907"/>
      <c r="K179" s="907"/>
      <c r="L179" s="907"/>
    </row>
    <row r="180">
      <c r="A180" s="907"/>
      <c r="B180" s="907"/>
      <c r="C180" s="907"/>
      <c r="D180" s="907"/>
      <c r="E180" s="907"/>
      <c r="F180" s="907"/>
      <c r="G180" s="907"/>
      <c r="H180" s="907"/>
      <c r="I180" s="907"/>
      <c r="J180" s="907"/>
      <c r="K180" s="907"/>
      <c r="L180" s="907"/>
    </row>
    <row r="181">
      <c r="A181" s="907"/>
      <c r="B181" s="907"/>
      <c r="C181" s="907"/>
      <c r="D181" s="907"/>
      <c r="E181" s="907"/>
      <c r="F181" s="907"/>
      <c r="G181" s="907"/>
      <c r="H181" s="907"/>
      <c r="I181" s="907"/>
      <c r="J181" s="907"/>
      <c r="K181" s="907"/>
      <c r="L181" s="907"/>
    </row>
    <row r="182">
      <c r="A182" s="907"/>
      <c r="B182" s="907"/>
      <c r="C182" s="907"/>
      <c r="D182" s="907"/>
      <c r="E182" s="907"/>
      <c r="F182" s="907"/>
      <c r="G182" s="907"/>
      <c r="H182" s="907"/>
      <c r="I182" s="907"/>
      <c r="J182" s="907"/>
      <c r="K182" s="907"/>
      <c r="L182" s="907"/>
    </row>
    <row r="183">
      <c r="A183" s="907"/>
      <c r="B183" s="907"/>
      <c r="C183" s="907"/>
      <c r="D183" s="907"/>
      <c r="E183" s="907"/>
      <c r="F183" s="907"/>
      <c r="G183" s="907"/>
      <c r="H183" s="907"/>
      <c r="I183" s="907"/>
      <c r="J183" s="907"/>
      <c r="K183" s="907"/>
      <c r="L183" s="907"/>
    </row>
    <row r="184">
      <c r="A184" s="907"/>
      <c r="B184" s="907"/>
      <c r="C184" s="907"/>
      <c r="D184" s="907"/>
      <c r="E184" s="907"/>
      <c r="F184" s="907"/>
      <c r="G184" s="907"/>
      <c r="H184" s="907"/>
      <c r="I184" s="907"/>
      <c r="J184" s="907"/>
      <c r="K184" s="907"/>
      <c r="L184" s="907"/>
    </row>
    <row r="185">
      <c r="A185" s="907"/>
      <c r="B185" s="907"/>
      <c r="C185" s="907"/>
      <c r="D185" s="907"/>
      <c r="E185" s="907"/>
      <c r="F185" s="907"/>
      <c r="G185" s="907"/>
      <c r="H185" s="907"/>
      <c r="I185" s="907"/>
      <c r="J185" s="907"/>
      <c r="K185" s="907"/>
      <c r="L185" s="907"/>
    </row>
    <row r="186">
      <c r="A186" s="907"/>
      <c r="B186" s="907"/>
      <c r="C186" s="907"/>
      <c r="D186" s="907"/>
      <c r="E186" s="907"/>
      <c r="F186" s="907"/>
      <c r="G186" s="907"/>
      <c r="H186" s="907"/>
      <c r="I186" s="907"/>
      <c r="J186" s="907"/>
      <c r="K186" s="907"/>
      <c r="L186" s="907"/>
    </row>
    <row r="187">
      <c r="A187" s="907"/>
      <c r="B187" s="907"/>
      <c r="C187" s="907"/>
      <c r="D187" s="907"/>
      <c r="E187" s="907"/>
      <c r="F187" s="907"/>
      <c r="G187" s="907"/>
      <c r="H187" s="907"/>
      <c r="I187" s="907"/>
      <c r="J187" s="907"/>
      <c r="K187" s="907"/>
      <c r="L187" s="907"/>
    </row>
    <row r="188">
      <c r="A188" s="907"/>
      <c r="B188" s="907"/>
      <c r="C188" s="907"/>
      <c r="D188" s="907"/>
      <c r="E188" s="907"/>
      <c r="F188" s="907"/>
      <c r="G188" s="907"/>
      <c r="H188" s="907"/>
      <c r="I188" s="907"/>
      <c r="J188" s="907"/>
      <c r="K188" s="907"/>
      <c r="L188" s="907"/>
    </row>
    <row r="189">
      <c r="A189" s="907"/>
      <c r="B189" s="907"/>
      <c r="C189" s="907"/>
      <c r="D189" s="907"/>
      <c r="E189" s="907"/>
      <c r="F189" s="907"/>
      <c r="G189" s="907"/>
      <c r="H189" s="907"/>
      <c r="I189" s="907"/>
      <c r="J189" s="907"/>
      <c r="K189" s="907"/>
      <c r="L189" s="907"/>
    </row>
    <row r="190">
      <c r="A190" s="907"/>
      <c r="B190" s="907"/>
      <c r="C190" s="907"/>
      <c r="D190" s="907"/>
      <c r="E190" s="907"/>
      <c r="F190" s="907"/>
      <c r="G190" s="907"/>
      <c r="H190" s="907"/>
      <c r="I190" s="907"/>
      <c r="J190" s="907"/>
      <c r="K190" s="907"/>
      <c r="L190" s="907"/>
    </row>
    <row r="191">
      <c r="A191" s="907"/>
      <c r="B191" s="907"/>
      <c r="C191" s="907"/>
      <c r="D191" s="907"/>
      <c r="E191" s="907"/>
      <c r="F191" s="907"/>
      <c r="G191" s="907"/>
      <c r="H191" s="907"/>
      <c r="I191" s="907"/>
      <c r="J191" s="907"/>
      <c r="K191" s="907"/>
      <c r="L191" s="907"/>
    </row>
    <row r="192">
      <c r="A192" s="907"/>
      <c r="B192" s="907"/>
      <c r="C192" s="907"/>
      <c r="D192" s="907"/>
      <c r="E192" s="907"/>
      <c r="F192" s="907"/>
      <c r="G192" s="907"/>
      <c r="H192" s="907"/>
      <c r="I192" s="907"/>
      <c r="J192" s="907"/>
      <c r="K192" s="907"/>
      <c r="L192" s="907"/>
    </row>
    <row r="193">
      <c r="A193" s="907"/>
      <c r="B193" s="907"/>
      <c r="C193" s="907"/>
      <c r="D193" s="907"/>
      <c r="E193" s="907"/>
      <c r="F193" s="907"/>
      <c r="G193" s="907"/>
      <c r="H193" s="907"/>
      <c r="I193" s="907"/>
      <c r="J193" s="907"/>
      <c r="K193" s="907"/>
      <c r="L193" s="907"/>
    </row>
    <row r="194">
      <c r="A194" s="907"/>
      <c r="B194" s="907"/>
      <c r="C194" s="907"/>
      <c r="D194" s="907"/>
      <c r="E194" s="907"/>
      <c r="F194" s="907"/>
      <c r="G194" s="907"/>
      <c r="H194" s="907"/>
      <c r="I194" s="907"/>
      <c r="J194" s="907"/>
      <c r="K194" s="907"/>
      <c r="L194" s="907"/>
    </row>
    <row r="195">
      <c r="A195" s="907"/>
      <c r="B195" s="907"/>
      <c r="C195" s="907"/>
      <c r="D195" s="907"/>
      <c r="E195" s="907"/>
      <c r="F195" s="907"/>
      <c r="G195" s="907"/>
      <c r="H195" s="907"/>
      <c r="I195" s="907"/>
      <c r="J195" s="907"/>
      <c r="K195" s="907"/>
      <c r="L195" s="907"/>
    </row>
    <row r="196">
      <c r="A196" s="907"/>
      <c r="B196" s="907"/>
      <c r="C196" s="907"/>
      <c r="D196" s="907"/>
      <c r="E196" s="907"/>
      <c r="F196" s="907"/>
      <c r="G196" s="907"/>
      <c r="H196" s="907"/>
      <c r="I196" s="907"/>
      <c r="J196" s="907"/>
      <c r="K196" s="907"/>
      <c r="L196" s="907"/>
    </row>
    <row r="197">
      <c r="A197" s="907"/>
      <c r="B197" s="907"/>
      <c r="C197" s="907"/>
      <c r="D197" s="907"/>
      <c r="E197" s="907"/>
      <c r="F197" s="907"/>
      <c r="G197" s="907"/>
      <c r="H197" s="907"/>
      <c r="I197" s="907"/>
      <c r="J197" s="907"/>
      <c r="K197" s="907"/>
      <c r="L197" s="907"/>
    </row>
    <row r="198">
      <c r="A198" s="907"/>
      <c r="B198" s="907"/>
      <c r="C198" s="907"/>
      <c r="D198" s="907"/>
      <c r="E198" s="907"/>
      <c r="F198" s="907"/>
      <c r="G198" s="907"/>
      <c r="H198" s="907"/>
      <c r="I198" s="907"/>
      <c r="J198" s="907"/>
      <c r="K198" s="907"/>
      <c r="L198" s="907"/>
    </row>
    <row r="199">
      <c r="A199" s="907"/>
      <c r="B199" s="907"/>
      <c r="C199" s="907"/>
      <c r="D199" s="907"/>
      <c r="E199" s="907"/>
      <c r="F199" s="907"/>
      <c r="G199" s="907"/>
      <c r="H199" s="907"/>
      <c r="I199" s="907"/>
      <c r="J199" s="907"/>
      <c r="K199" s="907"/>
      <c r="L199" s="907"/>
    </row>
    <row r="200">
      <c r="A200" s="907"/>
      <c r="B200" s="907"/>
      <c r="C200" s="907"/>
      <c r="D200" s="907"/>
      <c r="E200" s="907"/>
      <c r="F200" s="907"/>
      <c r="G200" s="907"/>
      <c r="H200" s="907"/>
      <c r="I200" s="907"/>
      <c r="J200" s="907"/>
      <c r="K200" s="907"/>
      <c r="L200" s="907"/>
    </row>
    <row r="201">
      <c r="A201" s="907"/>
      <c r="B201" s="907"/>
      <c r="C201" s="907"/>
      <c r="D201" s="907"/>
      <c r="E201" s="907"/>
      <c r="F201" s="907"/>
      <c r="G201" s="907"/>
      <c r="H201" s="907"/>
      <c r="I201" s="907"/>
      <c r="J201" s="907"/>
      <c r="K201" s="907"/>
      <c r="L201" s="907"/>
    </row>
    <row r="202">
      <c r="A202" s="907"/>
      <c r="B202" s="907"/>
      <c r="C202" s="907"/>
      <c r="D202" s="907"/>
      <c r="E202" s="907"/>
      <c r="F202" s="907"/>
      <c r="G202" s="907"/>
      <c r="H202" s="907"/>
      <c r="I202" s="907"/>
      <c r="J202" s="907"/>
      <c r="K202" s="907"/>
      <c r="L202" s="907"/>
    </row>
    <row r="203">
      <c r="A203" s="907"/>
      <c r="B203" s="907"/>
      <c r="C203" s="907"/>
      <c r="D203" s="907"/>
      <c r="E203" s="907"/>
      <c r="F203" s="907"/>
      <c r="G203" s="907"/>
      <c r="H203" s="907"/>
      <c r="I203" s="907"/>
      <c r="J203" s="907"/>
      <c r="K203" s="907"/>
      <c r="L203" s="907"/>
    </row>
    <row r="204">
      <c r="A204" s="907"/>
      <c r="B204" s="907"/>
      <c r="C204" s="907"/>
      <c r="D204" s="907"/>
      <c r="E204" s="907"/>
      <c r="F204" s="907"/>
      <c r="G204" s="907"/>
      <c r="H204" s="907"/>
      <c r="I204" s="907"/>
      <c r="J204" s="907"/>
      <c r="K204" s="907"/>
      <c r="L204" s="907"/>
    </row>
    <row r="205">
      <c r="A205" s="907"/>
      <c r="B205" s="907"/>
      <c r="C205" s="907"/>
      <c r="D205" s="907"/>
      <c r="E205" s="907"/>
      <c r="F205" s="907"/>
      <c r="G205" s="907"/>
      <c r="H205" s="907"/>
      <c r="I205" s="907"/>
      <c r="J205" s="907"/>
      <c r="K205" s="907"/>
      <c r="L205" s="907"/>
    </row>
    <row r="206">
      <c r="A206" s="907"/>
      <c r="B206" s="907"/>
      <c r="C206" s="907"/>
      <c r="D206" s="907"/>
      <c r="E206" s="907"/>
      <c r="F206" s="907"/>
      <c r="G206" s="907"/>
      <c r="H206" s="907"/>
      <c r="I206" s="907"/>
      <c r="J206" s="907"/>
      <c r="K206" s="907"/>
      <c r="L206" s="907"/>
    </row>
    <row r="207">
      <c r="A207" s="907"/>
      <c r="B207" s="907"/>
      <c r="C207" s="907"/>
      <c r="D207" s="907"/>
      <c r="E207" s="907"/>
      <c r="F207" s="907"/>
      <c r="G207" s="907"/>
      <c r="H207" s="907"/>
      <c r="I207" s="907"/>
      <c r="J207" s="907"/>
      <c r="K207" s="907"/>
      <c r="L207" s="907"/>
    </row>
    <row r="208">
      <c r="A208" s="907"/>
      <c r="B208" s="907"/>
      <c r="C208" s="907"/>
      <c r="D208" s="907"/>
      <c r="E208" s="907"/>
      <c r="F208" s="907"/>
      <c r="G208" s="907"/>
      <c r="H208" s="907"/>
      <c r="I208" s="907"/>
      <c r="J208" s="907"/>
      <c r="K208" s="907"/>
      <c r="L208" s="907"/>
    </row>
    <row r="209">
      <c r="A209" s="907"/>
      <c r="B209" s="907"/>
      <c r="C209" s="907"/>
      <c r="D209" s="907"/>
      <c r="E209" s="907"/>
      <c r="F209" s="907"/>
      <c r="G209" s="907"/>
      <c r="H209" s="907"/>
      <c r="I209" s="907"/>
      <c r="J209" s="907"/>
      <c r="K209" s="907"/>
      <c r="L209" s="907"/>
    </row>
    <row r="210">
      <c r="A210" s="907"/>
      <c r="B210" s="907"/>
      <c r="C210" s="907"/>
      <c r="D210" s="907"/>
      <c r="E210" s="907"/>
      <c r="F210" s="907"/>
      <c r="G210" s="907"/>
      <c r="H210" s="907"/>
      <c r="I210" s="907"/>
      <c r="J210" s="907"/>
      <c r="K210" s="907"/>
      <c r="L210" s="907"/>
    </row>
    <row r="211">
      <c r="A211" s="907"/>
      <c r="B211" s="907"/>
      <c r="C211" s="907"/>
      <c r="D211" s="907"/>
      <c r="E211" s="907"/>
      <c r="F211" s="907"/>
      <c r="G211" s="907"/>
      <c r="H211" s="907"/>
      <c r="I211" s="907"/>
      <c r="J211" s="907"/>
      <c r="K211" s="907"/>
      <c r="L211" s="907"/>
    </row>
    <row r="212">
      <c r="A212" s="907"/>
      <c r="B212" s="907"/>
      <c r="C212" s="907"/>
      <c r="D212" s="907"/>
      <c r="E212" s="907"/>
      <c r="F212" s="907"/>
      <c r="G212" s="907"/>
      <c r="H212" s="907"/>
      <c r="I212" s="907"/>
      <c r="J212" s="907"/>
      <c r="K212" s="907"/>
      <c r="L212" s="907"/>
    </row>
    <row r="213">
      <c r="A213" s="907"/>
      <c r="B213" s="907"/>
      <c r="C213" s="907"/>
      <c r="D213" s="907"/>
      <c r="E213" s="907"/>
      <c r="F213" s="907"/>
      <c r="G213" s="907"/>
      <c r="H213" s="907"/>
      <c r="I213" s="907"/>
      <c r="J213" s="907"/>
      <c r="K213" s="907"/>
      <c r="L213" s="907"/>
    </row>
    <row r="214">
      <c r="A214" s="907"/>
      <c r="B214" s="907"/>
      <c r="C214" s="907"/>
      <c r="D214" s="907"/>
      <c r="E214" s="907"/>
      <c r="F214" s="907"/>
      <c r="G214" s="907"/>
      <c r="H214" s="907"/>
      <c r="I214" s="907"/>
      <c r="J214" s="907"/>
      <c r="K214" s="907"/>
      <c r="L214" s="907"/>
    </row>
    <row r="215">
      <c r="A215" s="907"/>
      <c r="B215" s="907"/>
      <c r="C215" s="907"/>
      <c r="D215" s="907"/>
      <c r="E215" s="907"/>
      <c r="F215" s="907"/>
      <c r="G215" s="907"/>
      <c r="H215" s="907"/>
      <c r="I215" s="907"/>
      <c r="J215" s="907"/>
      <c r="K215" s="907"/>
      <c r="L215" s="907"/>
    </row>
    <row r="216">
      <c r="A216" s="907"/>
      <c r="B216" s="907"/>
      <c r="C216" s="907"/>
      <c r="D216" s="907"/>
      <c r="E216" s="907"/>
      <c r="F216" s="907"/>
      <c r="G216" s="907"/>
      <c r="H216" s="907"/>
      <c r="I216" s="907"/>
      <c r="J216" s="907"/>
      <c r="K216" s="907"/>
      <c r="L216" s="907"/>
    </row>
    <row r="217">
      <c r="A217" s="907"/>
      <c r="B217" s="907"/>
      <c r="C217" s="907"/>
      <c r="D217" s="907"/>
      <c r="E217" s="907"/>
      <c r="F217" s="907"/>
      <c r="G217" s="907"/>
      <c r="H217" s="907"/>
      <c r="I217" s="907"/>
      <c r="J217" s="907"/>
      <c r="K217" s="907"/>
      <c r="L217" s="907"/>
    </row>
    <row r="218">
      <c r="A218" s="907"/>
      <c r="B218" s="907"/>
      <c r="C218" s="907"/>
      <c r="D218" s="907"/>
      <c r="E218" s="907"/>
      <c r="F218" s="907"/>
      <c r="G218" s="907"/>
      <c r="H218" s="907"/>
      <c r="I218" s="907"/>
      <c r="J218" s="907"/>
      <c r="K218" s="907"/>
      <c r="L218" s="907"/>
    </row>
    <row r="219">
      <c r="A219" s="907"/>
      <c r="B219" s="907"/>
      <c r="C219" s="907"/>
      <c r="D219" s="907"/>
      <c r="E219" s="907"/>
      <c r="F219" s="907"/>
      <c r="G219" s="907"/>
      <c r="H219" s="907"/>
      <c r="I219" s="907"/>
      <c r="J219" s="907"/>
      <c r="K219" s="907"/>
      <c r="L219" s="907"/>
    </row>
    <row r="220">
      <c r="A220" s="907"/>
      <c r="B220" s="907"/>
      <c r="C220" s="907"/>
      <c r="D220" s="907"/>
      <c r="E220" s="907"/>
      <c r="F220" s="907"/>
      <c r="G220" s="907"/>
      <c r="H220" s="907"/>
      <c r="I220" s="907"/>
      <c r="J220" s="907"/>
      <c r="K220" s="907"/>
      <c r="L220" s="907"/>
    </row>
    <row r="221">
      <c r="A221" s="907"/>
      <c r="B221" s="907"/>
      <c r="C221" s="907"/>
      <c r="D221" s="907"/>
      <c r="E221" s="907"/>
      <c r="F221" s="907"/>
      <c r="G221" s="907"/>
      <c r="H221" s="907"/>
      <c r="I221" s="907"/>
      <c r="J221" s="907"/>
      <c r="K221" s="907"/>
      <c r="L221" s="907"/>
    </row>
    <row r="222">
      <c r="A222" s="907"/>
      <c r="B222" s="907"/>
      <c r="C222" s="907"/>
      <c r="D222" s="907"/>
      <c r="E222" s="907"/>
      <c r="F222" s="907"/>
      <c r="G222" s="907"/>
      <c r="H222" s="907"/>
      <c r="I222" s="907"/>
      <c r="J222" s="907"/>
      <c r="K222" s="907"/>
      <c r="L222" s="907"/>
    </row>
    <row r="223">
      <c r="A223" s="907"/>
      <c r="B223" s="907"/>
      <c r="C223" s="907"/>
      <c r="D223" s="907"/>
      <c r="E223" s="907"/>
      <c r="F223" s="907"/>
      <c r="G223" s="907"/>
      <c r="H223" s="907"/>
      <c r="I223" s="907"/>
      <c r="J223" s="907"/>
      <c r="K223" s="907"/>
      <c r="L223" s="907"/>
    </row>
    <row r="224">
      <c r="A224" s="907"/>
      <c r="B224" s="907"/>
      <c r="C224" s="907"/>
      <c r="D224" s="907"/>
      <c r="E224" s="907"/>
      <c r="F224" s="907"/>
      <c r="G224" s="907"/>
      <c r="H224" s="907"/>
      <c r="I224" s="907"/>
      <c r="J224" s="907"/>
      <c r="K224" s="907"/>
      <c r="L224" s="907"/>
    </row>
    <row r="225">
      <c r="A225" s="907"/>
      <c r="B225" s="907"/>
      <c r="C225" s="907"/>
      <c r="D225" s="907"/>
      <c r="E225" s="907"/>
      <c r="F225" s="907"/>
      <c r="G225" s="907"/>
      <c r="H225" s="907"/>
      <c r="I225" s="907"/>
      <c r="J225" s="907"/>
      <c r="K225" s="907"/>
      <c r="L225" s="907"/>
    </row>
    <row r="226">
      <c r="A226" s="907"/>
      <c r="B226" s="907"/>
      <c r="C226" s="907"/>
      <c r="D226" s="907"/>
      <c r="E226" s="907"/>
      <c r="F226" s="907"/>
      <c r="G226" s="907"/>
      <c r="H226" s="907"/>
      <c r="I226" s="907"/>
      <c r="J226" s="907"/>
      <c r="K226" s="907"/>
      <c r="L226" s="907"/>
    </row>
    <row r="227">
      <c r="A227" s="907"/>
      <c r="B227" s="907"/>
      <c r="C227" s="907"/>
      <c r="D227" s="907"/>
      <c r="E227" s="907"/>
      <c r="F227" s="907"/>
      <c r="G227" s="907"/>
      <c r="H227" s="907"/>
      <c r="I227" s="907"/>
      <c r="J227" s="907"/>
      <c r="K227" s="907"/>
      <c r="L227" s="907"/>
    </row>
    <row r="228">
      <c r="A228" s="907"/>
      <c r="B228" s="907"/>
      <c r="C228" s="907"/>
      <c r="D228" s="907"/>
      <c r="E228" s="907"/>
      <c r="F228" s="907"/>
      <c r="G228" s="907"/>
      <c r="H228" s="907"/>
      <c r="I228" s="907"/>
      <c r="J228" s="907"/>
      <c r="K228" s="907"/>
      <c r="L228" s="907"/>
    </row>
    <row r="229">
      <c r="A229" s="907"/>
      <c r="B229" s="907"/>
      <c r="C229" s="907"/>
      <c r="D229" s="907"/>
      <c r="E229" s="907"/>
      <c r="F229" s="907"/>
      <c r="G229" s="907"/>
      <c r="H229" s="907"/>
      <c r="I229" s="907"/>
      <c r="J229" s="907"/>
      <c r="K229" s="907"/>
      <c r="L229" s="907"/>
    </row>
    <row r="230">
      <c r="A230" s="907"/>
      <c r="B230" s="907"/>
      <c r="C230" s="907"/>
      <c r="D230" s="907"/>
      <c r="E230" s="907"/>
      <c r="F230" s="907"/>
      <c r="G230" s="907"/>
      <c r="H230" s="907"/>
      <c r="I230" s="907"/>
      <c r="J230" s="907"/>
      <c r="K230" s="907"/>
      <c r="L230" s="907"/>
    </row>
    <row r="231">
      <c r="A231" s="907"/>
      <c r="B231" s="907"/>
      <c r="C231" s="907"/>
      <c r="D231" s="907"/>
      <c r="E231" s="907"/>
      <c r="F231" s="907"/>
      <c r="G231" s="907"/>
      <c r="H231" s="907"/>
      <c r="I231" s="907"/>
      <c r="J231" s="907"/>
      <c r="K231" s="907"/>
      <c r="L231" s="907"/>
    </row>
    <row r="232">
      <c r="A232" s="907"/>
      <c r="B232" s="907"/>
      <c r="C232" s="907"/>
      <c r="D232" s="907"/>
      <c r="E232" s="907"/>
      <c r="F232" s="907"/>
      <c r="G232" s="907"/>
      <c r="H232" s="907"/>
      <c r="I232" s="907"/>
      <c r="J232" s="907"/>
      <c r="K232" s="907"/>
      <c r="L232" s="907"/>
    </row>
    <row r="233">
      <c r="A233" s="907"/>
      <c r="B233" s="907"/>
      <c r="C233" s="907"/>
      <c r="D233" s="907"/>
      <c r="E233" s="907"/>
      <c r="F233" s="907"/>
      <c r="G233" s="907"/>
      <c r="H233" s="907"/>
      <c r="I233" s="907"/>
      <c r="J233" s="907"/>
      <c r="K233" s="907"/>
      <c r="L233" s="907"/>
    </row>
    <row r="234">
      <c r="A234" s="907"/>
      <c r="B234" s="907"/>
      <c r="C234" s="907"/>
      <c r="D234" s="907"/>
      <c r="E234" s="907"/>
      <c r="F234" s="907"/>
      <c r="G234" s="907"/>
      <c r="H234" s="907"/>
      <c r="I234" s="907"/>
      <c r="J234" s="907"/>
      <c r="K234" s="907"/>
      <c r="L234" s="907"/>
    </row>
    <row r="235">
      <c r="A235" s="907"/>
      <c r="B235" s="907"/>
      <c r="C235" s="907"/>
      <c r="D235" s="907"/>
      <c r="E235" s="907"/>
      <c r="F235" s="907"/>
      <c r="G235" s="907"/>
      <c r="H235" s="907"/>
      <c r="I235" s="907"/>
      <c r="J235" s="907"/>
      <c r="K235" s="907"/>
      <c r="L235" s="907"/>
    </row>
    <row r="236">
      <c r="A236" s="907"/>
      <c r="B236" s="907"/>
      <c r="C236" s="907"/>
      <c r="D236" s="907"/>
      <c r="E236" s="907"/>
      <c r="F236" s="907"/>
      <c r="G236" s="907"/>
      <c r="H236" s="907"/>
      <c r="I236" s="907"/>
      <c r="J236" s="907"/>
      <c r="K236" s="907"/>
      <c r="L236" s="907"/>
    </row>
    <row r="237">
      <c r="A237" s="907"/>
      <c r="B237" s="907"/>
      <c r="C237" s="907"/>
      <c r="D237" s="907"/>
      <c r="E237" s="907"/>
      <c r="F237" s="907"/>
      <c r="G237" s="907"/>
      <c r="H237" s="907"/>
      <c r="I237" s="907"/>
      <c r="J237" s="907"/>
      <c r="K237" s="907"/>
      <c r="L237" s="907"/>
    </row>
    <row r="238">
      <c r="A238" s="907"/>
      <c r="B238" s="907"/>
      <c r="C238" s="907"/>
      <c r="D238" s="907"/>
      <c r="E238" s="907"/>
      <c r="F238" s="907"/>
      <c r="G238" s="907"/>
      <c r="H238" s="907"/>
      <c r="I238" s="907"/>
      <c r="J238" s="907"/>
      <c r="K238" s="907"/>
      <c r="L238" s="907"/>
    </row>
    <row r="239">
      <c r="A239" s="907"/>
      <c r="B239" s="907"/>
      <c r="C239" s="907"/>
      <c r="D239" s="907"/>
      <c r="E239" s="907"/>
      <c r="F239" s="907"/>
      <c r="G239" s="907"/>
      <c r="H239" s="907"/>
      <c r="I239" s="907"/>
      <c r="J239" s="907"/>
      <c r="K239" s="907"/>
      <c r="L239" s="907"/>
    </row>
    <row r="240">
      <c r="A240" s="907"/>
      <c r="B240" s="907"/>
      <c r="C240" s="907"/>
      <c r="D240" s="907"/>
      <c r="E240" s="907"/>
      <c r="F240" s="907"/>
      <c r="G240" s="907"/>
      <c r="H240" s="907"/>
      <c r="I240" s="907"/>
      <c r="J240" s="907"/>
      <c r="K240" s="907"/>
      <c r="L240" s="907"/>
    </row>
    <row r="241">
      <c r="A241" s="907"/>
      <c r="B241" s="907"/>
      <c r="C241" s="907"/>
      <c r="D241" s="907"/>
      <c r="E241" s="907"/>
      <c r="F241" s="907"/>
      <c r="G241" s="907"/>
      <c r="H241" s="907"/>
      <c r="I241" s="907"/>
      <c r="J241" s="907"/>
      <c r="K241" s="907"/>
      <c r="L241" s="907"/>
    </row>
    <row r="242">
      <c r="A242" s="907"/>
      <c r="B242" s="907"/>
      <c r="C242" s="907"/>
      <c r="D242" s="907"/>
      <c r="E242" s="907"/>
      <c r="F242" s="907"/>
      <c r="G242" s="907"/>
      <c r="H242" s="907"/>
      <c r="I242" s="907"/>
      <c r="J242" s="907"/>
      <c r="K242" s="907"/>
      <c r="L242" s="907"/>
    </row>
    <row r="243">
      <c r="A243" s="907"/>
      <c r="B243" s="907"/>
      <c r="C243" s="907"/>
      <c r="D243" s="907"/>
      <c r="E243" s="907"/>
      <c r="F243" s="907"/>
      <c r="G243" s="907"/>
      <c r="H243" s="907"/>
      <c r="I243" s="907"/>
      <c r="J243" s="907"/>
      <c r="K243" s="907"/>
      <c r="L243" s="907"/>
    </row>
    <row r="244">
      <c r="A244" s="907"/>
      <c r="B244" s="907"/>
      <c r="C244" s="907"/>
      <c r="D244" s="907"/>
      <c r="E244" s="907"/>
      <c r="F244" s="907"/>
      <c r="G244" s="907"/>
      <c r="H244" s="907"/>
      <c r="I244" s="907"/>
      <c r="J244" s="907"/>
      <c r="K244" s="907"/>
      <c r="L244" s="907"/>
    </row>
    <row r="245">
      <c r="A245" s="907"/>
      <c r="B245" s="907"/>
      <c r="C245" s="907"/>
      <c r="D245" s="907"/>
      <c r="E245" s="907"/>
      <c r="F245" s="907"/>
      <c r="G245" s="907"/>
      <c r="H245" s="907"/>
      <c r="I245" s="907"/>
      <c r="J245" s="907"/>
      <c r="K245" s="907"/>
      <c r="L245" s="907"/>
    </row>
    <row r="246">
      <c r="A246" s="907"/>
      <c r="B246" s="907"/>
      <c r="C246" s="907"/>
      <c r="D246" s="907"/>
      <c r="E246" s="907"/>
      <c r="F246" s="907"/>
      <c r="G246" s="907"/>
      <c r="H246" s="907"/>
      <c r="I246" s="907"/>
      <c r="J246" s="907"/>
      <c r="K246" s="907"/>
      <c r="L246" s="907"/>
    </row>
    <row r="247">
      <c r="A247" s="907"/>
      <c r="B247" s="907"/>
      <c r="C247" s="907"/>
      <c r="D247" s="907"/>
      <c r="E247" s="907"/>
      <c r="F247" s="907"/>
      <c r="G247" s="907"/>
      <c r="H247" s="907"/>
      <c r="I247" s="907"/>
      <c r="J247" s="907"/>
      <c r="K247" s="907"/>
      <c r="L247" s="907"/>
    </row>
    <row r="248">
      <c r="A248" s="907"/>
      <c r="B248" s="907"/>
      <c r="C248" s="907"/>
      <c r="D248" s="907"/>
      <c r="E248" s="907"/>
      <c r="F248" s="907"/>
      <c r="G248" s="907"/>
      <c r="H248" s="907"/>
      <c r="I248" s="907"/>
      <c r="J248" s="907"/>
      <c r="K248" s="907"/>
      <c r="L248" s="907"/>
    </row>
    <row r="249">
      <c r="A249" s="907"/>
      <c r="B249" s="907"/>
      <c r="C249" s="907"/>
      <c r="D249" s="907"/>
      <c r="E249" s="907"/>
      <c r="F249" s="907"/>
      <c r="G249" s="907"/>
      <c r="H249" s="907"/>
      <c r="I249" s="907"/>
      <c r="J249" s="907"/>
      <c r="K249" s="907"/>
      <c r="L249" s="907"/>
    </row>
    <row r="250">
      <c r="A250" s="907"/>
      <c r="B250" s="907"/>
      <c r="C250" s="907"/>
      <c r="D250" s="907"/>
      <c r="E250" s="907"/>
      <c r="F250" s="907"/>
      <c r="G250" s="907"/>
      <c r="H250" s="907"/>
      <c r="I250" s="907"/>
      <c r="J250" s="907"/>
      <c r="K250" s="907"/>
      <c r="L250" s="907"/>
    </row>
    <row r="251">
      <c r="A251" s="907"/>
      <c r="B251" s="907"/>
      <c r="C251" s="907"/>
      <c r="D251" s="907"/>
      <c r="E251" s="907"/>
      <c r="F251" s="907"/>
      <c r="G251" s="907"/>
      <c r="H251" s="907"/>
      <c r="I251" s="907"/>
      <c r="J251" s="907"/>
      <c r="K251" s="907"/>
      <c r="L251" s="907"/>
    </row>
    <row r="252">
      <c r="A252" s="907"/>
      <c r="B252" s="907"/>
      <c r="C252" s="907"/>
      <c r="D252" s="907"/>
      <c r="E252" s="907"/>
      <c r="F252" s="907"/>
      <c r="G252" s="907"/>
      <c r="H252" s="907"/>
      <c r="I252" s="907"/>
      <c r="J252" s="907"/>
      <c r="K252" s="907"/>
      <c r="L252" s="907"/>
    </row>
    <row r="253">
      <c r="A253" s="907"/>
      <c r="B253" s="907"/>
      <c r="C253" s="907"/>
      <c r="D253" s="907"/>
      <c r="E253" s="907"/>
      <c r="F253" s="907"/>
      <c r="G253" s="907"/>
      <c r="H253" s="907"/>
      <c r="I253" s="907"/>
      <c r="J253" s="907"/>
      <c r="K253" s="907"/>
      <c r="L253" s="907"/>
    </row>
    <row r="254">
      <c r="A254" s="907"/>
      <c r="B254" s="907"/>
      <c r="C254" s="907"/>
      <c r="D254" s="907"/>
      <c r="E254" s="907"/>
      <c r="F254" s="907"/>
      <c r="G254" s="907"/>
      <c r="H254" s="907"/>
      <c r="I254" s="907"/>
      <c r="J254" s="907"/>
      <c r="K254" s="907"/>
      <c r="L254" s="907"/>
    </row>
    <row r="255">
      <c r="A255" s="907"/>
      <c r="B255" s="907"/>
      <c r="C255" s="907"/>
      <c r="D255" s="907"/>
      <c r="E255" s="907"/>
      <c r="F255" s="907"/>
      <c r="G255" s="907"/>
      <c r="H255" s="907"/>
      <c r="I255" s="907"/>
      <c r="J255" s="907"/>
      <c r="K255" s="907"/>
      <c r="L255" s="907"/>
    </row>
    <row r="256">
      <c r="A256" s="907"/>
      <c r="B256" s="907"/>
      <c r="C256" s="907"/>
      <c r="D256" s="907"/>
      <c r="E256" s="907"/>
      <c r="F256" s="907"/>
      <c r="G256" s="907"/>
      <c r="H256" s="907"/>
      <c r="I256" s="907"/>
      <c r="J256" s="907"/>
      <c r="K256" s="907"/>
      <c r="L256" s="907"/>
    </row>
    <row r="257">
      <c r="A257" s="907"/>
      <c r="B257" s="907"/>
      <c r="C257" s="907"/>
      <c r="D257" s="907"/>
      <c r="E257" s="907"/>
      <c r="F257" s="907"/>
      <c r="G257" s="907"/>
      <c r="H257" s="907"/>
      <c r="I257" s="907"/>
      <c r="J257" s="907"/>
      <c r="K257" s="907"/>
      <c r="L257" s="907"/>
    </row>
    <row r="258">
      <c r="A258" s="907"/>
      <c r="B258" s="907"/>
      <c r="C258" s="907"/>
      <c r="D258" s="907"/>
      <c r="E258" s="907"/>
      <c r="F258" s="907"/>
      <c r="G258" s="907"/>
      <c r="H258" s="907"/>
      <c r="I258" s="907"/>
      <c r="J258" s="907"/>
      <c r="K258" s="907"/>
      <c r="L258" s="907"/>
    </row>
    <row r="259">
      <c r="A259" s="907"/>
      <c r="B259" s="907"/>
      <c r="C259" s="907"/>
      <c r="D259" s="907"/>
      <c r="E259" s="907"/>
      <c r="F259" s="907"/>
      <c r="G259" s="907"/>
      <c r="H259" s="907"/>
      <c r="I259" s="907"/>
      <c r="J259" s="907"/>
      <c r="K259" s="907"/>
      <c r="L259" s="907"/>
    </row>
    <row r="260">
      <c r="A260" s="907"/>
      <c r="B260" s="907"/>
      <c r="C260" s="907"/>
      <c r="D260" s="907"/>
      <c r="E260" s="907"/>
      <c r="F260" s="907"/>
      <c r="G260" s="907"/>
      <c r="H260" s="907"/>
      <c r="I260" s="907"/>
      <c r="J260" s="907"/>
      <c r="K260" s="907"/>
      <c r="L260" s="907"/>
    </row>
    <row r="261">
      <c r="A261" s="907"/>
      <c r="B261" s="907"/>
      <c r="C261" s="907"/>
      <c r="D261" s="907"/>
      <c r="E261" s="907"/>
      <c r="F261" s="907"/>
      <c r="G261" s="907"/>
      <c r="H261" s="907"/>
      <c r="I261" s="907"/>
      <c r="J261" s="907"/>
      <c r="K261" s="907"/>
      <c r="L261" s="907"/>
    </row>
    <row r="262">
      <c r="A262" s="907"/>
      <c r="B262" s="907"/>
      <c r="C262" s="907"/>
      <c r="D262" s="907"/>
      <c r="E262" s="907"/>
      <c r="F262" s="907"/>
      <c r="G262" s="907"/>
      <c r="H262" s="907"/>
      <c r="I262" s="907"/>
      <c r="J262" s="907"/>
      <c r="K262" s="907"/>
      <c r="L262" s="907"/>
    </row>
    <row r="263">
      <c r="A263" s="907"/>
      <c r="B263" s="907"/>
      <c r="C263" s="907"/>
      <c r="D263" s="907"/>
      <c r="E263" s="907"/>
      <c r="F263" s="907"/>
      <c r="G263" s="907"/>
      <c r="H263" s="907"/>
      <c r="I263" s="907"/>
      <c r="J263" s="907"/>
      <c r="K263" s="907"/>
      <c r="L263" s="907"/>
    </row>
    <row r="264">
      <c r="A264" s="907"/>
      <c r="B264" s="907"/>
      <c r="C264" s="907"/>
      <c r="D264" s="907"/>
      <c r="E264" s="907"/>
      <c r="F264" s="907"/>
      <c r="G264" s="907"/>
      <c r="H264" s="907"/>
      <c r="I264" s="907"/>
      <c r="J264" s="907"/>
      <c r="K264" s="907"/>
      <c r="L264" s="907"/>
    </row>
    <row r="265">
      <c r="A265" s="907"/>
      <c r="B265" s="907"/>
      <c r="C265" s="907"/>
      <c r="D265" s="907"/>
      <c r="E265" s="907"/>
      <c r="F265" s="907"/>
      <c r="G265" s="907"/>
      <c r="H265" s="907"/>
      <c r="I265" s="907"/>
      <c r="J265" s="907"/>
      <c r="K265" s="907"/>
      <c r="L265" s="907"/>
    </row>
    <row r="266">
      <c r="A266" s="907"/>
      <c r="B266" s="907"/>
      <c r="C266" s="907"/>
      <c r="D266" s="907"/>
      <c r="E266" s="907"/>
      <c r="F266" s="907"/>
      <c r="G266" s="907"/>
      <c r="H266" s="907"/>
      <c r="I266" s="907"/>
      <c r="J266" s="907"/>
      <c r="K266" s="907"/>
      <c r="L266" s="907"/>
    </row>
    <row r="267">
      <c r="A267" s="907"/>
      <c r="B267" s="907"/>
      <c r="C267" s="907"/>
      <c r="D267" s="907"/>
      <c r="E267" s="907"/>
      <c r="F267" s="907"/>
      <c r="G267" s="907"/>
      <c r="H267" s="907"/>
      <c r="I267" s="907"/>
      <c r="J267" s="907"/>
      <c r="K267" s="907"/>
      <c r="L267" s="907"/>
    </row>
    <row r="268">
      <c r="A268" s="907"/>
      <c r="B268" s="907"/>
      <c r="C268" s="907"/>
      <c r="D268" s="907"/>
      <c r="E268" s="907"/>
      <c r="F268" s="907"/>
      <c r="G268" s="907"/>
      <c r="H268" s="907"/>
      <c r="I268" s="907"/>
      <c r="J268" s="907"/>
      <c r="K268" s="907"/>
      <c r="L268" s="907"/>
    </row>
    <row r="269">
      <c r="A269" s="907"/>
      <c r="B269" s="907"/>
      <c r="C269" s="907"/>
      <c r="D269" s="907"/>
      <c r="E269" s="907"/>
      <c r="F269" s="907"/>
      <c r="G269" s="907"/>
      <c r="H269" s="907"/>
      <c r="I269" s="907"/>
      <c r="J269" s="907"/>
      <c r="K269" s="907"/>
      <c r="L269" s="907"/>
    </row>
    <row r="270">
      <c r="A270" s="907"/>
      <c r="B270" s="907"/>
      <c r="C270" s="907"/>
      <c r="D270" s="907"/>
      <c r="E270" s="907"/>
      <c r="F270" s="907"/>
      <c r="G270" s="907"/>
      <c r="H270" s="907"/>
      <c r="I270" s="907"/>
      <c r="J270" s="907"/>
      <c r="K270" s="907"/>
      <c r="L270" s="907"/>
    </row>
    <row r="271">
      <c r="A271" s="907"/>
      <c r="B271" s="907"/>
      <c r="C271" s="907"/>
      <c r="D271" s="907"/>
      <c r="E271" s="907"/>
      <c r="F271" s="907"/>
      <c r="G271" s="907"/>
      <c r="H271" s="907"/>
      <c r="I271" s="907"/>
      <c r="J271" s="907"/>
      <c r="K271" s="907"/>
      <c r="L271" s="907"/>
    </row>
    <row r="272">
      <c r="A272" s="907"/>
      <c r="B272" s="907"/>
      <c r="C272" s="907"/>
      <c r="D272" s="907"/>
      <c r="E272" s="907"/>
      <c r="F272" s="907"/>
      <c r="G272" s="907"/>
      <c r="H272" s="907"/>
      <c r="I272" s="907"/>
      <c r="J272" s="907"/>
      <c r="K272" s="907"/>
      <c r="L272" s="907"/>
    </row>
    <row r="273">
      <c r="A273" s="907"/>
      <c r="B273" s="907"/>
      <c r="C273" s="907"/>
      <c r="D273" s="907"/>
      <c r="E273" s="907"/>
      <c r="F273" s="907"/>
      <c r="G273" s="907"/>
      <c r="H273" s="907"/>
      <c r="I273" s="907"/>
      <c r="J273" s="907"/>
      <c r="K273" s="907"/>
      <c r="L273" s="907"/>
    </row>
    <row r="274">
      <c r="A274" s="907"/>
      <c r="B274" s="907"/>
      <c r="C274" s="907"/>
      <c r="D274" s="907"/>
      <c r="E274" s="907"/>
      <c r="F274" s="907"/>
      <c r="G274" s="907"/>
      <c r="H274" s="907"/>
      <c r="I274" s="907"/>
      <c r="J274" s="907"/>
      <c r="K274" s="907"/>
      <c r="L274" s="907"/>
    </row>
    <row r="275">
      <c r="A275" s="907"/>
      <c r="B275" s="907"/>
      <c r="C275" s="907"/>
      <c r="D275" s="907"/>
      <c r="E275" s="907"/>
      <c r="F275" s="907"/>
      <c r="G275" s="907"/>
      <c r="H275" s="907"/>
      <c r="I275" s="907"/>
      <c r="J275" s="907"/>
      <c r="K275" s="907"/>
      <c r="L275" s="907"/>
    </row>
    <row r="276">
      <c r="A276" s="907"/>
      <c r="B276" s="907"/>
      <c r="C276" s="907"/>
      <c r="D276" s="907"/>
      <c r="E276" s="907"/>
      <c r="F276" s="907"/>
      <c r="G276" s="907"/>
      <c r="H276" s="907"/>
      <c r="I276" s="907"/>
      <c r="J276" s="907"/>
      <c r="K276" s="907"/>
      <c r="L276" s="907"/>
    </row>
    <row r="277">
      <c r="A277" s="907"/>
      <c r="B277" s="907"/>
      <c r="C277" s="907"/>
      <c r="D277" s="907"/>
      <c r="E277" s="907"/>
      <c r="F277" s="907"/>
      <c r="G277" s="907"/>
      <c r="H277" s="907"/>
      <c r="I277" s="907"/>
      <c r="J277" s="907"/>
      <c r="K277" s="907"/>
      <c r="L277" s="907"/>
    </row>
    <row r="278">
      <c r="A278" s="907"/>
      <c r="B278" s="907"/>
      <c r="C278" s="907"/>
      <c r="D278" s="907"/>
      <c r="E278" s="907"/>
      <c r="F278" s="907"/>
      <c r="G278" s="907"/>
      <c r="H278" s="907"/>
      <c r="I278" s="907"/>
      <c r="J278" s="907"/>
      <c r="K278" s="907"/>
      <c r="L278" s="907"/>
    </row>
    <row r="279">
      <c r="A279" s="907"/>
      <c r="B279" s="907"/>
      <c r="C279" s="907"/>
      <c r="D279" s="907"/>
      <c r="E279" s="907"/>
      <c r="F279" s="907"/>
      <c r="G279" s="907"/>
      <c r="H279" s="907"/>
      <c r="I279" s="907"/>
      <c r="J279" s="907"/>
      <c r="K279" s="907"/>
      <c r="L279" s="907"/>
    </row>
    <row r="280">
      <c r="A280" s="907"/>
      <c r="B280" s="907"/>
      <c r="C280" s="907"/>
      <c r="D280" s="907"/>
      <c r="E280" s="907"/>
      <c r="F280" s="907"/>
      <c r="G280" s="907"/>
      <c r="H280" s="907"/>
      <c r="I280" s="907"/>
      <c r="J280" s="907"/>
      <c r="K280" s="907"/>
      <c r="L280" s="907"/>
    </row>
    <row r="281">
      <c r="A281" s="907"/>
      <c r="B281" s="907"/>
      <c r="C281" s="907"/>
      <c r="D281" s="907"/>
      <c r="E281" s="907"/>
      <c r="F281" s="907"/>
      <c r="G281" s="907"/>
      <c r="H281" s="907"/>
      <c r="I281" s="907"/>
      <c r="J281" s="907"/>
      <c r="K281" s="907"/>
      <c r="L281" s="907"/>
    </row>
    <row r="282">
      <c r="A282" s="907"/>
      <c r="B282" s="907"/>
      <c r="C282" s="907"/>
      <c r="D282" s="907"/>
      <c r="E282" s="907"/>
      <c r="F282" s="907"/>
      <c r="G282" s="907"/>
      <c r="H282" s="907"/>
      <c r="I282" s="907"/>
      <c r="J282" s="907"/>
      <c r="K282" s="907"/>
      <c r="L282" s="907"/>
    </row>
    <row r="283">
      <c r="A283" s="907"/>
      <c r="B283" s="907"/>
      <c r="C283" s="907"/>
      <c r="D283" s="907"/>
      <c r="E283" s="907"/>
      <c r="F283" s="907"/>
      <c r="G283" s="907"/>
      <c r="H283" s="907"/>
      <c r="I283" s="907"/>
      <c r="J283" s="907"/>
      <c r="K283" s="907"/>
      <c r="L283" s="907"/>
    </row>
    <row r="284">
      <c r="A284" s="907"/>
      <c r="B284" s="907"/>
      <c r="C284" s="907"/>
      <c r="D284" s="907"/>
      <c r="E284" s="907"/>
      <c r="F284" s="907"/>
      <c r="G284" s="907"/>
      <c r="H284" s="907"/>
      <c r="I284" s="907"/>
      <c r="J284" s="907"/>
      <c r="K284" s="907"/>
      <c r="L284" s="907"/>
    </row>
    <row r="285">
      <c r="A285" s="907"/>
      <c r="B285" s="907"/>
      <c r="C285" s="907"/>
      <c r="D285" s="907"/>
      <c r="E285" s="907"/>
      <c r="F285" s="907"/>
      <c r="G285" s="907"/>
      <c r="H285" s="907"/>
      <c r="I285" s="907"/>
      <c r="J285" s="907"/>
      <c r="K285" s="907"/>
      <c r="L285" s="907"/>
    </row>
    <row r="286">
      <c r="A286" s="907"/>
      <c r="B286" s="907"/>
      <c r="C286" s="907"/>
      <c r="D286" s="907"/>
      <c r="E286" s="907"/>
      <c r="F286" s="907"/>
      <c r="G286" s="907"/>
      <c r="H286" s="907"/>
      <c r="I286" s="907"/>
      <c r="J286" s="907"/>
      <c r="K286" s="907"/>
      <c r="L286" s="907"/>
    </row>
    <row r="287">
      <c r="A287" s="907"/>
      <c r="B287" s="907"/>
      <c r="C287" s="907"/>
      <c r="D287" s="907"/>
      <c r="E287" s="907"/>
      <c r="F287" s="907"/>
      <c r="G287" s="907"/>
      <c r="H287" s="907"/>
      <c r="I287" s="907"/>
      <c r="J287" s="907"/>
      <c r="K287" s="907"/>
      <c r="L287" s="907"/>
    </row>
    <row r="288">
      <c r="A288" s="907"/>
      <c r="B288" s="907"/>
      <c r="C288" s="907"/>
      <c r="D288" s="907"/>
      <c r="E288" s="907"/>
      <c r="F288" s="907"/>
      <c r="G288" s="907"/>
      <c r="H288" s="907"/>
      <c r="I288" s="907"/>
      <c r="J288" s="907"/>
      <c r="K288" s="907"/>
      <c r="L288" s="907"/>
    </row>
    <row r="289">
      <c r="A289" s="907"/>
      <c r="B289" s="907"/>
      <c r="C289" s="907"/>
      <c r="D289" s="907"/>
      <c r="E289" s="907"/>
      <c r="F289" s="907"/>
      <c r="G289" s="907"/>
      <c r="H289" s="907"/>
      <c r="I289" s="907"/>
      <c r="J289" s="907"/>
      <c r="K289" s="907"/>
      <c r="L289" s="907"/>
    </row>
    <row r="290">
      <c r="A290" s="907"/>
      <c r="B290" s="907"/>
      <c r="C290" s="907"/>
      <c r="D290" s="907"/>
      <c r="E290" s="907"/>
      <c r="F290" s="907"/>
      <c r="G290" s="907"/>
      <c r="H290" s="907"/>
      <c r="I290" s="907"/>
      <c r="J290" s="907"/>
      <c r="K290" s="907"/>
      <c r="L290" s="907"/>
    </row>
    <row r="291">
      <c r="A291" s="907"/>
      <c r="B291" s="907"/>
      <c r="C291" s="907"/>
      <c r="D291" s="907"/>
      <c r="E291" s="907"/>
      <c r="F291" s="907"/>
      <c r="G291" s="907"/>
      <c r="H291" s="907"/>
      <c r="I291" s="907"/>
      <c r="J291" s="907"/>
      <c r="K291" s="907"/>
      <c r="L291" s="907"/>
    </row>
    <row r="292">
      <c r="A292" s="907"/>
      <c r="B292" s="907"/>
      <c r="C292" s="907"/>
      <c r="D292" s="907"/>
      <c r="E292" s="907"/>
      <c r="F292" s="907"/>
      <c r="G292" s="907"/>
      <c r="H292" s="907"/>
      <c r="I292" s="907"/>
      <c r="J292" s="907"/>
      <c r="K292" s="907"/>
      <c r="L292" s="907"/>
    </row>
    <row r="293">
      <c r="A293" s="907"/>
      <c r="B293" s="907"/>
      <c r="C293" s="907"/>
      <c r="D293" s="907"/>
      <c r="E293" s="907"/>
      <c r="F293" s="907"/>
      <c r="G293" s="907"/>
      <c r="H293" s="907"/>
      <c r="I293" s="907"/>
      <c r="J293" s="907"/>
      <c r="K293" s="907"/>
      <c r="L293" s="907"/>
    </row>
    <row r="294">
      <c r="A294" s="907"/>
      <c r="B294" s="907"/>
      <c r="C294" s="907"/>
      <c r="D294" s="907"/>
      <c r="E294" s="907"/>
      <c r="F294" s="907"/>
      <c r="G294" s="907"/>
      <c r="H294" s="907"/>
      <c r="I294" s="907"/>
      <c r="J294" s="907"/>
      <c r="K294" s="907"/>
      <c r="L294" s="907"/>
    </row>
    <row r="295">
      <c r="A295" s="907"/>
      <c r="B295" s="907"/>
      <c r="C295" s="907"/>
      <c r="D295" s="907"/>
      <c r="E295" s="907"/>
      <c r="F295" s="907"/>
      <c r="G295" s="907"/>
      <c r="H295" s="907"/>
      <c r="I295" s="907"/>
      <c r="J295" s="907"/>
      <c r="K295" s="907"/>
      <c r="L295" s="907"/>
    </row>
    <row r="296">
      <c r="A296" s="907"/>
      <c r="B296" s="907"/>
      <c r="C296" s="907"/>
      <c r="D296" s="907"/>
      <c r="E296" s="907"/>
      <c r="F296" s="907"/>
      <c r="G296" s="907"/>
      <c r="H296" s="907"/>
      <c r="I296" s="907"/>
      <c r="J296" s="907"/>
      <c r="K296" s="907"/>
      <c r="L296" s="907"/>
    </row>
    <row r="297">
      <c r="A297" s="907"/>
      <c r="B297" s="907"/>
      <c r="C297" s="907"/>
      <c r="D297" s="907"/>
      <c r="E297" s="907"/>
      <c r="F297" s="907"/>
      <c r="G297" s="907"/>
      <c r="H297" s="907"/>
      <c r="I297" s="907"/>
      <c r="J297" s="907"/>
      <c r="K297" s="907"/>
      <c r="L297" s="907"/>
    </row>
    <row r="298">
      <c r="A298" s="907"/>
      <c r="B298" s="907"/>
      <c r="C298" s="907"/>
      <c r="D298" s="907"/>
      <c r="E298" s="907"/>
      <c r="F298" s="907"/>
      <c r="G298" s="907"/>
      <c r="H298" s="907"/>
      <c r="I298" s="907"/>
      <c r="J298" s="907"/>
      <c r="K298" s="907"/>
      <c r="L298" s="907"/>
    </row>
    <row r="299">
      <c r="A299" s="907"/>
      <c r="B299" s="907"/>
      <c r="C299" s="907"/>
      <c r="D299" s="907"/>
      <c r="E299" s="907"/>
      <c r="F299" s="907"/>
      <c r="G299" s="907"/>
      <c r="H299" s="907"/>
      <c r="I299" s="907"/>
      <c r="J299" s="907"/>
      <c r="K299" s="907"/>
      <c r="L299" s="907"/>
    </row>
    <row r="300">
      <c r="A300" s="907"/>
      <c r="B300" s="907"/>
      <c r="C300" s="907"/>
      <c r="D300" s="907"/>
      <c r="E300" s="907"/>
      <c r="F300" s="907"/>
      <c r="G300" s="907"/>
      <c r="H300" s="907"/>
      <c r="I300" s="907"/>
      <c r="J300" s="907"/>
      <c r="K300" s="907"/>
      <c r="L300" s="907"/>
    </row>
    <row r="301">
      <c r="A301" s="907"/>
      <c r="B301" s="907"/>
      <c r="C301" s="907"/>
      <c r="D301" s="907"/>
      <c r="E301" s="907"/>
      <c r="F301" s="907"/>
      <c r="G301" s="907"/>
      <c r="H301" s="907"/>
      <c r="I301" s="907"/>
      <c r="J301" s="907"/>
      <c r="K301" s="907"/>
      <c r="L301" s="907"/>
    </row>
    <row r="302">
      <c r="A302" s="907"/>
      <c r="B302" s="907"/>
      <c r="C302" s="907"/>
      <c r="D302" s="907"/>
      <c r="E302" s="907"/>
      <c r="F302" s="907"/>
      <c r="G302" s="907"/>
      <c r="H302" s="907"/>
      <c r="I302" s="907"/>
      <c r="J302" s="907"/>
      <c r="K302" s="907"/>
      <c r="L302" s="907"/>
    </row>
    <row r="303">
      <c r="A303" s="907"/>
      <c r="B303" s="907"/>
      <c r="C303" s="907"/>
      <c r="D303" s="907"/>
      <c r="E303" s="907"/>
      <c r="F303" s="907"/>
      <c r="G303" s="907"/>
      <c r="H303" s="907"/>
      <c r="I303" s="907"/>
      <c r="J303" s="907"/>
      <c r="K303" s="907"/>
      <c r="L303" s="907"/>
    </row>
    <row r="304">
      <c r="A304" s="907"/>
      <c r="B304" s="907"/>
      <c r="C304" s="907"/>
      <c r="D304" s="907"/>
      <c r="E304" s="907"/>
      <c r="F304" s="907"/>
      <c r="G304" s="907"/>
      <c r="H304" s="907"/>
      <c r="I304" s="907"/>
      <c r="J304" s="907"/>
      <c r="K304" s="907"/>
      <c r="L304" s="907"/>
    </row>
    <row r="305">
      <c r="A305" s="907"/>
      <c r="B305" s="907"/>
      <c r="C305" s="907"/>
      <c r="D305" s="907"/>
      <c r="E305" s="907"/>
      <c r="F305" s="907"/>
      <c r="G305" s="907"/>
      <c r="H305" s="907"/>
      <c r="I305" s="907"/>
      <c r="J305" s="907"/>
      <c r="K305" s="907"/>
      <c r="L305" s="907"/>
    </row>
    <row r="306">
      <c r="A306" s="907"/>
      <c r="B306" s="907"/>
      <c r="C306" s="907"/>
      <c r="D306" s="907"/>
      <c r="E306" s="907"/>
      <c r="F306" s="907"/>
      <c r="G306" s="907"/>
      <c r="H306" s="907"/>
      <c r="I306" s="907"/>
      <c r="J306" s="907"/>
      <c r="K306" s="907"/>
      <c r="L306" s="907"/>
    </row>
    <row r="307">
      <c r="A307" s="907"/>
      <c r="B307" s="907"/>
      <c r="C307" s="907"/>
      <c r="D307" s="907"/>
      <c r="E307" s="907"/>
      <c r="F307" s="907"/>
      <c r="G307" s="907"/>
      <c r="H307" s="907"/>
      <c r="I307" s="907"/>
      <c r="J307" s="907"/>
      <c r="K307" s="907"/>
      <c r="L307" s="907"/>
    </row>
    <row r="308">
      <c r="A308" s="907"/>
      <c r="B308" s="907"/>
      <c r="C308" s="907"/>
      <c r="D308" s="907"/>
      <c r="E308" s="907"/>
      <c r="F308" s="907"/>
      <c r="G308" s="907"/>
      <c r="H308" s="907"/>
      <c r="I308" s="907"/>
      <c r="J308" s="907"/>
      <c r="K308" s="907"/>
      <c r="L308" s="907"/>
    </row>
    <row r="309">
      <c r="A309" s="907"/>
      <c r="B309" s="907"/>
      <c r="C309" s="907"/>
      <c r="D309" s="907"/>
      <c r="E309" s="907"/>
      <c r="F309" s="907"/>
      <c r="G309" s="907"/>
      <c r="H309" s="907"/>
      <c r="I309" s="907"/>
      <c r="J309" s="907"/>
      <c r="K309" s="907"/>
      <c r="L309" s="907"/>
    </row>
    <row r="310">
      <c r="A310" s="907"/>
      <c r="B310" s="907"/>
      <c r="C310" s="907"/>
      <c r="D310" s="907"/>
      <c r="E310" s="907"/>
      <c r="F310" s="907"/>
      <c r="G310" s="907"/>
      <c r="H310" s="907"/>
      <c r="I310" s="907"/>
      <c r="J310" s="907"/>
      <c r="K310" s="907"/>
      <c r="L310" s="907"/>
    </row>
    <row r="311">
      <c r="A311" s="907"/>
      <c r="B311" s="907"/>
      <c r="C311" s="907"/>
      <c r="D311" s="907"/>
      <c r="E311" s="907"/>
      <c r="F311" s="907"/>
      <c r="G311" s="907"/>
      <c r="H311" s="907"/>
      <c r="I311" s="907"/>
      <c r="J311" s="907"/>
      <c r="K311" s="907"/>
      <c r="L311" s="907"/>
    </row>
    <row r="312">
      <c r="A312" s="907"/>
      <c r="B312" s="907"/>
      <c r="C312" s="907"/>
      <c r="D312" s="907"/>
      <c r="E312" s="907"/>
      <c r="F312" s="907"/>
      <c r="G312" s="907"/>
      <c r="H312" s="907"/>
      <c r="I312" s="907"/>
      <c r="J312" s="907"/>
      <c r="K312" s="907"/>
      <c r="L312" s="907"/>
    </row>
    <row r="313">
      <c r="A313" s="907"/>
      <c r="B313" s="907"/>
      <c r="C313" s="907"/>
      <c r="D313" s="907"/>
      <c r="E313" s="907"/>
      <c r="F313" s="907"/>
      <c r="G313" s="907"/>
      <c r="H313" s="907"/>
      <c r="I313" s="907"/>
      <c r="J313" s="907"/>
      <c r="K313" s="907"/>
      <c r="L313" s="907"/>
    </row>
    <row r="314">
      <c r="A314" s="907"/>
      <c r="B314" s="907"/>
      <c r="C314" s="907"/>
      <c r="D314" s="907"/>
      <c r="E314" s="907"/>
      <c r="F314" s="907"/>
      <c r="G314" s="907"/>
      <c r="H314" s="907"/>
      <c r="I314" s="907"/>
      <c r="J314" s="907"/>
      <c r="K314" s="907"/>
      <c r="L314" s="907"/>
    </row>
    <row r="315">
      <c r="A315" s="907"/>
      <c r="B315" s="907"/>
      <c r="C315" s="907"/>
      <c r="D315" s="907"/>
      <c r="E315" s="907"/>
      <c r="F315" s="907"/>
      <c r="G315" s="907"/>
      <c r="H315" s="907"/>
      <c r="I315" s="907"/>
      <c r="J315" s="907"/>
      <c r="K315" s="907"/>
      <c r="L315" s="907"/>
    </row>
    <row r="316">
      <c r="A316" s="907"/>
      <c r="B316" s="907"/>
      <c r="C316" s="907"/>
      <c r="D316" s="907"/>
      <c r="E316" s="907"/>
      <c r="F316" s="907"/>
      <c r="G316" s="907"/>
      <c r="H316" s="907"/>
      <c r="I316" s="907"/>
      <c r="J316" s="907"/>
      <c r="K316" s="907"/>
      <c r="L316" s="907"/>
    </row>
    <row r="317">
      <c r="A317" s="907"/>
      <c r="B317" s="907"/>
      <c r="C317" s="907"/>
      <c r="D317" s="907"/>
      <c r="E317" s="907"/>
      <c r="F317" s="907"/>
      <c r="G317" s="907"/>
      <c r="H317" s="907"/>
      <c r="I317" s="907"/>
      <c r="J317" s="907"/>
      <c r="K317" s="907"/>
      <c r="L317" s="907"/>
    </row>
    <row r="318">
      <c r="A318" s="907"/>
      <c r="B318" s="907"/>
      <c r="C318" s="907"/>
      <c r="D318" s="907"/>
      <c r="E318" s="907"/>
      <c r="F318" s="907"/>
      <c r="G318" s="907"/>
      <c r="H318" s="907"/>
      <c r="I318" s="907"/>
      <c r="J318" s="907"/>
      <c r="K318" s="907"/>
      <c r="L318" s="907"/>
    </row>
    <row r="319">
      <c r="A319" s="907"/>
      <c r="B319" s="907"/>
      <c r="C319" s="907"/>
      <c r="D319" s="907"/>
      <c r="E319" s="907"/>
      <c r="F319" s="907"/>
      <c r="G319" s="907"/>
      <c r="H319" s="907"/>
      <c r="I319" s="907"/>
      <c r="J319" s="907"/>
      <c r="K319" s="907"/>
      <c r="L319" s="907"/>
    </row>
    <row r="320">
      <c r="A320" s="907"/>
      <c r="B320" s="907"/>
      <c r="C320" s="907"/>
      <c r="D320" s="907"/>
      <c r="E320" s="907"/>
      <c r="F320" s="907"/>
      <c r="G320" s="907"/>
      <c r="H320" s="907"/>
      <c r="I320" s="907"/>
      <c r="J320" s="907"/>
      <c r="K320" s="907"/>
      <c r="L320" s="907"/>
    </row>
    <row r="321">
      <c r="A321" s="907"/>
      <c r="B321" s="907"/>
      <c r="C321" s="907"/>
      <c r="D321" s="907"/>
      <c r="E321" s="907"/>
      <c r="F321" s="907"/>
      <c r="G321" s="907"/>
      <c r="H321" s="907"/>
      <c r="I321" s="907"/>
      <c r="J321" s="907"/>
      <c r="K321" s="907"/>
      <c r="L321" s="907"/>
    </row>
    <row r="322">
      <c r="A322" s="907"/>
      <c r="B322" s="907"/>
      <c r="C322" s="907"/>
      <c r="D322" s="907"/>
      <c r="E322" s="907"/>
      <c r="F322" s="907"/>
      <c r="G322" s="907"/>
      <c r="H322" s="907"/>
      <c r="I322" s="907"/>
      <c r="J322" s="907"/>
      <c r="K322" s="907"/>
      <c r="L322" s="907"/>
    </row>
    <row r="323">
      <c r="A323" s="907"/>
      <c r="B323" s="907"/>
      <c r="C323" s="907"/>
      <c r="D323" s="907"/>
      <c r="E323" s="907"/>
      <c r="F323" s="907"/>
      <c r="G323" s="907"/>
      <c r="H323" s="907"/>
      <c r="I323" s="907"/>
      <c r="J323" s="907"/>
      <c r="K323" s="907"/>
      <c r="L323" s="907"/>
    </row>
    <row r="324">
      <c r="A324" s="907"/>
      <c r="B324" s="907"/>
      <c r="C324" s="907"/>
      <c r="D324" s="907"/>
      <c r="E324" s="907"/>
      <c r="F324" s="907"/>
      <c r="G324" s="907"/>
      <c r="H324" s="907"/>
      <c r="I324" s="907"/>
      <c r="J324" s="907"/>
      <c r="K324" s="907"/>
      <c r="L324" s="907"/>
    </row>
    <row r="325">
      <c r="A325" s="907"/>
      <c r="B325" s="907"/>
      <c r="C325" s="907"/>
      <c r="D325" s="907"/>
      <c r="E325" s="907"/>
      <c r="F325" s="907"/>
      <c r="G325" s="907"/>
      <c r="H325" s="907"/>
      <c r="I325" s="907"/>
      <c r="J325" s="907"/>
      <c r="K325" s="907"/>
      <c r="L325" s="907"/>
    </row>
    <row r="326">
      <c r="A326" s="907"/>
      <c r="B326" s="907"/>
      <c r="C326" s="907"/>
      <c r="D326" s="907"/>
      <c r="E326" s="907"/>
      <c r="F326" s="907"/>
      <c r="G326" s="907"/>
      <c r="H326" s="907"/>
      <c r="I326" s="907"/>
      <c r="J326" s="907"/>
      <c r="K326" s="907"/>
      <c r="L326" s="907"/>
    </row>
    <row r="327">
      <c r="A327" s="907"/>
      <c r="B327" s="907"/>
      <c r="C327" s="907"/>
      <c r="D327" s="907"/>
      <c r="E327" s="907"/>
      <c r="F327" s="907"/>
      <c r="G327" s="907"/>
      <c r="H327" s="907"/>
      <c r="I327" s="907"/>
      <c r="J327" s="907"/>
      <c r="K327" s="907"/>
      <c r="L327" s="907"/>
    </row>
    <row r="328">
      <c r="A328" s="907"/>
      <c r="B328" s="907"/>
      <c r="C328" s="907"/>
      <c r="D328" s="907"/>
      <c r="E328" s="907"/>
      <c r="F328" s="907"/>
      <c r="G328" s="907"/>
      <c r="H328" s="907"/>
      <c r="I328" s="907"/>
      <c r="J328" s="907"/>
      <c r="K328" s="907"/>
      <c r="L328" s="907"/>
    </row>
    <row r="329">
      <c r="A329" s="907"/>
      <c r="B329" s="907"/>
      <c r="C329" s="907"/>
      <c r="D329" s="907"/>
      <c r="E329" s="907"/>
      <c r="F329" s="907"/>
      <c r="G329" s="907"/>
      <c r="H329" s="907"/>
      <c r="I329" s="907"/>
      <c r="J329" s="907"/>
      <c r="K329" s="907"/>
      <c r="L329" s="907"/>
    </row>
    <row r="330">
      <c r="A330" s="907"/>
      <c r="B330" s="907"/>
      <c r="C330" s="907"/>
      <c r="D330" s="907"/>
      <c r="E330" s="907"/>
      <c r="F330" s="907"/>
      <c r="G330" s="907"/>
      <c r="H330" s="907"/>
      <c r="I330" s="907"/>
      <c r="J330" s="907"/>
      <c r="K330" s="907"/>
      <c r="L330" s="907"/>
    </row>
    <row r="331">
      <c r="A331" s="907"/>
      <c r="B331" s="907"/>
      <c r="C331" s="907"/>
      <c r="D331" s="907"/>
      <c r="E331" s="907"/>
      <c r="F331" s="907"/>
      <c r="G331" s="907"/>
      <c r="H331" s="907"/>
      <c r="I331" s="907"/>
      <c r="J331" s="907"/>
      <c r="K331" s="907"/>
      <c r="L331" s="907"/>
    </row>
    <row r="332">
      <c r="A332" s="907"/>
      <c r="B332" s="907"/>
      <c r="C332" s="907"/>
      <c r="D332" s="907"/>
      <c r="E332" s="907"/>
      <c r="F332" s="907"/>
      <c r="G332" s="907"/>
      <c r="H332" s="907"/>
      <c r="I332" s="907"/>
      <c r="J332" s="907"/>
      <c r="K332" s="907"/>
      <c r="L332" s="907"/>
    </row>
    <row r="333">
      <c r="A333" s="907"/>
      <c r="B333" s="907"/>
      <c r="C333" s="907"/>
      <c r="D333" s="907"/>
      <c r="E333" s="907"/>
      <c r="F333" s="907"/>
      <c r="G333" s="907"/>
      <c r="H333" s="907"/>
      <c r="I333" s="907"/>
      <c r="J333" s="907"/>
      <c r="K333" s="907"/>
      <c r="L333" s="907"/>
    </row>
    <row r="334">
      <c r="A334" s="907"/>
      <c r="B334" s="907"/>
      <c r="C334" s="907"/>
      <c r="D334" s="907"/>
      <c r="E334" s="907"/>
      <c r="F334" s="907"/>
      <c r="G334" s="907"/>
      <c r="H334" s="907"/>
      <c r="I334" s="907"/>
      <c r="J334" s="907"/>
      <c r="K334" s="907"/>
      <c r="L334" s="907"/>
    </row>
    <row r="335">
      <c r="A335" s="907"/>
      <c r="B335" s="907"/>
      <c r="C335" s="907"/>
      <c r="D335" s="907"/>
      <c r="E335" s="907"/>
      <c r="F335" s="907"/>
      <c r="G335" s="907"/>
      <c r="H335" s="907"/>
      <c r="I335" s="907"/>
      <c r="J335" s="907"/>
      <c r="K335" s="907"/>
      <c r="L335" s="907"/>
    </row>
    <row r="336">
      <c r="A336" s="907"/>
      <c r="B336" s="907"/>
      <c r="C336" s="907"/>
      <c r="D336" s="907"/>
      <c r="E336" s="907"/>
      <c r="F336" s="907"/>
      <c r="G336" s="907"/>
      <c r="H336" s="907"/>
      <c r="I336" s="907"/>
      <c r="J336" s="907"/>
      <c r="K336" s="907"/>
      <c r="L336" s="907"/>
    </row>
    <row r="337">
      <c r="A337" s="907"/>
      <c r="B337" s="907"/>
      <c r="C337" s="907"/>
      <c r="D337" s="907"/>
      <c r="E337" s="907"/>
      <c r="F337" s="907"/>
      <c r="G337" s="907"/>
      <c r="H337" s="907"/>
      <c r="I337" s="907"/>
      <c r="J337" s="907"/>
      <c r="K337" s="907"/>
      <c r="L337" s="907"/>
    </row>
    <row r="338">
      <c r="A338" s="907"/>
      <c r="B338" s="907"/>
      <c r="C338" s="907"/>
      <c r="D338" s="907"/>
      <c r="E338" s="907"/>
      <c r="F338" s="907"/>
      <c r="G338" s="907"/>
      <c r="H338" s="907"/>
      <c r="I338" s="907"/>
      <c r="J338" s="907"/>
      <c r="K338" s="907"/>
      <c r="L338" s="907"/>
    </row>
    <row r="339">
      <c r="A339" s="907"/>
      <c r="B339" s="907"/>
      <c r="C339" s="907"/>
      <c r="D339" s="907"/>
      <c r="E339" s="907"/>
      <c r="F339" s="907"/>
      <c r="G339" s="907"/>
      <c r="H339" s="907"/>
      <c r="I339" s="907"/>
      <c r="J339" s="907"/>
      <c r="K339" s="907"/>
      <c r="L339" s="907"/>
    </row>
    <row r="340">
      <c r="A340" s="907"/>
      <c r="B340" s="907"/>
      <c r="C340" s="907"/>
      <c r="D340" s="907"/>
      <c r="E340" s="907"/>
      <c r="F340" s="907"/>
      <c r="G340" s="907"/>
      <c r="H340" s="907"/>
      <c r="I340" s="907"/>
      <c r="J340" s="907"/>
      <c r="K340" s="907"/>
      <c r="L340" s="907"/>
    </row>
    <row r="341">
      <c r="A341" s="907"/>
      <c r="B341" s="907"/>
      <c r="C341" s="907"/>
      <c r="D341" s="907"/>
      <c r="E341" s="907"/>
      <c r="F341" s="907"/>
      <c r="G341" s="907"/>
      <c r="H341" s="907"/>
      <c r="I341" s="907"/>
      <c r="J341" s="907"/>
      <c r="K341" s="907"/>
      <c r="L341" s="907"/>
    </row>
    <row r="342">
      <c r="A342" s="907"/>
      <c r="B342" s="907"/>
      <c r="C342" s="907"/>
      <c r="D342" s="907"/>
      <c r="E342" s="907"/>
      <c r="F342" s="907"/>
      <c r="G342" s="907"/>
      <c r="H342" s="907"/>
      <c r="I342" s="907"/>
      <c r="J342" s="907"/>
      <c r="K342" s="907"/>
      <c r="L342" s="907"/>
    </row>
    <row r="343">
      <c r="A343" s="907"/>
      <c r="B343" s="907"/>
      <c r="C343" s="907"/>
      <c r="D343" s="907"/>
      <c r="E343" s="907"/>
      <c r="F343" s="907"/>
      <c r="G343" s="907"/>
      <c r="H343" s="907"/>
      <c r="I343" s="907"/>
      <c r="J343" s="907"/>
      <c r="K343" s="907"/>
      <c r="L343" s="907"/>
    </row>
    <row r="344">
      <c r="A344" s="907"/>
      <c r="B344" s="907"/>
      <c r="C344" s="907"/>
      <c r="D344" s="907"/>
      <c r="E344" s="907"/>
      <c r="F344" s="907"/>
      <c r="G344" s="907"/>
      <c r="H344" s="907"/>
      <c r="I344" s="907"/>
      <c r="J344" s="907"/>
      <c r="K344" s="907"/>
      <c r="L344" s="907"/>
    </row>
    <row r="345">
      <c r="A345" s="907"/>
      <c r="B345" s="907"/>
      <c r="C345" s="907"/>
      <c r="D345" s="907"/>
      <c r="E345" s="907"/>
      <c r="F345" s="907"/>
      <c r="G345" s="907"/>
      <c r="H345" s="907"/>
      <c r="I345" s="907"/>
      <c r="J345" s="907"/>
      <c r="K345" s="907"/>
      <c r="L345" s="907"/>
    </row>
    <row r="346">
      <c r="A346" s="907"/>
      <c r="B346" s="907"/>
      <c r="C346" s="907"/>
      <c r="D346" s="907"/>
      <c r="E346" s="907"/>
      <c r="F346" s="907"/>
      <c r="G346" s="907"/>
      <c r="H346" s="907"/>
      <c r="I346" s="907"/>
      <c r="J346" s="907"/>
      <c r="K346" s="907"/>
      <c r="L346" s="907"/>
    </row>
    <row r="347">
      <c r="A347" s="907"/>
      <c r="B347" s="907"/>
      <c r="C347" s="907"/>
      <c r="D347" s="907"/>
      <c r="E347" s="907"/>
      <c r="F347" s="907"/>
      <c r="G347" s="907"/>
      <c r="H347" s="907"/>
      <c r="I347" s="907"/>
      <c r="J347" s="907"/>
      <c r="K347" s="907"/>
      <c r="L347" s="907"/>
    </row>
    <row r="348">
      <c r="A348" s="907"/>
      <c r="B348" s="907"/>
      <c r="C348" s="907"/>
      <c r="D348" s="907"/>
      <c r="E348" s="907"/>
      <c r="F348" s="907"/>
      <c r="G348" s="907"/>
      <c r="H348" s="907"/>
      <c r="I348" s="907"/>
      <c r="J348" s="907"/>
      <c r="K348" s="907"/>
      <c r="L348" s="907"/>
    </row>
    <row r="349">
      <c r="A349" s="907"/>
      <c r="B349" s="907"/>
      <c r="C349" s="907"/>
      <c r="D349" s="907"/>
      <c r="E349" s="907"/>
      <c r="F349" s="907"/>
      <c r="G349" s="907"/>
      <c r="H349" s="907"/>
      <c r="I349" s="907"/>
      <c r="J349" s="907"/>
      <c r="K349" s="907"/>
      <c r="L349" s="907"/>
    </row>
    <row r="350">
      <c r="A350" s="907"/>
      <c r="B350" s="907"/>
      <c r="C350" s="907"/>
      <c r="D350" s="907"/>
      <c r="E350" s="907"/>
      <c r="F350" s="907"/>
      <c r="G350" s="907"/>
      <c r="H350" s="907"/>
      <c r="I350" s="907"/>
      <c r="J350" s="907"/>
      <c r="K350" s="907"/>
      <c r="L350" s="907"/>
    </row>
    <row r="351">
      <c r="A351" s="907"/>
      <c r="B351" s="907"/>
      <c r="C351" s="907"/>
      <c r="D351" s="907"/>
      <c r="E351" s="907"/>
      <c r="F351" s="907"/>
      <c r="G351" s="907"/>
      <c r="H351" s="907"/>
      <c r="I351" s="907"/>
      <c r="J351" s="907"/>
      <c r="K351" s="907"/>
      <c r="L351" s="907"/>
    </row>
    <row r="352">
      <c r="A352" s="907"/>
      <c r="B352" s="907"/>
      <c r="C352" s="907"/>
      <c r="D352" s="907"/>
      <c r="E352" s="907"/>
      <c r="F352" s="907"/>
      <c r="G352" s="907"/>
      <c r="H352" s="907"/>
      <c r="I352" s="907"/>
      <c r="J352" s="907"/>
      <c r="K352" s="907"/>
      <c r="L352" s="907"/>
    </row>
    <row r="353">
      <c r="A353" s="907"/>
      <c r="B353" s="907"/>
      <c r="C353" s="907"/>
      <c r="D353" s="907"/>
      <c r="E353" s="907"/>
      <c r="F353" s="907"/>
      <c r="G353" s="907"/>
      <c r="H353" s="907"/>
      <c r="I353" s="907"/>
      <c r="J353" s="907"/>
      <c r="K353" s="907"/>
      <c r="L353" s="907"/>
    </row>
    <row r="354">
      <c r="A354" s="907"/>
      <c r="B354" s="907"/>
      <c r="C354" s="907"/>
      <c r="D354" s="907"/>
      <c r="E354" s="907"/>
      <c r="F354" s="907"/>
      <c r="G354" s="907"/>
      <c r="H354" s="907"/>
      <c r="I354" s="907"/>
      <c r="J354" s="907"/>
      <c r="K354" s="907"/>
      <c r="L354" s="907"/>
    </row>
    <row r="355">
      <c r="A355" s="907"/>
      <c r="B355" s="907"/>
      <c r="C355" s="907"/>
      <c r="D355" s="907"/>
      <c r="E355" s="907"/>
      <c r="F355" s="907"/>
      <c r="G355" s="907"/>
      <c r="H355" s="907"/>
      <c r="I355" s="907"/>
      <c r="J355" s="907"/>
      <c r="K355" s="907"/>
      <c r="L355" s="907"/>
    </row>
    <row r="356">
      <c r="A356" s="907"/>
      <c r="B356" s="907"/>
      <c r="C356" s="907"/>
      <c r="D356" s="907"/>
      <c r="E356" s="907"/>
      <c r="F356" s="907"/>
      <c r="G356" s="907"/>
      <c r="H356" s="907"/>
      <c r="I356" s="907"/>
      <c r="J356" s="907"/>
      <c r="K356" s="907"/>
      <c r="L356" s="907"/>
    </row>
    <row r="357">
      <c r="A357" s="907"/>
      <c r="B357" s="907"/>
      <c r="C357" s="907"/>
      <c r="D357" s="907"/>
      <c r="E357" s="907"/>
      <c r="F357" s="907"/>
      <c r="G357" s="907"/>
      <c r="H357" s="907"/>
      <c r="I357" s="907"/>
      <c r="J357" s="907"/>
      <c r="K357" s="907"/>
      <c r="L357" s="907"/>
    </row>
    <row r="358">
      <c r="A358" s="907"/>
      <c r="B358" s="907"/>
      <c r="C358" s="907"/>
      <c r="D358" s="907"/>
      <c r="E358" s="907"/>
      <c r="F358" s="907"/>
      <c r="G358" s="907"/>
      <c r="H358" s="907"/>
      <c r="I358" s="907"/>
      <c r="J358" s="907"/>
      <c r="K358" s="907"/>
      <c r="L358" s="907"/>
    </row>
    <row r="359">
      <c r="A359" s="907"/>
      <c r="B359" s="907"/>
      <c r="C359" s="907"/>
      <c r="D359" s="907"/>
      <c r="E359" s="907"/>
      <c r="F359" s="907"/>
      <c r="G359" s="907"/>
      <c r="H359" s="907"/>
      <c r="I359" s="907"/>
      <c r="J359" s="907"/>
      <c r="K359" s="907"/>
      <c r="L359" s="907"/>
    </row>
    <row r="360">
      <c r="A360" s="907"/>
      <c r="B360" s="907"/>
      <c r="C360" s="907"/>
      <c r="D360" s="907"/>
      <c r="E360" s="907"/>
      <c r="F360" s="907"/>
      <c r="G360" s="907"/>
      <c r="H360" s="907"/>
      <c r="I360" s="907"/>
      <c r="J360" s="907"/>
      <c r="K360" s="907"/>
      <c r="L360" s="907"/>
    </row>
    <row r="361">
      <c r="A361" s="907"/>
      <c r="B361" s="907"/>
      <c r="C361" s="907"/>
      <c r="D361" s="907"/>
      <c r="E361" s="907"/>
      <c r="F361" s="907"/>
      <c r="G361" s="907"/>
      <c r="H361" s="907"/>
      <c r="I361" s="907"/>
      <c r="J361" s="907"/>
      <c r="K361" s="907"/>
      <c r="L361" s="907"/>
    </row>
    <row r="362">
      <c r="A362" s="907"/>
      <c r="B362" s="907"/>
      <c r="C362" s="907"/>
      <c r="D362" s="907"/>
      <c r="E362" s="907"/>
      <c r="F362" s="907"/>
      <c r="G362" s="907"/>
      <c r="H362" s="907"/>
      <c r="I362" s="907"/>
      <c r="J362" s="907"/>
      <c r="K362" s="907"/>
      <c r="L362" s="907"/>
    </row>
    <row r="363">
      <c r="A363" s="907"/>
      <c r="B363" s="907"/>
      <c r="C363" s="907"/>
      <c r="D363" s="907"/>
      <c r="E363" s="907"/>
      <c r="F363" s="907"/>
      <c r="G363" s="907"/>
      <c r="H363" s="907"/>
      <c r="I363" s="907"/>
      <c r="J363" s="907"/>
      <c r="K363" s="907"/>
      <c r="L363" s="907"/>
    </row>
    <row r="364">
      <c r="A364" s="907"/>
      <c r="B364" s="907"/>
      <c r="C364" s="907"/>
      <c r="D364" s="907"/>
      <c r="E364" s="907"/>
      <c r="F364" s="907"/>
      <c r="G364" s="907"/>
      <c r="H364" s="907"/>
      <c r="I364" s="907"/>
      <c r="J364" s="907"/>
      <c r="K364" s="907"/>
      <c r="L364" s="907"/>
    </row>
    <row r="365">
      <c r="A365" s="907"/>
      <c r="B365" s="907"/>
      <c r="C365" s="907"/>
      <c r="D365" s="907"/>
      <c r="E365" s="907"/>
      <c r="F365" s="907"/>
      <c r="G365" s="907"/>
      <c r="H365" s="907"/>
      <c r="I365" s="907"/>
      <c r="J365" s="907"/>
      <c r="K365" s="907"/>
      <c r="L365" s="907"/>
    </row>
    <row r="366">
      <c r="A366" s="907"/>
      <c r="B366" s="907"/>
      <c r="C366" s="907"/>
      <c r="D366" s="907"/>
      <c r="E366" s="907"/>
      <c r="F366" s="907"/>
      <c r="G366" s="907"/>
      <c r="H366" s="907"/>
      <c r="I366" s="907"/>
      <c r="J366" s="907"/>
      <c r="K366" s="907"/>
      <c r="L366" s="907"/>
    </row>
    <row r="367">
      <c r="A367" s="907"/>
      <c r="B367" s="907"/>
      <c r="C367" s="907"/>
      <c r="D367" s="907"/>
      <c r="E367" s="907"/>
      <c r="F367" s="907"/>
      <c r="G367" s="907"/>
      <c r="H367" s="907"/>
      <c r="I367" s="907"/>
      <c r="J367" s="907"/>
      <c r="K367" s="907"/>
      <c r="L367" s="907"/>
    </row>
    <row r="368">
      <c r="A368" s="907"/>
      <c r="B368" s="907"/>
      <c r="C368" s="907"/>
      <c r="D368" s="907"/>
      <c r="E368" s="907"/>
      <c r="F368" s="907"/>
      <c r="G368" s="907"/>
      <c r="H368" s="907"/>
      <c r="I368" s="907"/>
      <c r="J368" s="907"/>
      <c r="K368" s="907"/>
      <c r="L368" s="907"/>
    </row>
    <row r="369">
      <c r="A369" s="907"/>
      <c r="B369" s="907"/>
      <c r="C369" s="907"/>
      <c r="D369" s="907"/>
      <c r="E369" s="907"/>
      <c r="F369" s="907"/>
      <c r="G369" s="907"/>
      <c r="H369" s="907"/>
      <c r="I369" s="907"/>
      <c r="J369" s="907"/>
      <c r="K369" s="907"/>
      <c r="L369" s="907"/>
    </row>
    <row r="370">
      <c r="A370" s="907"/>
      <c r="B370" s="907"/>
      <c r="C370" s="907"/>
      <c r="D370" s="907"/>
      <c r="E370" s="907"/>
      <c r="F370" s="907"/>
      <c r="G370" s="907"/>
      <c r="H370" s="907"/>
      <c r="I370" s="907"/>
      <c r="J370" s="907"/>
      <c r="K370" s="907"/>
      <c r="L370" s="907"/>
    </row>
    <row r="371">
      <c r="A371" s="907"/>
      <c r="B371" s="907"/>
      <c r="C371" s="907"/>
      <c r="D371" s="907"/>
      <c r="E371" s="907"/>
      <c r="F371" s="907"/>
      <c r="G371" s="907"/>
      <c r="H371" s="907"/>
      <c r="I371" s="907"/>
      <c r="J371" s="907"/>
      <c r="K371" s="907"/>
      <c r="L371" s="907"/>
    </row>
    <row r="372">
      <c r="A372" s="907"/>
      <c r="B372" s="907"/>
      <c r="C372" s="907"/>
      <c r="D372" s="907"/>
      <c r="E372" s="907"/>
      <c r="F372" s="907"/>
      <c r="G372" s="907"/>
      <c r="H372" s="907"/>
      <c r="I372" s="907"/>
      <c r="J372" s="907"/>
      <c r="K372" s="907"/>
      <c r="L372" s="907"/>
    </row>
    <row r="373">
      <c r="A373" s="907"/>
      <c r="B373" s="907"/>
      <c r="C373" s="907"/>
      <c r="D373" s="907"/>
      <c r="E373" s="907"/>
      <c r="F373" s="907"/>
      <c r="G373" s="907"/>
      <c r="H373" s="907"/>
      <c r="I373" s="907"/>
      <c r="J373" s="907"/>
      <c r="K373" s="907"/>
      <c r="L373" s="907"/>
    </row>
    <row r="374">
      <c r="A374" s="907"/>
      <c r="B374" s="907"/>
      <c r="C374" s="907"/>
      <c r="D374" s="907"/>
      <c r="E374" s="907"/>
      <c r="F374" s="907"/>
      <c r="G374" s="907"/>
      <c r="H374" s="907"/>
      <c r="I374" s="907"/>
      <c r="J374" s="907"/>
      <c r="K374" s="907"/>
      <c r="L374" s="907"/>
    </row>
    <row r="375">
      <c r="A375" s="907"/>
      <c r="B375" s="907"/>
      <c r="C375" s="907"/>
      <c r="D375" s="907"/>
      <c r="E375" s="907"/>
      <c r="F375" s="907"/>
      <c r="G375" s="907"/>
      <c r="H375" s="907"/>
      <c r="I375" s="907"/>
      <c r="J375" s="907"/>
      <c r="K375" s="907"/>
      <c r="L375" s="907"/>
    </row>
    <row r="376">
      <c r="A376" s="907"/>
      <c r="B376" s="907"/>
      <c r="C376" s="907"/>
      <c r="D376" s="907"/>
      <c r="E376" s="907"/>
      <c r="F376" s="907"/>
      <c r="G376" s="907"/>
      <c r="H376" s="907"/>
      <c r="I376" s="907"/>
      <c r="J376" s="907"/>
      <c r="K376" s="907"/>
      <c r="L376" s="907"/>
    </row>
    <row r="377">
      <c r="A377" s="907"/>
      <c r="B377" s="907"/>
      <c r="C377" s="907"/>
      <c r="D377" s="907"/>
      <c r="E377" s="907"/>
      <c r="F377" s="907"/>
      <c r="G377" s="907"/>
      <c r="H377" s="907"/>
      <c r="I377" s="907"/>
      <c r="J377" s="907"/>
      <c r="K377" s="907"/>
      <c r="L377" s="907"/>
    </row>
    <row r="378">
      <c r="A378" s="907"/>
      <c r="B378" s="907"/>
      <c r="C378" s="907"/>
      <c r="D378" s="907"/>
      <c r="E378" s="907"/>
      <c r="F378" s="907"/>
      <c r="G378" s="907"/>
      <c r="H378" s="907"/>
      <c r="I378" s="907"/>
      <c r="J378" s="907"/>
      <c r="K378" s="907"/>
      <c r="L378" s="907"/>
    </row>
    <row r="379">
      <c r="A379" s="907"/>
      <c r="B379" s="907"/>
      <c r="C379" s="907"/>
      <c r="D379" s="907"/>
      <c r="E379" s="907"/>
      <c r="F379" s="907"/>
      <c r="G379" s="907"/>
      <c r="H379" s="907"/>
      <c r="I379" s="907"/>
      <c r="J379" s="907"/>
      <c r="K379" s="907"/>
      <c r="L379" s="907"/>
    </row>
    <row r="380">
      <c r="A380" s="907"/>
      <c r="B380" s="907"/>
      <c r="C380" s="907"/>
      <c r="D380" s="907"/>
      <c r="E380" s="907"/>
      <c r="F380" s="907"/>
      <c r="G380" s="907"/>
      <c r="H380" s="907"/>
      <c r="I380" s="907"/>
      <c r="J380" s="907"/>
      <c r="K380" s="907"/>
      <c r="L380" s="907"/>
    </row>
    <row r="381">
      <c r="A381" s="907"/>
      <c r="B381" s="907"/>
      <c r="C381" s="907"/>
      <c r="D381" s="907"/>
      <c r="E381" s="907"/>
      <c r="F381" s="907"/>
      <c r="G381" s="907"/>
      <c r="H381" s="907"/>
      <c r="I381" s="907"/>
      <c r="J381" s="907"/>
      <c r="K381" s="907"/>
      <c r="L381" s="907"/>
    </row>
    <row r="382">
      <c r="A382" s="907"/>
      <c r="B382" s="907"/>
      <c r="C382" s="907"/>
      <c r="D382" s="907"/>
      <c r="E382" s="907"/>
      <c r="F382" s="907"/>
      <c r="G382" s="907"/>
      <c r="H382" s="907"/>
      <c r="I382" s="907"/>
      <c r="J382" s="907"/>
      <c r="K382" s="907"/>
      <c r="L382" s="907"/>
    </row>
    <row r="383">
      <c r="A383" s="907"/>
      <c r="B383" s="907"/>
      <c r="C383" s="907"/>
      <c r="D383" s="907"/>
      <c r="E383" s="907"/>
      <c r="F383" s="907"/>
      <c r="G383" s="907"/>
      <c r="H383" s="907"/>
      <c r="I383" s="907"/>
      <c r="J383" s="907"/>
      <c r="K383" s="907"/>
      <c r="L383" s="907"/>
    </row>
    <row r="384">
      <c r="A384" s="907"/>
      <c r="B384" s="907"/>
      <c r="C384" s="907"/>
      <c r="D384" s="907"/>
      <c r="E384" s="907"/>
      <c r="F384" s="907"/>
      <c r="G384" s="907"/>
      <c r="H384" s="907"/>
      <c r="I384" s="907"/>
      <c r="J384" s="907"/>
      <c r="K384" s="907"/>
      <c r="L384" s="907"/>
    </row>
    <row r="385">
      <c r="A385" s="907"/>
      <c r="B385" s="907"/>
      <c r="C385" s="907"/>
      <c r="D385" s="907"/>
      <c r="E385" s="907"/>
      <c r="F385" s="907"/>
      <c r="G385" s="907"/>
      <c r="H385" s="907"/>
      <c r="I385" s="907"/>
      <c r="J385" s="907"/>
      <c r="K385" s="907"/>
      <c r="L385" s="907"/>
    </row>
    <row r="386">
      <c r="A386" s="907"/>
      <c r="B386" s="907"/>
      <c r="C386" s="907"/>
      <c r="D386" s="907"/>
      <c r="E386" s="907"/>
      <c r="F386" s="907"/>
      <c r="G386" s="907"/>
      <c r="H386" s="907"/>
      <c r="I386" s="907"/>
      <c r="J386" s="907"/>
      <c r="K386" s="907"/>
      <c r="L386" s="907"/>
    </row>
    <row r="387">
      <c r="A387" s="907"/>
      <c r="B387" s="907"/>
      <c r="C387" s="907"/>
      <c r="D387" s="907"/>
      <c r="E387" s="907"/>
      <c r="F387" s="907"/>
      <c r="G387" s="907"/>
      <c r="H387" s="907"/>
      <c r="I387" s="907"/>
      <c r="J387" s="907"/>
      <c r="K387" s="907"/>
      <c r="L387" s="907"/>
    </row>
    <row r="388">
      <c r="A388" s="907"/>
      <c r="B388" s="907"/>
      <c r="C388" s="907"/>
      <c r="D388" s="907"/>
      <c r="E388" s="907"/>
      <c r="F388" s="907"/>
      <c r="G388" s="907"/>
      <c r="H388" s="907"/>
      <c r="I388" s="907"/>
      <c r="J388" s="907"/>
      <c r="K388" s="907"/>
      <c r="L388" s="907"/>
    </row>
    <row r="389">
      <c r="A389" s="907"/>
      <c r="B389" s="907"/>
      <c r="C389" s="907"/>
      <c r="D389" s="907"/>
      <c r="E389" s="907"/>
      <c r="F389" s="907"/>
      <c r="G389" s="907"/>
      <c r="H389" s="907"/>
      <c r="I389" s="907"/>
      <c r="J389" s="907"/>
      <c r="K389" s="907"/>
      <c r="L389" s="907"/>
    </row>
    <row r="390">
      <c r="A390" s="907"/>
      <c r="B390" s="907"/>
      <c r="C390" s="907"/>
      <c r="D390" s="907"/>
      <c r="E390" s="907"/>
      <c r="F390" s="907"/>
      <c r="G390" s="907"/>
      <c r="H390" s="907"/>
      <c r="I390" s="907"/>
      <c r="J390" s="907"/>
      <c r="K390" s="907"/>
      <c r="L390" s="907"/>
    </row>
    <row r="391">
      <c r="A391" s="907"/>
      <c r="B391" s="907"/>
      <c r="C391" s="907"/>
      <c r="D391" s="907"/>
      <c r="E391" s="907"/>
      <c r="F391" s="907"/>
      <c r="G391" s="907"/>
      <c r="H391" s="907"/>
      <c r="I391" s="907"/>
      <c r="J391" s="907"/>
      <c r="K391" s="907"/>
      <c r="L391" s="907"/>
    </row>
    <row r="392">
      <c r="A392" s="907"/>
      <c r="B392" s="907"/>
      <c r="C392" s="907"/>
      <c r="D392" s="907"/>
      <c r="E392" s="907"/>
      <c r="F392" s="907"/>
      <c r="G392" s="907"/>
      <c r="H392" s="907"/>
      <c r="I392" s="907"/>
      <c r="J392" s="907"/>
      <c r="K392" s="907"/>
      <c r="L392" s="907"/>
    </row>
    <row r="393">
      <c r="A393" s="907"/>
      <c r="B393" s="907"/>
      <c r="C393" s="907"/>
      <c r="D393" s="907"/>
      <c r="E393" s="907"/>
      <c r="F393" s="907"/>
      <c r="G393" s="907"/>
      <c r="H393" s="907"/>
      <c r="I393" s="907"/>
      <c r="J393" s="907"/>
      <c r="K393" s="907"/>
      <c r="L393" s="907"/>
    </row>
    <row r="394">
      <c r="A394" s="907"/>
      <c r="B394" s="907"/>
      <c r="C394" s="907"/>
      <c r="D394" s="907"/>
      <c r="E394" s="907"/>
      <c r="F394" s="907"/>
      <c r="G394" s="907"/>
      <c r="H394" s="907"/>
      <c r="I394" s="907"/>
      <c r="J394" s="907"/>
      <c r="K394" s="907"/>
      <c r="L394" s="907"/>
    </row>
    <row r="395">
      <c r="A395" s="907"/>
      <c r="B395" s="907"/>
      <c r="C395" s="907"/>
      <c r="D395" s="907"/>
      <c r="E395" s="907"/>
      <c r="F395" s="907"/>
      <c r="G395" s="907"/>
      <c r="H395" s="907"/>
      <c r="I395" s="907"/>
      <c r="J395" s="907"/>
      <c r="K395" s="907"/>
      <c r="L395" s="907"/>
    </row>
    <row r="396">
      <c r="A396" s="907"/>
      <c r="B396" s="907"/>
      <c r="C396" s="907"/>
      <c r="D396" s="907"/>
      <c r="E396" s="907"/>
      <c r="F396" s="907"/>
      <c r="G396" s="907"/>
      <c r="H396" s="907"/>
      <c r="I396" s="907"/>
      <c r="J396" s="907"/>
      <c r="K396" s="907"/>
      <c r="L396" s="907"/>
    </row>
    <row r="397">
      <c r="A397" s="907"/>
      <c r="B397" s="907"/>
      <c r="C397" s="907"/>
      <c r="D397" s="907"/>
      <c r="E397" s="907"/>
      <c r="F397" s="907"/>
      <c r="G397" s="907"/>
      <c r="H397" s="907"/>
      <c r="I397" s="907"/>
      <c r="J397" s="907"/>
      <c r="K397" s="907"/>
      <c r="L397" s="907"/>
    </row>
    <row r="398">
      <c r="A398" s="907"/>
      <c r="B398" s="907"/>
      <c r="C398" s="907"/>
      <c r="D398" s="907"/>
      <c r="E398" s="907"/>
      <c r="F398" s="907"/>
      <c r="G398" s="907"/>
      <c r="H398" s="907"/>
      <c r="I398" s="907"/>
      <c r="J398" s="907"/>
      <c r="K398" s="907"/>
      <c r="L398" s="907"/>
    </row>
    <row r="399">
      <c r="A399" s="907"/>
      <c r="B399" s="907"/>
      <c r="C399" s="907"/>
      <c r="D399" s="907"/>
      <c r="E399" s="907"/>
      <c r="F399" s="907"/>
      <c r="G399" s="907"/>
      <c r="H399" s="907"/>
      <c r="I399" s="907"/>
      <c r="J399" s="907"/>
      <c r="K399" s="907"/>
      <c r="L399" s="907"/>
    </row>
    <row r="400">
      <c r="A400" s="907"/>
      <c r="B400" s="907"/>
      <c r="C400" s="907"/>
      <c r="D400" s="907"/>
      <c r="E400" s="907"/>
      <c r="F400" s="907"/>
      <c r="G400" s="907"/>
      <c r="H400" s="907"/>
      <c r="I400" s="907"/>
      <c r="J400" s="907"/>
      <c r="K400" s="907"/>
      <c r="L400" s="907"/>
    </row>
    <row r="401">
      <c r="A401" s="907"/>
      <c r="B401" s="907"/>
      <c r="C401" s="907"/>
      <c r="D401" s="907"/>
      <c r="E401" s="907"/>
      <c r="F401" s="907"/>
      <c r="G401" s="907"/>
      <c r="H401" s="907"/>
      <c r="I401" s="907"/>
      <c r="J401" s="907"/>
      <c r="K401" s="907"/>
      <c r="L401" s="907"/>
    </row>
    <row r="402">
      <c r="A402" s="907"/>
      <c r="B402" s="907"/>
      <c r="C402" s="907"/>
      <c r="D402" s="907"/>
      <c r="E402" s="907"/>
      <c r="F402" s="907"/>
      <c r="G402" s="907"/>
      <c r="H402" s="907"/>
      <c r="I402" s="907"/>
      <c r="J402" s="907"/>
      <c r="K402" s="907"/>
      <c r="L402" s="907"/>
    </row>
    <row r="403">
      <c r="A403" s="907"/>
      <c r="B403" s="907"/>
      <c r="C403" s="907"/>
      <c r="D403" s="907"/>
      <c r="E403" s="907"/>
      <c r="F403" s="907"/>
      <c r="G403" s="907"/>
      <c r="H403" s="907"/>
      <c r="I403" s="907"/>
      <c r="J403" s="907"/>
      <c r="K403" s="907"/>
      <c r="L403" s="907"/>
    </row>
    <row r="404">
      <c r="A404" s="907"/>
      <c r="B404" s="907"/>
      <c r="C404" s="907"/>
      <c r="D404" s="907"/>
      <c r="E404" s="907"/>
      <c r="F404" s="907"/>
      <c r="G404" s="907"/>
      <c r="H404" s="907"/>
      <c r="I404" s="907"/>
      <c r="J404" s="907"/>
      <c r="K404" s="907"/>
      <c r="L404" s="907"/>
    </row>
    <row r="405">
      <c r="A405" s="907"/>
      <c r="B405" s="907"/>
      <c r="C405" s="907"/>
      <c r="D405" s="907"/>
      <c r="E405" s="907"/>
      <c r="F405" s="907"/>
      <c r="G405" s="907"/>
      <c r="H405" s="907"/>
      <c r="I405" s="907"/>
      <c r="J405" s="907"/>
      <c r="K405" s="907"/>
      <c r="L405" s="907"/>
    </row>
    <row r="406">
      <c r="A406" s="907"/>
      <c r="B406" s="907"/>
      <c r="C406" s="907"/>
      <c r="D406" s="907"/>
      <c r="E406" s="907"/>
      <c r="F406" s="907"/>
      <c r="G406" s="907"/>
      <c r="H406" s="907"/>
      <c r="I406" s="907"/>
      <c r="J406" s="907"/>
      <c r="K406" s="907"/>
      <c r="L406" s="907"/>
    </row>
    <row r="407">
      <c r="A407" s="907"/>
      <c r="B407" s="907"/>
      <c r="C407" s="907"/>
      <c r="D407" s="907"/>
      <c r="E407" s="907"/>
      <c r="F407" s="907"/>
      <c r="G407" s="907"/>
      <c r="H407" s="907"/>
      <c r="I407" s="907"/>
      <c r="J407" s="907"/>
      <c r="K407" s="907"/>
      <c r="L407" s="907"/>
    </row>
    <row r="408">
      <c r="A408" s="907"/>
      <c r="B408" s="907"/>
      <c r="C408" s="907"/>
      <c r="D408" s="907"/>
      <c r="E408" s="907"/>
      <c r="F408" s="907"/>
      <c r="G408" s="907"/>
      <c r="H408" s="907"/>
      <c r="I408" s="907"/>
      <c r="J408" s="907"/>
      <c r="K408" s="907"/>
      <c r="L408" s="907"/>
    </row>
    <row r="409">
      <c r="A409" s="907"/>
      <c r="B409" s="907"/>
      <c r="C409" s="907"/>
      <c r="D409" s="907"/>
      <c r="E409" s="907"/>
      <c r="F409" s="907"/>
      <c r="G409" s="907"/>
      <c r="H409" s="907"/>
      <c r="I409" s="907"/>
      <c r="J409" s="907"/>
      <c r="K409" s="907"/>
      <c r="L409" s="907"/>
    </row>
    <row r="410">
      <c r="A410" s="907"/>
      <c r="B410" s="907"/>
      <c r="C410" s="907"/>
      <c r="D410" s="907"/>
      <c r="E410" s="907"/>
      <c r="F410" s="907"/>
      <c r="G410" s="907"/>
      <c r="H410" s="907"/>
      <c r="I410" s="907"/>
      <c r="J410" s="907"/>
      <c r="K410" s="907"/>
      <c r="L410" s="907"/>
    </row>
    <row r="411">
      <c r="A411" s="907"/>
      <c r="B411" s="907"/>
      <c r="C411" s="907"/>
      <c r="D411" s="907"/>
      <c r="E411" s="907"/>
      <c r="F411" s="907"/>
      <c r="G411" s="907"/>
      <c r="H411" s="907"/>
      <c r="I411" s="907"/>
      <c r="J411" s="907"/>
      <c r="K411" s="907"/>
      <c r="L411" s="907"/>
    </row>
    <row r="412">
      <c r="A412" s="907"/>
      <c r="B412" s="907"/>
      <c r="C412" s="907"/>
      <c r="D412" s="907"/>
      <c r="E412" s="907"/>
      <c r="F412" s="907"/>
      <c r="G412" s="907"/>
      <c r="H412" s="907"/>
      <c r="I412" s="907"/>
      <c r="J412" s="907"/>
      <c r="K412" s="907"/>
      <c r="L412" s="907"/>
    </row>
    <row r="413">
      <c r="A413" s="907"/>
      <c r="B413" s="907"/>
      <c r="C413" s="907"/>
      <c r="D413" s="907"/>
      <c r="E413" s="907"/>
      <c r="F413" s="907"/>
      <c r="G413" s="907"/>
      <c r="H413" s="907"/>
      <c r="I413" s="907"/>
      <c r="J413" s="907"/>
      <c r="K413" s="907"/>
      <c r="L413" s="907"/>
    </row>
    <row r="414">
      <c r="A414" s="907"/>
      <c r="B414" s="907"/>
      <c r="C414" s="907"/>
      <c r="D414" s="907"/>
      <c r="E414" s="907"/>
      <c r="F414" s="907"/>
      <c r="G414" s="907"/>
      <c r="H414" s="907"/>
      <c r="I414" s="907"/>
      <c r="J414" s="907"/>
      <c r="K414" s="907"/>
      <c r="L414" s="907"/>
    </row>
    <row r="415">
      <c r="A415" s="907"/>
      <c r="B415" s="907"/>
      <c r="C415" s="907"/>
      <c r="D415" s="907"/>
      <c r="E415" s="907"/>
      <c r="F415" s="907"/>
      <c r="G415" s="907"/>
      <c r="H415" s="907"/>
      <c r="I415" s="907"/>
      <c r="J415" s="907"/>
      <c r="K415" s="907"/>
      <c r="L415" s="907"/>
    </row>
    <row r="416">
      <c r="A416" s="907"/>
      <c r="B416" s="907"/>
      <c r="C416" s="907"/>
      <c r="D416" s="907"/>
      <c r="E416" s="907"/>
      <c r="F416" s="907"/>
      <c r="G416" s="907"/>
      <c r="H416" s="907"/>
      <c r="I416" s="907"/>
      <c r="J416" s="907"/>
      <c r="K416" s="907"/>
      <c r="L416" s="907"/>
    </row>
    <row r="417">
      <c r="A417" s="907"/>
      <c r="B417" s="907"/>
      <c r="C417" s="907"/>
      <c r="D417" s="907"/>
      <c r="E417" s="907"/>
      <c r="F417" s="907"/>
      <c r="G417" s="907"/>
      <c r="H417" s="907"/>
      <c r="I417" s="907"/>
      <c r="J417" s="907"/>
      <c r="K417" s="907"/>
      <c r="L417" s="907"/>
    </row>
    <row r="418">
      <c r="A418" s="907"/>
      <c r="B418" s="907"/>
      <c r="C418" s="907"/>
      <c r="D418" s="907"/>
      <c r="E418" s="907"/>
      <c r="F418" s="907"/>
      <c r="G418" s="907"/>
      <c r="H418" s="907"/>
      <c r="I418" s="907"/>
      <c r="J418" s="907"/>
      <c r="K418" s="907"/>
      <c r="L418" s="907"/>
    </row>
    <row r="419">
      <c r="A419" s="907"/>
      <c r="B419" s="907"/>
      <c r="C419" s="907"/>
      <c r="D419" s="907"/>
      <c r="E419" s="907"/>
      <c r="F419" s="907"/>
      <c r="G419" s="907"/>
      <c r="H419" s="907"/>
      <c r="I419" s="907"/>
      <c r="J419" s="907"/>
      <c r="K419" s="907"/>
      <c r="L419" s="907"/>
    </row>
    <row r="420">
      <c r="A420" s="907"/>
      <c r="B420" s="907"/>
      <c r="C420" s="907"/>
      <c r="D420" s="907"/>
      <c r="E420" s="907"/>
      <c r="F420" s="907"/>
      <c r="G420" s="907"/>
      <c r="H420" s="907"/>
      <c r="I420" s="907"/>
      <c r="J420" s="907"/>
      <c r="K420" s="907"/>
      <c r="L420" s="907"/>
    </row>
    <row r="421">
      <c r="A421" s="907"/>
      <c r="B421" s="907"/>
      <c r="C421" s="907"/>
      <c r="D421" s="907"/>
      <c r="E421" s="907"/>
      <c r="F421" s="907"/>
      <c r="G421" s="907"/>
      <c r="H421" s="907"/>
      <c r="I421" s="907"/>
      <c r="J421" s="907"/>
      <c r="K421" s="907"/>
      <c r="L421" s="907"/>
    </row>
    <row r="422">
      <c r="A422" s="907"/>
      <c r="B422" s="907"/>
      <c r="C422" s="907"/>
      <c r="D422" s="907"/>
      <c r="E422" s="907"/>
      <c r="F422" s="907"/>
      <c r="G422" s="907"/>
      <c r="H422" s="907"/>
      <c r="I422" s="907"/>
      <c r="J422" s="907"/>
      <c r="K422" s="907"/>
      <c r="L422" s="907"/>
    </row>
    <row r="423">
      <c r="A423" s="907"/>
      <c r="B423" s="907"/>
      <c r="C423" s="907"/>
      <c r="D423" s="907"/>
      <c r="E423" s="907"/>
      <c r="F423" s="907"/>
      <c r="G423" s="907"/>
      <c r="H423" s="907"/>
      <c r="I423" s="907"/>
      <c r="J423" s="907"/>
      <c r="K423" s="907"/>
      <c r="L423" s="907"/>
    </row>
    <row r="424">
      <c r="A424" s="907"/>
      <c r="B424" s="907"/>
      <c r="C424" s="907"/>
      <c r="D424" s="907"/>
      <c r="E424" s="907"/>
      <c r="F424" s="907"/>
      <c r="G424" s="907"/>
      <c r="H424" s="907"/>
      <c r="I424" s="907"/>
      <c r="J424" s="907"/>
      <c r="K424" s="907"/>
      <c r="L424" s="907"/>
    </row>
    <row r="425">
      <c r="A425" s="907"/>
      <c r="B425" s="907"/>
      <c r="C425" s="907"/>
      <c r="D425" s="907"/>
      <c r="E425" s="907"/>
      <c r="F425" s="907"/>
      <c r="G425" s="907"/>
      <c r="H425" s="907"/>
      <c r="I425" s="907"/>
      <c r="J425" s="907"/>
      <c r="K425" s="907"/>
      <c r="L425" s="907"/>
    </row>
    <row r="426">
      <c r="A426" s="907"/>
      <c r="B426" s="907"/>
      <c r="C426" s="907"/>
      <c r="D426" s="907"/>
      <c r="E426" s="907"/>
      <c r="F426" s="907"/>
      <c r="G426" s="907"/>
      <c r="H426" s="907"/>
      <c r="I426" s="907"/>
      <c r="J426" s="907"/>
      <c r="K426" s="907"/>
      <c r="L426" s="907"/>
    </row>
    <row r="427">
      <c r="A427" s="907"/>
      <c r="B427" s="907"/>
      <c r="C427" s="907"/>
      <c r="D427" s="907"/>
      <c r="E427" s="907"/>
      <c r="F427" s="907"/>
      <c r="G427" s="907"/>
      <c r="H427" s="907"/>
      <c r="I427" s="907"/>
      <c r="J427" s="907"/>
      <c r="K427" s="907"/>
      <c r="L427" s="907"/>
    </row>
    <row r="428">
      <c r="A428" s="907"/>
      <c r="B428" s="907"/>
      <c r="C428" s="907"/>
      <c r="D428" s="907"/>
      <c r="E428" s="907"/>
      <c r="F428" s="907"/>
      <c r="G428" s="907"/>
      <c r="H428" s="907"/>
      <c r="I428" s="907"/>
      <c r="J428" s="907"/>
      <c r="K428" s="907"/>
      <c r="L428" s="907"/>
    </row>
    <row r="429">
      <c r="A429" s="907"/>
      <c r="B429" s="907"/>
      <c r="C429" s="907"/>
      <c r="D429" s="907"/>
      <c r="E429" s="907"/>
      <c r="F429" s="907"/>
      <c r="G429" s="907"/>
      <c r="H429" s="907"/>
      <c r="I429" s="907"/>
      <c r="J429" s="907"/>
      <c r="K429" s="907"/>
      <c r="L429" s="907"/>
    </row>
    <row r="430">
      <c r="A430" s="907"/>
      <c r="B430" s="907"/>
      <c r="C430" s="907"/>
      <c r="D430" s="907"/>
      <c r="E430" s="907"/>
      <c r="F430" s="907"/>
      <c r="G430" s="907"/>
      <c r="H430" s="907"/>
      <c r="I430" s="907"/>
      <c r="J430" s="907"/>
      <c r="K430" s="907"/>
      <c r="L430" s="907"/>
    </row>
    <row r="431">
      <c r="A431" s="907"/>
      <c r="B431" s="907"/>
      <c r="C431" s="907"/>
      <c r="D431" s="907"/>
      <c r="E431" s="907"/>
      <c r="F431" s="907"/>
      <c r="G431" s="907"/>
      <c r="H431" s="907"/>
      <c r="I431" s="907"/>
      <c r="J431" s="907"/>
      <c r="K431" s="907"/>
      <c r="L431" s="907"/>
    </row>
    <row r="432">
      <c r="A432" s="907"/>
      <c r="B432" s="907"/>
      <c r="C432" s="907"/>
      <c r="D432" s="907"/>
      <c r="E432" s="907"/>
      <c r="F432" s="907"/>
      <c r="G432" s="907"/>
      <c r="H432" s="907"/>
      <c r="I432" s="907"/>
      <c r="J432" s="907"/>
      <c r="K432" s="907"/>
      <c r="L432" s="907"/>
    </row>
    <row r="433">
      <c r="A433" s="907"/>
      <c r="B433" s="907"/>
      <c r="C433" s="907"/>
      <c r="D433" s="907"/>
      <c r="E433" s="907"/>
      <c r="F433" s="907"/>
      <c r="G433" s="907"/>
      <c r="H433" s="907"/>
      <c r="I433" s="907"/>
      <c r="J433" s="907"/>
      <c r="K433" s="907"/>
      <c r="L433" s="907"/>
    </row>
    <row r="434">
      <c r="A434" s="907"/>
      <c r="B434" s="907"/>
      <c r="C434" s="907"/>
      <c r="D434" s="907"/>
      <c r="E434" s="907"/>
      <c r="F434" s="907"/>
      <c r="G434" s="907"/>
      <c r="H434" s="907"/>
      <c r="I434" s="907"/>
      <c r="J434" s="907"/>
      <c r="K434" s="907"/>
      <c r="L434" s="907"/>
    </row>
    <row r="435">
      <c r="A435" s="907"/>
      <c r="B435" s="907"/>
      <c r="C435" s="907"/>
      <c r="D435" s="907"/>
      <c r="E435" s="907"/>
      <c r="F435" s="907"/>
      <c r="G435" s="907"/>
      <c r="H435" s="907"/>
      <c r="I435" s="907"/>
      <c r="J435" s="907"/>
      <c r="K435" s="907"/>
      <c r="L435" s="907"/>
    </row>
    <row r="436">
      <c r="A436" s="907"/>
      <c r="B436" s="907"/>
      <c r="C436" s="907"/>
      <c r="D436" s="907"/>
      <c r="E436" s="907"/>
      <c r="F436" s="907"/>
      <c r="G436" s="907"/>
      <c r="H436" s="907"/>
      <c r="I436" s="907"/>
      <c r="J436" s="907"/>
      <c r="K436" s="907"/>
      <c r="L436" s="907"/>
    </row>
    <row r="437">
      <c r="A437" s="907"/>
      <c r="B437" s="907"/>
      <c r="C437" s="907"/>
      <c r="D437" s="907"/>
      <c r="E437" s="907"/>
      <c r="F437" s="907"/>
      <c r="G437" s="907"/>
      <c r="H437" s="907"/>
      <c r="I437" s="907"/>
      <c r="J437" s="907"/>
      <c r="K437" s="907"/>
      <c r="L437" s="907"/>
    </row>
    <row r="438">
      <c r="A438" s="907"/>
      <c r="B438" s="907"/>
      <c r="C438" s="907"/>
      <c r="D438" s="907"/>
      <c r="E438" s="907"/>
      <c r="F438" s="907"/>
      <c r="G438" s="907"/>
      <c r="H438" s="907"/>
      <c r="I438" s="907"/>
      <c r="J438" s="907"/>
      <c r="K438" s="907"/>
      <c r="L438" s="907"/>
    </row>
    <row r="439">
      <c r="A439" s="907"/>
      <c r="B439" s="907"/>
      <c r="C439" s="907"/>
      <c r="D439" s="907"/>
      <c r="E439" s="907"/>
      <c r="F439" s="907"/>
      <c r="G439" s="907"/>
      <c r="H439" s="907"/>
      <c r="I439" s="907"/>
      <c r="J439" s="907"/>
      <c r="K439" s="907"/>
      <c r="L439" s="907"/>
    </row>
    <row r="440">
      <c r="A440" s="907"/>
      <c r="B440" s="907"/>
      <c r="C440" s="907"/>
      <c r="D440" s="907"/>
      <c r="E440" s="907"/>
      <c r="F440" s="907"/>
      <c r="G440" s="907"/>
      <c r="H440" s="907"/>
      <c r="I440" s="907"/>
      <c r="J440" s="907"/>
      <c r="K440" s="907"/>
      <c r="L440" s="907"/>
    </row>
    <row r="441">
      <c r="A441" s="907"/>
      <c r="B441" s="907"/>
      <c r="C441" s="907"/>
      <c r="D441" s="907"/>
      <c r="E441" s="907"/>
      <c r="F441" s="907"/>
      <c r="G441" s="907"/>
      <c r="H441" s="907"/>
      <c r="I441" s="907"/>
      <c r="J441" s="907"/>
      <c r="K441" s="907"/>
      <c r="L441" s="907"/>
    </row>
    <row r="442">
      <c r="A442" s="907"/>
      <c r="B442" s="907"/>
      <c r="C442" s="907"/>
      <c r="D442" s="907"/>
      <c r="E442" s="907"/>
      <c r="F442" s="907"/>
      <c r="G442" s="907"/>
      <c r="H442" s="907"/>
      <c r="I442" s="907"/>
      <c r="J442" s="907"/>
      <c r="K442" s="907"/>
      <c r="L442" s="907"/>
    </row>
    <row r="443">
      <c r="A443" s="907"/>
      <c r="B443" s="907"/>
      <c r="C443" s="907"/>
      <c r="D443" s="907"/>
      <c r="E443" s="907"/>
      <c r="F443" s="907"/>
      <c r="G443" s="907"/>
      <c r="H443" s="907"/>
      <c r="I443" s="907"/>
      <c r="J443" s="907"/>
      <c r="K443" s="907"/>
      <c r="L443" s="907"/>
    </row>
    <row r="444">
      <c r="A444" s="907"/>
      <c r="B444" s="907"/>
      <c r="C444" s="907"/>
      <c r="D444" s="907"/>
      <c r="E444" s="907"/>
      <c r="F444" s="907"/>
      <c r="G444" s="907"/>
      <c r="H444" s="907"/>
      <c r="I444" s="907"/>
      <c r="J444" s="907"/>
      <c r="K444" s="907"/>
      <c r="L444" s="907"/>
    </row>
    <row r="445">
      <c r="A445" s="907"/>
      <c r="B445" s="907"/>
      <c r="C445" s="907"/>
      <c r="D445" s="907"/>
      <c r="E445" s="907"/>
      <c r="F445" s="907"/>
      <c r="G445" s="907"/>
      <c r="H445" s="907"/>
      <c r="I445" s="907"/>
      <c r="J445" s="907"/>
      <c r="K445" s="907"/>
      <c r="L445" s="907"/>
    </row>
    <row r="446">
      <c r="A446" s="907"/>
      <c r="B446" s="907"/>
      <c r="C446" s="907"/>
      <c r="D446" s="907"/>
      <c r="E446" s="907"/>
      <c r="F446" s="907"/>
      <c r="G446" s="907"/>
      <c r="H446" s="907"/>
      <c r="I446" s="907"/>
      <c r="J446" s="907"/>
      <c r="K446" s="907"/>
      <c r="L446" s="907"/>
    </row>
    <row r="447">
      <c r="A447" s="907"/>
      <c r="B447" s="907"/>
      <c r="C447" s="907"/>
      <c r="D447" s="907"/>
      <c r="E447" s="907"/>
      <c r="F447" s="907"/>
      <c r="G447" s="907"/>
      <c r="H447" s="907"/>
      <c r="I447" s="907"/>
      <c r="J447" s="907"/>
      <c r="K447" s="907"/>
      <c r="L447" s="907"/>
    </row>
    <row r="448">
      <c r="A448" s="907"/>
      <c r="B448" s="907"/>
      <c r="C448" s="907"/>
      <c r="D448" s="907"/>
      <c r="E448" s="907"/>
      <c r="F448" s="907"/>
      <c r="G448" s="907"/>
      <c r="H448" s="907"/>
      <c r="I448" s="907"/>
      <c r="J448" s="907"/>
      <c r="K448" s="907"/>
      <c r="L448" s="907"/>
    </row>
    <row r="449">
      <c r="A449" s="907"/>
      <c r="B449" s="907"/>
      <c r="C449" s="907"/>
      <c r="D449" s="907"/>
      <c r="E449" s="907"/>
      <c r="F449" s="907"/>
      <c r="G449" s="907"/>
      <c r="H449" s="907"/>
      <c r="I449" s="907"/>
      <c r="J449" s="907"/>
      <c r="K449" s="907"/>
      <c r="L449" s="907"/>
    </row>
    <row r="450">
      <c r="A450" s="907"/>
      <c r="B450" s="907"/>
      <c r="C450" s="907"/>
      <c r="D450" s="907"/>
      <c r="E450" s="907"/>
      <c r="F450" s="907"/>
      <c r="G450" s="907"/>
      <c r="H450" s="907"/>
      <c r="I450" s="907"/>
      <c r="J450" s="907"/>
      <c r="K450" s="907"/>
      <c r="L450" s="907"/>
    </row>
    <row r="451">
      <c r="A451" s="907"/>
      <c r="B451" s="907"/>
      <c r="C451" s="907"/>
      <c r="D451" s="907"/>
      <c r="E451" s="907"/>
      <c r="F451" s="907"/>
      <c r="G451" s="907"/>
      <c r="H451" s="907"/>
      <c r="I451" s="907"/>
      <c r="J451" s="907"/>
      <c r="K451" s="907"/>
      <c r="L451" s="907"/>
    </row>
    <row r="452">
      <c r="A452" s="907"/>
      <c r="B452" s="907"/>
      <c r="C452" s="907"/>
      <c r="D452" s="907"/>
      <c r="E452" s="907"/>
      <c r="F452" s="907"/>
      <c r="G452" s="907"/>
      <c r="H452" s="907"/>
      <c r="I452" s="907"/>
      <c r="J452" s="907"/>
      <c r="K452" s="907"/>
      <c r="L452" s="907"/>
    </row>
    <row r="453">
      <c r="A453" s="907"/>
      <c r="B453" s="907"/>
      <c r="C453" s="907"/>
      <c r="D453" s="907"/>
      <c r="E453" s="907"/>
      <c r="F453" s="907"/>
      <c r="G453" s="907"/>
      <c r="H453" s="907"/>
      <c r="I453" s="907"/>
      <c r="J453" s="907"/>
      <c r="K453" s="907"/>
      <c r="L453" s="907"/>
    </row>
    <row r="454">
      <c r="A454" s="907"/>
      <c r="B454" s="907"/>
      <c r="C454" s="907"/>
      <c r="D454" s="907"/>
      <c r="E454" s="907"/>
      <c r="F454" s="907"/>
      <c r="G454" s="907"/>
      <c r="H454" s="907"/>
      <c r="I454" s="907"/>
      <c r="J454" s="907"/>
      <c r="K454" s="907"/>
      <c r="L454" s="907"/>
    </row>
    <row r="455">
      <c r="A455" s="907"/>
      <c r="B455" s="907"/>
      <c r="C455" s="907"/>
      <c r="D455" s="907"/>
      <c r="E455" s="907"/>
      <c r="F455" s="907"/>
      <c r="G455" s="907"/>
      <c r="H455" s="907"/>
      <c r="I455" s="907"/>
      <c r="J455" s="907"/>
      <c r="K455" s="907"/>
      <c r="L455" s="907"/>
    </row>
    <row r="456">
      <c r="A456" s="907"/>
      <c r="B456" s="907"/>
      <c r="C456" s="907"/>
      <c r="D456" s="907"/>
      <c r="E456" s="907"/>
      <c r="F456" s="907"/>
      <c r="G456" s="907"/>
      <c r="H456" s="907"/>
      <c r="I456" s="907"/>
      <c r="J456" s="907"/>
      <c r="K456" s="907"/>
      <c r="L456" s="907"/>
    </row>
    <row r="457">
      <c r="A457" s="907"/>
      <c r="B457" s="907"/>
      <c r="C457" s="907"/>
      <c r="D457" s="907"/>
      <c r="E457" s="907"/>
      <c r="F457" s="907"/>
      <c r="G457" s="907"/>
      <c r="H457" s="907"/>
      <c r="I457" s="907"/>
      <c r="J457" s="907"/>
      <c r="K457" s="907"/>
      <c r="L457" s="907"/>
    </row>
    <row r="458">
      <c r="A458" s="907"/>
      <c r="B458" s="907"/>
      <c r="C458" s="907"/>
      <c r="D458" s="907"/>
      <c r="E458" s="907"/>
      <c r="F458" s="907"/>
      <c r="G458" s="907"/>
      <c r="H458" s="907"/>
      <c r="I458" s="907"/>
      <c r="J458" s="907"/>
      <c r="K458" s="907"/>
      <c r="L458" s="907"/>
    </row>
    <row r="459">
      <c r="A459" s="907"/>
      <c r="B459" s="907"/>
      <c r="C459" s="907"/>
      <c r="D459" s="907"/>
      <c r="E459" s="907"/>
      <c r="F459" s="907"/>
      <c r="G459" s="907"/>
      <c r="H459" s="907"/>
      <c r="I459" s="907"/>
      <c r="J459" s="907"/>
      <c r="K459" s="907"/>
      <c r="L459" s="907"/>
    </row>
    <row r="460">
      <c r="A460" s="907"/>
      <c r="B460" s="907"/>
      <c r="C460" s="907"/>
      <c r="D460" s="907"/>
      <c r="E460" s="907"/>
      <c r="F460" s="907"/>
      <c r="G460" s="907"/>
      <c r="H460" s="907"/>
      <c r="I460" s="907"/>
      <c r="J460" s="907"/>
      <c r="K460" s="907"/>
      <c r="L460" s="907"/>
    </row>
    <row r="461">
      <c r="A461" s="907"/>
      <c r="B461" s="907"/>
      <c r="C461" s="907"/>
      <c r="D461" s="907"/>
      <c r="E461" s="907"/>
      <c r="F461" s="907"/>
      <c r="G461" s="907"/>
      <c r="H461" s="907"/>
      <c r="I461" s="907"/>
      <c r="J461" s="907"/>
      <c r="K461" s="907"/>
      <c r="L461" s="907"/>
    </row>
    <row r="462">
      <c r="A462" s="907"/>
      <c r="B462" s="907"/>
      <c r="C462" s="907"/>
      <c r="D462" s="907"/>
      <c r="E462" s="907"/>
      <c r="F462" s="907"/>
      <c r="G462" s="907"/>
      <c r="H462" s="907"/>
      <c r="I462" s="907"/>
      <c r="J462" s="907"/>
      <c r="K462" s="907"/>
      <c r="L462" s="907"/>
    </row>
    <row r="463">
      <c r="A463" s="907"/>
      <c r="B463" s="907"/>
      <c r="C463" s="907"/>
      <c r="D463" s="907"/>
      <c r="E463" s="907"/>
      <c r="F463" s="907"/>
      <c r="G463" s="907"/>
      <c r="H463" s="907"/>
      <c r="I463" s="907"/>
      <c r="J463" s="907"/>
      <c r="K463" s="907"/>
      <c r="L463" s="907"/>
    </row>
    <row r="464">
      <c r="A464" s="907"/>
      <c r="B464" s="907"/>
      <c r="C464" s="907"/>
      <c r="D464" s="907"/>
      <c r="E464" s="907"/>
      <c r="F464" s="907"/>
      <c r="G464" s="907"/>
      <c r="H464" s="907"/>
      <c r="I464" s="907"/>
      <c r="J464" s="907"/>
      <c r="K464" s="907"/>
      <c r="L464" s="907"/>
    </row>
    <row r="465">
      <c r="A465" s="907"/>
      <c r="B465" s="907"/>
      <c r="C465" s="907"/>
      <c r="D465" s="907"/>
      <c r="E465" s="907"/>
      <c r="F465" s="907"/>
      <c r="G465" s="907"/>
      <c r="H465" s="907"/>
      <c r="I465" s="907"/>
      <c r="J465" s="907"/>
      <c r="K465" s="907"/>
      <c r="L465" s="907"/>
    </row>
    <row r="466">
      <c r="A466" s="907"/>
      <c r="B466" s="907"/>
      <c r="C466" s="907"/>
      <c r="D466" s="907"/>
      <c r="E466" s="907"/>
      <c r="F466" s="907"/>
      <c r="G466" s="907"/>
      <c r="H466" s="907"/>
      <c r="I466" s="907"/>
      <c r="J466" s="907"/>
      <c r="K466" s="907"/>
      <c r="L466" s="907"/>
    </row>
    <row r="467">
      <c r="A467" s="907"/>
      <c r="B467" s="907"/>
      <c r="C467" s="907"/>
      <c r="D467" s="907"/>
      <c r="E467" s="907"/>
      <c r="F467" s="907"/>
      <c r="G467" s="907"/>
      <c r="H467" s="907"/>
      <c r="I467" s="907"/>
      <c r="J467" s="907"/>
      <c r="K467" s="907"/>
      <c r="L467" s="907"/>
    </row>
    <row r="468">
      <c r="A468" s="907"/>
      <c r="B468" s="907"/>
      <c r="C468" s="907"/>
      <c r="D468" s="907"/>
      <c r="E468" s="907"/>
      <c r="F468" s="907"/>
      <c r="G468" s="907"/>
      <c r="H468" s="907"/>
      <c r="I468" s="907"/>
      <c r="J468" s="907"/>
      <c r="K468" s="907"/>
      <c r="L468" s="907"/>
    </row>
    <row r="469">
      <c r="A469" s="907"/>
      <c r="B469" s="907"/>
      <c r="C469" s="907"/>
      <c r="D469" s="907"/>
      <c r="E469" s="907"/>
      <c r="F469" s="907"/>
      <c r="G469" s="907"/>
      <c r="H469" s="907"/>
      <c r="I469" s="907"/>
      <c r="J469" s="907"/>
      <c r="K469" s="907"/>
      <c r="L469" s="907"/>
    </row>
    <row r="470">
      <c r="A470" s="907"/>
      <c r="B470" s="907"/>
      <c r="C470" s="907"/>
      <c r="D470" s="907"/>
      <c r="E470" s="907"/>
      <c r="F470" s="907"/>
      <c r="G470" s="907"/>
      <c r="H470" s="907"/>
      <c r="I470" s="907"/>
      <c r="J470" s="907"/>
      <c r="K470" s="907"/>
      <c r="L470" s="907"/>
    </row>
    <row r="471">
      <c r="A471" s="907"/>
      <c r="B471" s="907"/>
      <c r="C471" s="907"/>
      <c r="D471" s="907"/>
      <c r="E471" s="907"/>
      <c r="F471" s="907"/>
      <c r="G471" s="907"/>
      <c r="H471" s="907"/>
      <c r="I471" s="907"/>
      <c r="J471" s="907"/>
      <c r="K471" s="907"/>
      <c r="L471" s="907"/>
    </row>
    <row r="472">
      <c r="A472" s="907"/>
      <c r="B472" s="907"/>
      <c r="C472" s="907"/>
      <c r="D472" s="907"/>
      <c r="E472" s="907"/>
      <c r="F472" s="907"/>
      <c r="G472" s="907"/>
      <c r="H472" s="907"/>
      <c r="I472" s="907"/>
      <c r="J472" s="907"/>
      <c r="K472" s="907"/>
      <c r="L472" s="907"/>
    </row>
    <row r="473">
      <c r="A473" s="907"/>
      <c r="B473" s="907"/>
      <c r="C473" s="907"/>
      <c r="D473" s="907"/>
      <c r="E473" s="907"/>
      <c r="F473" s="907"/>
      <c r="G473" s="907"/>
      <c r="H473" s="907"/>
      <c r="I473" s="907"/>
      <c r="J473" s="907"/>
      <c r="K473" s="907"/>
      <c r="L473" s="907"/>
    </row>
    <row r="474">
      <c r="A474" s="907"/>
      <c r="B474" s="907"/>
      <c r="C474" s="907"/>
      <c r="D474" s="907"/>
      <c r="E474" s="907"/>
      <c r="F474" s="907"/>
      <c r="G474" s="907"/>
      <c r="H474" s="907"/>
      <c r="I474" s="907"/>
      <c r="J474" s="907"/>
      <c r="K474" s="907"/>
      <c r="L474" s="907"/>
    </row>
    <row r="475">
      <c r="A475" s="907"/>
      <c r="B475" s="907"/>
      <c r="C475" s="907"/>
      <c r="D475" s="907"/>
      <c r="E475" s="907"/>
      <c r="F475" s="907"/>
      <c r="G475" s="907"/>
      <c r="H475" s="907"/>
      <c r="I475" s="907"/>
      <c r="J475" s="907"/>
      <c r="K475" s="907"/>
      <c r="L475" s="907"/>
    </row>
    <row r="476">
      <c r="A476" s="907"/>
      <c r="B476" s="907"/>
      <c r="C476" s="907"/>
      <c r="D476" s="907"/>
      <c r="E476" s="907"/>
      <c r="F476" s="907"/>
      <c r="G476" s="907"/>
      <c r="H476" s="907"/>
      <c r="I476" s="907"/>
      <c r="J476" s="907"/>
      <c r="K476" s="907"/>
      <c r="L476" s="907"/>
    </row>
    <row r="477">
      <c r="A477" s="907"/>
      <c r="B477" s="907"/>
      <c r="C477" s="907"/>
      <c r="D477" s="907"/>
      <c r="E477" s="907"/>
      <c r="F477" s="907"/>
      <c r="G477" s="907"/>
      <c r="H477" s="907"/>
      <c r="I477" s="907"/>
      <c r="J477" s="907"/>
      <c r="K477" s="907"/>
      <c r="L477" s="907"/>
    </row>
    <row r="478">
      <c r="A478" s="907"/>
      <c r="B478" s="907"/>
      <c r="C478" s="907"/>
      <c r="D478" s="907"/>
      <c r="E478" s="907"/>
      <c r="F478" s="907"/>
      <c r="G478" s="907"/>
      <c r="H478" s="907"/>
      <c r="I478" s="907"/>
      <c r="J478" s="907"/>
      <c r="K478" s="907"/>
      <c r="L478" s="907"/>
    </row>
    <row r="479">
      <c r="A479" s="907"/>
      <c r="B479" s="907"/>
      <c r="C479" s="907"/>
      <c r="D479" s="907"/>
      <c r="E479" s="907"/>
      <c r="F479" s="907"/>
      <c r="G479" s="907"/>
      <c r="H479" s="907"/>
      <c r="I479" s="907"/>
      <c r="J479" s="907"/>
      <c r="K479" s="907"/>
      <c r="L479" s="907"/>
    </row>
    <row r="480">
      <c r="A480" s="907"/>
      <c r="B480" s="907"/>
      <c r="C480" s="907"/>
      <c r="D480" s="907"/>
      <c r="E480" s="907"/>
      <c r="F480" s="907"/>
      <c r="G480" s="907"/>
      <c r="H480" s="907"/>
      <c r="I480" s="907"/>
      <c r="J480" s="907"/>
      <c r="K480" s="907"/>
      <c r="L480" s="907"/>
    </row>
    <row r="481">
      <c r="A481" s="907"/>
      <c r="B481" s="907"/>
      <c r="C481" s="907"/>
      <c r="D481" s="907"/>
      <c r="E481" s="907"/>
      <c r="F481" s="907"/>
      <c r="G481" s="907"/>
      <c r="H481" s="907"/>
      <c r="I481" s="907"/>
      <c r="J481" s="907"/>
      <c r="K481" s="907"/>
      <c r="L481" s="907"/>
    </row>
    <row r="482">
      <c r="A482" s="907"/>
      <c r="B482" s="907"/>
      <c r="C482" s="907"/>
      <c r="D482" s="907"/>
      <c r="E482" s="907"/>
      <c r="F482" s="907"/>
      <c r="G482" s="907"/>
      <c r="H482" s="907"/>
      <c r="I482" s="907"/>
      <c r="J482" s="907"/>
      <c r="K482" s="907"/>
      <c r="L482" s="907"/>
    </row>
    <row r="483">
      <c r="A483" s="907"/>
      <c r="B483" s="907"/>
      <c r="C483" s="907"/>
      <c r="D483" s="907"/>
      <c r="E483" s="907"/>
      <c r="F483" s="907"/>
      <c r="G483" s="907"/>
      <c r="H483" s="907"/>
      <c r="I483" s="907"/>
      <c r="J483" s="907"/>
      <c r="K483" s="907"/>
      <c r="L483" s="907"/>
    </row>
    <row r="484">
      <c r="A484" s="907"/>
      <c r="B484" s="907"/>
      <c r="C484" s="907"/>
      <c r="D484" s="907"/>
      <c r="E484" s="907"/>
      <c r="F484" s="907"/>
      <c r="G484" s="907"/>
      <c r="H484" s="907"/>
      <c r="I484" s="907"/>
      <c r="J484" s="907"/>
      <c r="K484" s="907"/>
      <c r="L484" s="907"/>
    </row>
    <row r="485">
      <c r="A485" s="907"/>
      <c r="B485" s="907"/>
      <c r="C485" s="907"/>
      <c r="D485" s="907"/>
      <c r="E485" s="907"/>
      <c r="F485" s="907"/>
      <c r="G485" s="907"/>
      <c r="H485" s="907"/>
      <c r="I485" s="907"/>
      <c r="J485" s="907"/>
      <c r="K485" s="907"/>
      <c r="L485" s="907"/>
    </row>
    <row r="486">
      <c r="A486" s="907"/>
      <c r="B486" s="907"/>
      <c r="C486" s="907"/>
      <c r="D486" s="907"/>
      <c r="E486" s="907"/>
      <c r="F486" s="907"/>
      <c r="G486" s="907"/>
      <c r="H486" s="907"/>
      <c r="I486" s="907"/>
      <c r="J486" s="907"/>
      <c r="K486" s="907"/>
      <c r="L486" s="907"/>
    </row>
    <row r="487">
      <c r="A487" s="907"/>
      <c r="B487" s="907"/>
      <c r="C487" s="907"/>
      <c r="D487" s="907"/>
      <c r="E487" s="907"/>
      <c r="F487" s="907"/>
      <c r="G487" s="907"/>
      <c r="H487" s="907"/>
      <c r="I487" s="907"/>
      <c r="J487" s="907"/>
      <c r="K487" s="907"/>
      <c r="L487" s="907"/>
    </row>
    <row r="488">
      <c r="A488" s="907"/>
      <c r="B488" s="907"/>
      <c r="C488" s="907"/>
      <c r="D488" s="907"/>
      <c r="E488" s="907"/>
      <c r="F488" s="907"/>
      <c r="G488" s="907"/>
      <c r="H488" s="907"/>
      <c r="I488" s="907"/>
      <c r="J488" s="907"/>
      <c r="K488" s="907"/>
      <c r="L488" s="907"/>
    </row>
    <row r="489">
      <c r="A489" s="907"/>
      <c r="B489" s="907"/>
      <c r="C489" s="907"/>
      <c r="D489" s="907"/>
      <c r="E489" s="907"/>
      <c r="F489" s="907"/>
      <c r="G489" s="907"/>
      <c r="H489" s="907"/>
      <c r="I489" s="907"/>
      <c r="J489" s="907"/>
      <c r="K489" s="907"/>
      <c r="L489" s="907"/>
    </row>
    <row r="490">
      <c r="A490" s="907"/>
      <c r="B490" s="907"/>
      <c r="C490" s="907"/>
      <c r="D490" s="907"/>
      <c r="E490" s="907"/>
      <c r="F490" s="907"/>
      <c r="G490" s="907"/>
      <c r="H490" s="907"/>
      <c r="I490" s="907"/>
      <c r="J490" s="907"/>
      <c r="K490" s="907"/>
      <c r="L490" s="907"/>
    </row>
    <row r="491">
      <c r="A491" s="907"/>
      <c r="B491" s="907"/>
      <c r="C491" s="907"/>
      <c r="D491" s="907"/>
      <c r="E491" s="907"/>
      <c r="F491" s="907"/>
      <c r="G491" s="907"/>
      <c r="H491" s="907"/>
      <c r="I491" s="907"/>
      <c r="J491" s="907"/>
      <c r="K491" s="907"/>
      <c r="L491" s="907"/>
    </row>
    <row r="492">
      <c r="A492" s="907"/>
      <c r="B492" s="907"/>
      <c r="C492" s="907"/>
      <c r="D492" s="907"/>
      <c r="E492" s="907"/>
      <c r="F492" s="907"/>
      <c r="G492" s="907"/>
      <c r="H492" s="907"/>
      <c r="I492" s="907"/>
      <c r="J492" s="907"/>
      <c r="K492" s="907"/>
      <c r="L492" s="907"/>
    </row>
    <row r="493">
      <c r="A493" s="907"/>
      <c r="B493" s="907"/>
      <c r="C493" s="907"/>
      <c r="D493" s="907"/>
      <c r="E493" s="907"/>
      <c r="F493" s="907"/>
      <c r="G493" s="907"/>
      <c r="H493" s="907"/>
      <c r="I493" s="907"/>
      <c r="J493" s="907"/>
      <c r="K493" s="907"/>
      <c r="L493" s="907"/>
    </row>
    <row r="494">
      <c r="A494" s="907"/>
      <c r="B494" s="907"/>
      <c r="C494" s="907"/>
      <c r="D494" s="907"/>
      <c r="E494" s="907"/>
      <c r="F494" s="907"/>
      <c r="G494" s="907"/>
      <c r="H494" s="907"/>
      <c r="I494" s="907"/>
      <c r="J494" s="907"/>
      <c r="K494" s="907"/>
      <c r="L494" s="907"/>
    </row>
    <row r="495">
      <c r="A495" s="907"/>
      <c r="B495" s="907"/>
      <c r="C495" s="907"/>
      <c r="D495" s="907"/>
      <c r="E495" s="907"/>
      <c r="F495" s="907"/>
      <c r="G495" s="907"/>
      <c r="H495" s="907"/>
      <c r="I495" s="907"/>
      <c r="J495" s="907"/>
      <c r="K495" s="907"/>
      <c r="L495" s="907"/>
    </row>
    <row r="496">
      <c r="A496" s="907"/>
      <c r="B496" s="907"/>
      <c r="C496" s="907"/>
      <c r="D496" s="907"/>
      <c r="E496" s="907"/>
      <c r="F496" s="907"/>
      <c r="G496" s="907"/>
      <c r="H496" s="907"/>
      <c r="I496" s="907"/>
      <c r="J496" s="907"/>
      <c r="K496" s="907"/>
      <c r="L496" s="907"/>
    </row>
    <row r="497">
      <c r="A497" s="907"/>
      <c r="B497" s="907"/>
      <c r="C497" s="907"/>
      <c r="D497" s="907"/>
      <c r="E497" s="907"/>
      <c r="F497" s="907"/>
      <c r="G497" s="907"/>
      <c r="H497" s="907"/>
      <c r="I497" s="907"/>
      <c r="J497" s="907"/>
      <c r="K497" s="907"/>
      <c r="L497" s="907"/>
    </row>
    <row r="498">
      <c r="A498" s="907"/>
      <c r="B498" s="907"/>
      <c r="C498" s="907"/>
      <c r="D498" s="907"/>
      <c r="E498" s="907"/>
      <c r="F498" s="907"/>
      <c r="G498" s="907"/>
      <c r="H498" s="907"/>
      <c r="I498" s="907"/>
      <c r="J498" s="907"/>
      <c r="K498" s="907"/>
      <c r="L498" s="907"/>
    </row>
    <row r="499">
      <c r="A499" s="907"/>
      <c r="B499" s="907"/>
      <c r="C499" s="907"/>
      <c r="D499" s="907"/>
      <c r="E499" s="907"/>
      <c r="F499" s="907"/>
      <c r="G499" s="907"/>
      <c r="H499" s="907"/>
      <c r="I499" s="907"/>
      <c r="J499" s="907"/>
      <c r="K499" s="907"/>
      <c r="L499" s="907"/>
    </row>
    <row r="500">
      <c r="A500" s="907"/>
      <c r="B500" s="907"/>
      <c r="C500" s="907"/>
      <c r="D500" s="907"/>
      <c r="E500" s="907"/>
      <c r="F500" s="907"/>
      <c r="G500" s="907"/>
      <c r="H500" s="907"/>
      <c r="I500" s="907"/>
      <c r="J500" s="907"/>
      <c r="K500" s="907"/>
      <c r="L500" s="907"/>
    </row>
    <row r="501">
      <c r="A501" s="907"/>
      <c r="B501" s="907"/>
      <c r="C501" s="907"/>
      <c r="D501" s="907"/>
      <c r="E501" s="907"/>
      <c r="F501" s="907"/>
      <c r="G501" s="907"/>
      <c r="H501" s="907"/>
      <c r="I501" s="907"/>
      <c r="J501" s="907"/>
      <c r="K501" s="907"/>
      <c r="L501" s="907"/>
    </row>
    <row r="502">
      <c r="A502" s="907"/>
      <c r="B502" s="907"/>
      <c r="C502" s="907"/>
      <c r="D502" s="907"/>
      <c r="E502" s="907"/>
      <c r="F502" s="907"/>
      <c r="G502" s="907"/>
      <c r="H502" s="907"/>
      <c r="I502" s="907"/>
      <c r="J502" s="907"/>
      <c r="K502" s="907"/>
      <c r="L502" s="907"/>
    </row>
    <row r="503">
      <c r="A503" s="907"/>
      <c r="B503" s="907"/>
      <c r="C503" s="907"/>
      <c r="D503" s="907"/>
      <c r="E503" s="907"/>
      <c r="F503" s="907"/>
      <c r="G503" s="907"/>
      <c r="H503" s="907"/>
      <c r="I503" s="907"/>
      <c r="J503" s="907"/>
      <c r="K503" s="907"/>
      <c r="L503" s="907"/>
    </row>
    <row r="504">
      <c r="A504" s="907"/>
      <c r="B504" s="907"/>
      <c r="C504" s="907"/>
      <c r="D504" s="907"/>
      <c r="E504" s="907"/>
      <c r="F504" s="907"/>
      <c r="G504" s="907"/>
      <c r="H504" s="907"/>
      <c r="I504" s="907"/>
      <c r="J504" s="907"/>
      <c r="K504" s="907"/>
      <c r="L504" s="907"/>
    </row>
    <row r="505">
      <c r="A505" s="907"/>
      <c r="B505" s="907"/>
      <c r="C505" s="907"/>
      <c r="D505" s="907"/>
      <c r="E505" s="907"/>
      <c r="F505" s="907"/>
      <c r="G505" s="907"/>
      <c r="H505" s="907"/>
      <c r="I505" s="907"/>
      <c r="J505" s="907"/>
      <c r="K505" s="907"/>
      <c r="L505" s="907"/>
    </row>
    <row r="506">
      <c r="A506" s="907"/>
      <c r="B506" s="907"/>
      <c r="C506" s="907"/>
      <c r="D506" s="907"/>
      <c r="E506" s="907"/>
      <c r="F506" s="907"/>
      <c r="G506" s="907"/>
      <c r="H506" s="907"/>
      <c r="I506" s="907"/>
      <c r="J506" s="907"/>
      <c r="K506" s="907"/>
      <c r="L506" s="907"/>
    </row>
    <row r="507">
      <c r="A507" s="907"/>
      <c r="B507" s="907"/>
      <c r="C507" s="907"/>
      <c r="D507" s="907"/>
      <c r="E507" s="907"/>
      <c r="F507" s="907"/>
      <c r="G507" s="907"/>
      <c r="H507" s="907"/>
      <c r="I507" s="907"/>
      <c r="J507" s="907"/>
      <c r="K507" s="907"/>
      <c r="L507" s="907"/>
    </row>
    <row r="508">
      <c r="A508" s="907"/>
      <c r="B508" s="907"/>
      <c r="C508" s="907"/>
      <c r="D508" s="907"/>
      <c r="E508" s="907"/>
      <c r="F508" s="907"/>
      <c r="G508" s="907"/>
      <c r="H508" s="907"/>
      <c r="I508" s="907"/>
      <c r="J508" s="907"/>
      <c r="K508" s="907"/>
      <c r="L508" s="907"/>
    </row>
    <row r="509">
      <c r="A509" s="907"/>
      <c r="B509" s="907"/>
      <c r="C509" s="907"/>
      <c r="D509" s="907"/>
      <c r="E509" s="907"/>
      <c r="F509" s="907"/>
      <c r="G509" s="907"/>
      <c r="H509" s="907"/>
      <c r="I509" s="907"/>
      <c r="J509" s="907"/>
      <c r="K509" s="907"/>
      <c r="L509" s="907"/>
    </row>
    <row r="510">
      <c r="A510" s="907"/>
      <c r="B510" s="907"/>
      <c r="C510" s="907"/>
      <c r="D510" s="907"/>
      <c r="E510" s="907"/>
      <c r="F510" s="907"/>
      <c r="G510" s="907"/>
      <c r="H510" s="907"/>
      <c r="I510" s="907"/>
      <c r="J510" s="907"/>
      <c r="K510" s="907"/>
      <c r="L510" s="907"/>
    </row>
    <row r="511">
      <c r="A511" s="907"/>
      <c r="B511" s="907"/>
      <c r="C511" s="907"/>
      <c r="D511" s="907"/>
      <c r="E511" s="907"/>
      <c r="F511" s="907"/>
      <c r="G511" s="907"/>
      <c r="H511" s="907"/>
      <c r="I511" s="907"/>
      <c r="J511" s="907"/>
      <c r="K511" s="907"/>
      <c r="L511" s="907"/>
    </row>
    <row r="512">
      <c r="A512" s="907"/>
      <c r="B512" s="907"/>
      <c r="C512" s="907"/>
      <c r="D512" s="907"/>
      <c r="E512" s="907"/>
      <c r="F512" s="907"/>
      <c r="G512" s="907"/>
      <c r="H512" s="907"/>
      <c r="I512" s="907"/>
      <c r="J512" s="907"/>
      <c r="K512" s="907"/>
      <c r="L512" s="907"/>
    </row>
    <row r="513">
      <c r="A513" s="907"/>
      <c r="B513" s="907"/>
      <c r="C513" s="907"/>
      <c r="D513" s="907"/>
      <c r="E513" s="907"/>
      <c r="F513" s="907"/>
      <c r="G513" s="907"/>
      <c r="H513" s="907"/>
      <c r="I513" s="907"/>
      <c r="J513" s="907"/>
      <c r="K513" s="907"/>
      <c r="L513" s="907"/>
    </row>
    <row r="514">
      <c r="A514" s="907"/>
      <c r="B514" s="907"/>
      <c r="C514" s="907"/>
      <c r="D514" s="907"/>
      <c r="E514" s="907"/>
      <c r="F514" s="907"/>
      <c r="G514" s="907"/>
      <c r="H514" s="907"/>
      <c r="I514" s="907"/>
      <c r="J514" s="907"/>
      <c r="K514" s="907"/>
      <c r="L514" s="907"/>
    </row>
    <row r="515">
      <c r="A515" s="907"/>
      <c r="B515" s="907"/>
      <c r="C515" s="907"/>
      <c r="D515" s="907"/>
      <c r="E515" s="907"/>
      <c r="F515" s="907"/>
      <c r="G515" s="907"/>
      <c r="H515" s="907"/>
      <c r="I515" s="907"/>
      <c r="J515" s="907"/>
      <c r="K515" s="907"/>
      <c r="L515" s="907"/>
    </row>
    <row r="516">
      <c r="A516" s="907"/>
      <c r="B516" s="907"/>
      <c r="C516" s="907"/>
      <c r="D516" s="907"/>
      <c r="E516" s="907"/>
      <c r="F516" s="907"/>
      <c r="G516" s="907"/>
      <c r="H516" s="907"/>
      <c r="I516" s="907"/>
      <c r="J516" s="907"/>
      <c r="K516" s="907"/>
      <c r="L516" s="907"/>
    </row>
    <row r="517">
      <c r="A517" s="907"/>
      <c r="B517" s="907"/>
      <c r="C517" s="907"/>
      <c r="D517" s="907"/>
      <c r="E517" s="907"/>
      <c r="F517" s="907"/>
      <c r="G517" s="907"/>
      <c r="H517" s="907"/>
      <c r="I517" s="907"/>
      <c r="J517" s="907"/>
      <c r="K517" s="907"/>
      <c r="L517" s="907"/>
    </row>
    <row r="518">
      <c r="A518" s="907"/>
      <c r="B518" s="907"/>
      <c r="C518" s="907"/>
      <c r="D518" s="907"/>
      <c r="E518" s="907"/>
      <c r="F518" s="907"/>
      <c r="G518" s="907"/>
      <c r="H518" s="907"/>
      <c r="I518" s="907"/>
      <c r="J518" s="907"/>
      <c r="K518" s="907"/>
      <c r="L518" s="907"/>
    </row>
    <row r="519">
      <c r="A519" s="907"/>
      <c r="B519" s="907"/>
      <c r="C519" s="907"/>
      <c r="D519" s="907"/>
      <c r="E519" s="907"/>
      <c r="F519" s="907"/>
      <c r="G519" s="907"/>
      <c r="H519" s="907"/>
      <c r="I519" s="907"/>
      <c r="J519" s="907"/>
      <c r="K519" s="907"/>
      <c r="L519" s="907"/>
    </row>
    <row r="520">
      <c r="A520" s="907"/>
      <c r="B520" s="907"/>
      <c r="C520" s="907"/>
      <c r="D520" s="907"/>
      <c r="E520" s="907"/>
      <c r="F520" s="907"/>
      <c r="G520" s="907"/>
      <c r="H520" s="907"/>
      <c r="I520" s="907"/>
      <c r="J520" s="907"/>
      <c r="K520" s="907"/>
      <c r="L520" s="907"/>
    </row>
    <row r="521">
      <c r="A521" s="907"/>
      <c r="B521" s="907"/>
      <c r="C521" s="907"/>
      <c r="D521" s="907"/>
      <c r="E521" s="907"/>
      <c r="F521" s="907"/>
      <c r="G521" s="907"/>
      <c r="H521" s="907"/>
      <c r="I521" s="907"/>
      <c r="J521" s="907"/>
      <c r="K521" s="907"/>
      <c r="L521" s="907"/>
    </row>
    <row r="522">
      <c r="A522" s="907"/>
      <c r="B522" s="907"/>
      <c r="C522" s="907"/>
      <c r="D522" s="907"/>
      <c r="E522" s="907"/>
      <c r="F522" s="907"/>
      <c r="G522" s="907"/>
      <c r="H522" s="907"/>
      <c r="I522" s="907"/>
      <c r="J522" s="907"/>
      <c r="K522" s="907"/>
      <c r="L522" s="907"/>
    </row>
    <row r="523">
      <c r="A523" s="907"/>
      <c r="B523" s="907"/>
      <c r="C523" s="907"/>
      <c r="D523" s="907"/>
      <c r="E523" s="907"/>
      <c r="F523" s="907"/>
      <c r="G523" s="907"/>
      <c r="H523" s="907"/>
      <c r="I523" s="907"/>
      <c r="J523" s="907"/>
      <c r="K523" s="907"/>
      <c r="L523" s="907"/>
    </row>
    <row r="524">
      <c r="A524" s="907"/>
      <c r="B524" s="907"/>
      <c r="C524" s="907"/>
      <c r="D524" s="907"/>
      <c r="E524" s="907"/>
      <c r="F524" s="907"/>
      <c r="G524" s="907"/>
      <c r="H524" s="907"/>
      <c r="I524" s="907"/>
      <c r="J524" s="907"/>
      <c r="K524" s="907"/>
      <c r="L524" s="907"/>
    </row>
    <row r="525">
      <c r="A525" s="907"/>
      <c r="B525" s="907"/>
      <c r="C525" s="907"/>
      <c r="D525" s="907"/>
      <c r="E525" s="907"/>
      <c r="F525" s="907"/>
      <c r="G525" s="907"/>
      <c r="H525" s="907"/>
      <c r="I525" s="907"/>
      <c r="J525" s="907"/>
      <c r="K525" s="907"/>
      <c r="L525" s="907"/>
    </row>
    <row r="526">
      <c r="A526" s="907"/>
      <c r="B526" s="907"/>
      <c r="C526" s="907"/>
      <c r="D526" s="907"/>
      <c r="E526" s="907"/>
      <c r="F526" s="907"/>
      <c r="G526" s="907"/>
      <c r="H526" s="907"/>
      <c r="I526" s="907"/>
      <c r="J526" s="907"/>
      <c r="K526" s="907"/>
      <c r="L526" s="907"/>
    </row>
    <row r="527">
      <c r="A527" s="907"/>
      <c r="B527" s="907"/>
      <c r="C527" s="907"/>
      <c r="D527" s="907"/>
      <c r="E527" s="907"/>
      <c r="F527" s="907"/>
      <c r="G527" s="907"/>
      <c r="H527" s="907"/>
      <c r="I527" s="907"/>
      <c r="J527" s="907"/>
      <c r="K527" s="907"/>
      <c r="L527" s="907"/>
    </row>
    <row r="528">
      <c r="A528" s="907"/>
      <c r="B528" s="907"/>
      <c r="C528" s="907"/>
      <c r="D528" s="907"/>
      <c r="E528" s="907"/>
      <c r="F528" s="907"/>
      <c r="G528" s="907"/>
      <c r="H528" s="907"/>
      <c r="I528" s="907"/>
      <c r="J528" s="907"/>
      <c r="K528" s="907"/>
      <c r="L528" s="907"/>
    </row>
    <row r="529">
      <c r="A529" s="907"/>
      <c r="B529" s="907"/>
      <c r="C529" s="907"/>
      <c r="D529" s="907"/>
      <c r="E529" s="907"/>
      <c r="F529" s="907"/>
      <c r="G529" s="907"/>
      <c r="H529" s="907"/>
      <c r="I529" s="907"/>
      <c r="J529" s="907"/>
      <c r="K529" s="907"/>
      <c r="L529" s="907"/>
    </row>
    <row r="530">
      <c r="A530" s="907"/>
      <c r="B530" s="907"/>
      <c r="C530" s="907"/>
      <c r="D530" s="907"/>
      <c r="E530" s="907"/>
      <c r="F530" s="907"/>
      <c r="G530" s="907"/>
      <c r="H530" s="907"/>
      <c r="I530" s="907"/>
      <c r="J530" s="907"/>
      <c r="K530" s="907"/>
      <c r="L530" s="907"/>
    </row>
    <row r="531">
      <c r="A531" s="907"/>
      <c r="B531" s="907"/>
      <c r="C531" s="907"/>
      <c r="D531" s="907"/>
      <c r="E531" s="907"/>
      <c r="F531" s="907"/>
      <c r="G531" s="907"/>
      <c r="H531" s="907"/>
      <c r="I531" s="907"/>
      <c r="J531" s="907"/>
      <c r="K531" s="907"/>
      <c r="L531" s="907"/>
    </row>
    <row r="532">
      <c r="A532" s="907"/>
      <c r="B532" s="907"/>
      <c r="C532" s="907"/>
      <c r="D532" s="907"/>
      <c r="E532" s="907"/>
      <c r="F532" s="907"/>
      <c r="G532" s="907"/>
      <c r="H532" s="907"/>
      <c r="I532" s="907"/>
      <c r="J532" s="907"/>
      <c r="K532" s="907"/>
      <c r="L532" s="907"/>
    </row>
    <row r="533">
      <c r="A533" s="907"/>
      <c r="B533" s="907"/>
      <c r="C533" s="907"/>
      <c r="D533" s="907"/>
      <c r="E533" s="907"/>
      <c r="F533" s="907"/>
      <c r="G533" s="907"/>
      <c r="H533" s="907"/>
      <c r="I533" s="907"/>
      <c r="J533" s="907"/>
      <c r="K533" s="907"/>
      <c r="L533" s="907"/>
    </row>
    <row r="534">
      <c r="A534" s="907"/>
      <c r="B534" s="907"/>
      <c r="C534" s="907"/>
      <c r="D534" s="907"/>
      <c r="E534" s="907"/>
      <c r="F534" s="907"/>
      <c r="G534" s="907"/>
      <c r="H534" s="907"/>
      <c r="I534" s="907"/>
      <c r="J534" s="907"/>
      <c r="K534" s="907"/>
      <c r="L534" s="907"/>
    </row>
    <row r="535">
      <c r="A535" s="907"/>
      <c r="B535" s="907"/>
      <c r="C535" s="907"/>
      <c r="D535" s="907"/>
      <c r="E535" s="907"/>
      <c r="F535" s="907"/>
      <c r="G535" s="907"/>
      <c r="H535" s="907"/>
      <c r="I535" s="907"/>
      <c r="J535" s="907"/>
      <c r="K535" s="907"/>
      <c r="L535" s="907"/>
    </row>
    <row r="536">
      <c r="A536" s="907"/>
      <c r="B536" s="907"/>
      <c r="C536" s="907"/>
      <c r="D536" s="907"/>
      <c r="E536" s="907"/>
      <c r="F536" s="907"/>
      <c r="G536" s="907"/>
      <c r="H536" s="907"/>
      <c r="I536" s="907"/>
      <c r="J536" s="907"/>
      <c r="K536" s="907"/>
      <c r="L536" s="907"/>
    </row>
    <row r="537">
      <c r="A537" s="907"/>
      <c r="B537" s="907"/>
      <c r="C537" s="907"/>
      <c r="D537" s="907"/>
      <c r="E537" s="907"/>
      <c r="F537" s="907"/>
      <c r="G537" s="907"/>
      <c r="H537" s="907"/>
      <c r="I537" s="907"/>
      <c r="J537" s="907"/>
      <c r="K537" s="907"/>
      <c r="L537" s="907"/>
    </row>
    <row r="538">
      <c r="A538" s="907"/>
      <c r="B538" s="907"/>
      <c r="C538" s="907"/>
      <c r="D538" s="907"/>
      <c r="E538" s="907"/>
      <c r="F538" s="907"/>
      <c r="G538" s="907"/>
      <c r="H538" s="907"/>
      <c r="I538" s="907"/>
      <c r="J538" s="907"/>
      <c r="K538" s="907"/>
      <c r="L538" s="907"/>
    </row>
    <row r="539">
      <c r="A539" s="907"/>
      <c r="B539" s="907"/>
      <c r="C539" s="907"/>
      <c r="D539" s="907"/>
      <c r="E539" s="907"/>
      <c r="F539" s="907"/>
      <c r="G539" s="907"/>
      <c r="H539" s="907"/>
      <c r="I539" s="907"/>
      <c r="J539" s="907"/>
      <c r="K539" s="907"/>
      <c r="L539" s="907"/>
    </row>
    <row r="540">
      <c r="A540" s="907"/>
      <c r="B540" s="907"/>
      <c r="C540" s="907"/>
      <c r="D540" s="907"/>
      <c r="E540" s="907"/>
      <c r="F540" s="907"/>
      <c r="G540" s="907"/>
      <c r="H540" s="907"/>
      <c r="I540" s="907"/>
      <c r="J540" s="907"/>
      <c r="K540" s="907"/>
      <c r="L540" s="907"/>
    </row>
    <row r="541">
      <c r="A541" s="907"/>
      <c r="B541" s="907"/>
      <c r="C541" s="907"/>
      <c r="D541" s="907"/>
      <c r="E541" s="907"/>
      <c r="F541" s="907"/>
      <c r="G541" s="907"/>
      <c r="H541" s="907"/>
      <c r="I541" s="907"/>
      <c r="J541" s="907"/>
      <c r="K541" s="907"/>
      <c r="L541" s="907"/>
    </row>
    <row r="542">
      <c r="A542" s="907"/>
      <c r="B542" s="907"/>
      <c r="C542" s="907"/>
      <c r="D542" s="907"/>
      <c r="E542" s="907"/>
      <c r="F542" s="907"/>
      <c r="G542" s="907"/>
      <c r="H542" s="907"/>
      <c r="I542" s="907"/>
      <c r="J542" s="907"/>
      <c r="K542" s="907"/>
      <c r="L542" s="907"/>
    </row>
    <row r="543">
      <c r="A543" s="907"/>
      <c r="B543" s="907"/>
      <c r="C543" s="907"/>
      <c r="D543" s="907"/>
      <c r="E543" s="907"/>
      <c r="F543" s="907"/>
      <c r="G543" s="907"/>
      <c r="H543" s="907"/>
      <c r="I543" s="907"/>
      <c r="J543" s="907"/>
      <c r="K543" s="907"/>
      <c r="L543" s="907"/>
    </row>
    <row r="544">
      <c r="A544" s="907"/>
      <c r="B544" s="907"/>
      <c r="C544" s="907"/>
      <c r="D544" s="907"/>
      <c r="E544" s="907"/>
      <c r="F544" s="907"/>
      <c r="G544" s="907"/>
      <c r="H544" s="907"/>
      <c r="I544" s="907"/>
      <c r="J544" s="907"/>
      <c r="K544" s="907"/>
      <c r="L544" s="907"/>
    </row>
    <row r="545">
      <c r="A545" s="907"/>
      <c r="B545" s="907"/>
      <c r="C545" s="907"/>
      <c r="D545" s="907"/>
      <c r="E545" s="907"/>
      <c r="F545" s="907"/>
      <c r="G545" s="907"/>
      <c r="H545" s="907"/>
      <c r="I545" s="907"/>
      <c r="J545" s="907"/>
      <c r="K545" s="907"/>
      <c r="L545" s="907"/>
    </row>
    <row r="546">
      <c r="A546" s="907"/>
      <c r="B546" s="907"/>
      <c r="C546" s="907"/>
      <c r="D546" s="907"/>
      <c r="E546" s="907"/>
      <c r="F546" s="907"/>
      <c r="G546" s="907"/>
      <c r="H546" s="907"/>
      <c r="I546" s="907"/>
      <c r="J546" s="907"/>
      <c r="K546" s="907"/>
      <c r="L546" s="907"/>
    </row>
    <row r="547">
      <c r="A547" s="907"/>
      <c r="B547" s="907"/>
      <c r="C547" s="907"/>
      <c r="D547" s="907"/>
      <c r="E547" s="907"/>
      <c r="F547" s="907"/>
      <c r="G547" s="907"/>
      <c r="H547" s="907"/>
      <c r="I547" s="907"/>
      <c r="J547" s="907"/>
      <c r="K547" s="907"/>
      <c r="L547" s="907"/>
    </row>
    <row r="548">
      <c r="A548" s="907"/>
      <c r="B548" s="907"/>
      <c r="C548" s="907"/>
      <c r="D548" s="907"/>
      <c r="E548" s="907"/>
      <c r="F548" s="907"/>
      <c r="G548" s="907"/>
      <c r="H548" s="907"/>
      <c r="I548" s="907"/>
      <c r="J548" s="907"/>
      <c r="K548" s="907"/>
      <c r="L548" s="907"/>
    </row>
    <row r="549">
      <c r="A549" s="907"/>
      <c r="B549" s="907"/>
      <c r="C549" s="907"/>
      <c r="D549" s="907"/>
      <c r="E549" s="907"/>
      <c r="F549" s="907"/>
      <c r="G549" s="907"/>
      <c r="H549" s="907"/>
      <c r="I549" s="907"/>
      <c r="J549" s="907"/>
      <c r="K549" s="907"/>
      <c r="L549" s="907"/>
    </row>
    <row r="550">
      <c r="A550" s="907"/>
      <c r="B550" s="907"/>
      <c r="C550" s="907"/>
      <c r="D550" s="907"/>
      <c r="E550" s="907"/>
      <c r="F550" s="907"/>
      <c r="G550" s="907"/>
      <c r="H550" s="907"/>
      <c r="I550" s="907"/>
      <c r="J550" s="907"/>
      <c r="K550" s="907"/>
      <c r="L550" s="907"/>
    </row>
    <row r="551">
      <c r="A551" s="907"/>
      <c r="B551" s="907"/>
      <c r="C551" s="907"/>
      <c r="D551" s="907"/>
      <c r="E551" s="907"/>
      <c r="F551" s="907"/>
      <c r="G551" s="907"/>
      <c r="H551" s="907"/>
      <c r="I551" s="907"/>
      <c r="J551" s="907"/>
      <c r="K551" s="907"/>
      <c r="L551" s="907"/>
    </row>
    <row r="552">
      <c r="A552" s="907"/>
      <c r="B552" s="907"/>
      <c r="C552" s="907"/>
      <c r="D552" s="907"/>
      <c r="E552" s="907"/>
      <c r="F552" s="907"/>
      <c r="G552" s="907"/>
      <c r="H552" s="907"/>
      <c r="I552" s="907"/>
      <c r="J552" s="907"/>
      <c r="K552" s="907"/>
      <c r="L552" s="907"/>
    </row>
    <row r="553">
      <c r="A553" s="907"/>
      <c r="B553" s="907"/>
      <c r="C553" s="907"/>
      <c r="D553" s="907"/>
      <c r="E553" s="907"/>
      <c r="F553" s="907"/>
      <c r="G553" s="907"/>
      <c r="H553" s="907"/>
      <c r="I553" s="907"/>
      <c r="J553" s="907"/>
      <c r="K553" s="907"/>
      <c r="L553" s="907"/>
    </row>
    <row r="554">
      <c r="A554" s="907"/>
      <c r="B554" s="907"/>
      <c r="C554" s="907"/>
      <c r="D554" s="907"/>
      <c r="E554" s="907"/>
      <c r="F554" s="907"/>
      <c r="G554" s="907"/>
      <c r="H554" s="907"/>
      <c r="I554" s="907"/>
      <c r="J554" s="907"/>
      <c r="K554" s="907"/>
      <c r="L554" s="907"/>
    </row>
    <row r="555">
      <c r="A555" s="907"/>
      <c r="B555" s="907"/>
      <c r="C555" s="907"/>
      <c r="D555" s="907"/>
      <c r="E555" s="907"/>
      <c r="F555" s="907"/>
      <c r="G555" s="907"/>
      <c r="H555" s="907"/>
      <c r="I555" s="907"/>
      <c r="J555" s="907"/>
      <c r="K555" s="907"/>
      <c r="L555" s="907"/>
    </row>
    <row r="556">
      <c r="A556" s="907"/>
      <c r="B556" s="907"/>
      <c r="C556" s="907"/>
      <c r="D556" s="907"/>
      <c r="E556" s="907"/>
      <c r="F556" s="907"/>
      <c r="G556" s="907"/>
      <c r="H556" s="907"/>
      <c r="I556" s="907"/>
      <c r="J556" s="907"/>
      <c r="K556" s="907"/>
      <c r="L556" s="907"/>
    </row>
    <row r="557">
      <c r="A557" s="907"/>
      <c r="B557" s="907"/>
      <c r="C557" s="907"/>
      <c r="D557" s="907"/>
      <c r="E557" s="907"/>
      <c r="F557" s="907"/>
      <c r="G557" s="907"/>
      <c r="H557" s="907"/>
      <c r="I557" s="907"/>
      <c r="J557" s="907"/>
      <c r="K557" s="907"/>
      <c r="L557" s="907"/>
    </row>
    <row r="558">
      <c r="A558" s="907"/>
      <c r="B558" s="907"/>
      <c r="C558" s="907"/>
      <c r="D558" s="907"/>
      <c r="E558" s="907"/>
      <c r="F558" s="907"/>
      <c r="G558" s="907"/>
      <c r="H558" s="907"/>
      <c r="I558" s="907"/>
      <c r="J558" s="907"/>
      <c r="K558" s="907"/>
      <c r="L558" s="907"/>
    </row>
    <row r="559">
      <c r="A559" s="907"/>
      <c r="B559" s="907"/>
      <c r="C559" s="907"/>
      <c r="D559" s="907"/>
      <c r="E559" s="907"/>
      <c r="F559" s="907"/>
      <c r="G559" s="907"/>
      <c r="H559" s="907"/>
      <c r="I559" s="907"/>
      <c r="J559" s="907"/>
      <c r="K559" s="907"/>
      <c r="L559" s="907"/>
    </row>
    <row r="560">
      <c r="A560" s="907"/>
      <c r="B560" s="907"/>
      <c r="C560" s="907"/>
      <c r="D560" s="907"/>
      <c r="E560" s="907"/>
      <c r="F560" s="907"/>
      <c r="G560" s="907"/>
      <c r="H560" s="907"/>
      <c r="I560" s="907"/>
      <c r="J560" s="907"/>
      <c r="K560" s="907"/>
      <c r="L560" s="907"/>
    </row>
    <row r="561">
      <c r="A561" s="907"/>
      <c r="B561" s="907"/>
      <c r="C561" s="907"/>
      <c r="D561" s="907"/>
      <c r="E561" s="907"/>
      <c r="F561" s="907"/>
      <c r="G561" s="907"/>
      <c r="H561" s="907"/>
      <c r="I561" s="907"/>
      <c r="J561" s="907"/>
      <c r="K561" s="907"/>
      <c r="L561" s="907"/>
    </row>
    <row r="562">
      <c r="A562" s="907"/>
      <c r="B562" s="907"/>
      <c r="C562" s="907"/>
      <c r="D562" s="907"/>
      <c r="E562" s="907"/>
      <c r="F562" s="907"/>
      <c r="G562" s="907"/>
      <c r="H562" s="907"/>
      <c r="I562" s="907"/>
      <c r="J562" s="907"/>
      <c r="K562" s="907"/>
      <c r="L562" s="907"/>
    </row>
    <row r="563">
      <c r="A563" s="907"/>
      <c r="B563" s="907"/>
      <c r="C563" s="907"/>
      <c r="D563" s="907"/>
      <c r="E563" s="907"/>
      <c r="F563" s="907"/>
      <c r="G563" s="907"/>
      <c r="H563" s="907"/>
      <c r="I563" s="907"/>
      <c r="J563" s="907"/>
      <c r="K563" s="907"/>
      <c r="L563" s="907"/>
    </row>
    <row r="564">
      <c r="A564" s="907"/>
      <c r="B564" s="907"/>
      <c r="C564" s="907"/>
      <c r="D564" s="907"/>
      <c r="E564" s="907"/>
      <c r="F564" s="907"/>
      <c r="G564" s="907"/>
      <c r="H564" s="907"/>
      <c r="I564" s="907"/>
      <c r="J564" s="907"/>
      <c r="K564" s="907"/>
      <c r="L564" s="907"/>
    </row>
    <row r="565">
      <c r="A565" s="907"/>
      <c r="B565" s="907"/>
      <c r="C565" s="907"/>
      <c r="D565" s="907"/>
      <c r="E565" s="907"/>
      <c r="F565" s="907"/>
      <c r="G565" s="907"/>
      <c r="H565" s="907"/>
      <c r="I565" s="907"/>
      <c r="J565" s="907"/>
      <c r="K565" s="907"/>
      <c r="L565" s="907"/>
    </row>
    <row r="566">
      <c r="A566" s="907"/>
      <c r="B566" s="907"/>
      <c r="C566" s="907"/>
      <c r="D566" s="907"/>
      <c r="E566" s="907"/>
      <c r="F566" s="907"/>
      <c r="G566" s="907"/>
      <c r="H566" s="907"/>
      <c r="I566" s="907"/>
      <c r="J566" s="907"/>
      <c r="K566" s="907"/>
      <c r="L566" s="907"/>
    </row>
    <row r="567">
      <c r="A567" s="907"/>
      <c r="B567" s="907"/>
      <c r="C567" s="907"/>
      <c r="D567" s="907"/>
      <c r="E567" s="907"/>
      <c r="F567" s="907"/>
      <c r="G567" s="907"/>
      <c r="H567" s="907"/>
      <c r="I567" s="907"/>
      <c r="J567" s="907"/>
      <c r="K567" s="907"/>
      <c r="L567" s="907"/>
    </row>
    <row r="568">
      <c r="A568" s="907"/>
      <c r="B568" s="907"/>
      <c r="C568" s="907"/>
      <c r="D568" s="907"/>
      <c r="E568" s="907"/>
      <c r="F568" s="907"/>
      <c r="G568" s="907"/>
      <c r="H568" s="907"/>
      <c r="I568" s="907"/>
      <c r="J568" s="907"/>
      <c r="K568" s="907"/>
      <c r="L568" s="907"/>
    </row>
    <row r="569">
      <c r="A569" s="907"/>
      <c r="B569" s="907"/>
      <c r="C569" s="907"/>
      <c r="D569" s="907"/>
      <c r="E569" s="907"/>
      <c r="F569" s="907"/>
      <c r="G569" s="907"/>
      <c r="H569" s="907"/>
      <c r="I569" s="907"/>
      <c r="J569" s="907"/>
      <c r="K569" s="907"/>
      <c r="L569" s="907"/>
    </row>
    <row r="570">
      <c r="A570" s="907"/>
      <c r="B570" s="907"/>
      <c r="C570" s="907"/>
      <c r="D570" s="907"/>
      <c r="E570" s="907"/>
      <c r="F570" s="907"/>
      <c r="G570" s="907"/>
      <c r="H570" s="907"/>
      <c r="I570" s="907"/>
      <c r="J570" s="907"/>
      <c r="K570" s="907"/>
      <c r="L570" s="907"/>
    </row>
    <row r="571">
      <c r="A571" s="907"/>
      <c r="B571" s="907"/>
      <c r="C571" s="907"/>
      <c r="D571" s="907"/>
      <c r="E571" s="907"/>
      <c r="F571" s="907"/>
      <c r="G571" s="907"/>
      <c r="H571" s="907"/>
      <c r="I571" s="907"/>
      <c r="J571" s="907"/>
      <c r="K571" s="907"/>
      <c r="L571" s="907"/>
    </row>
    <row r="572">
      <c r="A572" s="907"/>
      <c r="B572" s="907"/>
      <c r="C572" s="907"/>
      <c r="D572" s="907"/>
      <c r="E572" s="907"/>
      <c r="F572" s="907"/>
      <c r="G572" s="907"/>
      <c r="H572" s="907"/>
      <c r="I572" s="907"/>
      <c r="J572" s="907"/>
      <c r="K572" s="907"/>
      <c r="L572" s="907"/>
    </row>
    <row r="573">
      <c r="A573" s="907"/>
      <c r="B573" s="907"/>
      <c r="C573" s="907"/>
      <c r="D573" s="907"/>
      <c r="E573" s="907"/>
      <c r="F573" s="907"/>
      <c r="G573" s="907"/>
      <c r="H573" s="907"/>
      <c r="I573" s="907"/>
      <c r="J573" s="907"/>
      <c r="K573" s="907"/>
      <c r="L573" s="907"/>
    </row>
    <row r="574">
      <c r="A574" s="907"/>
      <c r="B574" s="907"/>
      <c r="C574" s="907"/>
      <c r="D574" s="907"/>
      <c r="E574" s="907"/>
      <c r="F574" s="907"/>
      <c r="G574" s="907"/>
      <c r="H574" s="907"/>
      <c r="I574" s="907"/>
      <c r="J574" s="907"/>
      <c r="K574" s="907"/>
      <c r="L574" s="907"/>
    </row>
    <row r="575">
      <c r="A575" s="907"/>
      <c r="B575" s="907"/>
      <c r="C575" s="907"/>
      <c r="D575" s="907"/>
      <c r="E575" s="907"/>
      <c r="F575" s="907"/>
      <c r="G575" s="907"/>
      <c r="H575" s="907"/>
      <c r="I575" s="907"/>
      <c r="J575" s="907"/>
      <c r="K575" s="907"/>
      <c r="L575" s="907"/>
    </row>
    <row r="576">
      <c r="A576" s="907"/>
      <c r="B576" s="907"/>
      <c r="C576" s="907"/>
      <c r="D576" s="907"/>
      <c r="E576" s="907"/>
      <c r="F576" s="907"/>
      <c r="G576" s="907"/>
      <c r="H576" s="907"/>
      <c r="I576" s="907"/>
      <c r="J576" s="907"/>
      <c r="K576" s="907"/>
      <c r="L576" s="907"/>
    </row>
    <row r="577">
      <c r="A577" s="907"/>
      <c r="B577" s="907"/>
      <c r="C577" s="907"/>
      <c r="D577" s="907"/>
      <c r="E577" s="907"/>
      <c r="F577" s="907"/>
      <c r="G577" s="907"/>
      <c r="H577" s="907"/>
      <c r="I577" s="907"/>
      <c r="J577" s="907"/>
      <c r="K577" s="907"/>
      <c r="L577" s="907"/>
    </row>
    <row r="578">
      <c r="A578" s="907"/>
      <c r="B578" s="907"/>
      <c r="C578" s="907"/>
      <c r="D578" s="907"/>
      <c r="E578" s="907"/>
      <c r="F578" s="907"/>
      <c r="G578" s="907"/>
      <c r="H578" s="907"/>
      <c r="I578" s="907"/>
      <c r="J578" s="907"/>
      <c r="K578" s="907"/>
      <c r="L578" s="907"/>
    </row>
    <row r="579">
      <c r="A579" s="907"/>
      <c r="B579" s="907"/>
      <c r="C579" s="907"/>
      <c r="D579" s="907"/>
      <c r="E579" s="907"/>
      <c r="F579" s="907"/>
      <c r="G579" s="907"/>
      <c r="H579" s="907"/>
      <c r="I579" s="907"/>
      <c r="J579" s="907"/>
      <c r="K579" s="907"/>
      <c r="L579" s="907"/>
    </row>
    <row r="580">
      <c r="A580" s="907"/>
      <c r="B580" s="907"/>
      <c r="C580" s="907"/>
      <c r="D580" s="907"/>
      <c r="E580" s="907"/>
      <c r="F580" s="907"/>
      <c r="G580" s="907"/>
      <c r="H580" s="907"/>
      <c r="I580" s="907"/>
      <c r="J580" s="907"/>
      <c r="K580" s="907"/>
      <c r="L580" s="907"/>
    </row>
    <row r="581">
      <c r="A581" s="907"/>
      <c r="B581" s="907"/>
      <c r="C581" s="907"/>
      <c r="D581" s="907"/>
      <c r="E581" s="907"/>
      <c r="F581" s="907"/>
      <c r="G581" s="907"/>
      <c r="H581" s="907"/>
      <c r="I581" s="907"/>
      <c r="J581" s="907"/>
      <c r="K581" s="907"/>
      <c r="L581" s="907"/>
    </row>
    <row r="582">
      <c r="A582" s="907"/>
      <c r="B582" s="907"/>
      <c r="C582" s="907"/>
      <c r="D582" s="907"/>
      <c r="E582" s="907"/>
      <c r="F582" s="907"/>
      <c r="G582" s="907"/>
      <c r="H582" s="907"/>
      <c r="I582" s="907"/>
      <c r="J582" s="907"/>
      <c r="K582" s="907"/>
      <c r="L582" s="907"/>
    </row>
    <row r="583">
      <c r="A583" s="907"/>
      <c r="B583" s="907"/>
      <c r="C583" s="907"/>
      <c r="D583" s="907"/>
      <c r="E583" s="907"/>
      <c r="F583" s="907"/>
      <c r="G583" s="907"/>
      <c r="H583" s="907"/>
      <c r="I583" s="907"/>
      <c r="J583" s="907"/>
      <c r="K583" s="907"/>
      <c r="L583" s="907"/>
    </row>
    <row r="584">
      <c r="A584" s="907"/>
      <c r="B584" s="907"/>
      <c r="C584" s="907"/>
      <c r="D584" s="907"/>
      <c r="E584" s="907"/>
      <c r="F584" s="907"/>
      <c r="G584" s="907"/>
      <c r="H584" s="907"/>
      <c r="I584" s="907"/>
      <c r="J584" s="907"/>
      <c r="K584" s="907"/>
      <c r="L584" s="907"/>
    </row>
    <row r="585">
      <c r="A585" s="907"/>
      <c r="B585" s="907"/>
      <c r="C585" s="907"/>
      <c r="D585" s="907"/>
      <c r="E585" s="907"/>
      <c r="F585" s="907"/>
      <c r="G585" s="907"/>
      <c r="H585" s="907"/>
      <c r="I585" s="907"/>
      <c r="J585" s="907"/>
      <c r="K585" s="907"/>
      <c r="L585" s="907"/>
    </row>
    <row r="586">
      <c r="A586" s="907"/>
      <c r="B586" s="907"/>
      <c r="C586" s="907"/>
      <c r="D586" s="907"/>
      <c r="E586" s="907"/>
      <c r="F586" s="907"/>
      <c r="G586" s="907"/>
      <c r="H586" s="907"/>
      <c r="I586" s="907"/>
      <c r="J586" s="907"/>
      <c r="K586" s="907"/>
      <c r="L586" s="907"/>
    </row>
    <row r="587">
      <c r="A587" s="907"/>
      <c r="B587" s="907"/>
      <c r="C587" s="907"/>
      <c r="D587" s="907"/>
      <c r="E587" s="907"/>
      <c r="F587" s="907"/>
      <c r="G587" s="907"/>
      <c r="H587" s="907"/>
      <c r="I587" s="907"/>
      <c r="J587" s="907"/>
      <c r="K587" s="907"/>
      <c r="L587" s="907"/>
    </row>
    <row r="588">
      <c r="A588" s="907"/>
      <c r="B588" s="907"/>
      <c r="C588" s="907"/>
      <c r="D588" s="907"/>
      <c r="E588" s="907"/>
      <c r="F588" s="907"/>
      <c r="G588" s="907"/>
      <c r="H588" s="907"/>
      <c r="I588" s="907"/>
      <c r="J588" s="907"/>
      <c r="K588" s="907"/>
      <c r="L588" s="907"/>
    </row>
    <row r="589">
      <c r="A589" s="907"/>
      <c r="B589" s="907"/>
      <c r="C589" s="907"/>
      <c r="D589" s="907"/>
      <c r="E589" s="907"/>
      <c r="F589" s="907"/>
      <c r="G589" s="907"/>
      <c r="H589" s="907"/>
      <c r="I589" s="907"/>
      <c r="J589" s="907"/>
      <c r="K589" s="907"/>
      <c r="L589" s="907"/>
    </row>
    <row r="590">
      <c r="A590" s="907"/>
      <c r="B590" s="907"/>
      <c r="C590" s="907"/>
      <c r="D590" s="907"/>
      <c r="E590" s="907"/>
      <c r="F590" s="907"/>
      <c r="G590" s="907"/>
      <c r="H590" s="907"/>
      <c r="I590" s="907"/>
      <c r="J590" s="907"/>
      <c r="K590" s="907"/>
      <c r="L590" s="907"/>
    </row>
    <row r="591">
      <c r="A591" s="907"/>
      <c r="B591" s="907"/>
      <c r="C591" s="907"/>
      <c r="D591" s="907"/>
      <c r="E591" s="907"/>
      <c r="F591" s="907"/>
      <c r="G591" s="907"/>
      <c r="H591" s="907"/>
      <c r="I591" s="907"/>
      <c r="J591" s="907"/>
      <c r="K591" s="907"/>
      <c r="L591" s="907"/>
    </row>
    <row r="592">
      <c r="A592" s="907"/>
      <c r="B592" s="907"/>
      <c r="C592" s="907"/>
      <c r="D592" s="907"/>
      <c r="E592" s="907"/>
      <c r="F592" s="907"/>
      <c r="G592" s="907"/>
      <c r="H592" s="907"/>
      <c r="I592" s="907"/>
      <c r="J592" s="907"/>
      <c r="K592" s="907"/>
      <c r="L592" s="907"/>
    </row>
    <row r="593">
      <c r="A593" s="907"/>
      <c r="B593" s="907"/>
      <c r="C593" s="907"/>
      <c r="D593" s="907"/>
      <c r="E593" s="907"/>
      <c r="F593" s="907"/>
      <c r="G593" s="907"/>
      <c r="H593" s="907"/>
      <c r="I593" s="907"/>
      <c r="J593" s="907"/>
      <c r="K593" s="907"/>
      <c r="L593" s="907"/>
    </row>
    <row r="594">
      <c r="A594" s="907"/>
      <c r="B594" s="907"/>
      <c r="C594" s="907"/>
      <c r="D594" s="907"/>
      <c r="E594" s="907"/>
      <c r="F594" s="907"/>
      <c r="G594" s="907"/>
      <c r="H594" s="907"/>
      <c r="I594" s="907"/>
      <c r="J594" s="907"/>
      <c r="K594" s="907"/>
      <c r="L594" s="907"/>
    </row>
    <row r="595">
      <c r="A595" s="907"/>
      <c r="B595" s="907"/>
      <c r="C595" s="907"/>
      <c r="D595" s="907"/>
      <c r="E595" s="907"/>
      <c r="F595" s="907"/>
      <c r="G595" s="907"/>
      <c r="H595" s="907"/>
      <c r="I595" s="907"/>
      <c r="J595" s="907"/>
      <c r="K595" s="907"/>
      <c r="L595" s="907"/>
    </row>
    <row r="596">
      <c r="A596" s="907"/>
      <c r="B596" s="907"/>
      <c r="C596" s="907"/>
      <c r="D596" s="907"/>
      <c r="E596" s="907"/>
      <c r="F596" s="907"/>
      <c r="G596" s="907"/>
      <c r="H596" s="907"/>
      <c r="I596" s="907"/>
      <c r="J596" s="907"/>
      <c r="K596" s="907"/>
      <c r="L596" s="907"/>
    </row>
    <row r="597">
      <c r="A597" s="907"/>
      <c r="B597" s="907"/>
      <c r="C597" s="907"/>
      <c r="D597" s="907"/>
      <c r="E597" s="907"/>
      <c r="F597" s="907"/>
      <c r="G597" s="907"/>
      <c r="H597" s="907"/>
      <c r="I597" s="907"/>
      <c r="J597" s="907"/>
      <c r="K597" s="907"/>
      <c r="L597" s="907"/>
    </row>
    <row r="598">
      <c r="A598" s="907"/>
      <c r="B598" s="907"/>
      <c r="C598" s="907"/>
      <c r="D598" s="907"/>
      <c r="E598" s="907"/>
      <c r="F598" s="907"/>
      <c r="G598" s="907"/>
      <c r="H598" s="907"/>
      <c r="I598" s="907"/>
      <c r="J598" s="907"/>
      <c r="K598" s="907"/>
      <c r="L598" s="907"/>
    </row>
    <row r="599">
      <c r="A599" s="907"/>
      <c r="B599" s="907"/>
      <c r="C599" s="907"/>
      <c r="D599" s="907"/>
      <c r="E599" s="907"/>
      <c r="F599" s="907"/>
      <c r="G599" s="907"/>
      <c r="H599" s="907"/>
      <c r="I599" s="907"/>
      <c r="J599" s="907"/>
      <c r="K599" s="907"/>
      <c r="L599" s="907"/>
    </row>
    <row r="600">
      <c r="A600" s="907"/>
      <c r="B600" s="907"/>
      <c r="C600" s="907"/>
      <c r="D600" s="907"/>
      <c r="E600" s="907"/>
      <c r="F600" s="907"/>
      <c r="G600" s="907"/>
      <c r="H600" s="907"/>
      <c r="I600" s="907"/>
      <c r="J600" s="907"/>
      <c r="K600" s="907"/>
      <c r="L600" s="907"/>
    </row>
    <row r="601">
      <c r="A601" s="907"/>
      <c r="B601" s="907"/>
      <c r="C601" s="907"/>
      <c r="D601" s="907"/>
      <c r="E601" s="907"/>
      <c r="F601" s="907"/>
      <c r="G601" s="907"/>
      <c r="H601" s="907"/>
      <c r="I601" s="907"/>
      <c r="J601" s="907"/>
      <c r="K601" s="907"/>
      <c r="L601" s="907"/>
    </row>
    <row r="602">
      <c r="A602" s="907"/>
      <c r="B602" s="907"/>
      <c r="C602" s="907"/>
      <c r="D602" s="907"/>
      <c r="E602" s="907"/>
      <c r="F602" s="907"/>
      <c r="G602" s="907"/>
      <c r="H602" s="907"/>
      <c r="I602" s="907"/>
      <c r="J602" s="907"/>
      <c r="K602" s="907"/>
      <c r="L602" s="907"/>
    </row>
    <row r="603">
      <c r="A603" s="907"/>
      <c r="B603" s="907"/>
      <c r="C603" s="907"/>
      <c r="D603" s="907"/>
      <c r="E603" s="907"/>
      <c r="F603" s="907"/>
      <c r="G603" s="907"/>
      <c r="H603" s="907"/>
      <c r="I603" s="907"/>
      <c r="J603" s="907"/>
      <c r="K603" s="907"/>
      <c r="L603" s="907"/>
    </row>
    <row r="604">
      <c r="A604" s="907"/>
      <c r="B604" s="907"/>
      <c r="C604" s="907"/>
      <c r="D604" s="907"/>
      <c r="E604" s="907"/>
      <c r="F604" s="907"/>
      <c r="G604" s="907"/>
      <c r="H604" s="907"/>
      <c r="I604" s="907"/>
      <c r="J604" s="907"/>
      <c r="K604" s="907"/>
      <c r="L604" s="907"/>
    </row>
    <row r="605">
      <c r="A605" s="907"/>
      <c r="B605" s="907"/>
      <c r="C605" s="907"/>
      <c r="D605" s="907"/>
      <c r="E605" s="907"/>
      <c r="F605" s="907"/>
      <c r="G605" s="907"/>
      <c r="H605" s="907"/>
      <c r="I605" s="907"/>
      <c r="J605" s="907"/>
      <c r="K605" s="907"/>
      <c r="L605" s="907"/>
    </row>
    <row r="606">
      <c r="A606" s="907"/>
      <c r="B606" s="907"/>
      <c r="C606" s="907"/>
      <c r="D606" s="907"/>
      <c r="E606" s="907"/>
      <c r="F606" s="907"/>
      <c r="G606" s="907"/>
      <c r="H606" s="907"/>
      <c r="I606" s="907"/>
      <c r="J606" s="907"/>
      <c r="K606" s="907"/>
      <c r="L606" s="907"/>
    </row>
    <row r="607">
      <c r="A607" s="907"/>
      <c r="B607" s="907"/>
      <c r="C607" s="907"/>
      <c r="D607" s="907"/>
      <c r="E607" s="907"/>
      <c r="F607" s="907"/>
      <c r="G607" s="907"/>
      <c r="H607" s="907"/>
      <c r="I607" s="907"/>
      <c r="J607" s="907"/>
      <c r="K607" s="907"/>
      <c r="L607" s="907"/>
    </row>
    <row r="608">
      <c r="A608" s="907"/>
      <c r="B608" s="907"/>
      <c r="C608" s="907"/>
      <c r="D608" s="907"/>
      <c r="E608" s="907"/>
      <c r="F608" s="907"/>
      <c r="G608" s="907"/>
      <c r="H608" s="907"/>
      <c r="I608" s="907"/>
      <c r="J608" s="907"/>
      <c r="K608" s="907"/>
      <c r="L608" s="907"/>
    </row>
    <row r="609">
      <c r="A609" s="907"/>
      <c r="B609" s="907"/>
      <c r="C609" s="907"/>
      <c r="D609" s="907"/>
      <c r="E609" s="907"/>
      <c r="F609" s="907"/>
      <c r="G609" s="907"/>
      <c r="H609" s="907"/>
      <c r="I609" s="907"/>
      <c r="J609" s="907"/>
      <c r="K609" s="907"/>
      <c r="L609" s="907"/>
    </row>
    <row r="610">
      <c r="A610" s="907"/>
      <c r="B610" s="907"/>
      <c r="C610" s="907"/>
      <c r="D610" s="907"/>
      <c r="E610" s="907"/>
      <c r="F610" s="907"/>
      <c r="G610" s="907"/>
      <c r="H610" s="907"/>
      <c r="I610" s="907"/>
      <c r="J610" s="907"/>
      <c r="K610" s="907"/>
      <c r="L610" s="907"/>
    </row>
    <row r="611">
      <c r="A611" s="907"/>
      <c r="B611" s="907"/>
      <c r="C611" s="907"/>
      <c r="D611" s="907"/>
      <c r="E611" s="907"/>
      <c r="F611" s="907"/>
      <c r="G611" s="907"/>
      <c r="H611" s="907"/>
      <c r="I611" s="907"/>
      <c r="J611" s="907"/>
      <c r="K611" s="907"/>
      <c r="L611" s="907"/>
    </row>
    <row r="612">
      <c r="A612" s="907"/>
      <c r="B612" s="907"/>
      <c r="C612" s="907"/>
      <c r="D612" s="907"/>
      <c r="E612" s="907"/>
      <c r="F612" s="907"/>
      <c r="G612" s="907"/>
      <c r="H612" s="907"/>
      <c r="I612" s="907"/>
      <c r="J612" s="907"/>
      <c r="K612" s="907"/>
      <c r="L612" s="907"/>
    </row>
    <row r="613">
      <c r="A613" s="907"/>
      <c r="B613" s="907"/>
      <c r="C613" s="907"/>
      <c r="D613" s="907"/>
      <c r="E613" s="907"/>
      <c r="F613" s="907"/>
      <c r="G613" s="907"/>
      <c r="H613" s="907"/>
      <c r="I613" s="907"/>
      <c r="J613" s="907"/>
      <c r="K613" s="907"/>
      <c r="L613" s="907"/>
    </row>
    <row r="614">
      <c r="A614" s="907"/>
      <c r="B614" s="907"/>
      <c r="C614" s="907"/>
      <c r="D614" s="907"/>
      <c r="E614" s="907"/>
      <c r="F614" s="907"/>
      <c r="G614" s="907"/>
      <c r="H614" s="907"/>
      <c r="I614" s="907"/>
      <c r="J614" s="907"/>
      <c r="K614" s="907"/>
      <c r="L614" s="907"/>
    </row>
    <row r="615">
      <c r="A615" s="907"/>
      <c r="B615" s="907"/>
      <c r="C615" s="907"/>
      <c r="D615" s="907"/>
      <c r="E615" s="907"/>
      <c r="F615" s="907"/>
      <c r="G615" s="907"/>
      <c r="H615" s="907"/>
      <c r="I615" s="907"/>
      <c r="J615" s="907"/>
      <c r="K615" s="907"/>
      <c r="L615" s="907"/>
    </row>
    <row r="616">
      <c r="A616" s="907"/>
      <c r="B616" s="907"/>
      <c r="C616" s="907"/>
      <c r="D616" s="907"/>
      <c r="E616" s="907"/>
      <c r="F616" s="907"/>
      <c r="G616" s="907"/>
      <c r="H616" s="907"/>
      <c r="I616" s="907"/>
      <c r="J616" s="907"/>
      <c r="K616" s="907"/>
      <c r="L616" s="907"/>
    </row>
    <row r="617">
      <c r="A617" s="907"/>
      <c r="B617" s="907"/>
      <c r="C617" s="907"/>
      <c r="D617" s="907"/>
      <c r="E617" s="907"/>
      <c r="F617" s="907"/>
      <c r="G617" s="907"/>
      <c r="H617" s="907"/>
      <c r="I617" s="907"/>
      <c r="J617" s="907"/>
      <c r="K617" s="907"/>
      <c r="L617" s="907"/>
    </row>
    <row r="618">
      <c r="A618" s="907"/>
      <c r="B618" s="907"/>
      <c r="C618" s="907"/>
      <c r="D618" s="907"/>
      <c r="E618" s="907"/>
      <c r="F618" s="907"/>
      <c r="G618" s="907"/>
      <c r="H618" s="907"/>
      <c r="I618" s="907"/>
      <c r="J618" s="907"/>
      <c r="K618" s="907"/>
      <c r="L618" s="907"/>
    </row>
    <row r="619">
      <c r="A619" s="907"/>
      <c r="B619" s="907"/>
      <c r="C619" s="907"/>
      <c r="D619" s="907"/>
      <c r="E619" s="907"/>
      <c r="F619" s="907"/>
      <c r="G619" s="907"/>
      <c r="H619" s="907"/>
      <c r="I619" s="907"/>
      <c r="J619" s="907"/>
      <c r="K619" s="907"/>
      <c r="L619" s="907"/>
    </row>
    <row r="620">
      <c r="A620" s="907"/>
      <c r="B620" s="907"/>
      <c r="C620" s="907"/>
      <c r="D620" s="907"/>
      <c r="E620" s="907"/>
      <c r="F620" s="907"/>
      <c r="G620" s="907"/>
      <c r="H620" s="907"/>
      <c r="I620" s="907"/>
      <c r="J620" s="907"/>
      <c r="K620" s="907"/>
      <c r="L620" s="907"/>
    </row>
    <row r="621">
      <c r="A621" s="907"/>
      <c r="B621" s="907"/>
      <c r="C621" s="907"/>
      <c r="D621" s="907"/>
      <c r="E621" s="907"/>
      <c r="F621" s="907"/>
      <c r="G621" s="907"/>
      <c r="H621" s="907"/>
      <c r="I621" s="907"/>
      <c r="J621" s="907"/>
      <c r="K621" s="907"/>
      <c r="L621" s="907"/>
    </row>
    <row r="622">
      <c r="A622" s="907"/>
      <c r="B622" s="907"/>
      <c r="C622" s="907"/>
      <c r="D622" s="907"/>
      <c r="E622" s="907"/>
      <c r="F622" s="907"/>
      <c r="G622" s="907"/>
      <c r="H622" s="907"/>
      <c r="I622" s="907"/>
      <c r="J622" s="907"/>
      <c r="K622" s="907"/>
      <c r="L622" s="907"/>
    </row>
    <row r="623">
      <c r="A623" s="907"/>
      <c r="B623" s="907"/>
      <c r="C623" s="907"/>
      <c r="D623" s="907"/>
      <c r="E623" s="907"/>
      <c r="F623" s="907"/>
      <c r="G623" s="907"/>
      <c r="H623" s="907"/>
      <c r="I623" s="907"/>
      <c r="J623" s="907"/>
      <c r="K623" s="907"/>
      <c r="L623" s="907"/>
    </row>
    <row r="624">
      <c r="A624" s="907"/>
      <c r="B624" s="907"/>
      <c r="C624" s="907"/>
      <c r="D624" s="907"/>
      <c r="E624" s="907"/>
      <c r="F624" s="907"/>
      <c r="G624" s="907"/>
      <c r="H624" s="907"/>
      <c r="I624" s="907"/>
      <c r="J624" s="907"/>
      <c r="K624" s="907"/>
      <c r="L624" s="907"/>
    </row>
    <row r="625">
      <c r="A625" s="907"/>
      <c r="B625" s="907"/>
      <c r="C625" s="907"/>
      <c r="D625" s="907"/>
      <c r="E625" s="907"/>
      <c r="F625" s="907"/>
      <c r="G625" s="907"/>
      <c r="H625" s="907"/>
      <c r="I625" s="907"/>
      <c r="J625" s="907"/>
      <c r="K625" s="907"/>
      <c r="L625" s="907"/>
    </row>
    <row r="626">
      <c r="A626" s="907"/>
      <c r="B626" s="907"/>
      <c r="C626" s="907"/>
      <c r="D626" s="907"/>
      <c r="E626" s="907"/>
      <c r="F626" s="907"/>
      <c r="G626" s="907"/>
      <c r="H626" s="907"/>
      <c r="I626" s="907"/>
      <c r="J626" s="907"/>
      <c r="K626" s="907"/>
      <c r="L626" s="907"/>
    </row>
    <row r="627">
      <c r="A627" s="907"/>
      <c r="B627" s="907"/>
      <c r="C627" s="907"/>
      <c r="D627" s="907"/>
      <c r="E627" s="907"/>
      <c r="F627" s="907"/>
      <c r="G627" s="907"/>
      <c r="H627" s="907"/>
      <c r="I627" s="907"/>
      <c r="J627" s="907"/>
      <c r="K627" s="907"/>
      <c r="L627" s="907"/>
    </row>
    <row r="628">
      <c r="A628" s="907"/>
      <c r="B628" s="907"/>
      <c r="C628" s="907"/>
      <c r="D628" s="907"/>
      <c r="E628" s="907"/>
      <c r="F628" s="907"/>
      <c r="G628" s="907"/>
      <c r="H628" s="907"/>
      <c r="I628" s="907"/>
      <c r="J628" s="907"/>
      <c r="K628" s="907"/>
      <c r="L628" s="907"/>
    </row>
    <row r="629">
      <c r="A629" s="907"/>
      <c r="B629" s="907"/>
      <c r="C629" s="907"/>
      <c r="D629" s="907"/>
      <c r="E629" s="907"/>
      <c r="F629" s="907"/>
      <c r="G629" s="907"/>
      <c r="H629" s="907"/>
      <c r="I629" s="907"/>
      <c r="J629" s="907"/>
      <c r="K629" s="907"/>
      <c r="L629" s="907"/>
    </row>
    <row r="630">
      <c r="A630" s="907"/>
      <c r="B630" s="907"/>
      <c r="C630" s="907"/>
      <c r="D630" s="907"/>
      <c r="E630" s="907"/>
      <c r="F630" s="907"/>
      <c r="G630" s="907"/>
      <c r="H630" s="907"/>
      <c r="I630" s="907"/>
      <c r="J630" s="907"/>
      <c r="K630" s="907"/>
      <c r="L630" s="907"/>
    </row>
    <row r="631">
      <c r="A631" s="907"/>
      <c r="B631" s="907"/>
      <c r="C631" s="907"/>
      <c r="D631" s="907"/>
      <c r="E631" s="907"/>
      <c r="F631" s="907"/>
      <c r="G631" s="907"/>
      <c r="H631" s="907"/>
      <c r="I631" s="907"/>
      <c r="J631" s="907"/>
      <c r="K631" s="907"/>
      <c r="L631" s="907"/>
    </row>
    <row r="632">
      <c r="A632" s="907"/>
      <c r="B632" s="907"/>
      <c r="C632" s="907"/>
      <c r="D632" s="907"/>
      <c r="E632" s="907"/>
      <c r="F632" s="907"/>
      <c r="G632" s="907"/>
      <c r="H632" s="907"/>
      <c r="I632" s="907"/>
      <c r="J632" s="907"/>
      <c r="K632" s="907"/>
      <c r="L632" s="907"/>
    </row>
    <row r="633">
      <c r="A633" s="907"/>
      <c r="B633" s="907"/>
      <c r="C633" s="907"/>
      <c r="D633" s="907"/>
      <c r="E633" s="907"/>
      <c r="F633" s="907"/>
      <c r="G633" s="907"/>
      <c r="H633" s="907"/>
      <c r="I633" s="907"/>
      <c r="J633" s="907"/>
      <c r="K633" s="907"/>
      <c r="L633" s="907"/>
    </row>
    <row r="634">
      <c r="A634" s="907"/>
      <c r="B634" s="907"/>
      <c r="C634" s="907"/>
      <c r="D634" s="907"/>
      <c r="E634" s="907"/>
      <c r="F634" s="907"/>
      <c r="G634" s="907"/>
      <c r="H634" s="907"/>
      <c r="I634" s="907"/>
      <c r="J634" s="907"/>
      <c r="K634" s="907"/>
      <c r="L634" s="907"/>
    </row>
    <row r="635">
      <c r="A635" s="907"/>
      <c r="B635" s="907"/>
      <c r="C635" s="907"/>
      <c r="D635" s="907"/>
      <c r="E635" s="907"/>
      <c r="F635" s="907"/>
      <c r="G635" s="907"/>
      <c r="H635" s="907"/>
      <c r="I635" s="907"/>
      <c r="J635" s="907"/>
      <c r="K635" s="907"/>
      <c r="L635" s="907"/>
    </row>
    <row r="636">
      <c r="A636" s="907"/>
      <c r="B636" s="907"/>
      <c r="C636" s="907"/>
      <c r="D636" s="907"/>
      <c r="E636" s="907"/>
      <c r="F636" s="907"/>
      <c r="G636" s="907"/>
      <c r="H636" s="907"/>
      <c r="I636" s="907"/>
      <c r="J636" s="907"/>
      <c r="K636" s="907"/>
      <c r="L636" s="907"/>
    </row>
    <row r="637">
      <c r="A637" s="907"/>
      <c r="B637" s="907"/>
      <c r="C637" s="907"/>
      <c r="D637" s="907"/>
      <c r="E637" s="907"/>
      <c r="F637" s="907"/>
      <c r="G637" s="907"/>
      <c r="H637" s="907"/>
      <c r="I637" s="907"/>
      <c r="J637" s="907"/>
      <c r="K637" s="907"/>
      <c r="L637" s="907"/>
    </row>
    <row r="638">
      <c r="A638" s="907"/>
      <c r="B638" s="907"/>
      <c r="C638" s="907"/>
      <c r="D638" s="907"/>
      <c r="E638" s="907"/>
      <c r="F638" s="907"/>
      <c r="G638" s="907"/>
      <c r="H638" s="907"/>
      <c r="I638" s="907"/>
      <c r="J638" s="907"/>
      <c r="K638" s="907"/>
      <c r="L638" s="907"/>
    </row>
    <row r="639">
      <c r="A639" s="907"/>
      <c r="B639" s="907"/>
      <c r="C639" s="907"/>
      <c r="D639" s="907"/>
      <c r="E639" s="907"/>
      <c r="F639" s="907"/>
      <c r="G639" s="907"/>
      <c r="H639" s="907"/>
      <c r="I639" s="907"/>
      <c r="J639" s="907"/>
      <c r="K639" s="907"/>
      <c r="L639" s="907"/>
    </row>
    <row r="640">
      <c r="A640" s="907"/>
      <c r="B640" s="907"/>
      <c r="C640" s="907"/>
      <c r="D640" s="907"/>
      <c r="E640" s="907"/>
      <c r="F640" s="907"/>
      <c r="G640" s="907"/>
      <c r="H640" s="907"/>
      <c r="I640" s="907"/>
      <c r="J640" s="907"/>
      <c r="K640" s="907"/>
      <c r="L640" s="907"/>
    </row>
    <row r="641">
      <c r="A641" s="907"/>
      <c r="B641" s="907"/>
      <c r="C641" s="907"/>
      <c r="D641" s="907"/>
      <c r="E641" s="907"/>
      <c r="F641" s="907"/>
      <c r="G641" s="907"/>
      <c r="H641" s="907"/>
      <c r="I641" s="907"/>
      <c r="J641" s="907"/>
      <c r="K641" s="907"/>
      <c r="L641" s="907"/>
    </row>
    <row r="642">
      <c r="A642" s="907"/>
      <c r="B642" s="907"/>
      <c r="C642" s="907"/>
      <c r="D642" s="907"/>
      <c r="E642" s="907"/>
      <c r="F642" s="907"/>
      <c r="G642" s="907"/>
      <c r="H642" s="907"/>
      <c r="I642" s="907"/>
      <c r="J642" s="907"/>
      <c r="K642" s="907"/>
      <c r="L642" s="907"/>
    </row>
    <row r="643">
      <c r="A643" s="907"/>
      <c r="B643" s="907"/>
      <c r="C643" s="907"/>
      <c r="D643" s="907"/>
      <c r="E643" s="907"/>
      <c r="F643" s="907"/>
      <c r="G643" s="907"/>
      <c r="H643" s="907"/>
      <c r="I643" s="907"/>
      <c r="J643" s="907"/>
      <c r="K643" s="907"/>
      <c r="L643" s="907"/>
    </row>
    <row r="644">
      <c r="A644" s="907"/>
      <c r="B644" s="907"/>
      <c r="C644" s="907"/>
      <c r="D644" s="907"/>
      <c r="E644" s="907"/>
      <c r="F644" s="907"/>
      <c r="G644" s="907"/>
      <c r="H644" s="907"/>
      <c r="I644" s="907"/>
      <c r="J644" s="907"/>
      <c r="K644" s="907"/>
      <c r="L644" s="907"/>
    </row>
    <row r="645">
      <c r="A645" s="907"/>
      <c r="B645" s="907"/>
      <c r="C645" s="907"/>
      <c r="D645" s="907"/>
      <c r="E645" s="907"/>
      <c r="F645" s="907"/>
      <c r="G645" s="907"/>
      <c r="H645" s="907"/>
      <c r="I645" s="907"/>
      <c r="J645" s="907"/>
      <c r="K645" s="907"/>
      <c r="L645" s="907"/>
    </row>
    <row r="646">
      <c r="A646" s="907"/>
      <c r="B646" s="907"/>
      <c r="C646" s="907"/>
      <c r="D646" s="907"/>
      <c r="E646" s="907"/>
      <c r="F646" s="907"/>
      <c r="G646" s="907"/>
      <c r="H646" s="907"/>
      <c r="I646" s="907"/>
      <c r="J646" s="907"/>
      <c r="K646" s="907"/>
      <c r="L646" s="907"/>
    </row>
    <row r="647">
      <c r="A647" s="907"/>
      <c r="B647" s="907"/>
      <c r="C647" s="907"/>
      <c r="D647" s="907"/>
      <c r="E647" s="907"/>
      <c r="F647" s="907"/>
      <c r="G647" s="907"/>
      <c r="H647" s="907"/>
      <c r="I647" s="907"/>
      <c r="J647" s="907"/>
      <c r="K647" s="907"/>
      <c r="L647" s="907"/>
    </row>
    <row r="648">
      <c r="A648" s="907"/>
      <c r="B648" s="907"/>
      <c r="C648" s="907"/>
      <c r="D648" s="907"/>
      <c r="E648" s="907"/>
      <c r="F648" s="907"/>
      <c r="G648" s="907"/>
      <c r="H648" s="907"/>
      <c r="I648" s="907"/>
      <c r="J648" s="907"/>
      <c r="K648" s="907"/>
      <c r="L648" s="907"/>
    </row>
    <row r="649">
      <c r="A649" s="907"/>
      <c r="B649" s="907"/>
      <c r="C649" s="907"/>
      <c r="D649" s="907"/>
      <c r="E649" s="907"/>
      <c r="F649" s="907"/>
      <c r="G649" s="907"/>
      <c r="H649" s="907"/>
      <c r="I649" s="907"/>
      <c r="J649" s="907"/>
      <c r="K649" s="907"/>
      <c r="L649" s="907"/>
    </row>
    <row r="650">
      <c r="A650" s="907"/>
      <c r="B650" s="907"/>
      <c r="C650" s="907"/>
      <c r="D650" s="907"/>
      <c r="E650" s="907"/>
      <c r="F650" s="907"/>
      <c r="G650" s="907"/>
      <c r="H650" s="907"/>
      <c r="I650" s="907"/>
      <c r="J650" s="907"/>
      <c r="K650" s="907"/>
      <c r="L650" s="907"/>
    </row>
    <row r="651">
      <c r="A651" s="907"/>
      <c r="B651" s="907"/>
      <c r="C651" s="907"/>
      <c r="D651" s="907"/>
      <c r="E651" s="907"/>
      <c r="F651" s="907"/>
      <c r="G651" s="907"/>
      <c r="H651" s="907"/>
      <c r="I651" s="907"/>
      <c r="J651" s="907"/>
      <c r="K651" s="907"/>
      <c r="L651" s="907"/>
    </row>
    <row r="652">
      <c r="A652" s="907"/>
      <c r="B652" s="907"/>
      <c r="C652" s="907"/>
      <c r="D652" s="907"/>
      <c r="E652" s="907"/>
      <c r="F652" s="907"/>
      <c r="G652" s="907"/>
      <c r="H652" s="907"/>
      <c r="I652" s="907"/>
      <c r="J652" s="907"/>
      <c r="K652" s="907"/>
      <c r="L652" s="907"/>
    </row>
    <row r="653">
      <c r="A653" s="907"/>
      <c r="B653" s="907"/>
      <c r="C653" s="907"/>
      <c r="D653" s="907"/>
      <c r="E653" s="907"/>
      <c r="F653" s="907"/>
      <c r="G653" s="907"/>
      <c r="H653" s="907"/>
      <c r="I653" s="907"/>
      <c r="J653" s="907"/>
      <c r="K653" s="907"/>
      <c r="L653" s="907"/>
    </row>
    <row r="654">
      <c r="A654" s="907"/>
      <c r="B654" s="907"/>
      <c r="C654" s="907"/>
      <c r="D654" s="907"/>
      <c r="E654" s="907"/>
      <c r="F654" s="907"/>
      <c r="G654" s="907"/>
      <c r="H654" s="907"/>
      <c r="I654" s="907"/>
      <c r="J654" s="907"/>
      <c r="K654" s="907"/>
      <c r="L654" s="907"/>
    </row>
    <row r="655">
      <c r="A655" s="907"/>
      <c r="B655" s="907"/>
      <c r="C655" s="907"/>
      <c r="D655" s="907"/>
      <c r="E655" s="907"/>
      <c r="F655" s="907"/>
      <c r="G655" s="907"/>
      <c r="H655" s="907"/>
      <c r="I655" s="907"/>
      <c r="J655" s="907"/>
      <c r="K655" s="907"/>
      <c r="L655" s="907"/>
    </row>
    <row r="656">
      <c r="A656" s="907"/>
      <c r="B656" s="907"/>
      <c r="C656" s="907"/>
      <c r="D656" s="907"/>
      <c r="E656" s="907"/>
      <c r="F656" s="907"/>
      <c r="G656" s="907"/>
      <c r="H656" s="907"/>
      <c r="I656" s="907"/>
      <c r="J656" s="907"/>
      <c r="K656" s="907"/>
      <c r="L656" s="907"/>
    </row>
    <row r="657">
      <c r="A657" s="907"/>
      <c r="B657" s="907"/>
      <c r="C657" s="907"/>
      <c r="D657" s="907"/>
      <c r="E657" s="907"/>
      <c r="F657" s="907"/>
      <c r="G657" s="907"/>
      <c r="H657" s="907"/>
      <c r="I657" s="907"/>
      <c r="J657" s="907"/>
      <c r="K657" s="907"/>
      <c r="L657" s="907"/>
    </row>
    <row r="658">
      <c r="A658" s="907"/>
      <c r="B658" s="907"/>
      <c r="C658" s="907"/>
      <c r="D658" s="907"/>
      <c r="E658" s="907"/>
      <c r="F658" s="907"/>
      <c r="G658" s="907"/>
      <c r="H658" s="907"/>
      <c r="I658" s="907"/>
      <c r="J658" s="907"/>
      <c r="K658" s="907"/>
      <c r="L658" s="907"/>
    </row>
    <row r="659">
      <c r="A659" s="907"/>
      <c r="B659" s="907"/>
      <c r="C659" s="907"/>
      <c r="D659" s="907"/>
      <c r="E659" s="907"/>
      <c r="F659" s="907"/>
      <c r="G659" s="907"/>
      <c r="H659" s="907"/>
      <c r="I659" s="907"/>
      <c r="J659" s="907"/>
      <c r="K659" s="907"/>
      <c r="L659" s="907"/>
    </row>
    <row r="660">
      <c r="A660" s="907"/>
      <c r="B660" s="907"/>
      <c r="C660" s="907"/>
      <c r="D660" s="907"/>
      <c r="E660" s="907"/>
      <c r="F660" s="907"/>
      <c r="G660" s="907"/>
      <c r="H660" s="907"/>
      <c r="I660" s="907"/>
      <c r="J660" s="907"/>
      <c r="K660" s="907"/>
      <c r="L660" s="907"/>
    </row>
    <row r="661">
      <c r="A661" s="907"/>
      <c r="B661" s="907"/>
      <c r="C661" s="907"/>
      <c r="D661" s="907"/>
      <c r="E661" s="907"/>
      <c r="F661" s="907"/>
      <c r="G661" s="907"/>
      <c r="H661" s="907"/>
      <c r="I661" s="907"/>
      <c r="J661" s="907"/>
      <c r="K661" s="907"/>
      <c r="L661" s="907"/>
    </row>
    <row r="662">
      <c r="A662" s="907"/>
      <c r="B662" s="907"/>
      <c r="C662" s="907"/>
      <c r="D662" s="907"/>
      <c r="E662" s="907"/>
      <c r="F662" s="907"/>
      <c r="G662" s="907"/>
      <c r="H662" s="907"/>
      <c r="I662" s="907"/>
      <c r="J662" s="907"/>
      <c r="K662" s="907"/>
      <c r="L662" s="907"/>
    </row>
    <row r="663">
      <c r="A663" s="907"/>
      <c r="B663" s="907"/>
      <c r="C663" s="907"/>
      <c r="D663" s="907"/>
      <c r="E663" s="907"/>
      <c r="F663" s="907"/>
      <c r="G663" s="907"/>
      <c r="H663" s="907"/>
      <c r="I663" s="907"/>
      <c r="J663" s="907"/>
      <c r="K663" s="907"/>
      <c r="L663" s="907"/>
    </row>
    <row r="664">
      <c r="A664" s="907"/>
      <c r="B664" s="907"/>
      <c r="C664" s="907"/>
      <c r="D664" s="907"/>
      <c r="E664" s="907"/>
      <c r="F664" s="907"/>
      <c r="G664" s="907"/>
      <c r="H664" s="907"/>
      <c r="I664" s="907"/>
      <c r="J664" s="907"/>
      <c r="K664" s="907"/>
      <c r="L664" s="907"/>
    </row>
    <row r="665">
      <c r="A665" s="907"/>
      <c r="B665" s="907"/>
      <c r="C665" s="907"/>
      <c r="D665" s="907"/>
      <c r="E665" s="907"/>
      <c r="F665" s="907"/>
      <c r="G665" s="907"/>
      <c r="H665" s="907"/>
      <c r="I665" s="907"/>
      <c r="J665" s="907"/>
      <c r="K665" s="907"/>
      <c r="L665" s="907"/>
    </row>
    <row r="666">
      <c r="A666" s="907"/>
      <c r="B666" s="907"/>
      <c r="C666" s="907"/>
      <c r="D666" s="907"/>
      <c r="E666" s="907"/>
      <c r="F666" s="907"/>
      <c r="G666" s="907"/>
      <c r="H666" s="907"/>
      <c r="I666" s="907"/>
      <c r="J666" s="907"/>
      <c r="K666" s="907"/>
      <c r="L666" s="907"/>
    </row>
    <row r="667">
      <c r="A667" s="907"/>
      <c r="B667" s="907"/>
      <c r="C667" s="907"/>
      <c r="D667" s="907"/>
      <c r="E667" s="907"/>
      <c r="F667" s="907"/>
      <c r="G667" s="907"/>
      <c r="H667" s="907"/>
      <c r="I667" s="907"/>
      <c r="J667" s="907"/>
      <c r="K667" s="907"/>
      <c r="L667" s="907"/>
    </row>
    <row r="668">
      <c r="A668" s="907"/>
      <c r="B668" s="907"/>
      <c r="C668" s="907"/>
      <c r="D668" s="907"/>
      <c r="E668" s="907"/>
      <c r="F668" s="907"/>
      <c r="G668" s="907"/>
      <c r="H668" s="907"/>
      <c r="I668" s="907"/>
      <c r="J668" s="907"/>
      <c r="K668" s="907"/>
      <c r="L668" s="907"/>
    </row>
    <row r="669">
      <c r="A669" s="907"/>
      <c r="B669" s="907"/>
      <c r="C669" s="907"/>
      <c r="D669" s="907"/>
      <c r="E669" s="907"/>
      <c r="F669" s="907"/>
      <c r="G669" s="907"/>
      <c r="H669" s="907"/>
      <c r="I669" s="907"/>
      <c r="J669" s="907"/>
      <c r="K669" s="907"/>
      <c r="L669" s="907"/>
    </row>
    <row r="670">
      <c r="A670" s="907"/>
      <c r="B670" s="907"/>
      <c r="C670" s="907"/>
      <c r="D670" s="907"/>
      <c r="E670" s="907"/>
      <c r="F670" s="907"/>
      <c r="G670" s="907"/>
      <c r="H670" s="907"/>
      <c r="I670" s="907"/>
      <c r="J670" s="907"/>
      <c r="K670" s="907"/>
      <c r="L670" s="907"/>
    </row>
    <row r="671">
      <c r="A671" s="907"/>
      <c r="B671" s="907"/>
      <c r="C671" s="907"/>
      <c r="D671" s="907"/>
      <c r="E671" s="907"/>
      <c r="F671" s="907"/>
      <c r="G671" s="907"/>
      <c r="H671" s="907"/>
      <c r="I671" s="907"/>
      <c r="J671" s="907"/>
      <c r="K671" s="907"/>
      <c r="L671" s="907"/>
    </row>
    <row r="672">
      <c r="A672" s="907"/>
      <c r="B672" s="907"/>
      <c r="C672" s="907"/>
      <c r="D672" s="907"/>
      <c r="E672" s="907"/>
      <c r="F672" s="907"/>
      <c r="G672" s="907"/>
      <c r="H672" s="907"/>
      <c r="I672" s="907"/>
      <c r="J672" s="907"/>
      <c r="K672" s="907"/>
      <c r="L672" s="907"/>
    </row>
    <row r="673">
      <c r="A673" s="907"/>
      <c r="B673" s="907"/>
      <c r="C673" s="907"/>
      <c r="D673" s="907"/>
      <c r="E673" s="907"/>
      <c r="F673" s="907"/>
      <c r="G673" s="907"/>
      <c r="H673" s="907"/>
      <c r="I673" s="907"/>
      <c r="J673" s="907"/>
      <c r="K673" s="907"/>
      <c r="L673" s="907"/>
    </row>
    <row r="674">
      <c r="A674" s="907"/>
      <c r="B674" s="907"/>
      <c r="C674" s="907"/>
      <c r="D674" s="907"/>
      <c r="E674" s="907"/>
      <c r="F674" s="907"/>
      <c r="G674" s="907"/>
      <c r="H674" s="907"/>
      <c r="I674" s="907"/>
      <c r="J674" s="907"/>
      <c r="K674" s="907"/>
      <c r="L674" s="907"/>
    </row>
    <row r="675">
      <c r="A675" s="907"/>
      <c r="B675" s="907"/>
      <c r="C675" s="907"/>
      <c r="D675" s="907"/>
      <c r="E675" s="907"/>
      <c r="F675" s="907"/>
      <c r="G675" s="907"/>
      <c r="H675" s="907"/>
      <c r="I675" s="907"/>
      <c r="J675" s="907"/>
      <c r="K675" s="907"/>
      <c r="L675" s="907"/>
    </row>
    <row r="676">
      <c r="A676" s="907"/>
      <c r="B676" s="907"/>
      <c r="C676" s="907"/>
      <c r="D676" s="907"/>
      <c r="E676" s="907"/>
      <c r="F676" s="907"/>
      <c r="G676" s="907"/>
      <c r="H676" s="907"/>
      <c r="I676" s="907"/>
      <c r="J676" s="907"/>
      <c r="K676" s="907"/>
      <c r="L676" s="907"/>
    </row>
    <row r="677">
      <c r="A677" s="907"/>
      <c r="B677" s="907"/>
      <c r="C677" s="907"/>
      <c r="D677" s="907"/>
      <c r="E677" s="907"/>
      <c r="F677" s="907"/>
      <c r="G677" s="907"/>
      <c r="H677" s="907"/>
      <c r="I677" s="907"/>
      <c r="J677" s="907"/>
      <c r="K677" s="907"/>
      <c r="L677" s="907"/>
    </row>
    <row r="678">
      <c r="A678" s="907"/>
      <c r="B678" s="907"/>
      <c r="C678" s="907"/>
      <c r="D678" s="907"/>
      <c r="E678" s="907"/>
      <c r="F678" s="907"/>
      <c r="G678" s="907"/>
      <c r="H678" s="907"/>
      <c r="I678" s="907"/>
      <c r="J678" s="907"/>
      <c r="K678" s="907"/>
      <c r="L678" s="907"/>
    </row>
    <row r="679">
      <c r="A679" s="907"/>
      <c r="B679" s="907"/>
      <c r="C679" s="907"/>
      <c r="D679" s="907"/>
      <c r="E679" s="907"/>
      <c r="F679" s="907"/>
      <c r="G679" s="907"/>
      <c r="H679" s="907"/>
      <c r="I679" s="907"/>
      <c r="J679" s="907"/>
      <c r="K679" s="907"/>
      <c r="L679" s="907"/>
    </row>
    <row r="680">
      <c r="A680" s="907"/>
      <c r="B680" s="907"/>
      <c r="C680" s="907"/>
      <c r="D680" s="907"/>
      <c r="E680" s="907"/>
      <c r="F680" s="907"/>
      <c r="G680" s="907"/>
      <c r="H680" s="907"/>
      <c r="I680" s="907"/>
      <c r="J680" s="907"/>
      <c r="K680" s="907"/>
      <c r="L680" s="907"/>
    </row>
    <row r="681">
      <c r="A681" s="907"/>
      <c r="B681" s="907"/>
      <c r="C681" s="907"/>
      <c r="D681" s="907"/>
      <c r="E681" s="907"/>
      <c r="F681" s="907"/>
      <c r="G681" s="907"/>
      <c r="H681" s="907"/>
      <c r="I681" s="907"/>
      <c r="J681" s="907"/>
      <c r="K681" s="907"/>
      <c r="L681" s="907"/>
    </row>
    <row r="682">
      <c r="A682" s="907"/>
      <c r="B682" s="907"/>
      <c r="C682" s="907"/>
      <c r="D682" s="907"/>
      <c r="E682" s="907"/>
      <c r="F682" s="907"/>
      <c r="G682" s="907"/>
      <c r="H682" s="907"/>
      <c r="I682" s="907"/>
      <c r="J682" s="907"/>
      <c r="K682" s="907"/>
      <c r="L682" s="907"/>
    </row>
    <row r="683">
      <c r="A683" s="907"/>
      <c r="B683" s="907"/>
      <c r="C683" s="907"/>
      <c r="D683" s="907"/>
      <c r="E683" s="907"/>
      <c r="F683" s="907"/>
      <c r="G683" s="907"/>
      <c r="H683" s="907"/>
      <c r="I683" s="907"/>
      <c r="J683" s="907"/>
      <c r="K683" s="907"/>
      <c r="L683" s="907"/>
    </row>
    <row r="684">
      <c r="A684" s="907"/>
      <c r="B684" s="907"/>
      <c r="C684" s="907"/>
      <c r="D684" s="907"/>
      <c r="E684" s="907"/>
      <c r="F684" s="907"/>
      <c r="G684" s="907"/>
      <c r="H684" s="907"/>
      <c r="I684" s="907"/>
      <c r="J684" s="907"/>
      <c r="K684" s="907"/>
      <c r="L684" s="907"/>
    </row>
    <row r="685">
      <c r="A685" s="907"/>
      <c r="B685" s="907"/>
      <c r="C685" s="907"/>
      <c r="D685" s="907"/>
      <c r="E685" s="907"/>
      <c r="F685" s="907"/>
      <c r="G685" s="907"/>
      <c r="H685" s="907"/>
      <c r="I685" s="907"/>
      <c r="J685" s="907"/>
      <c r="K685" s="907"/>
      <c r="L685" s="907"/>
    </row>
    <row r="686">
      <c r="A686" s="907"/>
      <c r="B686" s="907"/>
      <c r="C686" s="907"/>
      <c r="D686" s="907"/>
      <c r="E686" s="907"/>
      <c r="F686" s="907"/>
      <c r="G686" s="907"/>
      <c r="H686" s="907"/>
      <c r="I686" s="907"/>
      <c r="J686" s="907"/>
      <c r="K686" s="907"/>
      <c r="L686" s="907"/>
    </row>
    <row r="687">
      <c r="A687" s="907"/>
      <c r="B687" s="907"/>
      <c r="C687" s="907"/>
      <c r="D687" s="907"/>
      <c r="E687" s="907"/>
      <c r="F687" s="907"/>
      <c r="G687" s="907"/>
      <c r="H687" s="907"/>
      <c r="I687" s="907"/>
      <c r="J687" s="907"/>
      <c r="K687" s="907"/>
      <c r="L687" s="907"/>
    </row>
    <row r="688">
      <c r="A688" s="907"/>
      <c r="B688" s="907"/>
      <c r="C688" s="907"/>
      <c r="D688" s="907"/>
      <c r="E688" s="907"/>
      <c r="F688" s="907"/>
      <c r="G688" s="907"/>
      <c r="H688" s="907"/>
      <c r="I688" s="907"/>
      <c r="J688" s="907"/>
      <c r="K688" s="907"/>
      <c r="L688" s="907"/>
    </row>
    <row r="689">
      <c r="A689" s="907"/>
      <c r="B689" s="907"/>
      <c r="C689" s="907"/>
      <c r="D689" s="907"/>
      <c r="E689" s="907"/>
      <c r="F689" s="907"/>
      <c r="G689" s="907"/>
      <c r="H689" s="907"/>
      <c r="I689" s="907"/>
      <c r="J689" s="907"/>
      <c r="K689" s="907"/>
      <c r="L689" s="907"/>
    </row>
    <row r="690">
      <c r="A690" s="907"/>
      <c r="B690" s="907"/>
      <c r="C690" s="907"/>
      <c r="D690" s="907"/>
      <c r="E690" s="907"/>
      <c r="F690" s="907"/>
      <c r="G690" s="907"/>
      <c r="H690" s="907"/>
      <c r="I690" s="907"/>
      <c r="J690" s="907"/>
      <c r="K690" s="907"/>
      <c r="L690" s="907"/>
    </row>
    <row r="691">
      <c r="A691" s="907"/>
      <c r="B691" s="907"/>
      <c r="C691" s="907"/>
      <c r="D691" s="907"/>
      <c r="E691" s="907"/>
      <c r="F691" s="907"/>
      <c r="G691" s="907"/>
      <c r="H691" s="907"/>
      <c r="I691" s="907"/>
      <c r="J691" s="907"/>
      <c r="K691" s="907"/>
      <c r="L691" s="907"/>
    </row>
    <row r="692">
      <c r="A692" s="907"/>
      <c r="B692" s="907"/>
      <c r="C692" s="907"/>
      <c r="D692" s="907"/>
      <c r="E692" s="907"/>
      <c r="F692" s="907"/>
      <c r="G692" s="907"/>
      <c r="H692" s="907"/>
      <c r="I692" s="907"/>
      <c r="J692" s="907"/>
      <c r="K692" s="907"/>
      <c r="L692" s="907"/>
    </row>
    <row r="693">
      <c r="A693" s="907"/>
      <c r="B693" s="907"/>
      <c r="C693" s="907"/>
      <c r="D693" s="907"/>
      <c r="E693" s="907"/>
      <c r="F693" s="907"/>
      <c r="G693" s="907"/>
      <c r="H693" s="907"/>
      <c r="I693" s="907"/>
      <c r="J693" s="907"/>
      <c r="K693" s="907"/>
      <c r="L693" s="907"/>
    </row>
    <row r="694">
      <c r="A694" s="907"/>
      <c r="B694" s="907"/>
      <c r="C694" s="907"/>
      <c r="D694" s="907"/>
      <c r="E694" s="907"/>
      <c r="F694" s="907"/>
      <c r="G694" s="907"/>
      <c r="H694" s="907"/>
      <c r="I694" s="907"/>
      <c r="J694" s="907"/>
      <c r="K694" s="907"/>
      <c r="L694" s="907"/>
    </row>
    <row r="695">
      <c r="A695" s="907"/>
      <c r="B695" s="907"/>
      <c r="C695" s="907"/>
      <c r="D695" s="907"/>
      <c r="E695" s="907"/>
      <c r="F695" s="907"/>
      <c r="G695" s="907"/>
      <c r="H695" s="907"/>
      <c r="I695" s="907"/>
      <c r="J695" s="907"/>
      <c r="K695" s="907"/>
      <c r="L695" s="907"/>
    </row>
    <row r="696">
      <c r="A696" s="907"/>
      <c r="B696" s="907"/>
      <c r="C696" s="907"/>
      <c r="D696" s="907"/>
      <c r="E696" s="907"/>
      <c r="F696" s="907"/>
      <c r="G696" s="907"/>
      <c r="H696" s="907"/>
      <c r="I696" s="907"/>
      <c r="J696" s="907"/>
      <c r="K696" s="907"/>
      <c r="L696" s="907"/>
    </row>
    <row r="697">
      <c r="A697" s="907"/>
      <c r="B697" s="907"/>
      <c r="C697" s="907"/>
      <c r="D697" s="907"/>
      <c r="E697" s="907"/>
      <c r="F697" s="907"/>
      <c r="G697" s="907"/>
      <c r="H697" s="907"/>
      <c r="I697" s="907"/>
      <c r="J697" s="907"/>
      <c r="K697" s="907"/>
      <c r="L697" s="907"/>
    </row>
    <row r="698">
      <c r="A698" s="907"/>
      <c r="B698" s="907"/>
      <c r="C698" s="907"/>
      <c r="D698" s="907"/>
      <c r="E698" s="907"/>
      <c r="F698" s="907"/>
      <c r="G698" s="907"/>
      <c r="H698" s="907"/>
      <c r="I698" s="907"/>
      <c r="J698" s="907"/>
      <c r="K698" s="907"/>
      <c r="L698" s="907"/>
    </row>
    <row r="699">
      <c r="A699" s="907"/>
      <c r="B699" s="907"/>
      <c r="C699" s="907"/>
      <c r="D699" s="907"/>
      <c r="E699" s="907"/>
      <c r="F699" s="907"/>
      <c r="G699" s="907"/>
      <c r="H699" s="907"/>
      <c r="I699" s="907"/>
      <c r="J699" s="907"/>
      <c r="K699" s="907"/>
      <c r="L699" s="907"/>
    </row>
    <row r="700">
      <c r="A700" s="907"/>
      <c r="B700" s="907"/>
      <c r="C700" s="907"/>
      <c r="D700" s="907"/>
      <c r="E700" s="907"/>
      <c r="F700" s="907"/>
      <c r="G700" s="907"/>
      <c r="H700" s="907"/>
      <c r="I700" s="907"/>
      <c r="J700" s="907"/>
      <c r="K700" s="907"/>
      <c r="L700" s="907"/>
    </row>
    <row r="701">
      <c r="A701" s="907"/>
      <c r="B701" s="907"/>
      <c r="C701" s="907"/>
      <c r="D701" s="907"/>
      <c r="E701" s="907"/>
      <c r="F701" s="907"/>
      <c r="G701" s="907"/>
      <c r="H701" s="907"/>
      <c r="I701" s="907"/>
      <c r="J701" s="907"/>
      <c r="K701" s="907"/>
      <c r="L701" s="907"/>
    </row>
    <row r="702">
      <c r="A702" s="907"/>
      <c r="B702" s="907"/>
      <c r="C702" s="907"/>
      <c r="D702" s="907"/>
      <c r="E702" s="907"/>
      <c r="F702" s="907"/>
      <c r="G702" s="907"/>
      <c r="H702" s="907"/>
      <c r="I702" s="907"/>
      <c r="J702" s="907"/>
      <c r="K702" s="907"/>
      <c r="L702" s="907"/>
    </row>
    <row r="703">
      <c r="A703" s="907"/>
      <c r="B703" s="907"/>
      <c r="C703" s="907"/>
      <c r="D703" s="907"/>
      <c r="E703" s="907"/>
      <c r="F703" s="907"/>
      <c r="G703" s="907"/>
      <c r="H703" s="907"/>
      <c r="I703" s="907"/>
      <c r="J703" s="907"/>
      <c r="K703" s="907"/>
      <c r="L703" s="907"/>
    </row>
    <row r="704">
      <c r="A704" s="907"/>
      <c r="B704" s="907"/>
      <c r="C704" s="907"/>
      <c r="D704" s="907"/>
      <c r="E704" s="907"/>
      <c r="F704" s="907"/>
      <c r="G704" s="907"/>
      <c r="H704" s="907"/>
      <c r="I704" s="907"/>
      <c r="J704" s="907"/>
      <c r="K704" s="907"/>
      <c r="L704" s="907"/>
    </row>
    <row r="705">
      <c r="A705" s="907"/>
      <c r="B705" s="907"/>
      <c r="C705" s="907"/>
      <c r="D705" s="907"/>
      <c r="E705" s="907"/>
      <c r="F705" s="907"/>
      <c r="G705" s="907"/>
      <c r="H705" s="907"/>
      <c r="I705" s="907"/>
      <c r="J705" s="907"/>
      <c r="K705" s="907"/>
      <c r="L705" s="907"/>
    </row>
    <row r="706">
      <c r="A706" s="907"/>
      <c r="B706" s="907"/>
      <c r="C706" s="907"/>
      <c r="D706" s="907"/>
      <c r="E706" s="907"/>
      <c r="F706" s="907"/>
      <c r="G706" s="907"/>
      <c r="H706" s="907"/>
      <c r="I706" s="907"/>
      <c r="J706" s="907"/>
      <c r="K706" s="907"/>
      <c r="L706" s="907"/>
    </row>
    <row r="707">
      <c r="A707" s="907"/>
      <c r="B707" s="907"/>
      <c r="C707" s="907"/>
      <c r="D707" s="907"/>
      <c r="E707" s="907"/>
      <c r="F707" s="907"/>
      <c r="G707" s="907"/>
      <c r="H707" s="907"/>
      <c r="I707" s="907"/>
      <c r="J707" s="907"/>
      <c r="K707" s="907"/>
      <c r="L707" s="907"/>
    </row>
    <row r="708">
      <c r="A708" s="907"/>
      <c r="B708" s="907"/>
      <c r="C708" s="907"/>
      <c r="D708" s="907"/>
      <c r="E708" s="907"/>
      <c r="F708" s="907"/>
      <c r="G708" s="907"/>
      <c r="H708" s="907"/>
      <c r="I708" s="907"/>
      <c r="J708" s="907"/>
      <c r="K708" s="907"/>
      <c r="L708" s="907"/>
    </row>
    <row r="709">
      <c r="A709" s="907"/>
      <c r="B709" s="907"/>
      <c r="C709" s="907"/>
      <c r="D709" s="907"/>
      <c r="E709" s="907"/>
      <c r="F709" s="907"/>
      <c r="G709" s="907"/>
      <c r="H709" s="907"/>
      <c r="I709" s="907"/>
      <c r="J709" s="907"/>
      <c r="K709" s="907"/>
      <c r="L709" s="907"/>
    </row>
    <row r="710">
      <c r="A710" s="907"/>
      <c r="B710" s="907"/>
      <c r="C710" s="907"/>
      <c r="D710" s="907"/>
      <c r="E710" s="907"/>
      <c r="F710" s="907"/>
      <c r="G710" s="907"/>
      <c r="H710" s="907"/>
      <c r="I710" s="907"/>
      <c r="J710" s="907"/>
      <c r="K710" s="907"/>
      <c r="L710" s="907"/>
    </row>
    <row r="711">
      <c r="A711" s="907"/>
      <c r="B711" s="907"/>
      <c r="C711" s="907"/>
      <c r="D711" s="907"/>
      <c r="E711" s="907"/>
      <c r="F711" s="907"/>
      <c r="G711" s="907"/>
      <c r="H711" s="907"/>
      <c r="I711" s="907"/>
      <c r="J711" s="907"/>
      <c r="K711" s="907"/>
      <c r="L711" s="907"/>
    </row>
    <row r="712">
      <c r="A712" s="907"/>
      <c r="B712" s="907"/>
      <c r="C712" s="907"/>
      <c r="D712" s="907"/>
      <c r="E712" s="907"/>
      <c r="F712" s="907"/>
      <c r="G712" s="907"/>
      <c r="H712" s="907"/>
      <c r="I712" s="907"/>
      <c r="J712" s="907"/>
      <c r="K712" s="907"/>
      <c r="L712" s="907"/>
    </row>
    <row r="713">
      <c r="A713" s="907"/>
      <c r="B713" s="907"/>
      <c r="C713" s="907"/>
      <c r="D713" s="907"/>
      <c r="E713" s="907"/>
      <c r="F713" s="907"/>
      <c r="G713" s="907"/>
      <c r="H713" s="907"/>
      <c r="I713" s="907"/>
      <c r="J713" s="907"/>
      <c r="K713" s="907"/>
      <c r="L713" s="907"/>
    </row>
    <row r="714">
      <c r="A714" s="907"/>
      <c r="B714" s="907"/>
      <c r="C714" s="907"/>
      <c r="D714" s="907"/>
      <c r="E714" s="907"/>
      <c r="F714" s="907"/>
      <c r="G714" s="907"/>
      <c r="H714" s="907"/>
      <c r="I714" s="907"/>
      <c r="J714" s="907"/>
      <c r="K714" s="907"/>
      <c r="L714" s="907"/>
    </row>
    <row r="715">
      <c r="A715" s="907"/>
      <c r="B715" s="907"/>
      <c r="C715" s="907"/>
      <c r="D715" s="907"/>
      <c r="E715" s="907"/>
      <c r="F715" s="907"/>
      <c r="G715" s="907"/>
      <c r="H715" s="907"/>
      <c r="I715" s="907"/>
      <c r="J715" s="907"/>
      <c r="K715" s="907"/>
      <c r="L715" s="907"/>
    </row>
    <row r="716">
      <c r="A716" s="907"/>
      <c r="B716" s="907"/>
      <c r="C716" s="907"/>
      <c r="D716" s="907"/>
      <c r="E716" s="907"/>
      <c r="F716" s="907"/>
      <c r="G716" s="907"/>
      <c r="H716" s="907"/>
      <c r="I716" s="907"/>
      <c r="J716" s="907"/>
      <c r="K716" s="907"/>
      <c r="L716" s="907"/>
    </row>
    <row r="717">
      <c r="A717" s="907"/>
      <c r="B717" s="907"/>
      <c r="C717" s="907"/>
      <c r="D717" s="907"/>
      <c r="E717" s="907"/>
      <c r="F717" s="907"/>
      <c r="G717" s="907"/>
      <c r="H717" s="907"/>
      <c r="I717" s="907"/>
      <c r="J717" s="907"/>
      <c r="K717" s="907"/>
      <c r="L717" s="907"/>
    </row>
    <row r="718">
      <c r="A718" s="907"/>
      <c r="B718" s="907"/>
      <c r="C718" s="907"/>
      <c r="D718" s="907"/>
      <c r="E718" s="907"/>
      <c r="F718" s="907"/>
      <c r="G718" s="907"/>
      <c r="H718" s="907"/>
      <c r="I718" s="907"/>
      <c r="J718" s="907"/>
      <c r="K718" s="907"/>
      <c r="L718" s="907"/>
    </row>
    <row r="719">
      <c r="A719" s="907"/>
      <c r="B719" s="907"/>
      <c r="C719" s="907"/>
      <c r="D719" s="907"/>
      <c r="E719" s="907"/>
      <c r="F719" s="907"/>
      <c r="G719" s="907"/>
      <c r="H719" s="907"/>
      <c r="I719" s="907"/>
      <c r="J719" s="907"/>
      <c r="K719" s="907"/>
      <c r="L719" s="907"/>
    </row>
    <row r="720">
      <c r="A720" s="907"/>
      <c r="B720" s="907"/>
      <c r="C720" s="907"/>
      <c r="D720" s="907"/>
      <c r="E720" s="907"/>
      <c r="F720" s="907"/>
      <c r="G720" s="907"/>
      <c r="H720" s="907"/>
      <c r="I720" s="907"/>
      <c r="J720" s="907"/>
      <c r="K720" s="907"/>
      <c r="L720" s="907"/>
    </row>
    <row r="721">
      <c r="A721" s="907"/>
      <c r="B721" s="907"/>
      <c r="C721" s="907"/>
      <c r="D721" s="907"/>
      <c r="E721" s="907"/>
      <c r="F721" s="907"/>
      <c r="G721" s="907"/>
      <c r="H721" s="907"/>
      <c r="I721" s="907"/>
      <c r="J721" s="907"/>
      <c r="K721" s="907"/>
      <c r="L721" s="907"/>
    </row>
    <row r="722">
      <c r="A722" s="907"/>
      <c r="B722" s="907"/>
      <c r="C722" s="907"/>
      <c r="D722" s="907"/>
      <c r="E722" s="907"/>
      <c r="F722" s="907"/>
      <c r="G722" s="907"/>
      <c r="H722" s="907"/>
      <c r="I722" s="907"/>
      <c r="J722" s="907"/>
      <c r="K722" s="907"/>
      <c r="L722" s="907"/>
    </row>
    <row r="723">
      <c r="A723" s="907"/>
      <c r="B723" s="907"/>
      <c r="C723" s="907"/>
      <c r="D723" s="907"/>
      <c r="E723" s="907"/>
      <c r="F723" s="907"/>
      <c r="G723" s="907"/>
      <c r="H723" s="907"/>
      <c r="I723" s="907"/>
      <c r="J723" s="907"/>
      <c r="K723" s="907"/>
      <c r="L723" s="907"/>
    </row>
    <row r="724">
      <c r="A724" s="907"/>
      <c r="B724" s="907"/>
      <c r="C724" s="907"/>
      <c r="D724" s="907"/>
      <c r="E724" s="907"/>
      <c r="F724" s="907"/>
      <c r="G724" s="907"/>
      <c r="H724" s="907"/>
      <c r="I724" s="907"/>
      <c r="J724" s="907"/>
      <c r="K724" s="907"/>
      <c r="L724" s="907"/>
    </row>
    <row r="725">
      <c r="A725" s="907"/>
      <c r="B725" s="907"/>
      <c r="C725" s="907"/>
      <c r="D725" s="907"/>
      <c r="E725" s="907"/>
      <c r="F725" s="907"/>
      <c r="G725" s="907"/>
      <c r="H725" s="907"/>
      <c r="I725" s="907"/>
      <c r="J725" s="907"/>
      <c r="K725" s="907"/>
      <c r="L725" s="907"/>
    </row>
    <row r="726">
      <c r="A726" s="907"/>
      <c r="B726" s="907"/>
      <c r="C726" s="907"/>
      <c r="D726" s="907"/>
      <c r="E726" s="907"/>
      <c r="F726" s="907"/>
      <c r="G726" s="907"/>
      <c r="H726" s="907"/>
      <c r="I726" s="907"/>
      <c r="J726" s="907"/>
      <c r="K726" s="907"/>
      <c r="L726" s="907"/>
    </row>
    <row r="727">
      <c r="A727" s="907"/>
      <c r="B727" s="907"/>
      <c r="C727" s="907"/>
      <c r="D727" s="907"/>
      <c r="E727" s="907"/>
      <c r="F727" s="907"/>
      <c r="G727" s="907"/>
      <c r="H727" s="907"/>
      <c r="I727" s="907"/>
      <c r="J727" s="907"/>
      <c r="K727" s="907"/>
      <c r="L727" s="907"/>
    </row>
    <row r="728">
      <c r="A728" s="907"/>
      <c r="B728" s="907"/>
      <c r="C728" s="907"/>
      <c r="D728" s="907"/>
      <c r="E728" s="907"/>
      <c r="F728" s="907"/>
      <c r="G728" s="907"/>
      <c r="H728" s="907"/>
      <c r="I728" s="907"/>
      <c r="J728" s="907"/>
      <c r="K728" s="907"/>
      <c r="L728" s="907"/>
    </row>
    <row r="729">
      <c r="A729" s="907"/>
      <c r="B729" s="907"/>
      <c r="C729" s="907"/>
      <c r="D729" s="907"/>
      <c r="E729" s="907"/>
      <c r="F729" s="907"/>
      <c r="G729" s="907"/>
      <c r="H729" s="907"/>
      <c r="I729" s="907"/>
      <c r="J729" s="907"/>
      <c r="K729" s="907"/>
      <c r="L729" s="907"/>
    </row>
    <row r="730">
      <c r="A730" s="907"/>
      <c r="B730" s="907"/>
      <c r="C730" s="907"/>
      <c r="D730" s="907"/>
      <c r="E730" s="907"/>
      <c r="F730" s="907"/>
      <c r="G730" s="907"/>
      <c r="H730" s="907"/>
      <c r="I730" s="907"/>
      <c r="J730" s="907"/>
      <c r="K730" s="907"/>
      <c r="L730" s="907"/>
    </row>
    <row r="731">
      <c r="A731" s="907"/>
      <c r="B731" s="907"/>
      <c r="C731" s="907"/>
      <c r="D731" s="907"/>
      <c r="E731" s="907"/>
      <c r="F731" s="907"/>
      <c r="G731" s="907"/>
      <c r="H731" s="907"/>
      <c r="I731" s="907"/>
      <c r="J731" s="907"/>
      <c r="K731" s="907"/>
      <c r="L731" s="907"/>
    </row>
    <row r="732">
      <c r="A732" s="907"/>
      <c r="B732" s="907"/>
      <c r="C732" s="907"/>
      <c r="D732" s="907"/>
      <c r="E732" s="907"/>
      <c r="F732" s="907"/>
      <c r="G732" s="907"/>
      <c r="H732" s="907"/>
      <c r="I732" s="907"/>
      <c r="J732" s="907"/>
      <c r="K732" s="907"/>
      <c r="L732" s="907"/>
    </row>
    <row r="733">
      <c r="A733" s="907"/>
      <c r="B733" s="907"/>
      <c r="C733" s="907"/>
      <c r="D733" s="907"/>
      <c r="E733" s="907"/>
      <c r="F733" s="907"/>
      <c r="G733" s="907"/>
      <c r="H733" s="907"/>
      <c r="I733" s="907"/>
      <c r="J733" s="907"/>
      <c r="K733" s="907"/>
      <c r="L733" s="907"/>
    </row>
    <row r="734">
      <c r="A734" s="907"/>
      <c r="B734" s="907"/>
      <c r="C734" s="907"/>
      <c r="D734" s="907"/>
      <c r="E734" s="907"/>
      <c r="F734" s="907"/>
      <c r="G734" s="907"/>
      <c r="H734" s="907"/>
      <c r="I734" s="907"/>
      <c r="J734" s="907"/>
      <c r="K734" s="907"/>
      <c r="L734" s="907"/>
    </row>
    <row r="735">
      <c r="A735" s="907"/>
      <c r="B735" s="907"/>
      <c r="C735" s="907"/>
      <c r="D735" s="907"/>
      <c r="E735" s="907"/>
      <c r="F735" s="907"/>
      <c r="G735" s="907"/>
      <c r="H735" s="907"/>
      <c r="I735" s="907"/>
      <c r="J735" s="907"/>
      <c r="K735" s="907"/>
      <c r="L735" s="907"/>
    </row>
    <row r="736">
      <c r="A736" s="907"/>
      <c r="B736" s="907"/>
      <c r="C736" s="907"/>
      <c r="D736" s="907"/>
      <c r="E736" s="907"/>
      <c r="F736" s="907"/>
      <c r="G736" s="907"/>
      <c r="H736" s="907"/>
      <c r="I736" s="907"/>
      <c r="J736" s="907"/>
      <c r="K736" s="907"/>
      <c r="L736" s="907"/>
    </row>
    <row r="737">
      <c r="A737" s="907"/>
      <c r="B737" s="907"/>
      <c r="C737" s="907"/>
      <c r="D737" s="907"/>
      <c r="E737" s="907"/>
      <c r="F737" s="907"/>
      <c r="G737" s="907"/>
      <c r="H737" s="907"/>
      <c r="I737" s="907"/>
      <c r="J737" s="907"/>
      <c r="K737" s="907"/>
      <c r="L737" s="907"/>
    </row>
    <row r="738">
      <c r="A738" s="907"/>
      <c r="B738" s="907"/>
      <c r="C738" s="907"/>
      <c r="D738" s="907"/>
      <c r="E738" s="907"/>
      <c r="F738" s="907"/>
      <c r="G738" s="907"/>
      <c r="H738" s="907"/>
      <c r="I738" s="907"/>
      <c r="J738" s="907"/>
      <c r="K738" s="907"/>
      <c r="L738" s="907"/>
    </row>
    <row r="739">
      <c r="A739" s="907"/>
      <c r="B739" s="907"/>
      <c r="C739" s="907"/>
      <c r="D739" s="907"/>
      <c r="E739" s="907"/>
      <c r="F739" s="907"/>
      <c r="G739" s="907"/>
      <c r="H739" s="907"/>
      <c r="I739" s="907"/>
      <c r="J739" s="907"/>
      <c r="K739" s="907"/>
      <c r="L739" s="907"/>
    </row>
    <row r="740">
      <c r="A740" s="907"/>
      <c r="B740" s="907"/>
      <c r="C740" s="907"/>
      <c r="D740" s="907"/>
      <c r="E740" s="907"/>
      <c r="F740" s="907"/>
      <c r="G740" s="907"/>
      <c r="H740" s="907"/>
      <c r="I740" s="907"/>
      <c r="J740" s="907"/>
      <c r="K740" s="907"/>
      <c r="L740" s="907"/>
    </row>
    <row r="741">
      <c r="A741" s="907"/>
      <c r="B741" s="907"/>
      <c r="C741" s="907"/>
      <c r="D741" s="907"/>
      <c r="E741" s="907"/>
      <c r="F741" s="907"/>
      <c r="G741" s="907"/>
      <c r="H741" s="907"/>
      <c r="I741" s="907"/>
      <c r="J741" s="907"/>
      <c r="K741" s="907"/>
      <c r="L741" s="907"/>
    </row>
    <row r="742">
      <c r="A742" s="907"/>
      <c r="B742" s="907"/>
      <c r="C742" s="907"/>
      <c r="D742" s="907"/>
      <c r="E742" s="907"/>
      <c r="F742" s="907"/>
      <c r="G742" s="907"/>
      <c r="H742" s="907"/>
      <c r="I742" s="907"/>
      <c r="J742" s="907"/>
      <c r="K742" s="907"/>
      <c r="L742" s="907"/>
    </row>
    <row r="743">
      <c r="A743" s="907"/>
      <c r="B743" s="907"/>
      <c r="C743" s="907"/>
      <c r="D743" s="907"/>
      <c r="E743" s="907"/>
      <c r="F743" s="907"/>
      <c r="G743" s="907"/>
      <c r="H743" s="907"/>
      <c r="I743" s="907"/>
      <c r="J743" s="907"/>
      <c r="K743" s="907"/>
      <c r="L743" s="907"/>
    </row>
    <row r="744">
      <c r="A744" s="907"/>
      <c r="B744" s="907"/>
      <c r="C744" s="907"/>
      <c r="D744" s="907"/>
      <c r="E744" s="907"/>
      <c r="F744" s="907"/>
      <c r="G744" s="907"/>
      <c r="H744" s="907"/>
      <c r="I744" s="907"/>
      <c r="J744" s="907"/>
      <c r="K744" s="907"/>
      <c r="L744" s="907"/>
    </row>
    <row r="745">
      <c r="A745" s="907"/>
      <c r="B745" s="907"/>
      <c r="C745" s="907"/>
      <c r="D745" s="907"/>
      <c r="E745" s="907"/>
      <c r="F745" s="907"/>
      <c r="G745" s="907"/>
      <c r="H745" s="907"/>
      <c r="I745" s="907"/>
      <c r="J745" s="907"/>
      <c r="K745" s="907"/>
      <c r="L745" s="907"/>
    </row>
    <row r="746">
      <c r="A746" s="907"/>
      <c r="B746" s="907"/>
      <c r="C746" s="907"/>
      <c r="D746" s="907"/>
      <c r="E746" s="907"/>
      <c r="F746" s="907"/>
      <c r="G746" s="907"/>
      <c r="H746" s="907"/>
      <c r="I746" s="907"/>
      <c r="J746" s="907"/>
      <c r="K746" s="907"/>
      <c r="L746" s="907"/>
    </row>
    <row r="747">
      <c r="A747" s="907"/>
      <c r="B747" s="907"/>
      <c r="C747" s="907"/>
      <c r="D747" s="907"/>
      <c r="E747" s="907"/>
      <c r="F747" s="907"/>
      <c r="G747" s="907"/>
      <c r="H747" s="907"/>
      <c r="I747" s="907"/>
      <c r="J747" s="907"/>
      <c r="K747" s="907"/>
      <c r="L747" s="907"/>
    </row>
    <row r="748">
      <c r="A748" s="907"/>
      <c r="B748" s="907"/>
      <c r="C748" s="907"/>
      <c r="D748" s="907"/>
      <c r="E748" s="907"/>
      <c r="F748" s="907"/>
      <c r="G748" s="907"/>
      <c r="H748" s="907"/>
      <c r="I748" s="907"/>
      <c r="J748" s="907"/>
      <c r="K748" s="907"/>
      <c r="L748" s="907"/>
    </row>
    <row r="749">
      <c r="A749" s="907"/>
      <c r="B749" s="907"/>
      <c r="C749" s="907"/>
      <c r="D749" s="907"/>
      <c r="E749" s="907"/>
      <c r="F749" s="907"/>
      <c r="G749" s="907"/>
      <c r="H749" s="907"/>
      <c r="I749" s="907"/>
      <c r="J749" s="907"/>
      <c r="K749" s="907"/>
      <c r="L749" s="907"/>
    </row>
    <row r="750">
      <c r="A750" s="907"/>
      <c r="B750" s="907"/>
      <c r="C750" s="907"/>
      <c r="D750" s="907"/>
      <c r="E750" s="907"/>
      <c r="F750" s="907"/>
      <c r="G750" s="907"/>
      <c r="H750" s="907"/>
      <c r="I750" s="907"/>
      <c r="J750" s="907"/>
      <c r="K750" s="907"/>
      <c r="L750" s="907"/>
    </row>
    <row r="751">
      <c r="A751" s="907"/>
      <c r="B751" s="907"/>
      <c r="C751" s="907"/>
      <c r="D751" s="907"/>
      <c r="E751" s="907"/>
      <c r="F751" s="907"/>
      <c r="G751" s="907"/>
      <c r="H751" s="907"/>
      <c r="I751" s="907"/>
      <c r="J751" s="907"/>
      <c r="K751" s="907"/>
      <c r="L751" s="907"/>
    </row>
    <row r="752">
      <c r="A752" s="907"/>
      <c r="B752" s="907"/>
      <c r="C752" s="907"/>
      <c r="D752" s="907"/>
      <c r="E752" s="907"/>
      <c r="F752" s="907"/>
      <c r="G752" s="907"/>
      <c r="H752" s="907"/>
      <c r="I752" s="907"/>
      <c r="J752" s="907"/>
      <c r="K752" s="907"/>
      <c r="L752" s="907"/>
    </row>
    <row r="753">
      <c r="A753" s="907"/>
      <c r="B753" s="907"/>
      <c r="C753" s="907"/>
      <c r="D753" s="907"/>
      <c r="E753" s="907"/>
      <c r="F753" s="907"/>
      <c r="G753" s="907"/>
      <c r="H753" s="907"/>
      <c r="I753" s="907"/>
      <c r="J753" s="907"/>
      <c r="K753" s="907"/>
      <c r="L753" s="907"/>
    </row>
    <row r="754">
      <c r="A754" s="907"/>
      <c r="B754" s="907"/>
      <c r="C754" s="907"/>
      <c r="D754" s="907"/>
      <c r="E754" s="907"/>
      <c r="F754" s="907"/>
      <c r="G754" s="907"/>
      <c r="H754" s="907"/>
      <c r="I754" s="907"/>
      <c r="J754" s="907"/>
      <c r="K754" s="907"/>
      <c r="L754" s="907"/>
    </row>
    <row r="755">
      <c r="A755" s="907"/>
      <c r="B755" s="907"/>
      <c r="C755" s="907"/>
      <c r="D755" s="907"/>
      <c r="E755" s="907"/>
      <c r="F755" s="907"/>
      <c r="G755" s="907"/>
      <c r="H755" s="907"/>
      <c r="I755" s="907"/>
      <c r="J755" s="907"/>
      <c r="K755" s="907"/>
      <c r="L755" s="907"/>
    </row>
    <row r="756">
      <c r="A756" s="907"/>
      <c r="B756" s="907"/>
      <c r="C756" s="907"/>
      <c r="D756" s="907"/>
      <c r="E756" s="907"/>
      <c r="F756" s="907"/>
      <c r="G756" s="907"/>
      <c r="H756" s="907"/>
      <c r="I756" s="907"/>
      <c r="J756" s="907"/>
      <c r="K756" s="907"/>
      <c r="L756" s="907"/>
    </row>
    <row r="757">
      <c r="A757" s="907"/>
      <c r="B757" s="907"/>
      <c r="C757" s="907"/>
      <c r="D757" s="907"/>
      <c r="E757" s="907"/>
      <c r="F757" s="907"/>
      <c r="G757" s="907"/>
      <c r="H757" s="907"/>
      <c r="I757" s="907"/>
      <c r="J757" s="907"/>
      <c r="K757" s="907"/>
      <c r="L757" s="907"/>
    </row>
    <row r="758">
      <c r="A758" s="907"/>
      <c r="B758" s="907"/>
      <c r="C758" s="907"/>
      <c r="D758" s="907"/>
      <c r="E758" s="907"/>
      <c r="F758" s="907"/>
      <c r="G758" s="907"/>
      <c r="H758" s="907"/>
      <c r="I758" s="907"/>
      <c r="J758" s="907"/>
      <c r="K758" s="907"/>
      <c r="L758" s="907"/>
    </row>
    <row r="759">
      <c r="A759" s="907"/>
      <c r="B759" s="907"/>
      <c r="C759" s="907"/>
      <c r="D759" s="907"/>
      <c r="E759" s="907"/>
      <c r="F759" s="907"/>
      <c r="G759" s="907"/>
      <c r="H759" s="907"/>
      <c r="I759" s="907"/>
      <c r="J759" s="907"/>
      <c r="K759" s="907"/>
      <c r="L759" s="907"/>
    </row>
    <row r="760">
      <c r="A760" s="907"/>
      <c r="B760" s="907"/>
      <c r="C760" s="907"/>
      <c r="D760" s="907"/>
      <c r="E760" s="907"/>
      <c r="F760" s="907"/>
      <c r="G760" s="907"/>
      <c r="H760" s="907"/>
      <c r="I760" s="907"/>
      <c r="J760" s="907"/>
      <c r="K760" s="907"/>
      <c r="L760" s="907"/>
    </row>
    <row r="761">
      <c r="A761" s="907"/>
      <c r="B761" s="907"/>
      <c r="C761" s="907"/>
      <c r="D761" s="907"/>
      <c r="E761" s="907"/>
      <c r="F761" s="907"/>
      <c r="G761" s="907"/>
      <c r="H761" s="907"/>
      <c r="I761" s="907"/>
      <c r="J761" s="907"/>
      <c r="K761" s="907"/>
      <c r="L761" s="907"/>
    </row>
    <row r="762">
      <c r="A762" s="907"/>
      <c r="B762" s="907"/>
      <c r="C762" s="907"/>
      <c r="D762" s="907"/>
      <c r="E762" s="907"/>
      <c r="F762" s="907"/>
      <c r="G762" s="907"/>
      <c r="H762" s="907"/>
      <c r="I762" s="907"/>
      <c r="J762" s="907"/>
      <c r="K762" s="907"/>
      <c r="L762" s="907"/>
    </row>
    <row r="763">
      <c r="A763" s="907"/>
      <c r="B763" s="907"/>
      <c r="C763" s="907"/>
      <c r="D763" s="907"/>
      <c r="E763" s="907"/>
      <c r="F763" s="907"/>
      <c r="G763" s="907"/>
      <c r="H763" s="907"/>
      <c r="I763" s="907"/>
      <c r="J763" s="907"/>
      <c r="K763" s="907"/>
      <c r="L763" s="907"/>
    </row>
    <row r="764">
      <c r="A764" s="907"/>
      <c r="B764" s="907"/>
      <c r="C764" s="907"/>
      <c r="D764" s="907"/>
      <c r="E764" s="907"/>
      <c r="F764" s="907"/>
      <c r="G764" s="907"/>
      <c r="H764" s="907"/>
      <c r="I764" s="907"/>
      <c r="J764" s="907"/>
      <c r="K764" s="907"/>
      <c r="L764" s="907"/>
    </row>
    <row r="765">
      <c r="A765" s="907"/>
      <c r="B765" s="907"/>
      <c r="C765" s="907"/>
      <c r="D765" s="907"/>
      <c r="E765" s="907"/>
      <c r="F765" s="907"/>
      <c r="G765" s="907"/>
      <c r="H765" s="907"/>
      <c r="I765" s="907"/>
      <c r="J765" s="907"/>
      <c r="K765" s="907"/>
      <c r="L765" s="907"/>
    </row>
    <row r="766">
      <c r="A766" s="907"/>
      <c r="B766" s="907"/>
      <c r="C766" s="907"/>
      <c r="D766" s="907"/>
      <c r="E766" s="907"/>
      <c r="F766" s="907"/>
      <c r="G766" s="907"/>
      <c r="H766" s="907"/>
      <c r="I766" s="907"/>
      <c r="J766" s="907"/>
      <c r="K766" s="907"/>
      <c r="L766" s="907"/>
    </row>
    <row r="767">
      <c r="A767" s="907"/>
      <c r="B767" s="907"/>
      <c r="C767" s="907"/>
      <c r="D767" s="907"/>
      <c r="E767" s="907"/>
      <c r="F767" s="907"/>
      <c r="G767" s="907"/>
      <c r="H767" s="907"/>
      <c r="I767" s="907"/>
      <c r="J767" s="907"/>
      <c r="K767" s="907"/>
      <c r="L767" s="907"/>
    </row>
    <row r="768">
      <c r="A768" s="907"/>
      <c r="B768" s="907"/>
      <c r="C768" s="907"/>
      <c r="D768" s="907"/>
      <c r="E768" s="907"/>
      <c r="F768" s="907"/>
      <c r="G768" s="907"/>
      <c r="H768" s="907"/>
      <c r="I768" s="907"/>
      <c r="J768" s="907"/>
      <c r="K768" s="907"/>
      <c r="L768" s="907"/>
    </row>
    <row r="769">
      <c r="A769" s="907"/>
      <c r="B769" s="907"/>
      <c r="C769" s="907"/>
      <c r="D769" s="907"/>
      <c r="E769" s="907"/>
      <c r="F769" s="907"/>
      <c r="G769" s="907"/>
      <c r="H769" s="907"/>
      <c r="I769" s="907"/>
      <c r="J769" s="907"/>
      <c r="K769" s="907"/>
      <c r="L769" s="907"/>
    </row>
    <row r="770">
      <c r="A770" s="907"/>
      <c r="B770" s="907"/>
      <c r="C770" s="907"/>
      <c r="D770" s="907"/>
      <c r="E770" s="907"/>
      <c r="F770" s="907"/>
      <c r="G770" s="907"/>
      <c r="H770" s="907"/>
      <c r="I770" s="907"/>
      <c r="J770" s="907"/>
      <c r="K770" s="907"/>
      <c r="L770" s="907"/>
    </row>
    <row r="771">
      <c r="A771" s="907"/>
      <c r="B771" s="907"/>
      <c r="C771" s="907"/>
      <c r="D771" s="907"/>
      <c r="E771" s="907"/>
      <c r="F771" s="907"/>
      <c r="G771" s="907"/>
      <c r="H771" s="907"/>
      <c r="I771" s="907"/>
      <c r="J771" s="907"/>
      <c r="K771" s="907"/>
      <c r="L771" s="907"/>
    </row>
    <row r="772">
      <c r="A772" s="907"/>
      <c r="B772" s="907"/>
      <c r="C772" s="907"/>
      <c r="D772" s="907"/>
      <c r="E772" s="907"/>
      <c r="F772" s="907"/>
      <c r="G772" s="907"/>
      <c r="H772" s="907"/>
      <c r="I772" s="907"/>
      <c r="J772" s="907"/>
      <c r="K772" s="907"/>
      <c r="L772" s="907"/>
    </row>
    <row r="773">
      <c r="A773" s="907"/>
      <c r="B773" s="907"/>
      <c r="C773" s="907"/>
      <c r="D773" s="907"/>
      <c r="E773" s="907"/>
      <c r="F773" s="907"/>
      <c r="G773" s="907"/>
      <c r="H773" s="907"/>
      <c r="I773" s="907"/>
      <c r="J773" s="907"/>
      <c r="K773" s="907"/>
      <c r="L773" s="907"/>
    </row>
    <row r="774">
      <c r="A774" s="907"/>
      <c r="B774" s="907"/>
      <c r="C774" s="907"/>
      <c r="D774" s="907"/>
      <c r="E774" s="907"/>
      <c r="F774" s="907"/>
      <c r="G774" s="907"/>
      <c r="H774" s="907"/>
      <c r="I774" s="907"/>
      <c r="J774" s="907"/>
      <c r="K774" s="907"/>
      <c r="L774" s="907"/>
    </row>
    <row r="775">
      <c r="A775" s="907"/>
      <c r="B775" s="907"/>
      <c r="C775" s="907"/>
      <c r="D775" s="907"/>
      <c r="E775" s="907"/>
      <c r="F775" s="907"/>
      <c r="G775" s="907"/>
      <c r="H775" s="907"/>
      <c r="I775" s="907"/>
      <c r="J775" s="907"/>
      <c r="K775" s="907"/>
      <c r="L775" s="907"/>
    </row>
    <row r="776">
      <c r="A776" s="907"/>
      <c r="B776" s="907"/>
      <c r="C776" s="907"/>
      <c r="D776" s="907"/>
      <c r="E776" s="907"/>
      <c r="F776" s="907"/>
      <c r="G776" s="907"/>
      <c r="H776" s="907"/>
      <c r="I776" s="907"/>
      <c r="J776" s="907"/>
      <c r="K776" s="907"/>
      <c r="L776" s="907"/>
    </row>
    <row r="777">
      <c r="A777" s="907"/>
      <c r="B777" s="907"/>
      <c r="C777" s="907"/>
      <c r="D777" s="907"/>
      <c r="E777" s="907"/>
      <c r="F777" s="907"/>
      <c r="G777" s="907"/>
      <c r="H777" s="907"/>
      <c r="I777" s="907"/>
      <c r="J777" s="907"/>
      <c r="K777" s="907"/>
      <c r="L777" s="907"/>
    </row>
    <row r="778">
      <c r="A778" s="907"/>
      <c r="B778" s="907"/>
      <c r="C778" s="907"/>
      <c r="D778" s="907"/>
      <c r="E778" s="907"/>
      <c r="F778" s="907"/>
      <c r="G778" s="907"/>
      <c r="H778" s="907"/>
      <c r="I778" s="907"/>
      <c r="J778" s="907"/>
      <c r="K778" s="907"/>
      <c r="L778" s="907"/>
    </row>
    <row r="779">
      <c r="A779" s="907"/>
      <c r="B779" s="907"/>
      <c r="C779" s="907"/>
      <c r="D779" s="907"/>
      <c r="E779" s="907"/>
      <c r="F779" s="907"/>
      <c r="G779" s="907"/>
      <c r="H779" s="907"/>
      <c r="I779" s="907"/>
      <c r="J779" s="907"/>
      <c r="K779" s="907"/>
      <c r="L779" s="907"/>
    </row>
    <row r="780">
      <c r="A780" s="907"/>
      <c r="B780" s="907"/>
      <c r="C780" s="907"/>
      <c r="D780" s="907"/>
      <c r="E780" s="907"/>
      <c r="F780" s="907"/>
      <c r="G780" s="907"/>
      <c r="H780" s="907"/>
      <c r="I780" s="907"/>
      <c r="J780" s="907"/>
      <c r="K780" s="907"/>
      <c r="L780" s="907"/>
    </row>
    <row r="781">
      <c r="A781" s="907"/>
      <c r="B781" s="907"/>
      <c r="C781" s="907"/>
      <c r="D781" s="907"/>
      <c r="E781" s="907"/>
      <c r="F781" s="907"/>
      <c r="G781" s="907"/>
      <c r="H781" s="907"/>
      <c r="I781" s="907"/>
      <c r="J781" s="907"/>
      <c r="K781" s="907"/>
      <c r="L781" s="907"/>
    </row>
    <row r="782">
      <c r="A782" s="907"/>
      <c r="B782" s="907"/>
      <c r="C782" s="907"/>
      <c r="D782" s="907"/>
      <c r="E782" s="907"/>
      <c r="F782" s="907"/>
      <c r="G782" s="907"/>
      <c r="H782" s="907"/>
      <c r="I782" s="907"/>
      <c r="J782" s="907"/>
      <c r="K782" s="907"/>
      <c r="L782" s="907"/>
    </row>
    <row r="783">
      <c r="A783" s="907"/>
      <c r="B783" s="907"/>
      <c r="C783" s="907"/>
      <c r="D783" s="907"/>
      <c r="E783" s="907"/>
      <c r="F783" s="907"/>
      <c r="G783" s="907"/>
      <c r="H783" s="907"/>
      <c r="I783" s="907"/>
      <c r="J783" s="907"/>
      <c r="K783" s="907"/>
      <c r="L783" s="907"/>
    </row>
    <row r="784">
      <c r="A784" s="907"/>
      <c r="B784" s="907"/>
      <c r="C784" s="907"/>
      <c r="D784" s="907"/>
      <c r="E784" s="907"/>
      <c r="F784" s="907"/>
      <c r="G784" s="907"/>
      <c r="H784" s="907"/>
      <c r="I784" s="907"/>
      <c r="J784" s="907"/>
      <c r="K784" s="907"/>
      <c r="L784" s="907"/>
    </row>
    <row r="785">
      <c r="A785" s="907"/>
      <c r="B785" s="907"/>
      <c r="C785" s="907"/>
      <c r="D785" s="907"/>
      <c r="E785" s="907"/>
      <c r="F785" s="907"/>
      <c r="G785" s="907"/>
      <c r="H785" s="907"/>
      <c r="I785" s="907"/>
      <c r="J785" s="907"/>
      <c r="K785" s="907"/>
      <c r="L785" s="907"/>
    </row>
    <row r="786">
      <c r="A786" s="907"/>
      <c r="B786" s="907"/>
      <c r="C786" s="907"/>
      <c r="D786" s="907"/>
      <c r="E786" s="907"/>
      <c r="F786" s="907"/>
      <c r="G786" s="907"/>
      <c r="H786" s="907"/>
      <c r="I786" s="907"/>
      <c r="J786" s="907"/>
      <c r="K786" s="907"/>
      <c r="L786" s="907"/>
    </row>
    <row r="787">
      <c r="A787" s="907"/>
      <c r="B787" s="907"/>
      <c r="C787" s="907"/>
      <c r="D787" s="907"/>
      <c r="E787" s="907"/>
      <c r="F787" s="907"/>
      <c r="G787" s="907"/>
      <c r="H787" s="907"/>
      <c r="I787" s="907"/>
      <c r="J787" s="907"/>
      <c r="K787" s="907"/>
      <c r="L787" s="907"/>
    </row>
    <row r="788">
      <c r="A788" s="907"/>
      <c r="B788" s="907"/>
      <c r="C788" s="907"/>
      <c r="D788" s="907"/>
      <c r="E788" s="907"/>
      <c r="F788" s="907"/>
      <c r="G788" s="907"/>
      <c r="H788" s="907"/>
      <c r="I788" s="907"/>
      <c r="J788" s="907"/>
      <c r="K788" s="907"/>
      <c r="L788" s="907"/>
    </row>
    <row r="789">
      <c r="A789" s="907"/>
      <c r="B789" s="907"/>
      <c r="C789" s="907"/>
      <c r="D789" s="907"/>
      <c r="E789" s="907"/>
      <c r="F789" s="907"/>
      <c r="G789" s="907"/>
      <c r="H789" s="907"/>
      <c r="I789" s="907"/>
      <c r="J789" s="907"/>
      <c r="K789" s="907"/>
      <c r="L789" s="907"/>
    </row>
    <row r="790">
      <c r="A790" s="907"/>
      <c r="B790" s="907"/>
      <c r="C790" s="907"/>
      <c r="D790" s="907"/>
      <c r="E790" s="907"/>
      <c r="F790" s="907"/>
      <c r="G790" s="907"/>
      <c r="H790" s="907"/>
      <c r="I790" s="907"/>
      <c r="J790" s="907"/>
      <c r="K790" s="907"/>
      <c r="L790" s="907"/>
    </row>
    <row r="791">
      <c r="A791" s="907"/>
      <c r="B791" s="907"/>
      <c r="C791" s="907"/>
      <c r="D791" s="907"/>
      <c r="E791" s="907"/>
      <c r="F791" s="907"/>
      <c r="G791" s="907"/>
      <c r="H791" s="907"/>
      <c r="I791" s="907"/>
      <c r="J791" s="907"/>
      <c r="K791" s="907"/>
      <c r="L791" s="907"/>
    </row>
    <row r="792">
      <c r="A792" s="907"/>
      <c r="B792" s="907"/>
      <c r="C792" s="907"/>
      <c r="D792" s="907"/>
      <c r="E792" s="907"/>
      <c r="F792" s="907"/>
      <c r="G792" s="907"/>
      <c r="H792" s="907"/>
      <c r="I792" s="907"/>
      <c r="J792" s="907"/>
      <c r="K792" s="907"/>
      <c r="L792" s="907"/>
    </row>
    <row r="793">
      <c r="A793" s="907"/>
      <c r="B793" s="907"/>
      <c r="C793" s="907"/>
      <c r="D793" s="907"/>
      <c r="E793" s="907"/>
      <c r="F793" s="907"/>
      <c r="G793" s="907"/>
      <c r="H793" s="907"/>
      <c r="I793" s="907"/>
      <c r="J793" s="907"/>
      <c r="K793" s="907"/>
      <c r="L793" s="907"/>
    </row>
    <row r="794">
      <c r="A794" s="907"/>
      <c r="B794" s="907"/>
      <c r="C794" s="907"/>
      <c r="D794" s="907"/>
      <c r="E794" s="907"/>
      <c r="F794" s="907"/>
      <c r="G794" s="907"/>
      <c r="H794" s="907"/>
      <c r="I794" s="907"/>
      <c r="J794" s="907"/>
      <c r="K794" s="907"/>
      <c r="L794" s="907"/>
    </row>
    <row r="795">
      <c r="A795" s="907"/>
      <c r="B795" s="907"/>
      <c r="C795" s="907"/>
      <c r="D795" s="907"/>
      <c r="E795" s="907"/>
      <c r="F795" s="907"/>
      <c r="G795" s="907"/>
      <c r="H795" s="907"/>
      <c r="I795" s="907"/>
      <c r="J795" s="907"/>
      <c r="K795" s="907"/>
      <c r="L795" s="907"/>
    </row>
    <row r="796">
      <c r="A796" s="907"/>
      <c r="B796" s="907"/>
      <c r="C796" s="907"/>
      <c r="D796" s="907"/>
      <c r="E796" s="907"/>
      <c r="F796" s="907"/>
      <c r="G796" s="907"/>
      <c r="H796" s="907"/>
      <c r="I796" s="907"/>
      <c r="J796" s="907"/>
      <c r="K796" s="907"/>
      <c r="L796" s="907"/>
    </row>
    <row r="797">
      <c r="A797" s="907"/>
      <c r="B797" s="907"/>
      <c r="C797" s="907"/>
      <c r="D797" s="907"/>
      <c r="E797" s="907"/>
      <c r="F797" s="907"/>
      <c r="G797" s="907"/>
      <c r="H797" s="907"/>
      <c r="I797" s="907"/>
      <c r="J797" s="907"/>
      <c r="K797" s="907"/>
      <c r="L797" s="907"/>
    </row>
    <row r="798">
      <c r="A798" s="907"/>
      <c r="B798" s="907"/>
      <c r="C798" s="907"/>
      <c r="D798" s="907"/>
      <c r="E798" s="907"/>
      <c r="F798" s="907"/>
      <c r="G798" s="907"/>
      <c r="H798" s="907"/>
      <c r="I798" s="907"/>
      <c r="J798" s="907"/>
      <c r="K798" s="907"/>
      <c r="L798" s="907"/>
    </row>
    <row r="799">
      <c r="A799" s="907"/>
      <c r="B799" s="907"/>
      <c r="C799" s="907"/>
      <c r="D799" s="907"/>
      <c r="E799" s="907"/>
      <c r="F799" s="907"/>
      <c r="G799" s="907"/>
      <c r="H799" s="907"/>
      <c r="I799" s="907"/>
      <c r="J799" s="907"/>
      <c r="K799" s="907"/>
      <c r="L799" s="907"/>
    </row>
    <row r="800">
      <c r="A800" s="907"/>
      <c r="B800" s="907"/>
      <c r="C800" s="907"/>
      <c r="D800" s="907"/>
      <c r="E800" s="907"/>
      <c r="F800" s="907"/>
      <c r="G800" s="907"/>
      <c r="H800" s="907"/>
      <c r="I800" s="907"/>
      <c r="J800" s="907"/>
      <c r="K800" s="907"/>
      <c r="L800" s="907"/>
    </row>
    <row r="801">
      <c r="A801" s="907"/>
      <c r="B801" s="907"/>
      <c r="C801" s="907"/>
      <c r="D801" s="907"/>
      <c r="E801" s="907"/>
      <c r="F801" s="907"/>
      <c r="G801" s="907"/>
      <c r="H801" s="907"/>
      <c r="I801" s="907"/>
      <c r="J801" s="907"/>
      <c r="K801" s="907"/>
      <c r="L801" s="907"/>
    </row>
    <row r="802">
      <c r="A802" s="907"/>
      <c r="B802" s="907"/>
      <c r="C802" s="907"/>
      <c r="D802" s="907"/>
      <c r="E802" s="907"/>
      <c r="F802" s="907"/>
      <c r="G802" s="907"/>
      <c r="H802" s="907"/>
      <c r="I802" s="907"/>
      <c r="J802" s="907"/>
      <c r="K802" s="907"/>
      <c r="L802" s="907"/>
    </row>
    <row r="803">
      <c r="A803" s="907"/>
      <c r="B803" s="907"/>
      <c r="C803" s="907"/>
      <c r="D803" s="907"/>
      <c r="E803" s="907"/>
      <c r="F803" s="907"/>
      <c r="G803" s="907"/>
      <c r="H803" s="907"/>
      <c r="I803" s="907"/>
      <c r="J803" s="907"/>
      <c r="K803" s="907"/>
      <c r="L803" s="907"/>
    </row>
    <row r="804">
      <c r="A804" s="907"/>
      <c r="B804" s="907"/>
      <c r="C804" s="907"/>
      <c r="D804" s="907"/>
      <c r="E804" s="907"/>
      <c r="F804" s="907"/>
      <c r="G804" s="907"/>
      <c r="H804" s="907"/>
      <c r="I804" s="907"/>
      <c r="J804" s="907"/>
      <c r="K804" s="907"/>
      <c r="L804" s="907"/>
    </row>
    <row r="805">
      <c r="A805" s="907"/>
      <c r="B805" s="907"/>
      <c r="C805" s="907"/>
      <c r="D805" s="907"/>
      <c r="E805" s="907"/>
      <c r="F805" s="907"/>
      <c r="G805" s="907"/>
      <c r="H805" s="907"/>
      <c r="I805" s="907"/>
      <c r="J805" s="907"/>
      <c r="K805" s="907"/>
      <c r="L805" s="907"/>
    </row>
    <row r="806">
      <c r="A806" s="907"/>
      <c r="B806" s="907"/>
      <c r="C806" s="907"/>
      <c r="D806" s="907"/>
      <c r="E806" s="907"/>
      <c r="F806" s="907"/>
      <c r="G806" s="907"/>
      <c r="H806" s="907"/>
      <c r="I806" s="907"/>
      <c r="J806" s="907"/>
      <c r="K806" s="907"/>
      <c r="L806" s="907"/>
    </row>
    <row r="807">
      <c r="A807" s="907"/>
      <c r="B807" s="907"/>
      <c r="C807" s="907"/>
      <c r="D807" s="907"/>
      <c r="E807" s="907"/>
      <c r="F807" s="907"/>
      <c r="G807" s="907"/>
      <c r="H807" s="907"/>
      <c r="I807" s="907"/>
      <c r="J807" s="907"/>
      <c r="K807" s="907"/>
      <c r="L807" s="907"/>
    </row>
    <row r="808">
      <c r="A808" s="907"/>
      <c r="B808" s="907"/>
      <c r="C808" s="907"/>
      <c r="D808" s="907"/>
      <c r="E808" s="907"/>
      <c r="F808" s="907"/>
      <c r="G808" s="907"/>
      <c r="H808" s="907"/>
      <c r="I808" s="907"/>
      <c r="J808" s="907"/>
      <c r="K808" s="907"/>
      <c r="L808" s="907"/>
    </row>
    <row r="809">
      <c r="A809" s="907"/>
      <c r="B809" s="907"/>
      <c r="C809" s="907"/>
      <c r="D809" s="907"/>
      <c r="E809" s="907"/>
      <c r="F809" s="907"/>
      <c r="G809" s="907"/>
      <c r="H809" s="907"/>
      <c r="I809" s="907"/>
      <c r="J809" s="907"/>
      <c r="K809" s="907"/>
      <c r="L809" s="907"/>
    </row>
    <row r="810">
      <c r="A810" s="907"/>
      <c r="B810" s="907"/>
      <c r="C810" s="907"/>
      <c r="D810" s="907"/>
      <c r="E810" s="907"/>
      <c r="F810" s="907"/>
      <c r="G810" s="907"/>
      <c r="H810" s="907"/>
      <c r="I810" s="907"/>
      <c r="J810" s="907"/>
      <c r="K810" s="907"/>
      <c r="L810" s="907"/>
    </row>
    <row r="811">
      <c r="A811" s="907"/>
      <c r="B811" s="907"/>
      <c r="C811" s="907"/>
      <c r="D811" s="907"/>
      <c r="E811" s="907"/>
      <c r="F811" s="907"/>
      <c r="G811" s="907"/>
      <c r="H811" s="907"/>
      <c r="I811" s="907"/>
      <c r="J811" s="907"/>
      <c r="K811" s="907"/>
      <c r="L811" s="907"/>
    </row>
    <row r="812">
      <c r="A812" s="907"/>
      <c r="B812" s="907"/>
      <c r="C812" s="907"/>
      <c r="D812" s="907"/>
      <c r="E812" s="907"/>
      <c r="F812" s="907"/>
      <c r="G812" s="907"/>
      <c r="H812" s="907"/>
      <c r="I812" s="907"/>
      <c r="J812" s="907"/>
      <c r="K812" s="907"/>
      <c r="L812" s="907"/>
    </row>
    <row r="813">
      <c r="A813" s="907"/>
      <c r="B813" s="907"/>
      <c r="C813" s="907"/>
      <c r="D813" s="907"/>
      <c r="E813" s="907"/>
      <c r="F813" s="907"/>
      <c r="G813" s="907"/>
      <c r="H813" s="907"/>
      <c r="I813" s="907"/>
      <c r="J813" s="907"/>
      <c r="K813" s="907"/>
      <c r="L813" s="907"/>
    </row>
    <row r="814">
      <c r="A814" s="907"/>
      <c r="B814" s="907"/>
      <c r="C814" s="907"/>
      <c r="D814" s="907"/>
      <c r="E814" s="907"/>
      <c r="F814" s="907"/>
      <c r="G814" s="907"/>
      <c r="H814" s="907"/>
      <c r="I814" s="907"/>
      <c r="J814" s="907"/>
      <c r="K814" s="907"/>
      <c r="L814" s="907"/>
    </row>
    <row r="815">
      <c r="A815" s="907"/>
      <c r="B815" s="907"/>
      <c r="C815" s="907"/>
      <c r="D815" s="907"/>
      <c r="E815" s="907"/>
      <c r="F815" s="907"/>
      <c r="G815" s="907"/>
      <c r="H815" s="907"/>
      <c r="I815" s="907"/>
      <c r="J815" s="907"/>
      <c r="K815" s="907"/>
      <c r="L815" s="907"/>
    </row>
    <row r="816">
      <c r="A816" s="907"/>
      <c r="B816" s="907"/>
      <c r="C816" s="907"/>
      <c r="D816" s="907"/>
      <c r="E816" s="907"/>
      <c r="F816" s="907"/>
      <c r="G816" s="907"/>
      <c r="H816" s="907"/>
      <c r="I816" s="907"/>
      <c r="J816" s="907"/>
      <c r="K816" s="907"/>
      <c r="L816" s="907"/>
    </row>
    <row r="817">
      <c r="A817" s="907"/>
      <c r="B817" s="907"/>
      <c r="C817" s="907"/>
      <c r="D817" s="907"/>
      <c r="E817" s="907"/>
      <c r="F817" s="907"/>
      <c r="G817" s="907"/>
      <c r="H817" s="907"/>
      <c r="I817" s="907"/>
      <c r="J817" s="907"/>
      <c r="K817" s="907"/>
      <c r="L817" s="907"/>
    </row>
    <row r="818">
      <c r="A818" s="907"/>
      <c r="B818" s="907"/>
      <c r="C818" s="907"/>
      <c r="D818" s="907"/>
      <c r="E818" s="907"/>
      <c r="F818" s="907"/>
      <c r="G818" s="907"/>
      <c r="H818" s="907"/>
      <c r="I818" s="907"/>
      <c r="J818" s="907"/>
      <c r="K818" s="907"/>
      <c r="L818" s="907"/>
    </row>
    <row r="819">
      <c r="A819" s="907"/>
      <c r="B819" s="907"/>
      <c r="C819" s="907"/>
      <c r="D819" s="907"/>
      <c r="E819" s="907"/>
      <c r="F819" s="907"/>
      <c r="G819" s="907"/>
      <c r="H819" s="907"/>
      <c r="I819" s="907"/>
      <c r="J819" s="907"/>
      <c r="K819" s="907"/>
      <c r="L819" s="907"/>
    </row>
    <row r="820">
      <c r="A820" s="907"/>
      <c r="B820" s="907"/>
      <c r="C820" s="907"/>
      <c r="D820" s="907"/>
      <c r="E820" s="907"/>
      <c r="F820" s="907"/>
      <c r="G820" s="907"/>
      <c r="H820" s="907"/>
      <c r="I820" s="907"/>
      <c r="J820" s="907"/>
      <c r="K820" s="907"/>
      <c r="L820" s="907"/>
    </row>
    <row r="821">
      <c r="A821" s="907"/>
      <c r="B821" s="907"/>
      <c r="C821" s="907"/>
      <c r="D821" s="907"/>
      <c r="E821" s="907"/>
      <c r="F821" s="907"/>
      <c r="G821" s="907"/>
      <c r="H821" s="907"/>
      <c r="I821" s="907"/>
      <c r="J821" s="907"/>
      <c r="K821" s="907"/>
      <c r="L821" s="907"/>
    </row>
    <row r="822">
      <c r="A822" s="907"/>
      <c r="B822" s="907"/>
      <c r="C822" s="907"/>
      <c r="D822" s="907"/>
      <c r="E822" s="907"/>
      <c r="F822" s="907"/>
      <c r="G822" s="907"/>
      <c r="H822" s="907"/>
      <c r="I822" s="907"/>
      <c r="J822" s="907"/>
      <c r="K822" s="907"/>
      <c r="L822" s="907"/>
    </row>
    <row r="823">
      <c r="A823" s="907"/>
      <c r="B823" s="907"/>
      <c r="C823" s="907"/>
      <c r="D823" s="907"/>
      <c r="E823" s="907"/>
      <c r="F823" s="907"/>
      <c r="G823" s="907"/>
      <c r="H823" s="907"/>
      <c r="I823" s="907"/>
      <c r="J823" s="907"/>
      <c r="K823" s="907"/>
      <c r="L823" s="907"/>
    </row>
    <row r="824">
      <c r="A824" s="907"/>
      <c r="B824" s="907"/>
      <c r="C824" s="907"/>
      <c r="D824" s="907"/>
      <c r="E824" s="907"/>
      <c r="F824" s="907"/>
      <c r="G824" s="907"/>
      <c r="H824" s="907"/>
      <c r="I824" s="907"/>
      <c r="J824" s="907"/>
      <c r="K824" s="907"/>
      <c r="L824" s="907"/>
    </row>
    <row r="825">
      <c r="A825" s="907"/>
      <c r="B825" s="907"/>
      <c r="C825" s="907"/>
      <c r="D825" s="907"/>
      <c r="E825" s="907"/>
      <c r="F825" s="907"/>
      <c r="G825" s="907"/>
      <c r="H825" s="907"/>
      <c r="I825" s="907"/>
      <c r="J825" s="907"/>
      <c r="K825" s="907"/>
      <c r="L825" s="907"/>
    </row>
    <row r="826">
      <c r="A826" s="907"/>
      <c r="B826" s="907"/>
      <c r="C826" s="907"/>
      <c r="D826" s="907"/>
      <c r="E826" s="907"/>
      <c r="F826" s="907"/>
      <c r="G826" s="907"/>
      <c r="H826" s="907"/>
      <c r="I826" s="907"/>
      <c r="J826" s="907"/>
      <c r="K826" s="907"/>
      <c r="L826" s="907"/>
    </row>
    <row r="827">
      <c r="A827" s="907"/>
      <c r="B827" s="907"/>
      <c r="C827" s="907"/>
      <c r="D827" s="907"/>
      <c r="E827" s="907"/>
      <c r="F827" s="907"/>
      <c r="G827" s="907"/>
      <c r="H827" s="907"/>
      <c r="I827" s="907"/>
      <c r="J827" s="907"/>
      <c r="K827" s="907"/>
      <c r="L827" s="907"/>
    </row>
    <row r="828">
      <c r="A828" s="907"/>
      <c r="B828" s="907"/>
      <c r="C828" s="907"/>
      <c r="D828" s="907"/>
      <c r="E828" s="907"/>
      <c r="F828" s="907"/>
      <c r="G828" s="907"/>
      <c r="H828" s="907"/>
      <c r="I828" s="907"/>
      <c r="J828" s="907"/>
      <c r="K828" s="907"/>
      <c r="L828" s="907"/>
    </row>
    <row r="829">
      <c r="A829" s="907"/>
      <c r="B829" s="907"/>
      <c r="C829" s="907"/>
      <c r="D829" s="907"/>
      <c r="E829" s="907"/>
      <c r="F829" s="907"/>
      <c r="G829" s="907"/>
      <c r="H829" s="907"/>
      <c r="I829" s="907"/>
      <c r="J829" s="907"/>
      <c r="K829" s="907"/>
      <c r="L829" s="907"/>
    </row>
    <row r="830">
      <c r="A830" s="907"/>
      <c r="B830" s="907"/>
      <c r="C830" s="907"/>
      <c r="D830" s="907"/>
      <c r="E830" s="907"/>
      <c r="F830" s="907"/>
      <c r="G830" s="907"/>
      <c r="H830" s="907"/>
      <c r="I830" s="907"/>
      <c r="J830" s="907"/>
      <c r="K830" s="907"/>
      <c r="L830" s="907"/>
    </row>
    <row r="831">
      <c r="A831" s="907"/>
      <c r="B831" s="907"/>
      <c r="C831" s="907"/>
      <c r="D831" s="907"/>
      <c r="E831" s="907"/>
      <c r="F831" s="907"/>
      <c r="G831" s="907"/>
      <c r="H831" s="907"/>
      <c r="I831" s="907"/>
      <c r="J831" s="907"/>
      <c r="K831" s="907"/>
      <c r="L831" s="907"/>
    </row>
    <row r="832">
      <c r="A832" s="907"/>
      <c r="B832" s="907"/>
      <c r="C832" s="907"/>
      <c r="D832" s="907"/>
      <c r="E832" s="907"/>
      <c r="F832" s="907"/>
      <c r="G832" s="907"/>
      <c r="H832" s="907"/>
      <c r="I832" s="907"/>
      <c r="J832" s="907"/>
      <c r="K832" s="907"/>
      <c r="L832" s="907"/>
    </row>
    <row r="833">
      <c r="A833" s="907"/>
      <c r="B833" s="907"/>
      <c r="C833" s="907"/>
      <c r="D833" s="907"/>
      <c r="E833" s="907"/>
      <c r="F833" s="907"/>
      <c r="G833" s="907"/>
      <c r="H833" s="907"/>
      <c r="I833" s="907"/>
      <c r="J833" s="907"/>
      <c r="K833" s="907"/>
      <c r="L833" s="907"/>
    </row>
    <row r="834">
      <c r="A834" s="907"/>
      <c r="B834" s="907"/>
      <c r="C834" s="907"/>
      <c r="D834" s="907"/>
      <c r="E834" s="907"/>
      <c r="F834" s="907"/>
      <c r="G834" s="907"/>
      <c r="H834" s="907"/>
      <c r="I834" s="907"/>
      <c r="J834" s="907"/>
      <c r="K834" s="907"/>
      <c r="L834" s="907"/>
    </row>
    <row r="835">
      <c r="A835" s="907"/>
      <c r="B835" s="907"/>
      <c r="C835" s="907"/>
      <c r="D835" s="907"/>
      <c r="E835" s="907"/>
      <c r="F835" s="907"/>
      <c r="G835" s="907"/>
      <c r="H835" s="907"/>
      <c r="I835" s="907"/>
      <c r="J835" s="907"/>
      <c r="K835" s="907"/>
      <c r="L835" s="907"/>
    </row>
    <row r="836">
      <c r="A836" s="907"/>
      <c r="B836" s="907"/>
      <c r="C836" s="907"/>
      <c r="D836" s="907"/>
      <c r="E836" s="907"/>
      <c r="F836" s="907"/>
      <c r="G836" s="907"/>
      <c r="H836" s="907"/>
      <c r="I836" s="907"/>
      <c r="J836" s="907"/>
      <c r="K836" s="907"/>
      <c r="L836" s="907"/>
    </row>
    <row r="837">
      <c r="A837" s="907"/>
      <c r="B837" s="907"/>
      <c r="C837" s="907"/>
      <c r="D837" s="907"/>
      <c r="E837" s="907"/>
      <c r="F837" s="907"/>
      <c r="G837" s="907"/>
      <c r="H837" s="907"/>
      <c r="I837" s="907"/>
      <c r="J837" s="907"/>
      <c r="K837" s="907"/>
      <c r="L837" s="907"/>
    </row>
    <row r="838">
      <c r="A838" s="907"/>
      <c r="B838" s="907"/>
      <c r="C838" s="907"/>
      <c r="D838" s="907"/>
      <c r="E838" s="907"/>
      <c r="F838" s="907"/>
      <c r="G838" s="907"/>
      <c r="H838" s="907"/>
      <c r="I838" s="907"/>
      <c r="J838" s="907"/>
      <c r="K838" s="907"/>
      <c r="L838" s="907"/>
    </row>
    <row r="839">
      <c r="A839" s="907"/>
      <c r="B839" s="907"/>
      <c r="C839" s="907"/>
      <c r="D839" s="907"/>
      <c r="E839" s="907"/>
      <c r="F839" s="907"/>
      <c r="G839" s="907"/>
      <c r="H839" s="907"/>
      <c r="I839" s="907"/>
      <c r="J839" s="907"/>
      <c r="K839" s="907"/>
      <c r="L839" s="907"/>
    </row>
    <row r="840">
      <c r="A840" s="907"/>
      <c r="B840" s="907"/>
      <c r="C840" s="907"/>
      <c r="D840" s="907"/>
      <c r="E840" s="907"/>
      <c r="F840" s="907"/>
      <c r="G840" s="907"/>
      <c r="H840" s="907"/>
      <c r="I840" s="907"/>
      <c r="J840" s="907"/>
      <c r="K840" s="907"/>
      <c r="L840" s="907"/>
    </row>
    <row r="841">
      <c r="A841" s="907"/>
      <c r="B841" s="907"/>
      <c r="C841" s="907"/>
      <c r="D841" s="907"/>
      <c r="E841" s="907"/>
      <c r="F841" s="907"/>
      <c r="G841" s="907"/>
      <c r="H841" s="907"/>
      <c r="I841" s="907"/>
      <c r="J841" s="907"/>
      <c r="K841" s="907"/>
      <c r="L841" s="907"/>
    </row>
    <row r="842">
      <c r="A842" s="907"/>
      <c r="B842" s="907"/>
      <c r="C842" s="907"/>
      <c r="D842" s="907"/>
      <c r="E842" s="907"/>
      <c r="F842" s="907"/>
      <c r="G842" s="907"/>
      <c r="H842" s="907"/>
      <c r="I842" s="907"/>
      <c r="J842" s="907"/>
      <c r="K842" s="907"/>
      <c r="L842" s="907"/>
    </row>
    <row r="843">
      <c r="A843" s="907"/>
      <c r="B843" s="907"/>
      <c r="C843" s="907"/>
      <c r="D843" s="907"/>
      <c r="E843" s="907"/>
      <c r="F843" s="907"/>
      <c r="G843" s="907"/>
      <c r="H843" s="907"/>
      <c r="I843" s="907"/>
      <c r="J843" s="907"/>
      <c r="K843" s="907"/>
      <c r="L843" s="907"/>
    </row>
    <row r="844">
      <c r="A844" s="907"/>
      <c r="B844" s="907"/>
      <c r="C844" s="907"/>
      <c r="D844" s="907"/>
      <c r="E844" s="907"/>
      <c r="F844" s="907"/>
      <c r="G844" s="907"/>
      <c r="H844" s="907"/>
      <c r="I844" s="907"/>
      <c r="J844" s="907"/>
      <c r="K844" s="907"/>
      <c r="L844" s="907"/>
    </row>
    <row r="845">
      <c r="A845" s="907"/>
      <c r="B845" s="907"/>
      <c r="C845" s="907"/>
      <c r="D845" s="907"/>
      <c r="E845" s="907"/>
      <c r="F845" s="907"/>
      <c r="G845" s="907"/>
      <c r="H845" s="907"/>
      <c r="I845" s="907"/>
      <c r="J845" s="907"/>
      <c r="K845" s="907"/>
      <c r="L845" s="907"/>
    </row>
    <row r="846">
      <c r="A846" s="907"/>
      <c r="B846" s="907"/>
      <c r="C846" s="907"/>
      <c r="D846" s="907"/>
      <c r="E846" s="907"/>
      <c r="F846" s="907"/>
      <c r="G846" s="907"/>
      <c r="H846" s="907"/>
      <c r="I846" s="907"/>
      <c r="J846" s="907"/>
      <c r="K846" s="907"/>
      <c r="L846" s="907"/>
    </row>
    <row r="847">
      <c r="A847" s="907"/>
      <c r="B847" s="907"/>
      <c r="C847" s="907"/>
      <c r="D847" s="907"/>
      <c r="E847" s="907"/>
      <c r="F847" s="907"/>
      <c r="G847" s="907"/>
      <c r="H847" s="907"/>
      <c r="I847" s="907"/>
      <c r="J847" s="907"/>
      <c r="K847" s="907"/>
      <c r="L847" s="907"/>
    </row>
    <row r="848">
      <c r="A848" s="907"/>
      <c r="B848" s="907"/>
      <c r="C848" s="907"/>
      <c r="D848" s="907"/>
      <c r="E848" s="907"/>
      <c r="F848" s="907"/>
      <c r="G848" s="907"/>
      <c r="H848" s="907"/>
      <c r="I848" s="907"/>
      <c r="J848" s="907"/>
      <c r="K848" s="907"/>
      <c r="L848" s="907"/>
    </row>
    <row r="849">
      <c r="A849" s="907"/>
      <c r="B849" s="907"/>
      <c r="C849" s="907"/>
      <c r="D849" s="907"/>
      <c r="E849" s="907"/>
      <c r="F849" s="907"/>
      <c r="G849" s="907"/>
      <c r="H849" s="907"/>
      <c r="I849" s="907"/>
      <c r="J849" s="907"/>
      <c r="K849" s="907"/>
      <c r="L849" s="907"/>
    </row>
    <row r="850">
      <c r="A850" s="907"/>
      <c r="B850" s="907"/>
      <c r="C850" s="907"/>
      <c r="D850" s="907"/>
      <c r="E850" s="907"/>
      <c r="F850" s="907"/>
      <c r="G850" s="907"/>
      <c r="H850" s="907"/>
      <c r="I850" s="907"/>
      <c r="J850" s="907"/>
      <c r="K850" s="907"/>
      <c r="L850" s="907"/>
    </row>
    <row r="851">
      <c r="A851" s="907"/>
      <c r="B851" s="907"/>
      <c r="C851" s="907"/>
      <c r="D851" s="907"/>
      <c r="E851" s="907"/>
      <c r="F851" s="907"/>
      <c r="G851" s="907"/>
      <c r="H851" s="907"/>
      <c r="I851" s="907"/>
      <c r="J851" s="907"/>
      <c r="K851" s="907"/>
      <c r="L851" s="907"/>
    </row>
    <row r="852">
      <c r="A852" s="907"/>
      <c r="B852" s="907"/>
      <c r="C852" s="907"/>
      <c r="D852" s="907"/>
      <c r="E852" s="907"/>
      <c r="F852" s="907"/>
      <c r="G852" s="907"/>
      <c r="H852" s="907"/>
      <c r="I852" s="907"/>
      <c r="J852" s="907"/>
      <c r="K852" s="907"/>
      <c r="L852" s="907"/>
    </row>
    <row r="853">
      <c r="A853" s="907"/>
      <c r="B853" s="907"/>
      <c r="C853" s="907"/>
      <c r="D853" s="907"/>
      <c r="E853" s="907"/>
      <c r="F853" s="907"/>
      <c r="G853" s="907"/>
      <c r="H853" s="907"/>
      <c r="I853" s="907"/>
      <c r="J853" s="907"/>
      <c r="K853" s="907"/>
      <c r="L853" s="907"/>
    </row>
    <row r="854">
      <c r="A854" s="907"/>
      <c r="B854" s="907"/>
      <c r="C854" s="907"/>
      <c r="D854" s="907"/>
      <c r="E854" s="907"/>
      <c r="F854" s="907"/>
      <c r="G854" s="907"/>
      <c r="H854" s="907"/>
      <c r="I854" s="907"/>
      <c r="J854" s="907"/>
      <c r="K854" s="907"/>
      <c r="L854" s="907"/>
    </row>
    <row r="855">
      <c r="A855" s="907"/>
      <c r="B855" s="907"/>
      <c r="C855" s="907"/>
      <c r="D855" s="907"/>
      <c r="E855" s="907"/>
      <c r="F855" s="907"/>
      <c r="G855" s="907"/>
      <c r="H855" s="907"/>
      <c r="I855" s="907"/>
      <c r="J855" s="907"/>
      <c r="K855" s="907"/>
      <c r="L855" s="907"/>
    </row>
    <row r="856">
      <c r="A856" s="907"/>
      <c r="B856" s="907"/>
      <c r="C856" s="907"/>
      <c r="D856" s="907"/>
      <c r="E856" s="907"/>
      <c r="F856" s="907"/>
      <c r="G856" s="907"/>
      <c r="H856" s="907"/>
      <c r="I856" s="907"/>
      <c r="J856" s="907"/>
      <c r="K856" s="907"/>
      <c r="L856" s="907"/>
    </row>
    <row r="857">
      <c r="A857" s="907"/>
      <c r="B857" s="907"/>
      <c r="C857" s="907"/>
      <c r="D857" s="907"/>
      <c r="E857" s="907"/>
      <c r="F857" s="907"/>
      <c r="G857" s="907"/>
      <c r="H857" s="907"/>
      <c r="I857" s="907"/>
      <c r="J857" s="907"/>
      <c r="K857" s="907"/>
      <c r="L857" s="907"/>
    </row>
    <row r="858">
      <c r="A858" s="907"/>
      <c r="B858" s="907"/>
      <c r="C858" s="907"/>
      <c r="D858" s="907"/>
      <c r="E858" s="907"/>
      <c r="F858" s="907"/>
      <c r="G858" s="907"/>
      <c r="H858" s="907"/>
      <c r="I858" s="907"/>
      <c r="J858" s="907"/>
      <c r="K858" s="907"/>
      <c r="L858" s="907"/>
    </row>
    <row r="859">
      <c r="A859" s="907"/>
      <c r="B859" s="907"/>
      <c r="C859" s="907"/>
      <c r="D859" s="907"/>
      <c r="E859" s="907"/>
      <c r="F859" s="907"/>
      <c r="G859" s="907"/>
      <c r="H859" s="907"/>
      <c r="I859" s="907"/>
      <c r="J859" s="907"/>
      <c r="K859" s="907"/>
      <c r="L859" s="907"/>
    </row>
    <row r="860">
      <c r="A860" s="907"/>
      <c r="B860" s="907"/>
      <c r="C860" s="907"/>
      <c r="D860" s="907"/>
      <c r="E860" s="907"/>
      <c r="F860" s="907"/>
      <c r="G860" s="907"/>
      <c r="H860" s="907"/>
      <c r="I860" s="907"/>
      <c r="J860" s="907"/>
      <c r="K860" s="907"/>
      <c r="L860" s="907"/>
    </row>
    <row r="861">
      <c r="A861" s="907"/>
      <c r="B861" s="907"/>
      <c r="C861" s="907"/>
      <c r="D861" s="907"/>
      <c r="E861" s="907"/>
      <c r="F861" s="907"/>
      <c r="G861" s="907"/>
      <c r="H861" s="907"/>
      <c r="I861" s="907"/>
      <c r="J861" s="907"/>
      <c r="K861" s="907"/>
      <c r="L861" s="907"/>
    </row>
    <row r="862">
      <c r="A862" s="907"/>
      <c r="B862" s="907"/>
      <c r="C862" s="907"/>
      <c r="D862" s="907"/>
      <c r="E862" s="907"/>
      <c r="F862" s="907"/>
      <c r="G862" s="907"/>
      <c r="H862" s="907"/>
      <c r="I862" s="907"/>
      <c r="J862" s="907"/>
      <c r="K862" s="907"/>
      <c r="L862" s="907"/>
    </row>
    <row r="863">
      <c r="A863" s="907"/>
      <c r="B863" s="907"/>
      <c r="C863" s="907"/>
      <c r="D863" s="907"/>
      <c r="E863" s="907"/>
      <c r="F863" s="907"/>
      <c r="G863" s="907"/>
      <c r="H863" s="907"/>
      <c r="I863" s="907"/>
      <c r="J863" s="907"/>
      <c r="K863" s="907"/>
      <c r="L863" s="907"/>
    </row>
    <row r="864">
      <c r="A864" s="907"/>
      <c r="B864" s="907"/>
      <c r="C864" s="907"/>
      <c r="D864" s="907"/>
      <c r="E864" s="907"/>
      <c r="F864" s="907"/>
      <c r="G864" s="907"/>
      <c r="H864" s="907"/>
      <c r="I864" s="907"/>
      <c r="J864" s="907"/>
      <c r="K864" s="907"/>
      <c r="L864" s="907"/>
    </row>
    <row r="865">
      <c r="A865" s="907"/>
      <c r="B865" s="907"/>
      <c r="C865" s="907"/>
      <c r="D865" s="907"/>
      <c r="E865" s="907"/>
      <c r="F865" s="907"/>
      <c r="G865" s="907"/>
      <c r="H865" s="907"/>
      <c r="I865" s="907"/>
      <c r="J865" s="907"/>
      <c r="K865" s="907"/>
      <c r="L865" s="907"/>
    </row>
    <row r="866">
      <c r="A866" s="907"/>
      <c r="B866" s="907"/>
      <c r="C866" s="907"/>
      <c r="D866" s="907"/>
      <c r="E866" s="907"/>
      <c r="F866" s="907"/>
      <c r="G866" s="907"/>
      <c r="H866" s="907"/>
      <c r="I866" s="907"/>
      <c r="J866" s="907"/>
      <c r="K866" s="907"/>
      <c r="L866" s="907"/>
    </row>
    <row r="867">
      <c r="A867" s="907"/>
      <c r="B867" s="907"/>
      <c r="C867" s="907"/>
      <c r="D867" s="907"/>
      <c r="E867" s="907"/>
      <c r="F867" s="907"/>
      <c r="G867" s="907"/>
      <c r="H867" s="907"/>
      <c r="I867" s="907"/>
      <c r="J867" s="907"/>
      <c r="K867" s="907"/>
      <c r="L867" s="907"/>
    </row>
    <row r="868">
      <c r="A868" s="907"/>
      <c r="B868" s="907"/>
      <c r="C868" s="907"/>
      <c r="D868" s="907"/>
      <c r="E868" s="907"/>
      <c r="F868" s="907"/>
      <c r="G868" s="907"/>
      <c r="H868" s="907"/>
      <c r="I868" s="907"/>
      <c r="J868" s="907"/>
      <c r="K868" s="907"/>
      <c r="L868" s="907"/>
    </row>
    <row r="869">
      <c r="A869" s="907"/>
      <c r="B869" s="907"/>
      <c r="C869" s="907"/>
      <c r="D869" s="907"/>
      <c r="E869" s="907"/>
      <c r="F869" s="907"/>
      <c r="G869" s="907"/>
      <c r="H869" s="907"/>
      <c r="I869" s="907"/>
      <c r="J869" s="907"/>
      <c r="K869" s="907"/>
      <c r="L869" s="907"/>
    </row>
    <row r="870">
      <c r="A870" s="907"/>
      <c r="B870" s="907"/>
      <c r="C870" s="907"/>
      <c r="D870" s="907"/>
      <c r="E870" s="907"/>
      <c r="F870" s="907"/>
      <c r="G870" s="907"/>
      <c r="H870" s="907"/>
      <c r="I870" s="907"/>
      <c r="J870" s="907"/>
      <c r="K870" s="907"/>
      <c r="L870" s="907"/>
    </row>
    <row r="871">
      <c r="A871" s="907"/>
      <c r="B871" s="907"/>
      <c r="C871" s="907"/>
      <c r="D871" s="907"/>
      <c r="E871" s="907"/>
      <c r="F871" s="907"/>
      <c r="G871" s="907"/>
      <c r="H871" s="907"/>
      <c r="I871" s="907"/>
      <c r="J871" s="907"/>
      <c r="K871" s="907"/>
      <c r="L871" s="907"/>
    </row>
    <row r="872">
      <c r="A872" s="907"/>
      <c r="B872" s="907"/>
      <c r="C872" s="907"/>
      <c r="D872" s="907"/>
      <c r="E872" s="907"/>
      <c r="F872" s="907"/>
      <c r="G872" s="907"/>
      <c r="H872" s="907"/>
      <c r="I872" s="907"/>
      <c r="J872" s="907"/>
      <c r="K872" s="907"/>
      <c r="L872" s="907"/>
    </row>
    <row r="873">
      <c r="A873" s="907"/>
      <c r="B873" s="907"/>
      <c r="C873" s="907"/>
      <c r="D873" s="907"/>
      <c r="E873" s="907"/>
      <c r="F873" s="907"/>
      <c r="G873" s="907"/>
      <c r="H873" s="907"/>
      <c r="I873" s="907"/>
      <c r="J873" s="907"/>
      <c r="K873" s="907"/>
      <c r="L873" s="907"/>
    </row>
    <row r="874">
      <c r="A874" s="907"/>
      <c r="B874" s="907"/>
      <c r="C874" s="907"/>
      <c r="D874" s="907"/>
      <c r="E874" s="907"/>
      <c r="F874" s="907"/>
      <c r="G874" s="907"/>
      <c r="H874" s="907"/>
      <c r="I874" s="907"/>
      <c r="J874" s="907"/>
      <c r="K874" s="907"/>
      <c r="L874" s="907"/>
    </row>
    <row r="875">
      <c r="A875" s="907"/>
      <c r="B875" s="907"/>
      <c r="C875" s="907"/>
      <c r="D875" s="907"/>
      <c r="E875" s="907"/>
      <c r="F875" s="907"/>
      <c r="G875" s="907"/>
      <c r="H875" s="907"/>
      <c r="I875" s="907"/>
      <c r="J875" s="907"/>
      <c r="K875" s="907"/>
      <c r="L875" s="907"/>
    </row>
    <row r="876">
      <c r="A876" s="907"/>
      <c r="B876" s="907"/>
      <c r="C876" s="907"/>
      <c r="D876" s="907"/>
      <c r="E876" s="907"/>
      <c r="F876" s="907"/>
      <c r="G876" s="907"/>
      <c r="H876" s="907"/>
      <c r="I876" s="907"/>
      <c r="J876" s="907"/>
      <c r="K876" s="907"/>
      <c r="L876" s="907"/>
    </row>
    <row r="877">
      <c r="A877" s="907"/>
      <c r="B877" s="907"/>
      <c r="C877" s="907"/>
      <c r="D877" s="907"/>
      <c r="E877" s="907"/>
      <c r="F877" s="907"/>
      <c r="G877" s="907"/>
      <c r="H877" s="907"/>
      <c r="I877" s="907"/>
      <c r="J877" s="907"/>
      <c r="K877" s="907"/>
      <c r="L877" s="907"/>
    </row>
    <row r="878">
      <c r="A878" s="907"/>
      <c r="B878" s="907"/>
      <c r="C878" s="907"/>
      <c r="D878" s="907"/>
      <c r="E878" s="907"/>
      <c r="F878" s="907"/>
      <c r="G878" s="907"/>
      <c r="H878" s="907"/>
      <c r="I878" s="907"/>
      <c r="J878" s="907"/>
      <c r="K878" s="907"/>
      <c r="L878" s="907"/>
    </row>
    <row r="879">
      <c r="A879" s="907"/>
      <c r="B879" s="907"/>
      <c r="C879" s="907"/>
      <c r="D879" s="907"/>
      <c r="E879" s="907"/>
      <c r="F879" s="907"/>
      <c r="G879" s="907"/>
      <c r="H879" s="907"/>
      <c r="I879" s="907"/>
      <c r="J879" s="907"/>
      <c r="K879" s="907"/>
      <c r="L879" s="907"/>
    </row>
    <row r="880">
      <c r="A880" s="907"/>
      <c r="B880" s="907"/>
      <c r="C880" s="907"/>
      <c r="D880" s="907"/>
      <c r="E880" s="907"/>
      <c r="F880" s="907"/>
      <c r="G880" s="907"/>
      <c r="H880" s="907"/>
      <c r="I880" s="907"/>
      <c r="J880" s="907"/>
      <c r="K880" s="907"/>
      <c r="L880" s="907"/>
    </row>
    <row r="881">
      <c r="A881" s="907"/>
      <c r="B881" s="907"/>
      <c r="C881" s="907"/>
      <c r="D881" s="907"/>
      <c r="E881" s="907"/>
      <c r="F881" s="907"/>
      <c r="G881" s="907"/>
      <c r="H881" s="907"/>
      <c r="I881" s="907"/>
      <c r="J881" s="907"/>
      <c r="K881" s="907"/>
      <c r="L881" s="907"/>
    </row>
    <row r="882">
      <c r="A882" s="907"/>
      <c r="B882" s="907"/>
      <c r="C882" s="907"/>
      <c r="D882" s="907"/>
      <c r="E882" s="907"/>
      <c r="F882" s="907"/>
      <c r="G882" s="907"/>
      <c r="H882" s="907"/>
      <c r="I882" s="907"/>
      <c r="J882" s="907"/>
      <c r="K882" s="907"/>
      <c r="L882" s="907"/>
    </row>
    <row r="883">
      <c r="A883" s="907"/>
      <c r="B883" s="907"/>
      <c r="C883" s="907"/>
      <c r="D883" s="907"/>
      <c r="E883" s="907"/>
      <c r="F883" s="907"/>
      <c r="G883" s="907"/>
      <c r="H883" s="907"/>
      <c r="I883" s="907"/>
      <c r="J883" s="907"/>
      <c r="K883" s="907"/>
      <c r="L883" s="907"/>
    </row>
    <row r="884">
      <c r="A884" s="907"/>
      <c r="B884" s="907"/>
      <c r="C884" s="907"/>
      <c r="D884" s="907"/>
      <c r="E884" s="907"/>
      <c r="F884" s="907"/>
      <c r="G884" s="907"/>
      <c r="H884" s="907"/>
      <c r="I884" s="907"/>
      <c r="J884" s="907"/>
      <c r="K884" s="907"/>
      <c r="L884" s="907"/>
    </row>
    <row r="885">
      <c r="A885" s="907"/>
      <c r="B885" s="907"/>
      <c r="C885" s="907"/>
      <c r="D885" s="907"/>
      <c r="E885" s="907"/>
      <c r="F885" s="907"/>
      <c r="G885" s="907"/>
      <c r="H885" s="907"/>
      <c r="I885" s="907"/>
      <c r="J885" s="907"/>
      <c r="K885" s="907"/>
      <c r="L885" s="907"/>
    </row>
    <row r="886">
      <c r="A886" s="907"/>
      <c r="B886" s="907"/>
      <c r="C886" s="907"/>
      <c r="D886" s="907"/>
      <c r="E886" s="907"/>
      <c r="F886" s="907"/>
      <c r="G886" s="907"/>
      <c r="H886" s="907"/>
      <c r="I886" s="907"/>
      <c r="J886" s="907"/>
      <c r="K886" s="907"/>
      <c r="L886" s="907"/>
    </row>
    <row r="887">
      <c r="A887" s="907"/>
      <c r="B887" s="907"/>
      <c r="C887" s="907"/>
      <c r="D887" s="907"/>
      <c r="E887" s="907"/>
      <c r="F887" s="907"/>
      <c r="G887" s="907"/>
      <c r="H887" s="907"/>
      <c r="I887" s="907"/>
      <c r="J887" s="907"/>
      <c r="K887" s="907"/>
      <c r="L887" s="907"/>
    </row>
    <row r="888">
      <c r="A888" s="907"/>
      <c r="B888" s="907"/>
      <c r="C888" s="907"/>
      <c r="D888" s="907"/>
      <c r="E888" s="907"/>
      <c r="F888" s="907"/>
      <c r="G888" s="907"/>
      <c r="H888" s="907"/>
      <c r="I888" s="907"/>
      <c r="J888" s="907"/>
      <c r="K888" s="907"/>
      <c r="L888" s="907"/>
    </row>
    <row r="889">
      <c r="A889" s="907"/>
      <c r="B889" s="907"/>
      <c r="C889" s="907"/>
      <c r="D889" s="907"/>
      <c r="E889" s="907"/>
      <c r="F889" s="907"/>
      <c r="G889" s="907"/>
      <c r="H889" s="907"/>
      <c r="I889" s="907"/>
      <c r="J889" s="907"/>
      <c r="K889" s="907"/>
      <c r="L889" s="907"/>
    </row>
    <row r="890">
      <c r="A890" s="907"/>
      <c r="B890" s="907"/>
      <c r="C890" s="907"/>
      <c r="D890" s="907"/>
      <c r="E890" s="907"/>
      <c r="F890" s="907"/>
      <c r="G890" s="907"/>
      <c r="H890" s="907"/>
      <c r="I890" s="907"/>
      <c r="J890" s="907"/>
      <c r="K890" s="907"/>
      <c r="L890" s="907"/>
    </row>
    <row r="891">
      <c r="A891" s="907"/>
      <c r="B891" s="907"/>
      <c r="C891" s="907"/>
      <c r="D891" s="907"/>
      <c r="E891" s="907"/>
      <c r="F891" s="907"/>
      <c r="G891" s="907"/>
      <c r="H891" s="907"/>
      <c r="I891" s="907"/>
      <c r="J891" s="907"/>
      <c r="K891" s="907"/>
      <c r="L891" s="907"/>
    </row>
    <row r="892">
      <c r="A892" s="907"/>
      <c r="B892" s="907"/>
      <c r="C892" s="907"/>
      <c r="D892" s="907"/>
      <c r="E892" s="907"/>
      <c r="F892" s="907"/>
      <c r="G892" s="907"/>
      <c r="H892" s="907"/>
      <c r="I892" s="907"/>
      <c r="J892" s="907"/>
      <c r="K892" s="907"/>
      <c r="L892" s="907"/>
    </row>
    <row r="893">
      <c r="A893" s="907"/>
      <c r="B893" s="907"/>
      <c r="C893" s="907"/>
      <c r="D893" s="907"/>
      <c r="E893" s="907"/>
      <c r="F893" s="907"/>
      <c r="G893" s="907"/>
      <c r="H893" s="907"/>
      <c r="I893" s="907"/>
      <c r="J893" s="907"/>
      <c r="K893" s="907"/>
      <c r="L893" s="907"/>
    </row>
    <row r="894">
      <c r="A894" s="907"/>
      <c r="B894" s="907"/>
      <c r="C894" s="907"/>
      <c r="D894" s="907"/>
      <c r="E894" s="907"/>
      <c r="F894" s="907"/>
      <c r="G894" s="907"/>
      <c r="H894" s="907"/>
      <c r="I894" s="907"/>
      <c r="J894" s="907"/>
      <c r="K894" s="907"/>
      <c r="L894" s="907"/>
    </row>
    <row r="895">
      <c r="A895" s="907"/>
      <c r="B895" s="907"/>
      <c r="C895" s="907"/>
      <c r="D895" s="907"/>
      <c r="E895" s="907"/>
      <c r="F895" s="907"/>
      <c r="G895" s="907"/>
      <c r="H895" s="907"/>
      <c r="I895" s="907"/>
      <c r="J895" s="907"/>
      <c r="K895" s="907"/>
      <c r="L895" s="907"/>
    </row>
    <row r="896">
      <c r="A896" s="907"/>
      <c r="B896" s="907"/>
      <c r="C896" s="907"/>
      <c r="D896" s="907"/>
      <c r="E896" s="907"/>
      <c r="F896" s="907"/>
      <c r="G896" s="907"/>
      <c r="H896" s="907"/>
      <c r="I896" s="907"/>
      <c r="J896" s="907"/>
      <c r="K896" s="907"/>
      <c r="L896" s="907"/>
    </row>
    <row r="897">
      <c r="A897" s="907"/>
      <c r="B897" s="907"/>
      <c r="C897" s="907"/>
      <c r="D897" s="907"/>
      <c r="E897" s="907"/>
      <c r="F897" s="907"/>
      <c r="G897" s="907"/>
      <c r="H897" s="907"/>
      <c r="I897" s="907"/>
      <c r="J897" s="907"/>
      <c r="K897" s="907"/>
      <c r="L897" s="907"/>
    </row>
    <row r="898">
      <c r="A898" s="907"/>
      <c r="B898" s="907"/>
      <c r="C898" s="907"/>
      <c r="D898" s="907"/>
      <c r="E898" s="907"/>
      <c r="F898" s="907"/>
      <c r="G898" s="907"/>
      <c r="H898" s="907"/>
      <c r="I898" s="907"/>
      <c r="J898" s="907"/>
      <c r="K898" s="907"/>
      <c r="L898" s="907"/>
    </row>
    <row r="899">
      <c r="A899" s="907"/>
      <c r="B899" s="907"/>
      <c r="C899" s="907"/>
      <c r="D899" s="907"/>
      <c r="E899" s="907"/>
      <c r="F899" s="907"/>
      <c r="G899" s="907"/>
      <c r="H899" s="907"/>
      <c r="I899" s="907"/>
      <c r="J899" s="907"/>
      <c r="K899" s="907"/>
      <c r="L899" s="907"/>
    </row>
    <row r="900">
      <c r="A900" s="907"/>
      <c r="B900" s="907"/>
      <c r="C900" s="907"/>
      <c r="D900" s="907"/>
      <c r="E900" s="907"/>
      <c r="F900" s="907"/>
      <c r="G900" s="907"/>
      <c r="H900" s="907"/>
      <c r="I900" s="907"/>
      <c r="J900" s="907"/>
      <c r="K900" s="907"/>
      <c r="L900" s="907"/>
    </row>
    <row r="901">
      <c r="A901" s="907"/>
      <c r="B901" s="907"/>
      <c r="C901" s="907"/>
      <c r="D901" s="907"/>
      <c r="E901" s="907"/>
      <c r="F901" s="907"/>
      <c r="G901" s="907"/>
      <c r="H901" s="907"/>
      <c r="I901" s="907"/>
      <c r="J901" s="907"/>
      <c r="K901" s="907"/>
      <c r="L901" s="907"/>
    </row>
    <row r="902">
      <c r="A902" s="907"/>
      <c r="B902" s="907"/>
      <c r="C902" s="907"/>
      <c r="D902" s="907"/>
      <c r="E902" s="907"/>
      <c r="F902" s="907"/>
      <c r="G902" s="907"/>
      <c r="H902" s="907"/>
      <c r="I902" s="907"/>
      <c r="J902" s="907"/>
      <c r="K902" s="907"/>
      <c r="L902" s="907"/>
    </row>
    <row r="903">
      <c r="A903" s="907"/>
      <c r="B903" s="907"/>
      <c r="C903" s="907"/>
      <c r="D903" s="907"/>
      <c r="E903" s="907"/>
      <c r="F903" s="907"/>
      <c r="G903" s="907"/>
      <c r="H903" s="907"/>
      <c r="I903" s="907"/>
      <c r="J903" s="907"/>
      <c r="K903" s="907"/>
      <c r="L903" s="907"/>
    </row>
    <row r="904">
      <c r="A904" s="907"/>
      <c r="B904" s="907"/>
      <c r="C904" s="907"/>
      <c r="D904" s="907"/>
      <c r="E904" s="907"/>
      <c r="F904" s="907"/>
      <c r="G904" s="907"/>
      <c r="H904" s="907"/>
      <c r="I904" s="907"/>
      <c r="J904" s="907"/>
      <c r="K904" s="907"/>
      <c r="L904" s="907"/>
    </row>
    <row r="905">
      <c r="A905" s="907"/>
      <c r="B905" s="907"/>
      <c r="C905" s="907"/>
      <c r="D905" s="907"/>
      <c r="E905" s="907"/>
      <c r="F905" s="907"/>
      <c r="G905" s="907"/>
      <c r="H905" s="907"/>
      <c r="I905" s="907"/>
      <c r="J905" s="907"/>
      <c r="K905" s="907"/>
      <c r="L905" s="907"/>
    </row>
    <row r="906">
      <c r="A906" s="907"/>
      <c r="B906" s="907"/>
      <c r="C906" s="907"/>
      <c r="D906" s="907"/>
      <c r="E906" s="907"/>
      <c r="F906" s="907"/>
      <c r="G906" s="907"/>
      <c r="H906" s="907"/>
      <c r="I906" s="907"/>
      <c r="J906" s="907"/>
      <c r="K906" s="907"/>
      <c r="L906" s="907"/>
    </row>
    <row r="907">
      <c r="A907" s="907"/>
      <c r="B907" s="907"/>
      <c r="C907" s="907"/>
      <c r="D907" s="907"/>
      <c r="E907" s="907"/>
      <c r="F907" s="907"/>
      <c r="G907" s="907"/>
      <c r="H907" s="907"/>
      <c r="I907" s="907"/>
      <c r="J907" s="907"/>
      <c r="K907" s="907"/>
      <c r="L907" s="907"/>
    </row>
    <row r="908">
      <c r="A908" s="907"/>
      <c r="B908" s="907"/>
      <c r="C908" s="907"/>
      <c r="D908" s="907"/>
      <c r="E908" s="907"/>
      <c r="F908" s="907"/>
      <c r="G908" s="907"/>
      <c r="H908" s="907"/>
      <c r="I908" s="907"/>
      <c r="J908" s="907"/>
      <c r="K908" s="907"/>
      <c r="L908" s="907"/>
    </row>
    <row r="909">
      <c r="A909" s="907"/>
      <c r="B909" s="907"/>
      <c r="C909" s="907"/>
      <c r="D909" s="907"/>
      <c r="E909" s="907"/>
      <c r="F909" s="907"/>
      <c r="G909" s="907"/>
      <c r="H909" s="907"/>
      <c r="I909" s="907"/>
      <c r="J909" s="907"/>
      <c r="K909" s="907"/>
      <c r="L909" s="907"/>
    </row>
    <row r="910">
      <c r="A910" s="907"/>
      <c r="B910" s="907"/>
      <c r="C910" s="907"/>
      <c r="D910" s="907"/>
      <c r="E910" s="907"/>
      <c r="F910" s="907"/>
      <c r="G910" s="907"/>
      <c r="H910" s="907"/>
      <c r="I910" s="907"/>
      <c r="J910" s="907"/>
      <c r="K910" s="907"/>
      <c r="L910" s="907"/>
    </row>
    <row r="911">
      <c r="A911" s="907"/>
      <c r="B911" s="907"/>
      <c r="C911" s="907"/>
      <c r="D911" s="907"/>
      <c r="E911" s="907"/>
      <c r="F911" s="907"/>
      <c r="G911" s="907"/>
      <c r="H911" s="907"/>
      <c r="I911" s="907"/>
      <c r="J911" s="907"/>
      <c r="K911" s="907"/>
      <c r="L911" s="907"/>
    </row>
    <row r="912">
      <c r="A912" s="907"/>
      <c r="B912" s="907"/>
      <c r="C912" s="907"/>
      <c r="D912" s="907"/>
      <c r="E912" s="907"/>
      <c r="F912" s="907"/>
      <c r="G912" s="907"/>
      <c r="H912" s="907"/>
      <c r="I912" s="907"/>
      <c r="J912" s="907"/>
      <c r="K912" s="907"/>
      <c r="L912" s="907"/>
    </row>
    <row r="913">
      <c r="A913" s="907"/>
      <c r="B913" s="907"/>
      <c r="C913" s="907"/>
      <c r="D913" s="907"/>
      <c r="E913" s="907"/>
      <c r="F913" s="907"/>
      <c r="G913" s="907"/>
      <c r="H913" s="907"/>
      <c r="I913" s="907"/>
      <c r="J913" s="907"/>
      <c r="K913" s="907"/>
      <c r="L913" s="907"/>
    </row>
    <row r="914">
      <c r="A914" s="907"/>
      <c r="B914" s="907"/>
      <c r="C914" s="907"/>
      <c r="D914" s="907"/>
      <c r="E914" s="907"/>
      <c r="F914" s="907"/>
      <c r="G914" s="907"/>
      <c r="H914" s="907"/>
      <c r="I914" s="907"/>
      <c r="J914" s="907"/>
      <c r="K914" s="907"/>
      <c r="L914" s="907"/>
    </row>
    <row r="915">
      <c r="A915" s="907"/>
      <c r="B915" s="907"/>
      <c r="C915" s="907"/>
      <c r="D915" s="907"/>
      <c r="E915" s="907"/>
      <c r="F915" s="907"/>
      <c r="G915" s="907"/>
      <c r="H915" s="907"/>
      <c r="I915" s="907"/>
      <c r="J915" s="907"/>
      <c r="K915" s="907"/>
      <c r="L915" s="907"/>
    </row>
    <row r="916">
      <c r="A916" s="907"/>
      <c r="B916" s="907"/>
      <c r="C916" s="907"/>
      <c r="D916" s="907"/>
      <c r="E916" s="907"/>
      <c r="F916" s="907"/>
      <c r="G916" s="907"/>
      <c r="H916" s="907"/>
      <c r="I916" s="907"/>
      <c r="J916" s="907"/>
      <c r="K916" s="907"/>
      <c r="L916" s="907"/>
    </row>
    <row r="917">
      <c r="A917" s="907"/>
      <c r="B917" s="907"/>
      <c r="C917" s="907"/>
      <c r="D917" s="907"/>
      <c r="E917" s="907"/>
      <c r="F917" s="907"/>
      <c r="G917" s="907"/>
      <c r="H917" s="907"/>
      <c r="I917" s="907"/>
      <c r="J917" s="907"/>
      <c r="K917" s="907"/>
      <c r="L917" s="907"/>
    </row>
    <row r="918">
      <c r="A918" s="907"/>
      <c r="B918" s="907"/>
      <c r="C918" s="907"/>
      <c r="D918" s="907"/>
      <c r="E918" s="907"/>
      <c r="F918" s="907"/>
      <c r="G918" s="907"/>
      <c r="H918" s="907"/>
      <c r="I918" s="907"/>
      <c r="J918" s="907"/>
      <c r="K918" s="907"/>
      <c r="L918" s="907"/>
    </row>
    <row r="919">
      <c r="A919" s="907"/>
      <c r="B919" s="907"/>
      <c r="C919" s="907"/>
      <c r="D919" s="907"/>
      <c r="E919" s="907"/>
      <c r="F919" s="907"/>
      <c r="G919" s="907"/>
      <c r="H919" s="907"/>
      <c r="I919" s="907"/>
      <c r="J919" s="907"/>
      <c r="K919" s="907"/>
      <c r="L919" s="907"/>
    </row>
    <row r="920">
      <c r="A920" s="907"/>
      <c r="B920" s="907"/>
      <c r="C920" s="907"/>
      <c r="D920" s="907"/>
      <c r="E920" s="907"/>
      <c r="F920" s="907"/>
      <c r="G920" s="907"/>
      <c r="H920" s="907"/>
      <c r="I920" s="907"/>
      <c r="J920" s="907"/>
      <c r="K920" s="907"/>
      <c r="L920" s="907"/>
    </row>
    <row r="921">
      <c r="A921" s="907"/>
      <c r="B921" s="907"/>
      <c r="C921" s="907"/>
      <c r="D921" s="907"/>
      <c r="E921" s="907"/>
      <c r="F921" s="907"/>
      <c r="G921" s="907"/>
      <c r="H921" s="907"/>
      <c r="I921" s="907"/>
      <c r="J921" s="907"/>
      <c r="K921" s="907"/>
      <c r="L921" s="907"/>
    </row>
    <row r="922">
      <c r="A922" s="907"/>
      <c r="B922" s="907"/>
      <c r="C922" s="907"/>
      <c r="D922" s="907"/>
      <c r="E922" s="907"/>
      <c r="F922" s="907"/>
      <c r="G922" s="907"/>
      <c r="H922" s="907"/>
      <c r="I922" s="907"/>
      <c r="J922" s="907"/>
      <c r="K922" s="907"/>
      <c r="L922" s="907"/>
    </row>
    <row r="923">
      <c r="A923" s="907"/>
      <c r="B923" s="907"/>
      <c r="C923" s="907"/>
      <c r="D923" s="907"/>
      <c r="E923" s="907"/>
      <c r="F923" s="907"/>
      <c r="G923" s="907"/>
      <c r="H923" s="907"/>
      <c r="I923" s="907"/>
      <c r="J923" s="907"/>
      <c r="K923" s="907"/>
      <c r="L923" s="907"/>
    </row>
    <row r="924">
      <c r="A924" s="907"/>
      <c r="B924" s="907"/>
      <c r="C924" s="907"/>
      <c r="D924" s="907"/>
      <c r="E924" s="907"/>
      <c r="F924" s="907"/>
      <c r="G924" s="907"/>
      <c r="H924" s="907"/>
      <c r="I924" s="907"/>
      <c r="J924" s="907"/>
      <c r="K924" s="907"/>
      <c r="L924" s="907"/>
    </row>
    <row r="925">
      <c r="A925" s="907"/>
      <c r="B925" s="907"/>
      <c r="C925" s="907"/>
      <c r="D925" s="907"/>
      <c r="E925" s="907"/>
      <c r="F925" s="907"/>
      <c r="G925" s="907"/>
      <c r="H925" s="907"/>
      <c r="I925" s="907"/>
      <c r="J925" s="907"/>
      <c r="K925" s="907"/>
      <c r="L925" s="907"/>
    </row>
    <row r="926">
      <c r="A926" s="907"/>
      <c r="B926" s="907"/>
      <c r="C926" s="907"/>
      <c r="D926" s="907"/>
      <c r="E926" s="907"/>
      <c r="F926" s="907"/>
      <c r="G926" s="907"/>
      <c r="H926" s="907"/>
      <c r="I926" s="907"/>
      <c r="J926" s="907"/>
      <c r="K926" s="907"/>
      <c r="L926" s="907"/>
    </row>
    <row r="927">
      <c r="A927" s="907"/>
      <c r="B927" s="907"/>
      <c r="C927" s="907"/>
      <c r="D927" s="907"/>
      <c r="E927" s="907"/>
      <c r="F927" s="907"/>
      <c r="G927" s="907"/>
      <c r="H927" s="907"/>
      <c r="I927" s="907"/>
      <c r="J927" s="907"/>
      <c r="K927" s="907"/>
      <c r="L927" s="907"/>
    </row>
    <row r="928">
      <c r="A928" s="907"/>
      <c r="B928" s="907"/>
      <c r="C928" s="907"/>
      <c r="D928" s="907"/>
      <c r="E928" s="907"/>
      <c r="F928" s="907"/>
      <c r="G928" s="907"/>
      <c r="H928" s="907"/>
      <c r="I928" s="907"/>
      <c r="J928" s="907"/>
      <c r="K928" s="907"/>
      <c r="L928" s="907"/>
    </row>
    <row r="929">
      <c r="A929" s="907"/>
      <c r="B929" s="907"/>
      <c r="C929" s="907"/>
      <c r="D929" s="907"/>
      <c r="E929" s="907"/>
      <c r="F929" s="907"/>
      <c r="G929" s="907"/>
      <c r="H929" s="907"/>
      <c r="I929" s="907"/>
      <c r="J929" s="907"/>
      <c r="K929" s="907"/>
      <c r="L929" s="907"/>
    </row>
    <row r="930">
      <c r="A930" s="907"/>
      <c r="B930" s="907"/>
      <c r="C930" s="907"/>
      <c r="D930" s="907"/>
      <c r="E930" s="907"/>
      <c r="F930" s="907"/>
      <c r="G930" s="907"/>
      <c r="H930" s="907"/>
      <c r="I930" s="907"/>
      <c r="J930" s="907"/>
      <c r="K930" s="907"/>
      <c r="L930" s="907"/>
    </row>
    <row r="931">
      <c r="A931" s="907"/>
      <c r="B931" s="907"/>
      <c r="C931" s="907"/>
      <c r="D931" s="907"/>
      <c r="E931" s="907"/>
      <c r="F931" s="907"/>
      <c r="G931" s="907"/>
      <c r="H931" s="907"/>
      <c r="I931" s="907"/>
      <c r="J931" s="907"/>
      <c r="K931" s="907"/>
      <c r="L931" s="907"/>
    </row>
    <row r="932">
      <c r="A932" s="907"/>
      <c r="B932" s="907"/>
      <c r="C932" s="907"/>
      <c r="D932" s="907"/>
      <c r="E932" s="907"/>
      <c r="F932" s="907"/>
      <c r="G932" s="907"/>
      <c r="H932" s="907"/>
      <c r="I932" s="907"/>
      <c r="J932" s="907"/>
      <c r="K932" s="907"/>
      <c r="L932" s="907"/>
    </row>
    <row r="933">
      <c r="A933" s="907"/>
      <c r="B933" s="907"/>
      <c r="C933" s="907"/>
      <c r="D933" s="907"/>
      <c r="E933" s="907"/>
      <c r="F933" s="907"/>
      <c r="G933" s="907"/>
      <c r="H933" s="907"/>
      <c r="I933" s="907"/>
      <c r="J933" s="907"/>
      <c r="K933" s="907"/>
      <c r="L933" s="907"/>
    </row>
    <row r="934">
      <c r="A934" s="907"/>
      <c r="B934" s="907"/>
      <c r="C934" s="907"/>
      <c r="D934" s="907"/>
      <c r="E934" s="907"/>
      <c r="F934" s="907"/>
      <c r="G934" s="907"/>
      <c r="H934" s="907"/>
      <c r="I934" s="907"/>
      <c r="J934" s="907"/>
      <c r="K934" s="907"/>
      <c r="L934" s="907"/>
    </row>
    <row r="935">
      <c r="A935" s="907"/>
      <c r="B935" s="907"/>
      <c r="C935" s="907"/>
      <c r="D935" s="907"/>
      <c r="E935" s="907"/>
      <c r="F935" s="907"/>
      <c r="G935" s="907"/>
      <c r="H935" s="907"/>
      <c r="I935" s="907"/>
      <c r="J935" s="907"/>
      <c r="K935" s="907"/>
      <c r="L935" s="907"/>
    </row>
    <row r="936">
      <c r="A936" s="907"/>
      <c r="B936" s="907"/>
      <c r="C936" s="907"/>
      <c r="D936" s="907"/>
      <c r="E936" s="907"/>
      <c r="F936" s="907"/>
      <c r="G936" s="907"/>
      <c r="H936" s="907"/>
      <c r="I936" s="907"/>
      <c r="J936" s="907"/>
      <c r="K936" s="907"/>
      <c r="L936" s="907"/>
    </row>
    <row r="937">
      <c r="A937" s="907"/>
      <c r="B937" s="907"/>
      <c r="C937" s="907"/>
      <c r="D937" s="907"/>
      <c r="E937" s="907"/>
      <c r="F937" s="907"/>
      <c r="G937" s="907"/>
      <c r="H937" s="907"/>
      <c r="I937" s="907"/>
      <c r="J937" s="907"/>
      <c r="K937" s="907"/>
      <c r="L937" s="907"/>
    </row>
    <row r="938">
      <c r="A938" s="907"/>
      <c r="B938" s="907"/>
      <c r="C938" s="907"/>
      <c r="D938" s="907"/>
      <c r="E938" s="907"/>
      <c r="F938" s="907"/>
      <c r="G938" s="907"/>
      <c r="H938" s="907"/>
      <c r="I938" s="907"/>
      <c r="J938" s="907"/>
      <c r="K938" s="907"/>
      <c r="L938" s="907"/>
    </row>
    <row r="939">
      <c r="A939" s="907"/>
      <c r="B939" s="907"/>
      <c r="C939" s="907"/>
      <c r="D939" s="907"/>
      <c r="E939" s="907"/>
      <c r="F939" s="907"/>
      <c r="G939" s="907"/>
      <c r="H939" s="907"/>
      <c r="I939" s="907"/>
      <c r="J939" s="907"/>
      <c r="K939" s="907"/>
      <c r="L939" s="907"/>
    </row>
    <row r="940">
      <c r="A940" s="907"/>
      <c r="B940" s="907"/>
      <c r="C940" s="907"/>
      <c r="D940" s="907"/>
      <c r="E940" s="907"/>
      <c r="F940" s="907"/>
      <c r="G940" s="907"/>
      <c r="H940" s="907"/>
      <c r="I940" s="907"/>
      <c r="J940" s="907"/>
      <c r="K940" s="907"/>
      <c r="L940" s="907"/>
    </row>
    <row r="941">
      <c r="A941" s="907"/>
      <c r="B941" s="907"/>
      <c r="C941" s="907"/>
      <c r="D941" s="907"/>
      <c r="E941" s="907"/>
      <c r="F941" s="907"/>
      <c r="G941" s="907"/>
      <c r="H941" s="907"/>
      <c r="I941" s="907"/>
      <c r="J941" s="907"/>
      <c r="K941" s="907"/>
      <c r="L941" s="907"/>
    </row>
    <row r="942">
      <c r="A942" s="907"/>
      <c r="B942" s="907"/>
      <c r="C942" s="907"/>
      <c r="D942" s="907"/>
      <c r="E942" s="907"/>
      <c r="F942" s="907"/>
      <c r="G942" s="907"/>
      <c r="H942" s="907"/>
      <c r="I942" s="907"/>
      <c r="J942" s="907"/>
      <c r="K942" s="907"/>
      <c r="L942" s="907"/>
    </row>
    <row r="943">
      <c r="A943" s="907"/>
      <c r="B943" s="907"/>
      <c r="C943" s="907"/>
      <c r="D943" s="907"/>
      <c r="E943" s="907"/>
      <c r="F943" s="907"/>
      <c r="G943" s="907"/>
      <c r="H943" s="907"/>
      <c r="I943" s="907"/>
      <c r="J943" s="907"/>
      <c r="K943" s="907"/>
      <c r="L943" s="907"/>
    </row>
    <row r="944">
      <c r="A944" s="907"/>
      <c r="B944" s="907"/>
      <c r="C944" s="907"/>
      <c r="D944" s="907"/>
      <c r="E944" s="907"/>
      <c r="F944" s="907"/>
      <c r="G944" s="907"/>
      <c r="H944" s="907"/>
      <c r="I944" s="907"/>
      <c r="J944" s="907"/>
      <c r="K944" s="907"/>
      <c r="L944" s="907"/>
    </row>
    <row r="945">
      <c r="A945" s="907"/>
      <c r="B945" s="907"/>
      <c r="C945" s="907"/>
      <c r="D945" s="907"/>
      <c r="E945" s="907"/>
      <c r="F945" s="907"/>
      <c r="G945" s="907"/>
      <c r="H945" s="907"/>
      <c r="I945" s="907"/>
      <c r="J945" s="907"/>
      <c r="K945" s="907"/>
      <c r="L945" s="907"/>
    </row>
    <row r="946">
      <c r="A946" s="907"/>
      <c r="B946" s="907"/>
      <c r="C946" s="907"/>
      <c r="D946" s="907"/>
      <c r="E946" s="907"/>
      <c r="F946" s="907"/>
      <c r="G946" s="907"/>
      <c r="H946" s="907"/>
      <c r="I946" s="907"/>
      <c r="J946" s="907"/>
      <c r="K946" s="907"/>
      <c r="L946" s="907"/>
    </row>
    <row r="947">
      <c r="A947" s="907"/>
      <c r="B947" s="907"/>
      <c r="C947" s="907"/>
      <c r="D947" s="907"/>
      <c r="E947" s="907"/>
      <c r="F947" s="907"/>
      <c r="G947" s="907"/>
      <c r="H947" s="907"/>
      <c r="I947" s="907"/>
      <c r="J947" s="907"/>
      <c r="K947" s="907"/>
      <c r="L947" s="907"/>
    </row>
    <row r="948">
      <c r="A948" s="907"/>
      <c r="B948" s="907"/>
      <c r="C948" s="907"/>
      <c r="D948" s="907"/>
      <c r="E948" s="907"/>
      <c r="F948" s="907"/>
      <c r="G948" s="907"/>
      <c r="H948" s="907"/>
      <c r="I948" s="907"/>
      <c r="J948" s="907"/>
      <c r="K948" s="907"/>
      <c r="L948" s="907"/>
    </row>
    <row r="949">
      <c r="A949" s="907"/>
      <c r="B949" s="907"/>
      <c r="C949" s="907"/>
      <c r="D949" s="907"/>
      <c r="E949" s="907"/>
      <c r="F949" s="907"/>
      <c r="G949" s="907"/>
      <c r="H949" s="907"/>
      <c r="I949" s="907"/>
      <c r="J949" s="907"/>
      <c r="K949" s="907"/>
      <c r="L949" s="907"/>
    </row>
    <row r="950">
      <c r="A950" s="907"/>
      <c r="B950" s="907"/>
      <c r="C950" s="907"/>
      <c r="D950" s="907"/>
      <c r="E950" s="907"/>
      <c r="F950" s="907"/>
      <c r="G950" s="907"/>
      <c r="H950" s="907"/>
      <c r="I950" s="907"/>
      <c r="J950" s="907"/>
      <c r="K950" s="907"/>
      <c r="L950" s="907"/>
    </row>
    <row r="951">
      <c r="A951" s="907"/>
      <c r="B951" s="907"/>
      <c r="C951" s="907"/>
      <c r="D951" s="907"/>
      <c r="E951" s="907"/>
      <c r="F951" s="907"/>
      <c r="G951" s="907"/>
      <c r="H951" s="907"/>
      <c r="I951" s="907"/>
      <c r="J951" s="907"/>
      <c r="K951" s="907"/>
      <c r="L951" s="907"/>
    </row>
    <row r="952">
      <c r="A952" s="907"/>
      <c r="B952" s="907"/>
      <c r="C952" s="907"/>
      <c r="D952" s="907"/>
      <c r="E952" s="907"/>
      <c r="F952" s="907"/>
      <c r="G952" s="907"/>
      <c r="H952" s="907"/>
      <c r="I952" s="907"/>
      <c r="J952" s="907"/>
      <c r="K952" s="907"/>
      <c r="L952" s="907"/>
    </row>
    <row r="953">
      <c r="A953" s="907"/>
      <c r="B953" s="907"/>
      <c r="C953" s="907"/>
      <c r="D953" s="907"/>
      <c r="E953" s="907"/>
      <c r="F953" s="907"/>
      <c r="G953" s="907"/>
      <c r="H953" s="907"/>
      <c r="I953" s="907"/>
      <c r="J953" s="907"/>
      <c r="K953" s="907"/>
      <c r="L953" s="907"/>
    </row>
    <row r="954">
      <c r="A954" s="907"/>
      <c r="B954" s="907"/>
      <c r="C954" s="907"/>
      <c r="D954" s="907"/>
      <c r="E954" s="907"/>
      <c r="F954" s="907"/>
      <c r="G954" s="907"/>
      <c r="H954" s="907"/>
      <c r="I954" s="907"/>
      <c r="J954" s="907"/>
      <c r="K954" s="907"/>
      <c r="L954" s="907"/>
    </row>
    <row r="955">
      <c r="A955" s="907"/>
      <c r="B955" s="907"/>
      <c r="C955" s="907"/>
      <c r="D955" s="907"/>
      <c r="E955" s="907"/>
      <c r="F955" s="907"/>
      <c r="G955" s="907"/>
      <c r="H955" s="907"/>
      <c r="I955" s="907"/>
      <c r="J955" s="907"/>
      <c r="K955" s="907"/>
      <c r="L955" s="907"/>
    </row>
    <row r="956">
      <c r="A956" s="907"/>
      <c r="B956" s="907"/>
      <c r="C956" s="907"/>
      <c r="D956" s="907"/>
      <c r="E956" s="907"/>
      <c r="F956" s="907"/>
      <c r="G956" s="907"/>
      <c r="H956" s="907"/>
      <c r="I956" s="907"/>
      <c r="J956" s="907"/>
      <c r="K956" s="907"/>
      <c r="L956" s="907"/>
    </row>
    <row r="957">
      <c r="A957" s="907"/>
      <c r="B957" s="907"/>
      <c r="C957" s="907"/>
      <c r="D957" s="907"/>
      <c r="E957" s="907"/>
      <c r="F957" s="907"/>
      <c r="G957" s="907"/>
      <c r="H957" s="907"/>
      <c r="I957" s="907"/>
      <c r="J957" s="907"/>
      <c r="K957" s="907"/>
      <c r="L957" s="907"/>
    </row>
    <row r="958">
      <c r="A958" s="907"/>
      <c r="B958" s="907"/>
      <c r="C958" s="907"/>
      <c r="D958" s="907"/>
      <c r="E958" s="907"/>
      <c r="F958" s="907"/>
      <c r="G958" s="907"/>
      <c r="H958" s="907"/>
      <c r="I958" s="907"/>
      <c r="J958" s="907"/>
      <c r="K958" s="907"/>
      <c r="L958" s="907"/>
    </row>
    <row r="959">
      <c r="A959" s="907"/>
      <c r="B959" s="907"/>
      <c r="C959" s="907"/>
      <c r="D959" s="907"/>
      <c r="E959" s="907"/>
      <c r="F959" s="907"/>
      <c r="G959" s="907"/>
      <c r="H959" s="907"/>
      <c r="I959" s="907"/>
      <c r="J959" s="907"/>
      <c r="K959" s="907"/>
      <c r="L959" s="907"/>
    </row>
    <row r="960">
      <c r="A960" s="907"/>
      <c r="B960" s="907"/>
      <c r="C960" s="907"/>
      <c r="D960" s="907"/>
      <c r="E960" s="907"/>
      <c r="F960" s="907"/>
      <c r="G960" s="907"/>
      <c r="H960" s="907"/>
      <c r="I960" s="907"/>
      <c r="J960" s="907"/>
      <c r="K960" s="907"/>
      <c r="L960" s="907"/>
    </row>
    <row r="961">
      <c r="A961" s="907"/>
      <c r="B961" s="907"/>
      <c r="C961" s="907"/>
      <c r="D961" s="907"/>
      <c r="E961" s="907"/>
      <c r="F961" s="907"/>
      <c r="G961" s="907"/>
      <c r="H961" s="907"/>
      <c r="I961" s="907"/>
      <c r="J961" s="907"/>
      <c r="K961" s="907"/>
      <c r="L961" s="907"/>
    </row>
    <row r="962">
      <c r="A962" s="907"/>
      <c r="B962" s="907"/>
      <c r="C962" s="907"/>
      <c r="D962" s="907"/>
      <c r="E962" s="907"/>
      <c r="F962" s="907"/>
      <c r="G962" s="907"/>
      <c r="H962" s="907"/>
      <c r="I962" s="907"/>
      <c r="J962" s="907"/>
      <c r="K962" s="907"/>
      <c r="L962" s="907"/>
    </row>
    <row r="963">
      <c r="A963" s="907"/>
      <c r="B963" s="907"/>
      <c r="C963" s="907"/>
      <c r="D963" s="907"/>
      <c r="E963" s="907"/>
      <c r="F963" s="907"/>
      <c r="G963" s="907"/>
      <c r="H963" s="907"/>
      <c r="I963" s="907"/>
      <c r="J963" s="907"/>
      <c r="K963" s="907"/>
      <c r="L963" s="907"/>
    </row>
    <row r="964">
      <c r="A964" s="907"/>
      <c r="B964" s="907"/>
      <c r="C964" s="907"/>
      <c r="D964" s="907"/>
      <c r="E964" s="907"/>
      <c r="F964" s="907"/>
      <c r="G964" s="907"/>
      <c r="H964" s="907"/>
      <c r="I964" s="907"/>
      <c r="J964" s="907"/>
      <c r="K964" s="907"/>
      <c r="L964" s="907"/>
    </row>
    <row r="965">
      <c r="A965" s="907"/>
      <c r="B965" s="907"/>
      <c r="C965" s="907"/>
      <c r="D965" s="907"/>
      <c r="E965" s="907"/>
      <c r="F965" s="907"/>
      <c r="G965" s="907"/>
      <c r="H965" s="907"/>
      <c r="I965" s="907"/>
      <c r="J965" s="907"/>
      <c r="K965" s="907"/>
      <c r="L965" s="907"/>
    </row>
    <row r="966">
      <c r="A966" s="907"/>
      <c r="B966" s="907"/>
      <c r="C966" s="907"/>
      <c r="D966" s="907"/>
      <c r="E966" s="907"/>
      <c r="F966" s="907"/>
      <c r="G966" s="907"/>
      <c r="H966" s="907"/>
      <c r="I966" s="907"/>
      <c r="J966" s="907"/>
      <c r="K966" s="907"/>
      <c r="L966" s="907"/>
    </row>
    <row r="967">
      <c r="A967" s="907"/>
      <c r="B967" s="907"/>
      <c r="C967" s="907"/>
      <c r="D967" s="907"/>
      <c r="E967" s="907"/>
      <c r="F967" s="907"/>
      <c r="G967" s="907"/>
      <c r="H967" s="907"/>
      <c r="I967" s="907"/>
      <c r="J967" s="907"/>
      <c r="K967" s="907"/>
      <c r="L967" s="907"/>
    </row>
    <row r="968">
      <c r="A968" s="907"/>
      <c r="B968" s="907"/>
      <c r="C968" s="907"/>
      <c r="D968" s="907"/>
      <c r="E968" s="907"/>
      <c r="F968" s="907"/>
      <c r="G968" s="907"/>
      <c r="H968" s="907"/>
      <c r="I968" s="907"/>
      <c r="J968" s="907"/>
      <c r="K968" s="907"/>
      <c r="L968" s="907"/>
    </row>
    <row r="969">
      <c r="A969" s="907"/>
      <c r="B969" s="907"/>
      <c r="C969" s="907"/>
      <c r="D969" s="907"/>
      <c r="E969" s="907"/>
      <c r="F969" s="907"/>
      <c r="G969" s="907"/>
      <c r="H969" s="907"/>
      <c r="I969" s="907"/>
      <c r="J969" s="907"/>
      <c r="K969" s="907"/>
      <c r="L969" s="907"/>
    </row>
    <row r="970">
      <c r="A970" s="907"/>
      <c r="B970" s="907"/>
      <c r="C970" s="907"/>
      <c r="D970" s="907"/>
      <c r="E970" s="907"/>
      <c r="F970" s="907"/>
      <c r="G970" s="907"/>
      <c r="H970" s="907"/>
      <c r="I970" s="907"/>
      <c r="J970" s="907"/>
      <c r="K970" s="907"/>
      <c r="L970" s="907"/>
    </row>
    <row r="971">
      <c r="A971" s="907"/>
      <c r="B971" s="907"/>
      <c r="C971" s="907"/>
      <c r="D971" s="907"/>
      <c r="E971" s="907"/>
      <c r="F971" s="907"/>
      <c r="G971" s="907"/>
      <c r="H971" s="907"/>
      <c r="I971" s="907"/>
      <c r="J971" s="907"/>
      <c r="K971" s="907"/>
      <c r="L971" s="907"/>
    </row>
    <row r="972">
      <c r="A972" s="907"/>
      <c r="B972" s="907"/>
      <c r="C972" s="907"/>
      <c r="D972" s="907"/>
      <c r="E972" s="907"/>
      <c r="F972" s="907"/>
      <c r="G972" s="907"/>
      <c r="H972" s="907"/>
      <c r="I972" s="907"/>
      <c r="J972" s="907"/>
      <c r="K972" s="907"/>
      <c r="L972" s="907"/>
    </row>
    <row r="973">
      <c r="A973" s="907"/>
      <c r="B973" s="907"/>
      <c r="C973" s="907"/>
      <c r="D973" s="907"/>
      <c r="E973" s="907"/>
      <c r="F973" s="907"/>
      <c r="G973" s="907"/>
      <c r="H973" s="907"/>
      <c r="I973" s="907"/>
      <c r="J973" s="907"/>
      <c r="K973" s="907"/>
      <c r="L973" s="907"/>
    </row>
    <row r="974">
      <c r="A974" s="907"/>
      <c r="B974" s="907"/>
      <c r="C974" s="907"/>
      <c r="D974" s="907"/>
      <c r="E974" s="907"/>
      <c r="F974" s="907"/>
      <c r="G974" s="907"/>
      <c r="H974" s="907"/>
      <c r="I974" s="907"/>
      <c r="J974" s="907"/>
      <c r="K974" s="907"/>
      <c r="L974" s="907"/>
    </row>
    <row r="975">
      <c r="A975" s="907"/>
      <c r="B975" s="907"/>
      <c r="C975" s="907"/>
      <c r="D975" s="907"/>
      <c r="E975" s="907"/>
      <c r="F975" s="907"/>
      <c r="G975" s="907"/>
      <c r="H975" s="907"/>
      <c r="I975" s="907"/>
      <c r="J975" s="907"/>
      <c r="K975" s="907"/>
      <c r="L975" s="907"/>
    </row>
    <row r="976">
      <c r="A976" s="907"/>
      <c r="B976" s="907"/>
      <c r="C976" s="907"/>
      <c r="D976" s="907"/>
      <c r="E976" s="907"/>
      <c r="F976" s="907"/>
      <c r="G976" s="907"/>
      <c r="H976" s="907"/>
      <c r="I976" s="907"/>
      <c r="J976" s="907"/>
      <c r="K976" s="907"/>
      <c r="L976" s="907"/>
    </row>
    <row r="977">
      <c r="A977" s="907"/>
      <c r="B977" s="907"/>
      <c r="C977" s="907"/>
      <c r="D977" s="907"/>
      <c r="E977" s="907"/>
      <c r="F977" s="907"/>
      <c r="G977" s="907"/>
      <c r="H977" s="907"/>
      <c r="I977" s="907"/>
      <c r="J977" s="907"/>
      <c r="K977" s="907"/>
      <c r="L977" s="907"/>
    </row>
    <row r="978">
      <c r="A978" s="907"/>
      <c r="B978" s="907"/>
      <c r="C978" s="907"/>
      <c r="D978" s="907"/>
      <c r="E978" s="907"/>
      <c r="F978" s="907"/>
      <c r="G978" s="907"/>
      <c r="H978" s="907"/>
      <c r="I978" s="907"/>
      <c r="J978" s="907"/>
      <c r="K978" s="907"/>
      <c r="L978" s="907"/>
    </row>
    <row r="979">
      <c r="A979" s="907"/>
      <c r="B979" s="907"/>
      <c r="C979" s="907"/>
      <c r="D979" s="907"/>
      <c r="E979" s="907"/>
      <c r="F979" s="907"/>
      <c r="G979" s="907"/>
      <c r="H979" s="907"/>
      <c r="I979" s="907"/>
      <c r="J979" s="907"/>
      <c r="K979" s="907"/>
      <c r="L979" s="907"/>
    </row>
    <row r="980">
      <c r="A980" s="907"/>
      <c r="B980" s="907"/>
      <c r="C980" s="907"/>
      <c r="D980" s="907"/>
      <c r="E980" s="907"/>
      <c r="F980" s="907"/>
      <c r="G980" s="907"/>
      <c r="H980" s="907"/>
      <c r="I980" s="907"/>
      <c r="J980" s="907"/>
      <c r="K980" s="907"/>
      <c r="L980" s="907"/>
    </row>
    <row r="981">
      <c r="A981" s="907"/>
      <c r="B981" s="907"/>
      <c r="C981" s="907"/>
      <c r="D981" s="907"/>
      <c r="E981" s="907"/>
      <c r="F981" s="907"/>
      <c r="G981" s="907"/>
      <c r="H981" s="907"/>
      <c r="I981" s="907"/>
      <c r="J981" s="907"/>
      <c r="K981" s="907"/>
      <c r="L981" s="907"/>
    </row>
    <row r="982">
      <c r="A982" s="907"/>
      <c r="B982" s="907"/>
      <c r="C982" s="907"/>
      <c r="D982" s="907"/>
      <c r="E982" s="907"/>
      <c r="F982" s="907"/>
      <c r="G982" s="907"/>
      <c r="H982" s="907"/>
      <c r="I982" s="907"/>
      <c r="J982" s="907"/>
      <c r="K982" s="907"/>
      <c r="L982" s="907"/>
    </row>
    <row r="983">
      <c r="A983" s="907"/>
      <c r="B983" s="907"/>
      <c r="C983" s="907"/>
      <c r="D983" s="907"/>
      <c r="E983" s="907"/>
      <c r="F983" s="907"/>
      <c r="G983" s="907"/>
      <c r="H983" s="907"/>
      <c r="I983" s="907"/>
      <c r="J983" s="907"/>
      <c r="K983" s="907"/>
      <c r="L983" s="907"/>
    </row>
    <row r="984">
      <c r="A984" s="907"/>
      <c r="B984" s="907"/>
      <c r="C984" s="907"/>
      <c r="D984" s="907"/>
      <c r="E984" s="907"/>
      <c r="F984" s="907"/>
      <c r="G984" s="907"/>
      <c r="H984" s="907"/>
      <c r="I984" s="907"/>
      <c r="J984" s="907"/>
      <c r="K984" s="907"/>
      <c r="L984" s="907"/>
    </row>
    <row r="985">
      <c r="A985" s="907"/>
      <c r="B985" s="907"/>
      <c r="C985" s="907"/>
      <c r="D985" s="907"/>
      <c r="E985" s="907"/>
      <c r="F985" s="907"/>
      <c r="G985" s="907"/>
      <c r="H985" s="907"/>
      <c r="I985" s="907"/>
      <c r="J985" s="907"/>
      <c r="K985" s="907"/>
      <c r="L985" s="907"/>
    </row>
    <row r="986">
      <c r="A986" s="907"/>
      <c r="B986" s="907"/>
      <c r="C986" s="907"/>
      <c r="D986" s="907"/>
      <c r="E986" s="907"/>
      <c r="F986" s="907"/>
      <c r="G986" s="907"/>
      <c r="H986" s="907"/>
      <c r="I986" s="907"/>
      <c r="J986" s="907"/>
      <c r="K986" s="907"/>
      <c r="L986" s="907"/>
    </row>
    <row r="987">
      <c r="A987" s="907"/>
      <c r="B987" s="907"/>
      <c r="C987" s="907"/>
      <c r="D987" s="907"/>
      <c r="E987" s="907"/>
      <c r="F987" s="907"/>
      <c r="G987" s="907"/>
      <c r="H987" s="907"/>
      <c r="I987" s="907"/>
      <c r="J987" s="907"/>
      <c r="K987" s="907"/>
      <c r="L987" s="907"/>
    </row>
    <row r="988">
      <c r="A988" s="907"/>
      <c r="B988" s="907"/>
      <c r="C988" s="907"/>
      <c r="D988" s="907"/>
      <c r="E988" s="907"/>
      <c r="F988" s="907"/>
      <c r="G988" s="907"/>
      <c r="H988" s="907"/>
      <c r="I988" s="907"/>
      <c r="J988" s="907"/>
      <c r="K988" s="907"/>
      <c r="L988" s="907"/>
    </row>
    <row r="989">
      <c r="A989" s="907"/>
      <c r="B989" s="907"/>
      <c r="C989" s="907"/>
      <c r="D989" s="907"/>
      <c r="E989" s="907"/>
      <c r="F989" s="907"/>
      <c r="G989" s="907"/>
      <c r="H989" s="907"/>
      <c r="I989" s="907"/>
      <c r="J989" s="907"/>
      <c r="K989" s="907"/>
      <c r="L989" s="907"/>
    </row>
    <row r="990">
      <c r="A990" s="907"/>
      <c r="B990" s="907"/>
      <c r="C990" s="907"/>
      <c r="D990" s="907"/>
      <c r="E990" s="907"/>
      <c r="F990" s="907"/>
      <c r="G990" s="907"/>
      <c r="H990" s="907"/>
      <c r="I990" s="907"/>
      <c r="J990" s="907"/>
      <c r="K990" s="907"/>
      <c r="L990" s="907"/>
    </row>
    <row r="991">
      <c r="A991" s="907"/>
      <c r="B991" s="907"/>
      <c r="C991" s="907"/>
      <c r="D991" s="907"/>
      <c r="E991" s="907"/>
      <c r="F991" s="907"/>
      <c r="G991" s="907"/>
      <c r="H991" s="907"/>
      <c r="I991" s="907"/>
      <c r="J991" s="907"/>
      <c r="K991" s="907"/>
      <c r="L991" s="907"/>
    </row>
    <row r="992">
      <c r="A992" s="907"/>
      <c r="B992" s="907"/>
      <c r="C992" s="907"/>
      <c r="D992" s="907"/>
      <c r="E992" s="907"/>
      <c r="F992" s="907"/>
      <c r="G992" s="907"/>
      <c r="H992" s="907"/>
      <c r="I992" s="907"/>
      <c r="J992" s="907"/>
      <c r="K992" s="907"/>
      <c r="L992" s="907"/>
    </row>
    <row r="993">
      <c r="A993" s="907"/>
      <c r="B993" s="907"/>
      <c r="C993" s="907"/>
      <c r="D993" s="907"/>
      <c r="E993" s="907"/>
      <c r="F993" s="907"/>
      <c r="G993" s="907"/>
      <c r="H993" s="907"/>
      <c r="I993" s="907"/>
      <c r="J993" s="907"/>
      <c r="K993" s="907"/>
      <c r="L993" s="907"/>
    </row>
    <row r="994">
      <c r="A994" s="907"/>
      <c r="B994" s="907"/>
      <c r="C994" s="907"/>
      <c r="D994" s="907"/>
      <c r="E994" s="907"/>
      <c r="F994" s="907"/>
      <c r="G994" s="907"/>
      <c r="H994" s="907"/>
      <c r="I994" s="907"/>
      <c r="J994" s="907"/>
      <c r="K994" s="907"/>
      <c r="L994" s="907"/>
    </row>
    <row r="995">
      <c r="A995" s="907"/>
      <c r="B995" s="907"/>
      <c r="C995" s="907"/>
      <c r="D995" s="907"/>
      <c r="E995" s="907"/>
      <c r="F995" s="907"/>
      <c r="G995" s="907"/>
      <c r="H995" s="907"/>
      <c r="I995" s="907"/>
      <c r="J995" s="907"/>
      <c r="K995" s="907"/>
      <c r="L995" s="907"/>
    </row>
    <row r="996">
      <c r="A996" s="907"/>
      <c r="B996" s="907"/>
      <c r="C996" s="907"/>
      <c r="D996" s="907"/>
      <c r="E996" s="907"/>
      <c r="F996" s="907"/>
      <c r="G996" s="907"/>
      <c r="H996" s="907"/>
      <c r="I996" s="907"/>
      <c r="J996" s="907"/>
      <c r="K996" s="907"/>
      <c r="L996" s="907"/>
    </row>
    <row r="997">
      <c r="A997" s="907"/>
      <c r="B997" s="907"/>
      <c r="C997" s="907"/>
      <c r="D997" s="907"/>
      <c r="E997" s="907"/>
      <c r="F997" s="907"/>
      <c r="G997" s="907"/>
      <c r="H997" s="907"/>
      <c r="I997" s="907"/>
      <c r="J997" s="907"/>
      <c r="K997" s="907"/>
      <c r="L997" s="907"/>
    </row>
    <row r="998">
      <c r="A998" s="907"/>
      <c r="B998" s="907"/>
      <c r="C998" s="907"/>
      <c r="D998" s="907"/>
      <c r="E998" s="907"/>
      <c r="F998" s="907"/>
      <c r="G998" s="907"/>
      <c r="H998" s="907"/>
      <c r="I998" s="907"/>
      <c r="J998" s="907"/>
      <c r="K998" s="907"/>
      <c r="L998" s="907"/>
    </row>
    <row r="999">
      <c r="A999" s="907"/>
      <c r="B999" s="907"/>
      <c r="C999" s="907"/>
      <c r="D999" s="907"/>
      <c r="E999" s="907"/>
      <c r="F999" s="907"/>
      <c r="G999" s="907"/>
      <c r="H999" s="907"/>
      <c r="I999" s="907"/>
      <c r="J999" s="907"/>
      <c r="K999" s="907"/>
      <c r="L999" s="907"/>
    </row>
    <row r="1000">
      <c r="A1000" s="907"/>
      <c r="B1000" s="907"/>
      <c r="C1000" s="907"/>
      <c r="D1000" s="907"/>
      <c r="E1000" s="907"/>
      <c r="F1000" s="907"/>
      <c r="G1000" s="907"/>
      <c r="H1000" s="907"/>
      <c r="I1000" s="907"/>
      <c r="J1000" s="907"/>
      <c r="K1000" s="907"/>
      <c r="L1000" s="907"/>
    </row>
    <row r="1001">
      <c r="A1001" s="907"/>
      <c r="B1001" s="907"/>
      <c r="C1001" s="907"/>
      <c r="D1001" s="907"/>
      <c r="E1001" s="907"/>
      <c r="F1001" s="907"/>
      <c r="G1001" s="907"/>
      <c r="H1001" s="907"/>
      <c r="I1001" s="907"/>
      <c r="J1001" s="907"/>
      <c r="K1001" s="907"/>
      <c r="L1001" s="907"/>
    </row>
    <row r="1002">
      <c r="A1002" s="907"/>
      <c r="B1002" s="907"/>
      <c r="C1002" s="907"/>
      <c r="D1002" s="907"/>
      <c r="E1002" s="907"/>
      <c r="F1002" s="907"/>
      <c r="G1002" s="907"/>
      <c r="H1002" s="907"/>
      <c r="I1002" s="907"/>
      <c r="J1002" s="907"/>
      <c r="K1002" s="907"/>
      <c r="L1002" s="907"/>
    </row>
    <row r="1003">
      <c r="A1003" s="907"/>
      <c r="B1003" s="907"/>
      <c r="C1003" s="907"/>
      <c r="D1003" s="907"/>
      <c r="E1003" s="907"/>
      <c r="F1003" s="907"/>
      <c r="G1003" s="907"/>
      <c r="H1003" s="907"/>
      <c r="I1003" s="907"/>
      <c r="J1003" s="907"/>
      <c r="K1003" s="907"/>
      <c r="L1003" s="907"/>
    </row>
    <row r="1004">
      <c r="A1004" s="907"/>
      <c r="B1004" s="907"/>
      <c r="C1004" s="907"/>
      <c r="D1004" s="907"/>
      <c r="E1004" s="907"/>
      <c r="F1004" s="907"/>
      <c r="G1004" s="907"/>
      <c r="H1004" s="907"/>
      <c r="I1004" s="907"/>
      <c r="J1004" s="907"/>
      <c r="K1004" s="907"/>
      <c r="L1004" s="907"/>
    </row>
    <row r="1005">
      <c r="A1005" s="907"/>
      <c r="B1005" s="907"/>
      <c r="C1005" s="907"/>
      <c r="D1005" s="907"/>
      <c r="E1005" s="907"/>
      <c r="F1005" s="907"/>
      <c r="G1005" s="907"/>
      <c r="H1005" s="907"/>
      <c r="I1005" s="907"/>
      <c r="J1005" s="907"/>
      <c r="K1005" s="907"/>
      <c r="L1005" s="907"/>
    </row>
    <row r="1006">
      <c r="A1006" s="907"/>
      <c r="B1006" s="907"/>
      <c r="C1006" s="907"/>
      <c r="D1006" s="907"/>
      <c r="E1006" s="907"/>
      <c r="F1006" s="907"/>
      <c r="G1006" s="907"/>
      <c r="H1006" s="907"/>
      <c r="I1006" s="907"/>
      <c r="J1006" s="907"/>
      <c r="K1006" s="907"/>
      <c r="L1006" s="907"/>
    </row>
    <row r="1007">
      <c r="A1007" s="907"/>
      <c r="B1007" s="907"/>
      <c r="C1007" s="907"/>
      <c r="D1007" s="907"/>
      <c r="E1007" s="907"/>
      <c r="F1007" s="907"/>
      <c r="G1007" s="907"/>
      <c r="H1007" s="907"/>
      <c r="I1007" s="907"/>
      <c r="J1007" s="907"/>
      <c r="K1007" s="907"/>
      <c r="L1007" s="907"/>
    </row>
    <row r="1008">
      <c r="A1008" s="907"/>
      <c r="B1008" s="907"/>
      <c r="C1008" s="907"/>
      <c r="D1008" s="907"/>
      <c r="E1008" s="907"/>
      <c r="F1008" s="907"/>
      <c r="G1008" s="907"/>
      <c r="H1008" s="907"/>
      <c r="I1008" s="907"/>
      <c r="J1008" s="907"/>
      <c r="K1008" s="907"/>
      <c r="L1008" s="907"/>
    </row>
    <row r="1009">
      <c r="A1009" s="907"/>
      <c r="B1009" s="907"/>
      <c r="C1009" s="907"/>
      <c r="D1009" s="907"/>
      <c r="E1009" s="907"/>
      <c r="F1009" s="907"/>
      <c r="G1009" s="907"/>
      <c r="H1009" s="907"/>
      <c r="I1009" s="907"/>
      <c r="J1009" s="907"/>
      <c r="K1009" s="907"/>
      <c r="L1009" s="907"/>
    </row>
    <row r="1010">
      <c r="A1010" s="907"/>
      <c r="B1010" s="907"/>
      <c r="C1010" s="907"/>
      <c r="D1010" s="907"/>
      <c r="E1010" s="907"/>
      <c r="F1010" s="907"/>
      <c r="G1010" s="907"/>
      <c r="H1010" s="907"/>
      <c r="I1010" s="907"/>
      <c r="J1010" s="907"/>
      <c r="K1010" s="907"/>
      <c r="L1010" s="907"/>
    </row>
    <row r="1011">
      <c r="A1011" s="907"/>
      <c r="B1011" s="907"/>
      <c r="C1011" s="907"/>
      <c r="D1011" s="907"/>
      <c r="E1011" s="907"/>
      <c r="F1011" s="907"/>
      <c r="G1011" s="907"/>
      <c r="H1011" s="907"/>
      <c r="I1011" s="907"/>
      <c r="J1011" s="907"/>
      <c r="K1011" s="907"/>
      <c r="L1011" s="907"/>
    </row>
    <row r="1012">
      <c r="A1012" s="907"/>
      <c r="B1012" s="907"/>
      <c r="C1012" s="907"/>
      <c r="D1012" s="907"/>
      <c r="E1012" s="907"/>
      <c r="F1012" s="907"/>
      <c r="G1012" s="907"/>
      <c r="H1012" s="907"/>
      <c r="I1012" s="907"/>
      <c r="J1012" s="907"/>
      <c r="K1012" s="907"/>
      <c r="L1012" s="907"/>
    </row>
    <row r="1013">
      <c r="A1013" s="907"/>
      <c r="B1013" s="907"/>
      <c r="C1013" s="907"/>
      <c r="D1013" s="907"/>
      <c r="E1013" s="907"/>
      <c r="F1013" s="907"/>
      <c r="G1013" s="907"/>
      <c r="H1013" s="907"/>
      <c r="I1013" s="907"/>
      <c r="J1013" s="907"/>
      <c r="K1013" s="907"/>
      <c r="L1013" s="907"/>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10" width="21.57"/>
  </cols>
  <sheetData>
    <row r="1">
      <c r="A1" s="924" t="s">
        <v>951</v>
      </c>
      <c r="B1" s="924" t="s">
        <v>952</v>
      </c>
      <c r="C1" s="924" t="s">
        <v>682</v>
      </c>
      <c r="D1" s="924" t="s">
        <v>683</v>
      </c>
      <c r="E1" s="924" t="s">
        <v>684</v>
      </c>
      <c r="F1" s="924" t="s">
        <v>685</v>
      </c>
      <c r="G1" s="924" t="s">
        <v>686</v>
      </c>
      <c r="H1" s="924" t="s">
        <v>687</v>
      </c>
      <c r="I1" s="924" t="s">
        <v>688</v>
      </c>
      <c r="J1" s="924" t="s">
        <v>689</v>
      </c>
    </row>
    <row r="2">
      <c r="A2" s="925">
        <f>'職業能力'!B2</f>
        <v>0</v>
      </c>
      <c r="B2" s="926" t="s">
        <v>410</v>
      </c>
      <c r="C2" s="927" t="str">
        <f>IF(A2&gt;=1,"狂怒("&amp;IF(A2&gt;=16,"4d6",IF(A2&gt;=9,"3d6","2d6"))&amp;")","")</f>
        <v/>
      </c>
      <c r="D2" s="927" t="str">
        <f>IF($A$2&gt;=6,"無我狂暴","")</f>
        <v/>
      </c>
      <c r="E2" s="927" t="str">
        <f>IF($A$2&gt;=10,"復仇","")</f>
        <v/>
      </c>
      <c r="F2" s="927" t="str">
        <f>IF($A$2&gt;=14,"威攝之姿","")</f>
        <v/>
      </c>
      <c r="G2" s="927"/>
      <c r="H2" s="927"/>
      <c r="I2" s="927"/>
      <c r="J2" s="927"/>
    </row>
    <row r="3">
      <c r="A3" s="924" t="s">
        <v>371</v>
      </c>
      <c r="B3" s="928" t="s">
        <v>411</v>
      </c>
      <c r="C3" s="927" t="str">
        <f>IF($A$2&gt;=3,"動物語者","")</f>
        <v/>
      </c>
      <c r="D3" s="927" t="str">
        <f>IF($A$2&gt;=3,"獸性狂暴","")</f>
        <v/>
      </c>
      <c r="E3" s="927" t="str">
        <f>IF($A$2&gt;=6,"獸體形貌"&amp;'職業能力選項'!F3,"")</f>
        <v/>
      </c>
      <c r="F3" s="927" t="str">
        <f>IF($A$2&gt;=10,"自然語者","")</f>
        <v/>
      </c>
      <c r="G3" s="927" t="str">
        <f>IF($A$2&gt;=14,"獸力威能","")</f>
        <v/>
      </c>
      <c r="H3" s="927"/>
      <c r="I3" s="927"/>
      <c r="J3" s="927"/>
    </row>
    <row r="4">
      <c r="A4" s="924"/>
      <c r="B4" s="928" t="s">
        <v>412</v>
      </c>
      <c r="C4" s="927" t="str">
        <f>IF($A$2&gt;=3,"聖樹活力","")</f>
        <v/>
      </c>
      <c r="D4" s="927" t="str">
        <f>IF($A$2&gt;=6,"靈樹枝枒","")</f>
        <v/>
      </c>
      <c r="E4" s="927" t="str">
        <f>IF($A$2&gt;=10,"根擊千鈞","")</f>
        <v/>
      </c>
      <c r="F4" s="927" t="str">
        <f>IF($A$2&gt;=14,"世界樹奇旅","")</f>
        <v/>
      </c>
      <c r="G4" s="927"/>
      <c r="H4" s="927"/>
      <c r="I4" s="927"/>
      <c r="J4" s="927"/>
    </row>
    <row r="5">
      <c r="A5" s="924"/>
      <c r="B5" s="928" t="s">
        <v>413</v>
      </c>
      <c r="C5" s="927" t="str">
        <f>IF($A$2&gt;=3,"神性之怒","")</f>
        <v/>
      </c>
      <c r="D5" s="927" t="str">
        <f>IF($A$2&gt;=3,"諸神勇士","")</f>
        <v/>
      </c>
      <c r="E5" s="927" t="str">
        <f>IF($A$2&gt;=6,"狂熱專注","")</f>
        <v/>
      </c>
      <c r="F5" s="927" t="str">
        <f>IF($A$2&gt;=10,"狂熱威儀","")</f>
        <v/>
      </c>
      <c r="G5" s="927" t="str">
        <f>IF($A$2&gt;=14,"神祗狂暴","")</f>
        <v/>
      </c>
      <c r="H5" s="927"/>
      <c r="I5" s="927"/>
      <c r="J5" s="927"/>
    </row>
    <row r="6">
      <c r="A6" s="924"/>
      <c r="B6" s="928" t="s">
        <v>953</v>
      </c>
      <c r="C6" s="927" t="str">
        <f>IF($A$2&gt;=3,"煉金實驗","")</f>
        <v/>
      </c>
      <c r="D6" s="927" t="str">
        <f>IF($A$2&gt;=3,"不穩定血清","")</f>
        <v/>
      </c>
      <c r="E6" s="927" t="str">
        <f>IF($A$2&gt;=6,"強化化合物","")</f>
        <v/>
      </c>
      <c r="F6" s="927" t="str">
        <f>IF($A$2&gt;=10,"應激催化","")</f>
        <v/>
      </c>
      <c r="G6" s="927" t="str">
        <f>IF($A$2&gt;=14,"生化混合","")</f>
        <v/>
      </c>
      <c r="H6" s="927"/>
      <c r="I6" s="927"/>
      <c r="J6" s="927"/>
    </row>
    <row r="7">
      <c r="A7" s="924"/>
      <c r="B7" s="928" t="s">
        <v>954</v>
      </c>
      <c r="C7" s="927" t="str">
        <f>IF($A$2&gt;=3,"無'法'反駁","")</f>
        <v/>
      </c>
      <c r="D7" s="927" t="str">
        <f>IF($A$2&gt;=3,"「戲法」","")</f>
        <v/>
      </c>
      <c r="E7" s="927" t="str">
        <f>IF($A$2&gt;=3,"「法術」","")</f>
        <v/>
      </c>
      <c r="F7" s="927" t="str">
        <f>IF($A$2&gt;=3,"魔法抗性","")</f>
        <v/>
      </c>
      <c r="G7" s="927" t="str">
        <f>IF($A$2&gt;=3,"我施放拳頭","")</f>
        <v/>
      </c>
      <c r="H7" s="927"/>
      <c r="I7" s="927"/>
      <c r="J7" s="927"/>
    </row>
    <row r="8">
      <c r="A8" s="924"/>
      <c r="B8" s="928" t="s">
        <v>955</v>
      </c>
      <c r="C8" s="927" t="str">
        <f>IF($A$2&gt;=3,"本能預知","")</f>
        <v/>
      </c>
      <c r="D8" s="927" t="str">
        <f>IF($A$2&gt;=3,"破法槌","")</f>
        <v/>
      </c>
      <c r="E8" s="927" t="str">
        <f>IF($A$2&gt;=3,"吸法盾","")</f>
        <v/>
      </c>
      <c r="F8" s="927" t="str">
        <f>IF($A$2&gt;=6,"撕裂魔網","")</f>
        <v/>
      </c>
      <c r="G8" s="927" t="str">
        <f>IF($A$2&gt;=10,"振奮咆哮","")</f>
        <v/>
      </c>
      <c r="H8" s="927" t="str">
        <f>IF($A$2&gt;=14,"次元決鬥","")</f>
        <v/>
      </c>
      <c r="I8" s="927"/>
      <c r="J8" s="927"/>
    </row>
    <row r="9">
      <c r="A9" s="924"/>
      <c r="B9" s="928" t="s">
        <v>956</v>
      </c>
      <c r="C9" s="927" t="str">
        <f>IF($A$2&gt;=3,"狂怒面容","")</f>
        <v/>
      </c>
      <c r="D9" s="927" t="str">
        <f>IF($A$2&gt;=3,"文明面具","")</f>
        <v/>
      </c>
      <c r="E9" s="927" t="str">
        <f>IF($A$2&gt;=6,"智慧與力量","")</f>
        <v/>
      </c>
      <c r="F9" s="927" t="str">
        <f>IF($A$2&gt;=10,"狡詐與殘暴","")</f>
        <v/>
      </c>
      <c r="G9" s="927" t="str">
        <f>IF($A$2&gt;=14,"另一個我","")</f>
        <v/>
      </c>
      <c r="H9" s="927"/>
      <c r="I9" s="927"/>
      <c r="J9" s="927"/>
    </row>
    <row r="10">
      <c r="A10" s="924"/>
      <c r="B10" s="928" t="s">
        <v>957</v>
      </c>
      <c r="C10" s="927" t="str">
        <f>IF($A$2&gt;=3,"原初夥伴","")</f>
        <v/>
      </c>
      <c r="D10" s="927" t="str">
        <f>IF($A$2&gt;=3,"共享狂暴","")</f>
        <v/>
      </c>
      <c r="E10" s="927" t="str">
        <f>IF($A$2&gt;=3,"野獸親族","")</f>
        <v/>
      </c>
      <c r="F10" s="927" t="str">
        <f>IF($A$2&gt;=3,"獸魂附體","")</f>
        <v/>
      </c>
      <c r="G10" s="927" t="str">
        <f>IF($A$2&gt;=3,"荒野之形","")</f>
        <v/>
      </c>
      <c r="H10" s="927"/>
      <c r="I10" s="927"/>
      <c r="J10" s="927"/>
    </row>
    <row r="11">
      <c r="A11" s="924"/>
      <c r="B11" s="928" t="s">
        <v>958</v>
      </c>
      <c r="C11" s="927" t="str">
        <f>IF($A$2&gt;=3,"亡靈之怒","")</f>
        <v/>
      </c>
      <c r="D11" s="927" t="str">
        <f>IF($A$2&gt;=3,"終夜宣洩"&amp;'職業能力選項'!F6,"")</f>
        <v/>
      </c>
      <c r="E11" s="927" t="str">
        <f>IF($A$2&gt;=6,"重演黑暗厄運","")</f>
        <v/>
      </c>
      <c r="F11" s="927" t="str">
        <f>IF($A$2&gt;=10,"死亡不過是一扇門","")</f>
        <v/>
      </c>
      <c r="G11" s="927" t="str">
        <f>IF($A$2&gt;=14,"悲愴驅動","")</f>
        <v/>
      </c>
      <c r="H11" s="927"/>
      <c r="I11" s="927"/>
      <c r="J11" s="927"/>
    </row>
    <row r="12">
      <c r="A12" s="924"/>
      <c r="B12" s="928" t="s">
        <v>959</v>
      </c>
      <c r="C12" s="927" t="str">
        <f>IF($A$2&gt;=3,"原初霜寒","")</f>
        <v/>
      </c>
      <c r="D12" s="927" t="str">
        <f>IF($A$2&gt;=3,"霜噬","")</f>
        <v/>
      </c>
      <c r="E12" s="927" t="str">
        <f>IF($A$2&gt;=3,"寒霜壁壘","")</f>
        <v/>
      </c>
      <c r="F12" s="927" t="str">
        <f>IF($A$2&gt;=3,"深度睡眠","")</f>
        <v/>
      </c>
      <c r="G12" s="927" t="str">
        <f>IF($A$2&gt;=3,"雪崩踏步","")</f>
        <v/>
      </c>
      <c r="H12" s="927"/>
      <c r="I12" s="927"/>
      <c r="J12" s="927"/>
    </row>
    <row r="13" hidden="1">
      <c r="A13" s="924"/>
      <c r="B13" s="928"/>
      <c r="C13" s="927"/>
      <c r="D13" s="927"/>
      <c r="E13" s="927"/>
      <c r="F13" s="927"/>
      <c r="G13" s="927"/>
      <c r="H13" s="927"/>
      <c r="I13" s="927"/>
      <c r="J13" s="927"/>
    </row>
    <row r="14" hidden="1">
      <c r="A14" s="924"/>
      <c r="B14" s="928"/>
      <c r="C14" s="927"/>
      <c r="D14" s="927"/>
      <c r="E14" s="927"/>
      <c r="F14" s="927"/>
      <c r="G14" s="927"/>
      <c r="H14" s="927"/>
      <c r="I14" s="927"/>
      <c r="J14" s="927"/>
    </row>
    <row r="15" hidden="1">
      <c r="A15" s="924"/>
      <c r="B15" s="928"/>
      <c r="C15" s="927"/>
      <c r="D15" s="927"/>
      <c r="E15" s="927"/>
      <c r="F15" s="927"/>
      <c r="G15" s="927"/>
      <c r="H15" s="927"/>
      <c r="I15" s="927"/>
      <c r="J15" s="927"/>
    </row>
    <row r="16" hidden="1">
      <c r="A16" s="924"/>
      <c r="B16" s="928"/>
      <c r="C16" s="927"/>
      <c r="D16" s="927"/>
      <c r="E16" s="927"/>
      <c r="F16" s="927"/>
      <c r="G16" s="927"/>
      <c r="H16" s="927"/>
      <c r="I16" s="927"/>
      <c r="J16" s="927"/>
    </row>
    <row r="17" hidden="1">
      <c r="A17" s="924"/>
      <c r="B17" s="928"/>
      <c r="C17" s="927"/>
      <c r="D17" s="927"/>
      <c r="E17" s="927"/>
      <c r="F17" s="927"/>
      <c r="G17" s="927"/>
      <c r="H17" s="927"/>
      <c r="I17" s="927"/>
      <c r="J17" s="927"/>
    </row>
    <row r="18" hidden="1">
      <c r="A18" s="924"/>
      <c r="B18" s="928"/>
      <c r="C18" s="927"/>
      <c r="D18" s="927"/>
      <c r="E18" s="927"/>
      <c r="F18" s="927"/>
      <c r="G18" s="927"/>
      <c r="H18" s="927"/>
      <c r="I18" s="927"/>
      <c r="J18" s="927"/>
    </row>
    <row r="19" hidden="1">
      <c r="A19" s="924"/>
      <c r="B19" s="928"/>
      <c r="C19" s="927"/>
      <c r="D19" s="927"/>
      <c r="E19" s="927"/>
      <c r="F19" s="927"/>
      <c r="G19" s="927"/>
      <c r="H19" s="927"/>
      <c r="I19" s="927"/>
      <c r="J19" s="927"/>
    </row>
    <row r="20" hidden="1">
      <c r="A20" s="924"/>
      <c r="B20" s="928"/>
      <c r="C20" s="927"/>
      <c r="D20" s="927"/>
      <c r="E20" s="927"/>
      <c r="F20" s="927"/>
      <c r="G20" s="927"/>
      <c r="H20" s="927"/>
      <c r="I20" s="927"/>
      <c r="J20" s="927"/>
    </row>
    <row r="21" hidden="1">
      <c r="A21" s="924"/>
      <c r="B21" s="928"/>
      <c r="C21" s="927"/>
      <c r="D21" s="927"/>
      <c r="E21" s="927"/>
      <c r="F21" s="927"/>
      <c r="G21" s="927"/>
      <c r="H21" s="927"/>
      <c r="I21" s="927"/>
      <c r="J21" s="927"/>
    </row>
    <row r="22" hidden="1">
      <c r="A22" s="924"/>
      <c r="B22" s="928"/>
      <c r="C22" s="927"/>
      <c r="D22" s="927"/>
      <c r="E22" s="927"/>
      <c r="F22" s="927"/>
      <c r="G22" s="927"/>
      <c r="H22" s="927"/>
      <c r="I22" s="927"/>
      <c r="J22" s="927"/>
    </row>
    <row r="23" hidden="1">
      <c r="A23" s="924"/>
      <c r="B23" s="928"/>
      <c r="C23" s="927"/>
      <c r="D23" s="927"/>
      <c r="E23" s="927"/>
      <c r="F23" s="927"/>
      <c r="G23" s="927"/>
      <c r="H23" s="927"/>
      <c r="I23" s="927"/>
      <c r="J23" s="927"/>
    </row>
    <row r="24">
      <c r="A24" s="924">
        <f>'職業能力'!C2</f>
        <v>0</v>
      </c>
      <c r="B24" s="929" t="s">
        <v>417</v>
      </c>
      <c r="C24" s="930" t="str">
        <f>IF($A$24&gt;=3,"炫目舞步","")</f>
        <v/>
      </c>
      <c r="D24" s="930" t="str">
        <f>IF($A$24&gt;=6,"激勵移動","")</f>
        <v/>
      </c>
      <c r="E24" s="930" t="str">
        <f>IF($A$24&gt;=6,"協同舞步","")</f>
        <v/>
      </c>
      <c r="F24" s="930" t="str">
        <f>IF($A$24&gt;=14,"引導閃避","")</f>
        <v/>
      </c>
      <c r="G24" s="930"/>
      <c r="H24" s="930"/>
      <c r="I24" s="930"/>
      <c r="J24" s="930"/>
    </row>
    <row r="25">
      <c r="A25" s="924" t="s">
        <v>372</v>
      </c>
      <c r="B25" s="929" t="s">
        <v>418</v>
      </c>
      <c r="C25" s="930" t="str">
        <f>IF($A$24&gt;=3,"惑心魔法","")</f>
        <v/>
      </c>
      <c r="D25" s="930" t="str">
        <f>IF($A$24&gt;=3,"鼓舞領域","")</f>
        <v/>
      </c>
      <c r="E25" s="930" t="str">
        <f>IF($A$24&gt;=6,"威嚴領域","")</f>
        <v/>
      </c>
      <c r="F25" s="930" t="str">
        <f>IF($A$24&gt;=14,"絕對威儀","")</f>
        <v/>
      </c>
      <c r="G25" s="930"/>
      <c r="H25" s="930"/>
      <c r="I25" s="930"/>
      <c r="J25" s="930"/>
    </row>
    <row r="26">
      <c r="A26" s="924"/>
      <c r="B26" s="929" t="s">
        <v>419</v>
      </c>
      <c r="C26" s="930" t="str">
        <f>IF($A$24&gt;=3,"額外熟練","")</f>
        <v/>
      </c>
      <c r="D26" s="930" t="str">
        <f>IF($A$24&gt;=3,"語出驚人","")</f>
        <v/>
      </c>
      <c r="E26" s="930" t="str">
        <f>IF($A$24&gt;=6,"魔法發現","")</f>
        <v/>
      </c>
      <c r="F26" s="930" t="str">
        <f>IF($A$24&gt;=14,"絕代技能","")</f>
        <v/>
      </c>
      <c r="G26" s="930"/>
      <c r="H26" s="930"/>
      <c r="I26" s="930"/>
      <c r="J26" s="930"/>
    </row>
    <row r="27">
      <c r="A27" s="924"/>
      <c r="B27" s="929" t="s">
        <v>420</v>
      </c>
      <c r="C27" s="930" t="str">
        <f>IF($A$24&gt;=3,"戰鬥激勵","")</f>
        <v/>
      </c>
      <c r="D27" s="930" t="str">
        <f>IF($A$24&gt;=3,"武術訓練","")</f>
        <v/>
      </c>
      <c r="E27" s="930" t="str">
        <f>IF($A$24&gt;=6,"額外攻擊","")</f>
        <v/>
      </c>
      <c r="F27" s="930" t="str">
        <f>IF($A$24&gt;=14,"戰鬥魔法","")</f>
        <v/>
      </c>
      <c r="G27" s="930"/>
      <c r="H27" s="930"/>
      <c r="I27" s="930"/>
      <c r="J27" s="930"/>
    </row>
    <row r="28">
      <c r="A28" s="924"/>
      <c r="B28" s="929" t="s">
        <v>960</v>
      </c>
      <c r="C28" s="930" t="str">
        <f>IF($A$24&gt;=3,"明月激勵","")</f>
        <v/>
      </c>
      <c r="D28" s="930" t="str">
        <f>IF($A$24&gt;=3,"原初軼聞","")</f>
        <v/>
      </c>
      <c r="E28" s="930" t="str">
        <f>IF($A$24&gt;=6,"月光祝福","")</f>
        <v/>
      </c>
      <c r="F28" s="930" t="str">
        <f>IF($A$24&gt;=14,"暮光輝映","")</f>
        <v/>
      </c>
      <c r="G28" s="930"/>
      <c r="H28" s="930"/>
      <c r="I28" s="930"/>
      <c r="J28" s="930"/>
    </row>
    <row r="29">
      <c r="A29" s="924"/>
      <c r="B29" s="929" t="s">
        <v>961</v>
      </c>
      <c r="C29" s="930" t="str">
        <f>IF($A$24&gt;=3,"助人鬼祟","")</f>
        <v/>
      </c>
      <c r="D29" s="930" t="str">
        <f>IF($A$24&gt;=3,"吹哨漫遊者","")</f>
        <v/>
      </c>
      <c r="E29" s="930" t="str">
        <f>IF($A$24&gt;=6,"歸鄉之路","")</f>
        <v/>
      </c>
      <c r="F29" s="930" t="str">
        <f>IF($A$24&gt;=6,"軌道疾行","")</f>
        <v/>
      </c>
      <c r="G29" s="930" t="str">
        <f>IF($A$24&gt;=14,"終點站","")</f>
        <v/>
      </c>
      <c r="H29" s="930"/>
      <c r="I29" s="930"/>
      <c r="J29" s="930"/>
    </row>
    <row r="30">
      <c r="A30" s="924"/>
      <c r="B30" s="929" t="s">
        <v>962</v>
      </c>
      <c r="C30" s="930" t="str">
        <f>IF($A$24&gt;=3,"悲劇英雄","")</f>
        <v/>
      </c>
      <c r="D30" s="930" t="str">
        <f>IF($A$24&gt;=3,"百面人生","")</f>
        <v/>
      </c>
      <c r="E30" s="930" t="str">
        <f>IF($A$24&gt;=6,"舞台指導","")</f>
        <v/>
      </c>
      <c r="F30" s="930" t="str">
        <f>IF($A$24&gt;=6,"眾星登場","")</f>
        <v/>
      </c>
      <c r="G30" s="930" t="str">
        <f>IF($A$24&gt;=14,"壓軸好戲","")</f>
        <v/>
      </c>
      <c r="H30" s="930"/>
      <c r="I30" s="930"/>
      <c r="J30" s="930"/>
    </row>
    <row r="31">
      <c r="A31" s="924"/>
      <c r="B31" s="929" t="s">
        <v>963</v>
      </c>
      <c r="C31" s="930" t="str">
        <f>IF($A$24&gt;=3,"冒險者天賦("&amp;IF(A91&gt;=14,"3項",IF(A91&gt;=6,"2項","1項"))&amp;")","")</f>
        <v/>
      </c>
      <c r="D31" s="930" t="str">
        <f>IF($A$24&gt;=3,"團隊策劃","")</f>
        <v/>
      </c>
      <c r="E31" s="930" t="str">
        <f>IF($A$24&gt;=6,"面面俱到","")</f>
        <v/>
      </c>
      <c r="F31" s="930" t="str">
        <f>IF($A$24&gt;=14,"即興天賦","")</f>
        <v/>
      </c>
      <c r="G31" s="930"/>
      <c r="H31" s="930"/>
      <c r="I31" s="930"/>
      <c r="J31" s="930"/>
    </row>
    <row r="32">
      <c r="A32" s="924"/>
      <c r="B32" s="929" t="s">
        <v>964</v>
      </c>
      <c r="C32" s="930" t="str">
        <f>IF($A$24&gt;=3,"丑態挑釁","")</f>
        <v/>
      </c>
      <c r="D32" s="930" t="str">
        <f>IF($A$24&gt;=3,"惡毒戲謔","")</f>
        <v/>
      </c>
      <c r="E32" s="930" t="str">
        <f>IF($A$24&gt;=6,"黑色幽默","")</f>
        <v/>
      </c>
      <c r="F32" s="930" t="str">
        <f>IF($A$24&gt;=14,"笑到最後","")</f>
        <v/>
      </c>
      <c r="G32" s="930"/>
      <c r="H32" s="930"/>
      <c r="I32" s="930"/>
      <c r="J32" s="930"/>
    </row>
    <row r="33">
      <c r="A33" s="924"/>
      <c r="B33" s="929" t="s">
        <v>965</v>
      </c>
      <c r="C33" s="930" t="str">
        <f>IF($A$24&gt;=3,"寒顫旋律","")</f>
        <v/>
      </c>
      <c r="D33" s="930" t="str">
        <f>IF($A$24&gt;=3,"撥動心弦","")</f>
        <v/>
      </c>
      <c r="E33" s="930" t="str">
        <f>IF($A$24&gt;=6,"舞動骸骨","")</f>
        <v/>
      </c>
      <c r="F33" s="930" t="str">
        <f>IF($A$24&gt;=14,"雙死","")</f>
        <v/>
      </c>
      <c r="G33" s="930"/>
      <c r="H33" s="930"/>
      <c r="I33" s="930"/>
      <c r="J33" s="930"/>
    </row>
    <row r="34">
      <c r="A34" s="924"/>
      <c r="B34" s="929" t="s">
        <v>966</v>
      </c>
      <c r="C34" s="930" t="str">
        <f>IF($A$24&gt;=3,"廣泛激勵","")</f>
        <v/>
      </c>
      <c r="D34" s="930" t="str">
        <f>IF($A$24&gt;=3,"歷史守護者","")</f>
        <v/>
      </c>
      <c r="E34" s="930" t="str">
        <f>IF($A$24&gt;=6,"命令之聲","")</f>
        <v/>
      </c>
      <c r="F34" s="930" t="str">
        <f>IF($A$24&gt;=14,"戰鬥頌歌","")</f>
        <v/>
      </c>
      <c r="G34" s="930"/>
      <c r="H34" s="930"/>
      <c r="I34" s="930"/>
      <c r="J34" s="930"/>
    </row>
    <row r="35">
      <c r="A35" s="924"/>
      <c r="B35" s="929" t="s">
        <v>967</v>
      </c>
      <c r="C35" s="930" t="str">
        <f>IF($A$24&gt;=3,"快速移動","")</f>
        <v/>
      </c>
      <c r="D35" s="930" t="str">
        <f>IF($A$24&gt;=3,"激勵舞蹈","")</f>
        <v/>
      </c>
      <c r="E35" s="930" t="str">
        <f>IF($A$24&gt;=6,"迷人步伐","")</f>
        <v/>
      </c>
      <c r="F35" s="930" t="str">
        <f>IF($A$24&gt;=14,"無盡之舞","")</f>
        <v/>
      </c>
      <c r="G35" s="930"/>
      <c r="H35" s="930"/>
      <c r="I35" s="930"/>
      <c r="J35" s="930"/>
    </row>
    <row r="36" hidden="1">
      <c r="A36" s="924"/>
      <c r="B36" s="929"/>
      <c r="C36" s="930"/>
      <c r="D36" s="930"/>
      <c r="E36" s="930"/>
      <c r="F36" s="930"/>
      <c r="G36" s="930"/>
      <c r="H36" s="930"/>
      <c r="I36" s="930"/>
      <c r="J36" s="930"/>
    </row>
    <row r="37" hidden="1">
      <c r="A37" s="924"/>
      <c r="B37" s="929"/>
      <c r="C37" s="930"/>
      <c r="D37" s="930"/>
      <c r="E37" s="930"/>
      <c r="F37" s="930"/>
      <c r="G37" s="930"/>
      <c r="H37" s="930"/>
      <c r="I37" s="930"/>
      <c r="J37" s="930"/>
    </row>
    <row r="38" hidden="1">
      <c r="A38" s="924"/>
      <c r="B38" s="929"/>
      <c r="C38" s="930"/>
      <c r="D38" s="930"/>
      <c r="E38" s="930"/>
      <c r="F38" s="930"/>
      <c r="G38" s="930"/>
      <c r="H38" s="930"/>
      <c r="I38" s="930"/>
      <c r="J38" s="930"/>
    </row>
    <row r="39" hidden="1">
      <c r="A39" s="924"/>
      <c r="B39" s="929"/>
      <c r="C39" s="930"/>
      <c r="D39" s="930"/>
      <c r="E39" s="930"/>
      <c r="F39" s="930"/>
      <c r="G39" s="930"/>
      <c r="H39" s="930"/>
      <c r="I39" s="930"/>
      <c r="J39" s="930"/>
    </row>
    <row r="40" hidden="1">
      <c r="A40" s="924"/>
      <c r="B40" s="929"/>
      <c r="C40" s="930"/>
      <c r="D40" s="930"/>
      <c r="E40" s="930"/>
      <c r="F40" s="930"/>
      <c r="G40" s="930"/>
      <c r="H40" s="930"/>
      <c r="I40" s="930"/>
      <c r="J40" s="930"/>
    </row>
    <row r="41" hidden="1">
      <c r="A41" s="924"/>
      <c r="B41" s="929"/>
      <c r="C41" s="930"/>
      <c r="D41" s="930"/>
      <c r="E41" s="930"/>
      <c r="F41" s="930"/>
      <c r="G41" s="930"/>
      <c r="H41" s="930"/>
      <c r="I41" s="930"/>
      <c r="J41" s="930"/>
    </row>
    <row r="42" hidden="1">
      <c r="A42" s="924"/>
      <c r="B42" s="929"/>
      <c r="C42" s="930"/>
      <c r="D42" s="930"/>
      <c r="E42" s="930"/>
      <c r="F42" s="930"/>
      <c r="G42" s="930"/>
      <c r="H42" s="930"/>
      <c r="I42" s="930"/>
      <c r="J42" s="930"/>
    </row>
    <row r="43" hidden="1">
      <c r="A43" s="924"/>
      <c r="B43" s="929"/>
      <c r="C43" s="930"/>
      <c r="D43" s="930"/>
      <c r="E43" s="930"/>
      <c r="F43" s="930"/>
      <c r="G43" s="930"/>
      <c r="H43" s="930"/>
      <c r="I43" s="930"/>
      <c r="J43" s="930"/>
    </row>
    <row r="44" hidden="1">
      <c r="A44" s="924"/>
      <c r="B44" s="929"/>
      <c r="C44" s="930"/>
      <c r="D44" s="930"/>
      <c r="E44" s="930"/>
      <c r="F44" s="930"/>
      <c r="G44" s="930"/>
      <c r="H44" s="930"/>
      <c r="I44" s="930"/>
      <c r="J44" s="930"/>
    </row>
    <row r="45" hidden="1">
      <c r="A45" s="924"/>
      <c r="B45" s="929"/>
      <c r="C45" s="930"/>
      <c r="D45" s="930"/>
      <c r="E45" s="930"/>
      <c r="F45" s="930"/>
      <c r="G45" s="930"/>
      <c r="H45" s="930"/>
      <c r="I45" s="930"/>
      <c r="J45" s="930"/>
    </row>
    <row r="46">
      <c r="A46" s="924">
        <f>'職業能力'!D2</f>
        <v>0</v>
      </c>
      <c r="B46" s="931" t="s">
        <v>425</v>
      </c>
      <c r="C46" s="932" t="str">
        <f>IF($A$46&gt;=3,"生命領域法術","")</f>
        <v/>
      </c>
      <c r="D46" s="932" t="str">
        <f>IF($A$46&gt;=3,"生命門徒","")</f>
        <v/>
      </c>
      <c r="E46" s="932" t="str">
        <f>IF($A$46&gt;=3,"引導神力：維繫生命","")</f>
        <v/>
      </c>
      <c r="F46" s="932" t="str">
        <f>IF($A$46&gt;=6,"祝聖醫者","")</f>
        <v/>
      </c>
      <c r="G46" s="932" t="str">
        <f>IF($A$46&gt;=17,"極效治療","")</f>
        <v/>
      </c>
      <c r="H46" s="932"/>
      <c r="I46" s="932"/>
      <c r="J46" s="932"/>
    </row>
    <row r="47">
      <c r="A47" s="924" t="s">
        <v>373</v>
      </c>
      <c r="B47" s="931" t="s">
        <v>426</v>
      </c>
      <c r="C47" s="932" t="str">
        <f>IF($A$46&gt;=3,"光明領域法術","")</f>
        <v/>
      </c>
      <c r="D47" s="932" t="str">
        <f>IF($A$46&gt;=3,"閃耀防護","")</f>
        <v/>
      </c>
      <c r="E47" s="932" t="str">
        <f>IF($A$46&gt;=3,"引導神力：黎明曙光","")</f>
        <v/>
      </c>
      <c r="F47" s="932" t="str">
        <f>IF($A$46&gt;=6,"強化閃耀防護","")</f>
        <v/>
      </c>
      <c r="G47" s="932" t="str">
        <f>IF($A$46&gt;=17,"日冕光輝","")</f>
        <v/>
      </c>
      <c r="H47" s="932"/>
      <c r="I47" s="932"/>
      <c r="J47" s="932"/>
    </row>
    <row r="48">
      <c r="A48" s="924"/>
      <c r="B48" s="931" t="s">
        <v>427</v>
      </c>
      <c r="C48" s="932" t="str">
        <f>IF($A$46&gt;=3,"詭術領域法術","")</f>
        <v/>
      </c>
      <c r="D48" s="932" t="str">
        <f>IF($A$46&gt;=3,"詭術祝福","")</f>
        <v/>
      </c>
      <c r="E48" s="932" t="str">
        <f>IF($A$46&gt;=3,"引導神力：召喚分身","")</f>
        <v/>
      </c>
      <c r="F48" s="932" t="str">
        <f>IF($A$46&gt;=6,"詭詐換位","")</f>
        <v/>
      </c>
      <c r="G48" s="932" t="str">
        <f>IF($A$46&gt;=17,"強化分身","")</f>
        <v/>
      </c>
      <c r="H48" s="932"/>
      <c r="I48" s="932"/>
      <c r="J48" s="932"/>
    </row>
    <row r="49">
      <c r="A49" s="924"/>
      <c r="B49" s="931" t="s">
        <v>428</v>
      </c>
      <c r="C49" s="932" t="str">
        <f>IF($A$46&gt;=3,"戰爭領域法術","")</f>
        <v/>
      </c>
      <c r="D49" s="932" t="str">
        <f>IF($A$46&gt;=3,"戰爭祭司","")</f>
        <v/>
      </c>
      <c r="E49" s="932" t="str">
        <f>IF($A$46&gt;=3,"引導神力：導引打擊","")</f>
        <v/>
      </c>
      <c r="F49" s="932" t="str">
        <f>IF($A$46&gt;=6,"引導神力：戰神祝福","")</f>
        <v/>
      </c>
      <c r="G49" s="932" t="str">
        <f>IF($A$46&gt;=17,"戰爭化身","")</f>
        <v/>
      </c>
      <c r="H49" s="932"/>
      <c r="I49" s="932"/>
      <c r="J49" s="932"/>
    </row>
    <row r="50">
      <c r="A50" s="924"/>
      <c r="B50" s="931" t="s">
        <v>968</v>
      </c>
      <c r="C50" s="932" t="str">
        <f>IF($A$46&gt;=3,"知識領域法術","")</f>
        <v/>
      </c>
      <c r="D50" s="932" t="str">
        <f>IF($A$46&gt;=3,"知識祝福","")</f>
        <v/>
      </c>
      <c r="E50" s="932" t="str">
        <f>IF($A$46&gt;=3,"引導神力：思維魔法","")</f>
        <v/>
      </c>
      <c r="F50" s="932" t="str">
        <f>IF($A$46&gt;=6,"無拘思維","")</f>
        <v/>
      </c>
      <c r="G50" s="932" t="str">
        <f>IF($A$46&gt;=17,"神聖預知","")</f>
        <v/>
      </c>
      <c r="H50" s="932"/>
      <c r="I50" s="932"/>
      <c r="J50" s="932"/>
    </row>
    <row r="51">
      <c r="A51" s="924"/>
      <c r="B51" s="931" t="s">
        <v>969</v>
      </c>
      <c r="C51" s="931" t="str">
        <f>IF($A$46&gt;=3,"豐收領域法術","")</f>
        <v/>
      </c>
      <c r="D51" s="932" t="str">
        <f>IF($A$46&gt;=3,"農民曆","")</f>
        <v/>
      </c>
      <c r="E51" s="932" t="str">
        <f>IF($A$46&gt;=3,"豐裕之角","")</f>
        <v/>
      </c>
      <c r="F51" s="932" t="str">
        <f>IF($A$46&gt;=3,"引導神力：五穀豐登","")</f>
        <v/>
      </c>
      <c r="G51" s="932" t="str">
        <f>IF($A$46&gt;=6,"四季祝福","")</f>
        <v/>
      </c>
      <c r="H51" s="932" t="str">
        <f>IF($A$46&gt;=17,"永恆之輪","")</f>
        <v/>
      </c>
      <c r="I51" s="932"/>
      <c r="J51" s="932"/>
    </row>
    <row r="52">
      <c r="A52" s="924"/>
      <c r="B52" s="931" t="s">
        <v>970</v>
      </c>
      <c r="C52" s="932" t="str">
        <f>IF($A$46&gt;=3,"天啟領域法術","")</f>
        <v/>
      </c>
      <c r="D52" s="932" t="str">
        <f>IF($A$46&gt;=3,"毀滅願景","")</f>
        <v/>
      </c>
      <c r="E52" s="932" t="str">
        <f>IF($A$46&gt;=3,"引導神力：末日之歌","")</f>
        <v/>
      </c>
      <c r="F52" s="932" t="str">
        <f>IF($A$46&gt;=6,"塵歸塵，土歸土","")</f>
        <v/>
      </c>
      <c r="G52" s="932" t="str">
        <f>IF($A$46&gt;=17,"浩劫餘生","")</f>
        <v/>
      </c>
      <c r="H52" s="932"/>
      <c r="I52" s="932"/>
      <c r="J52" s="932"/>
    </row>
    <row r="53">
      <c r="A53" s="924"/>
      <c r="B53" s="931" t="s">
        <v>971</v>
      </c>
      <c r="C53" s="932" t="str">
        <f>IF($A$46&gt;=3,"怪異領域法術","")</f>
        <v/>
      </c>
      <c r="D53" s="932" t="str">
        <f>IF($A$46&gt;=3,"怪異蔓延","")</f>
        <v/>
      </c>
      <c r="E53" s="932" t="str">
        <f>IF($A$46&gt;=3,"引導神力：厄運預言","")</f>
        <v/>
      </c>
      <c r="F53" s="932" t="str">
        <f>IF($A$46&gt;=6,"超凡鎮定","")</f>
        <v/>
      </c>
      <c r="G53" s="932" t="str">
        <f>IF($A$46&gt;=17,"吟唱終末之歌","")</f>
        <v/>
      </c>
      <c r="H53" s="932"/>
      <c r="I53" s="932"/>
      <c r="J53" s="932"/>
    </row>
    <row r="54">
      <c r="A54" s="924"/>
      <c r="B54" s="931" t="s">
        <v>972</v>
      </c>
      <c r="C54" s="932" t="str">
        <f>IF($A$46&gt;=3,"審判領域法術","")</f>
        <v/>
      </c>
      <c r="D54" s="932" t="str">
        <f>IF($A$46&gt;=3,"獵巫打擊","")</f>
        <v/>
      </c>
      <c r="E54" s="932" t="str">
        <f>IF($A$46&gt;=3,"引導神力：法術護盾","")</f>
        <v/>
      </c>
      <c r="F54" s="932" t="str">
        <f>IF($A$46&gt;=6,"叱喝祈者","")</f>
        <v/>
      </c>
      <c r="G54" s="932" t="str">
        <f>IF($A$46&gt;=17,"至高守護","")</f>
        <v/>
      </c>
      <c r="H54" s="932"/>
      <c r="I54" s="932"/>
      <c r="J54" s="932"/>
    </row>
    <row r="55">
      <c r="A55" s="924"/>
      <c r="B55" s="931" t="s">
        <v>973</v>
      </c>
      <c r="C55" s="932" t="str">
        <f>IF($A$46&gt;=3,"淨化領域法術","")</f>
        <v/>
      </c>
      <c r="D55" s="932" t="str">
        <f>IF($A$46&gt;=3,"以火淨化","")</f>
        <v/>
      </c>
      <c r="E55" s="932" t="str">
        <f>IF($A$46&gt;=3,"引導神力：不潔烙印","")</f>
        <v/>
      </c>
      <c r="F55" s="932" t="str">
        <f>IF($A$46&gt;=6,"防止腐化","")</f>
        <v/>
      </c>
      <c r="G55" s="932" t="str">
        <f>IF($A$46&gt;=17,"燒灼瑕疵","")</f>
        <v/>
      </c>
      <c r="H55" s="932"/>
      <c r="I55" s="932"/>
      <c r="J55" s="932"/>
    </row>
    <row r="56">
      <c r="A56" s="924"/>
      <c r="B56" s="931" t="s">
        <v>974</v>
      </c>
      <c r="C56" s="932" t="str">
        <f>IF($A$46&gt;=3,"心靈領域法術","")</f>
        <v/>
      </c>
      <c r="D56" s="932" t="str">
        <f>IF($A$46&gt;=3,"精神之力","")</f>
        <v/>
      </c>
      <c r="E56" s="932" t="str">
        <f>IF($A$46&gt;=3,"引導神力：精神反饋","")</f>
        <v/>
      </c>
      <c r="F56" s="932" t="str">
        <f>IF($A$46&gt;=6,"格式塔定錨","")</f>
        <v/>
      </c>
      <c r="G56" s="932" t="str">
        <f>IF($A$46&gt;=17,"現實連結","")</f>
        <v/>
      </c>
      <c r="H56" s="932"/>
      <c r="I56" s="932"/>
      <c r="J56" s="932"/>
    </row>
    <row r="57">
      <c r="A57" s="924"/>
      <c r="B57" s="931" t="s">
        <v>975</v>
      </c>
      <c r="C57" s="932" t="str">
        <f>IF($A$46&gt;=3,"星界領域法術","")</f>
        <v/>
      </c>
      <c r="D57" s="932" t="str">
        <f>IF($A$46&gt;=3,"位面觸碰","")</f>
        <v/>
      </c>
      <c r="E57" s="932" t="str">
        <f>IF($A$46&gt;=3,"引導神力：創造虛空","")</f>
        <v/>
      </c>
      <c r="F57" s="932" t="str">
        <f>IF($A$46&gt;=6,"空間交換","")</f>
        <v/>
      </c>
      <c r="G57" s="932" t="str">
        <f>IF($A$46&gt;=17,"卓越替換","")</f>
        <v/>
      </c>
      <c r="H57" s="932"/>
      <c r="I57" s="932"/>
      <c r="J57" s="932"/>
    </row>
    <row r="58" hidden="1">
      <c r="A58" s="924"/>
      <c r="B58" s="931"/>
      <c r="C58" s="932"/>
      <c r="D58" s="932"/>
      <c r="E58" s="932"/>
      <c r="F58" s="932"/>
      <c r="G58" s="932"/>
      <c r="H58" s="932"/>
      <c r="I58" s="932"/>
      <c r="J58" s="932"/>
    </row>
    <row r="59" hidden="1">
      <c r="A59" s="924"/>
      <c r="B59" s="931"/>
      <c r="C59" s="932"/>
      <c r="D59" s="932"/>
      <c r="E59" s="932"/>
      <c r="F59" s="932"/>
      <c r="G59" s="932"/>
      <c r="H59" s="932"/>
      <c r="I59" s="932"/>
      <c r="J59" s="932"/>
    </row>
    <row r="60" hidden="1">
      <c r="A60" s="924"/>
      <c r="B60" s="931"/>
      <c r="C60" s="932"/>
      <c r="D60" s="932"/>
      <c r="E60" s="932"/>
      <c r="F60" s="932"/>
      <c r="G60" s="932"/>
      <c r="H60" s="932"/>
      <c r="I60" s="932"/>
      <c r="J60" s="932"/>
    </row>
    <row r="61" hidden="1">
      <c r="A61" s="924"/>
      <c r="B61" s="931"/>
      <c r="C61" s="932"/>
      <c r="D61" s="932"/>
      <c r="E61" s="932"/>
      <c r="F61" s="932"/>
      <c r="G61" s="932"/>
      <c r="H61" s="932"/>
      <c r="I61" s="932"/>
      <c r="J61" s="932"/>
    </row>
    <row r="62" hidden="1">
      <c r="A62" s="924"/>
      <c r="B62" s="931"/>
      <c r="C62" s="932"/>
      <c r="D62" s="932"/>
      <c r="E62" s="932"/>
      <c r="F62" s="932"/>
      <c r="G62" s="932"/>
      <c r="H62" s="932"/>
      <c r="I62" s="932"/>
      <c r="J62" s="932"/>
    </row>
    <row r="63" hidden="1">
      <c r="A63" s="924"/>
      <c r="B63" s="931"/>
      <c r="C63" s="932"/>
      <c r="D63" s="932"/>
      <c r="E63" s="932"/>
      <c r="F63" s="932"/>
      <c r="G63" s="932"/>
      <c r="H63" s="932"/>
      <c r="I63" s="932"/>
      <c r="J63" s="932"/>
    </row>
    <row r="64" hidden="1">
      <c r="A64" s="924"/>
      <c r="B64" s="931"/>
      <c r="C64" s="932"/>
      <c r="D64" s="932"/>
      <c r="E64" s="932"/>
      <c r="F64" s="932"/>
      <c r="G64" s="932"/>
      <c r="H64" s="932"/>
      <c r="I64" s="932"/>
      <c r="J64" s="932"/>
    </row>
    <row r="65" hidden="1">
      <c r="A65" s="924"/>
      <c r="B65" s="931"/>
      <c r="C65" s="932"/>
      <c r="D65" s="932"/>
      <c r="E65" s="932"/>
      <c r="F65" s="932"/>
      <c r="G65" s="932"/>
      <c r="H65" s="932"/>
      <c r="I65" s="932"/>
      <c r="J65" s="932"/>
    </row>
    <row r="66" hidden="1">
      <c r="A66" s="924"/>
      <c r="B66" s="931"/>
      <c r="C66" s="932"/>
      <c r="D66" s="932"/>
      <c r="E66" s="932"/>
      <c r="F66" s="932"/>
      <c r="G66" s="932"/>
      <c r="H66" s="932"/>
      <c r="I66" s="932"/>
      <c r="J66" s="932"/>
    </row>
    <row r="67" hidden="1">
      <c r="A67" s="924"/>
      <c r="B67" s="931"/>
      <c r="C67" s="932"/>
      <c r="D67" s="932"/>
      <c r="E67" s="932"/>
      <c r="F67" s="932"/>
      <c r="G67" s="932"/>
      <c r="H67" s="932"/>
      <c r="I67" s="932"/>
      <c r="J67" s="932"/>
    </row>
    <row r="68">
      <c r="A68" s="924">
        <f>'職業能力'!E2</f>
        <v>0</v>
      </c>
      <c r="B68" s="933" t="s">
        <v>433</v>
      </c>
      <c r="C68" s="934" t="str">
        <f>IF($A$68&gt;=3,"大地結社法術"&amp;'職業能力選項'!T3,"")</f>
        <v/>
      </c>
      <c r="D68" s="934" t="str">
        <f>IF($A$68&gt;=3,"大地援助","")</f>
        <v/>
      </c>
      <c r="E68" s="934" t="str">
        <f>IF($A$68&gt;=6,"自然恢復","")</f>
        <v/>
      </c>
      <c r="F68" s="934" t="str">
        <f>IF($A$68&gt;=10,"自然加護"&amp;'職業能力選項'!U3,"")</f>
        <v/>
      </c>
      <c r="G68" s="934" t="str">
        <f>IF($A$68&gt;=14,"自然庇護","")</f>
        <v/>
      </c>
      <c r="H68" s="934"/>
      <c r="I68" s="934"/>
      <c r="J68" s="934"/>
    </row>
    <row r="69">
      <c r="A69" s="924" t="s">
        <v>374</v>
      </c>
      <c r="B69" s="933" t="s">
        <v>434</v>
      </c>
      <c r="C69" s="934" t="str">
        <f>IF($A$68&gt;=3,"月亮結社法術","")</f>
        <v/>
      </c>
      <c r="D69" s="934" t="str">
        <f>IF($A$68&gt;=3,"結社型態(CR"&amp;ROUNDDOWN(A68/3,0)&amp;")","")</f>
        <v/>
      </c>
      <c r="E69" s="934" t="str">
        <f>IF($A$68&gt;=6,"強化結社型態","")</f>
        <v/>
      </c>
      <c r="F69" s="934" t="str">
        <f>IF($A$68&gt;=10,"月光飛步","")</f>
        <v/>
      </c>
      <c r="G69" s="934" t="str">
        <f>IF($A$68&gt;=14,"月之儀態","")</f>
        <v/>
      </c>
      <c r="H69" s="934"/>
      <c r="I69" s="934"/>
      <c r="J69" s="934"/>
    </row>
    <row r="70">
      <c r="A70" s="924"/>
      <c r="B70" s="933" t="s">
        <v>435</v>
      </c>
      <c r="C70" s="934" t="str">
        <f>IF($A$68&gt;=3,"海洋結社法術","")</f>
        <v/>
      </c>
      <c r="D70" s="934" t="str">
        <f>IF($A$68&gt;=3,"濤海狂怒","")</f>
        <v/>
      </c>
      <c r="E70" s="934" t="str">
        <f>IF($A$68&gt;=6,"水生親和","")</f>
        <v/>
      </c>
      <c r="F70" s="934" t="str">
        <f>IF($A$68&gt;=10,"風暴降生","")</f>
        <v/>
      </c>
      <c r="G70" s="934" t="str">
        <f>IF($A$68&gt;=14,"大洋餽贈","")</f>
        <v/>
      </c>
      <c r="H70" s="934"/>
      <c r="I70" s="934"/>
      <c r="J70" s="934"/>
    </row>
    <row r="71">
      <c r="A71" s="924"/>
      <c r="B71" s="933" t="s">
        <v>436</v>
      </c>
      <c r="C71" s="934" t="str">
        <f>IF($A$68&gt;=3,"星圖","")</f>
        <v/>
      </c>
      <c r="D71" s="934" t="str">
        <f>IF($A$68&gt;=3,"星耀形態","")</f>
        <v/>
      </c>
      <c r="E71" s="934" t="str">
        <f>IF($A$68&gt;=6,"宇宙預兆"&amp;'職業能力選項'!T6,"")</f>
        <v/>
      </c>
      <c r="F71" s="934" t="str">
        <f>IF($A$68&gt;=10,"閃耀星座","")</f>
        <v/>
      </c>
      <c r="G71" s="934" t="str">
        <f>IF($A$68&gt;=14,"燦若繁星","")</f>
        <v/>
      </c>
      <c r="H71" s="934"/>
      <c r="I71" s="934"/>
      <c r="J71" s="934"/>
    </row>
    <row r="72">
      <c r="A72" s="924"/>
      <c r="B72" s="933" t="s">
        <v>976</v>
      </c>
      <c r="C72" s="934" t="str">
        <f>IF($A$68&gt;=3,"古道結社法術","")</f>
        <v/>
      </c>
      <c r="D72" s="934" t="str">
        <f>IF($A$68&gt;=3,"主幹與分枝","")</f>
        <v/>
      </c>
      <c r="E72" s="934" t="str">
        <f>IF($A$68&gt;=6,"橡木與荊棘","")</f>
        <v/>
      </c>
      <c r="F72" s="934" t="str">
        <f>IF($A$68&gt;=10,"深林長者","")</f>
        <v/>
      </c>
      <c r="G72" s="934" t="str">
        <f>IF($A$68&gt;=14,"遠古守衛","")</f>
        <v/>
      </c>
      <c r="H72" s="934"/>
      <c r="I72" s="934"/>
      <c r="J72" s="934"/>
    </row>
    <row r="73">
      <c r="A73" s="924"/>
      <c r="B73" s="933" t="s">
        <v>977</v>
      </c>
      <c r="C73" s="934" t="str">
        <f>IF($A$68&gt;=3,"柳條結社法術","")</f>
        <v/>
      </c>
      <c r="D73" s="934" t="str">
        <f>IF($A$68&gt;=3,"巫咒塑像","")</f>
        <v/>
      </c>
      <c r="E73" s="934" t="str">
        <f>IF($A$68&gt;=3,"柳條符咒","")</f>
        <v/>
      </c>
      <c r="F73" s="934" t="str">
        <f>IF($A$68&gt;=6,"蔥鬱柳條","")</f>
        <v/>
      </c>
      <c r="G73" s="934" t="str">
        <f>IF($A$68&gt;=10,"縛魂木偶","")</f>
        <v/>
      </c>
      <c r="H73" s="934" t="str">
        <f>IF($A$68&gt;=14,"插柳成蔭","")</f>
        <v/>
      </c>
      <c r="I73" s="934"/>
      <c r="J73" s="934"/>
    </row>
    <row r="74">
      <c r="A74" s="924"/>
      <c r="B74" s="933" t="s">
        <v>978</v>
      </c>
      <c r="C74" s="934" t="str">
        <f>IF($A$68&gt;=3,"共生結社法術","")</f>
        <v/>
      </c>
      <c r="D74" s="934" t="str">
        <f>IF($A$68&gt;=3,"原初共生","")</f>
        <v/>
      </c>
      <c r="E74" s="934" t="str">
        <f>IF($A$68&gt;=6,"共生反射","")</f>
        <v/>
      </c>
      <c r="F74" s="934" t="str">
        <f>IF($A$68&gt;=10,"求生本能","")</f>
        <v/>
      </c>
      <c r="G74" s="934" t="str">
        <f>IF($A$68&gt;=14,"湧現生機","")</f>
        <v/>
      </c>
      <c r="H74" s="934"/>
      <c r="I74" s="934"/>
      <c r="J74" s="934"/>
    </row>
    <row r="75">
      <c r="A75" s="924"/>
      <c r="B75" s="933" t="s">
        <v>979</v>
      </c>
      <c r="C75" s="934" t="str">
        <f>IF($A$68&gt;=3,"鮮血結社法術","")</f>
        <v/>
      </c>
      <c r="D75" s="934" t="str">
        <f>IF($A$68&gt;=3,"血月儀式","")</f>
        <v/>
      </c>
      <c r="E75" s="934" t="str">
        <f>IF($A$68&gt;=6,"鮮血恩惠","")</f>
        <v/>
      </c>
      <c r="F75" s="934" t="str">
        <f>IF($A$68&gt;=10,"血欲","")</f>
        <v/>
      </c>
      <c r="G75" s="934" t="str">
        <f>IF($A$68&gt;=14,"生命抽取","")</f>
        <v/>
      </c>
      <c r="H75" s="934"/>
      <c r="I75" s="934"/>
      <c r="J75" s="934"/>
    </row>
    <row r="76">
      <c r="A76" s="924"/>
      <c r="B76" s="933" t="s">
        <v>980</v>
      </c>
      <c r="C76" s="934" t="str">
        <f>IF($A$68&gt;=3,"災難之力"&amp;'職業能力選項'!T9,"")</f>
        <v/>
      </c>
      <c r="D76" s="934" t="str">
        <f>IF($A$68&gt;=3,"毀滅化身","")</f>
        <v/>
      </c>
      <c r="E76" s="934" t="str">
        <f>IF($A$68&gt;=6,"萬途歸滅","")</f>
        <v/>
      </c>
      <c r="F76" s="934" t="str">
        <f>IF($A$68&gt;=10,"地動山搖","")</f>
        <v/>
      </c>
      <c r="G76" s="934" t="str">
        <f>IF($A$68&gt;=14,"熵之極致","")</f>
        <v/>
      </c>
      <c r="H76" s="934"/>
      <c r="I76" s="934"/>
      <c r="J76" s="934"/>
    </row>
    <row r="77">
      <c r="A77" s="924"/>
      <c r="B77" s="933" t="s">
        <v>981</v>
      </c>
      <c r="C77" s="934" t="str">
        <f>IF($A$68&gt;=3,"結社型態","")</f>
        <v/>
      </c>
      <c r="D77" s="934" t="str">
        <f>IF($A$68&gt;=3,"突變塑形","")</f>
        <v/>
      </c>
      <c r="E77" s="934" t="str">
        <f>IF($A$68&gt;=6,"反常且駭人","")</f>
        <v/>
      </c>
      <c r="F77" s="934" t="str">
        <f>IF($A$68&gt;=10,"無限演化","")</f>
        <v/>
      </c>
      <c r="G77" s="934" t="str">
        <f>IF($A$68&gt;=14,"頂級掠食者","")</f>
        <v/>
      </c>
      <c r="H77" s="934"/>
      <c r="I77" s="934"/>
      <c r="J77" s="934"/>
    </row>
    <row r="78">
      <c r="A78" s="924"/>
      <c r="B78" s="933" t="s">
        <v>982</v>
      </c>
      <c r="C78" s="934" t="str">
        <f>IF($A$68&gt;=3,"鍛物結社法術","")</f>
        <v/>
      </c>
      <c r="D78" s="934" t="str">
        <f>IF($A$68&gt;=3,"金屬外層","")</f>
        <v/>
      </c>
      <c r="E78" s="934" t="str">
        <f>IF($A$68&gt;=6,"元素灌注","")</f>
        <v/>
      </c>
      <c r="F78" s="934" t="str">
        <f>IF($A$68&gt;=10,"精金塗裝","")</f>
        <v/>
      </c>
      <c r="G78" s="934" t="str">
        <f>IF($A$68&gt;=14,"完善構裝","")</f>
        <v/>
      </c>
      <c r="H78" s="934"/>
      <c r="I78" s="934"/>
      <c r="J78" s="934"/>
    </row>
    <row r="79">
      <c r="A79" s="924"/>
      <c r="B79" s="933" t="s">
        <v>983</v>
      </c>
      <c r="C79" s="934" t="str">
        <f>IF($A$68&gt;=3,"不朽結社法術","")</f>
        <v/>
      </c>
      <c r="D79" s="934" t="str">
        <f>IF($A$68&gt;=3,"強化像棍術","")</f>
        <v/>
      </c>
      <c r="E79" s="934" t="str">
        <f>IF($A$68&gt;=3,"荒野復甦","")</f>
        <v/>
      </c>
      <c r="F79" s="934" t="str">
        <f>IF($A$68&gt;=6,"像棍術專精","")</f>
        <v/>
      </c>
      <c r="G79" s="934" t="str">
        <f>IF($A$68&gt;=10,"戰爭德魯伊","")</f>
        <v/>
      </c>
      <c r="H79" s="934" t="str">
        <f>IF($A$68&gt;=14,"自然護甲","")</f>
        <v/>
      </c>
      <c r="I79" s="934"/>
      <c r="J79" s="934"/>
    </row>
    <row r="80">
      <c r="A80" s="924"/>
      <c r="B80" s="933" t="s">
        <v>984</v>
      </c>
      <c r="C80" s="934"/>
      <c r="D80" s="934"/>
      <c r="E80" s="934"/>
      <c r="F80" s="934"/>
      <c r="G80" s="934"/>
      <c r="H80" s="934"/>
      <c r="I80" s="934"/>
      <c r="J80" s="934"/>
    </row>
    <row r="81" hidden="1">
      <c r="A81" s="924"/>
      <c r="B81" s="933"/>
      <c r="C81" s="934"/>
      <c r="D81" s="934"/>
      <c r="E81" s="934"/>
      <c r="F81" s="934"/>
      <c r="G81" s="934"/>
      <c r="H81" s="934"/>
      <c r="I81" s="934"/>
      <c r="J81" s="934"/>
    </row>
    <row r="82" hidden="1">
      <c r="A82" s="924"/>
      <c r="B82" s="933"/>
      <c r="C82" s="934"/>
      <c r="D82" s="934"/>
      <c r="E82" s="934"/>
      <c r="F82" s="934"/>
      <c r="G82" s="934"/>
      <c r="H82" s="934"/>
      <c r="I82" s="934"/>
      <c r="J82" s="934"/>
    </row>
    <row r="83" hidden="1">
      <c r="A83" s="924"/>
      <c r="B83" s="933"/>
      <c r="C83" s="934"/>
      <c r="D83" s="934"/>
      <c r="E83" s="934"/>
      <c r="F83" s="934"/>
      <c r="G83" s="934"/>
      <c r="H83" s="934"/>
      <c r="I83" s="934"/>
      <c r="J83" s="934"/>
    </row>
    <row r="84" hidden="1">
      <c r="A84" s="924"/>
      <c r="B84" s="933"/>
      <c r="C84" s="934"/>
      <c r="D84" s="934"/>
      <c r="E84" s="934"/>
      <c r="F84" s="934"/>
      <c r="G84" s="934"/>
      <c r="H84" s="934"/>
      <c r="I84" s="934"/>
      <c r="J84" s="934"/>
    </row>
    <row r="85" hidden="1">
      <c r="A85" s="924"/>
      <c r="B85" s="933"/>
      <c r="C85" s="934"/>
      <c r="D85" s="934"/>
      <c r="E85" s="934"/>
      <c r="F85" s="934"/>
      <c r="G85" s="934"/>
      <c r="H85" s="934"/>
      <c r="I85" s="934"/>
      <c r="J85" s="934"/>
    </row>
    <row r="86" hidden="1">
      <c r="A86" s="924"/>
      <c r="B86" s="933"/>
      <c r="C86" s="934"/>
      <c r="D86" s="934"/>
      <c r="E86" s="934"/>
      <c r="F86" s="934"/>
      <c r="G86" s="934"/>
      <c r="H86" s="934"/>
      <c r="I86" s="934"/>
      <c r="J86" s="934"/>
    </row>
    <row r="87" hidden="1">
      <c r="A87" s="924"/>
      <c r="B87" s="933"/>
      <c r="C87" s="934"/>
      <c r="D87" s="934"/>
      <c r="E87" s="934"/>
      <c r="F87" s="934"/>
      <c r="G87" s="934"/>
      <c r="H87" s="934"/>
      <c r="I87" s="934"/>
      <c r="J87" s="934"/>
    </row>
    <row r="88" hidden="1">
      <c r="A88" s="924"/>
      <c r="B88" s="933"/>
      <c r="C88" s="934"/>
      <c r="D88" s="934"/>
      <c r="E88" s="934"/>
      <c r="F88" s="934"/>
      <c r="G88" s="934"/>
      <c r="H88" s="934"/>
      <c r="I88" s="934"/>
      <c r="J88" s="934"/>
    </row>
    <row r="89" hidden="1">
      <c r="A89" s="924"/>
      <c r="B89" s="933"/>
      <c r="C89" s="934"/>
      <c r="D89" s="934"/>
      <c r="E89" s="934"/>
      <c r="F89" s="934"/>
      <c r="G89" s="934"/>
      <c r="H89" s="934"/>
      <c r="I89" s="934"/>
      <c r="J89" s="934"/>
    </row>
    <row r="90" hidden="1">
      <c r="A90" s="924"/>
      <c r="B90" s="933"/>
      <c r="C90" s="934"/>
      <c r="D90" s="934"/>
      <c r="E90" s="934"/>
      <c r="F90" s="934"/>
      <c r="G90" s="934"/>
      <c r="H90" s="934"/>
      <c r="I90" s="934"/>
      <c r="J90" s="934"/>
    </row>
    <row r="91">
      <c r="A91" s="924">
        <f>'職業能力'!F2</f>
        <v>0</v>
      </c>
      <c r="B91" s="935" t="s">
        <v>441</v>
      </c>
      <c r="C91" s="936" t="str">
        <f>IF($A$91&gt;=3,"卓越戰技("&amp;IF(A91&gt;=15,"9項",IF(A91&gt;=10,"7項",IF(A91&gt;=7,"5項","3項")))&amp;"戰技/"&amp;IF(A91&gt;=15,"6枚",IF(A91&gt;=7,"5枚","4枚"))&amp;IF(A91&gt;=18,"d12",IF(A91&gt;=10,"d10","d8"))&amp;")","")</f>
        <v/>
      </c>
      <c r="D91" s="936" t="str">
        <f>IF($A$91&gt;=3,"戰爭學徒","")</f>
        <v/>
      </c>
      <c r="E91" s="936" t="str">
        <f>IF($A$91&gt;=7,"知己知彼","")</f>
        <v/>
      </c>
      <c r="F91" s="936" t="str">
        <f>IF($A$91&gt;=15,"頑強","")</f>
        <v/>
      </c>
      <c r="G91" s="936"/>
      <c r="H91" s="936"/>
      <c r="I91" s="936"/>
      <c r="J91" s="936"/>
    </row>
    <row r="92">
      <c r="A92" s="924" t="s">
        <v>375</v>
      </c>
      <c r="B92" s="935" t="s">
        <v>442</v>
      </c>
      <c r="C92" s="936" t="str">
        <f>IF($A$91&gt;=3,"強化重擊","")</f>
        <v/>
      </c>
      <c r="D92" s="936" t="str">
        <f>IF($A$91&gt;=3,"運動健將","")</f>
        <v/>
      </c>
      <c r="E92" s="936" t="str">
        <f>IF($A$91&gt;=7,"額外戰鬥風格","")</f>
        <v/>
      </c>
      <c r="F92" s="936" t="str">
        <f>IF($A$91&gt;=10,"百戰英傑","")</f>
        <v/>
      </c>
      <c r="G92" s="936" t="str">
        <f>IF($A$91&gt;=15,"卓越重擊","")</f>
        <v/>
      </c>
      <c r="H92" s="936" t="str">
        <f>IF($A$91&gt;=18,"百折不撓","")</f>
        <v/>
      </c>
      <c r="I92" s="936"/>
      <c r="J92" s="936"/>
    </row>
    <row r="93">
      <c r="A93" s="924"/>
      <c r="B93" s="935" t="s">
        <v>443</v>
      </c>
      <c r="C93" s="936" t="str">
        <f>IF($A$91&gt;=3,"施法","")</f>
        <v/>
      </c>
      <c r="D93" s="936" t="str">
        <f>IF($A$91&gt;=3,"戰爭連結","")</f>
        <v/>
      </c>
      <c r="E93" s="936" t="str">
        <f>IF($A$91&gt;=7,"戰爭魔法","")</f>
        <v/>
      </c>
      <c r="F93" s="936" t="str">
        <f>IF($A$91&gt;=10,"魔能打擊","")</f>
        <v/>
      </c>
      <c r="G93" s="936" t="str">
        <f>IF($A$91&gt;=15,"祕法衝鋒","")</f>
        <v/>
      </c>
      <c r="H93" s="936" t="str">
        <f>IF($A$91&gt;=18,"強化戰爭魔法","")</f>
        <v/>
      </c>
      <c r="I93" s="936"/>
      <c r="J93" s="936"/>
    </row>
    <row r="94">
      <c r="A94" s="924"/>
      <c r="B94" s="935" t="s">
        <v>444</v>
      </c>
      <c r="C94" s="936" t="str">
        <f>IF($A$91&gt;=3,"靈能力量("&amp;IF(A91&gt;=17,"12枚",IF(A91&gt;=13,"10枚",IF(A91&gt;=9,"8枚",IF(A91&gt;=5,"6枚","4枚"))))&amp;IF(A91&gt;=17,"d12",IF(A91&gt;=11,"d10",IF(A91&gt;=5,"d8","d6")))&amp;")","")</f>
        <v/>
      </c>
      <c r="D94" s="936" t="str">
        <f>IF($A$91&gt;=7,"念力精通","")</f>
        <v/>
      </c>
      <c r="E94" s="936" t="str">
        <f>IF($A$91&gt;=10,"意念守護","")</f>
        <v/>
      </c>
      <c r="F94" s="936" t="str">
        <f>IF($A$91&gt;=15,"力場壁壘","")</f>
        <v/>
      </c>
      <c r="G94" s="936" t="str">
        <f>IF($A$91&gt;=18,"念力宗師","")</f>
        <v/>
      </c>
      <c r="H94" s="936"/>
      <c r="I94" s="936"/>
      <c r="J94" s="936"/>
    </row>
    <row r="95">
      <c r="A95" s="924"/>
      <c r="B95" s="935" t="s">
        <v>985</v>
      </c>
      <c r="C95" s="936" t="str">
        <f>IF($A$91&gt;=3,"騎士使節","")</f>
        <v/>
      </c>
      <c r="D95" s="936" t="str">
        <f>IF($A$91&gt;=3,"群體回復","")</f>
        <v/>
      </c>
      <c r="E95" s="936" t="str">
        <f>IF($A$91&gt;=7,"團隊戰術","")</f>
        <v/>
      </c>
      <c r="F95" s="936" t="str">
        <f>IF($A$91&gt;=10,"湧動潮流","")</f>
        <v/>
      </c>
      <c r="G95" s="936" t="str">
        <f>IF($A$91&gt;=15,"分享堅韌","")</f>
        <v/>
      </c>
      <c r="H95" s="936" t="str">
        <f>IF($A$91&gt;=18,"統御指揮","")</f>
        <v/>
      </c>
      <c r="I95" s="936"/>
      <c r="J95" s="936"/>
    </row>
    <row r="96">
      <c r="A96" s="924"/>
      <c r="B96" s="935" t="s">
        <v>986</v>
      </c>
      <c r="C96" s="936" t="str">
        <f>IF($A$91&gt;=3,"死亡騎士","")</f>
        <v/>
      </c>
      <c r="D96" s="936" t="str">
        <f>IF($A$91&gt;=7,"汲取靈魂","")</f>
        <v/>
      </c>
      <c r="E96" s="936" t="str">
        <f>IF($A$91&gt;=10,"陵墓守御者","")</f>
        <v/>
      </c>
      <c r="F96" s="936" t="str">
        <f>IF($A$91&gt;=15,"墳墓領主","")</f>
        <v/>
      </c>
      <c r="G96" s="936" t="str">
        <f>IF($A$91&gt;=18,"亡靈之力","")</f>
        <v/>
      </c>
      <c r="H96" s="936"/>
      <c r="I96" s="936"/>
      <c r="J96" s="936"/>
    </row>
    <row r="97">
      <c r="A97" s="924"/>
      <c r="B97" s="935" t="s">
        <v>987</v>
      </c>
      <c r="C97" s="936" t="str">
        <f>IF($A$91&gt;=3,"踹門","")</f>
        <v/>
      </c>
      <c r="D97" s="936" t="str">
        <f>IF($A$91&gt;=3,"英雄迷信","")</f>
        <v/>
      </c>
      <c r="E97" s="936" t="str">
        <f>IF($A$91&gt;=7,"地城預防措施","")</f>
        <v/>
      </c>
      <c r="F97" s="936" t="str">
        <f>IF($A$91&gt;=10,"怪物殺手","")</f>
        <v/>
      </c>
      <c r="G97" s="936" t="str">
        <f>IF($A$91&gt;=15,"迴避","")</f>
        <v/>
      </c>
      <c r="H97" s="936" t="str">
        <f>IF($A$91&gt;=18,"百戰英雄","")</f>
        <v/>
      </c>
      <c r="I97" s="936"/>
      <c r="J97" s="936"/>
    </row>
    <row r="98">
      <c r="A98" s="924"/>
      <c r="B98" s="935" t="s">
        <v>988</v>
      </c>
      <c r="C98" s="936" t="str">
        <f>IF($A$91&gt;=3,"激勵之儀","")</f>
        <v/>
      </c>
      <c r="D98" s="936" t="str">
        <f>IF($A$91&gt;=3,"英雄壯舉","")</f>
        <v/>
      </c>
      <c r="E98" s="936" t="str">
        <f>IF($A$91&gt;=7,"以身作則","")</f>
        <v/>
      </c>
      <c r="F98" s="936" t="str">
        <f>IF($A$91&gt;=10,"鼓舞之儀","")</f>
        <v/>
      </c>
      <c r="G98" s="936" t="str">
        <f>IF($A$91&gt;=15,"堅韌之儀","")</f>
        <v/>
      </c>
      <c r="H98" s="936" t="str">
        <f>IF($A$91&gt;=18,"超凡壯舉","")</f>
        <v/>
      </c>
      <c r="I98" s="936"/>
      <c r="J98" s="936"/>
    </row>
    <row r="99">
      <c r="A99" s="924"/>
      <c r="B99" s="935" t="s">
        <v>989</v>
      </c>
      <c r="C99" s="936" t="str">
        <f>IF($A$91&gt;=3,"保護嘲諷","")</f>
        <v/>
      </c>
      <c r="D99" s="936" t="str">
        <f>IF($A$91&gt;=3,"挺過風暴","")</f>
        <v/>
      </c>
      <c r="E99" s="936" t="str">
        <f>IF($A$91&gt;=7,"威嚇姿態","")</f>
        <v/>
      </c>
      <c r="F99" s="936" t="str">
        <f>IF($A$91&gt;=10,"以攻為守","")</f>
        <v/>
      </c>
      <c r="G99" s="936" t="str">
        <f>IF($A$91&gt;=15,"強化回氣","")</f>
        <v/>
      </c>
      <c r="H99" s="936" t="str">
        <f>IF($A$91&gt;=18,"阻斷攻勢","")</f>
        <v/>
      </c>
      <c r="I99" s="936"/>
      <c r="J99" s="936"/>
    </row>
    <row r="100">
      <c r="A100" s="924"/>
      <c r="B100" s="935" t="s">
        <v>990</v>
      </c>
      <c r="C100" s="936" t="str">
        <f>IF($A$91&gt;=3,"化合物製造","")</f>
        <v/>
      </c>
      <c r="D100" s="936" t="str">
        <f>IF($A$91&gt;=3,"煉金學士","")</f>
        <v/>
      </c>
      <c r="E100" s="936" t="str">
        <f>IF($A$91&gt;=7,"活體鍋釜","")</f>
        <v/>
      </c>
      <c r="F100" s="936" t="str">
        <f>IF($A$91&gt;=10,"快速攝取","")</f>
        <v/>
      </c>
      <c r="G100" s="936" t="str">
        <f>IF($A$91&gt;=15,"毒素轉化","")</f>
        <v/>
      </c>
      <c r="H100" s="936" t="str">
        <f>IF($A$91&gt;=18,"活體觸媒","")</f>
        <v/>
      </c>
      <c r="I100" s="936"/>
      <c r="J100" s="936"/>
    </row>
    <row r="101">
      <c r="A101" s="924"/>
      <c r="B101" s="935" t="s">
        <v>991</v>
      </c>
      <c r="C101" s="936" t="str">
        <f>IF($A$91&gt;=3,"幹練守衛","")</f>
        <v/>
      </c>
      <c r="D101" s="936" t="str">
        <f>IF($A$91&gt;=3,"時刻警戒","")</f>
        <v/>
      </c>
      <c r="E101" s="936" t="str">
        <f>IF($A$91&gt;=7,"打量對手","")</f>
        <v/>
      </c>
      <c r="F101" s="936" t="str">
        <f>IF($A$91&gt;=10,"夜行者","")</f>
        <v/>
      </c>
      <c r="G101" s="936" t="str">
        <f>IF($A$91&gt;=15,"蓄勢待發","")</f>
        <v/>
      </c>
      <c r="H101" s="936" t="str">
        <f>IF($A$91&gt;=18,"痛打一頓","")</f>
        <v/>
      </c>
      <c r="I101" s="936"/>
      <c r="J101" s="936"/>
    </row>
    <row r="102">
      <c r="A102" s="924"/>
      <c r="B102" s="935" t="s">
        <v>992</v>
      </c>
      <c r="C102" s="936" t="str">
        <f>IF($A$91&gt;=3,"仁慈行者","")</f>
        <v/>
      </c>
      <c r="D102" s="936" t="str">
        <f>IF($A$91&gt;=3,"眾人之一","")</f>
        <v/>
      </c>
      <c r="E102" s="936" t="str">
        <f>IF($A$91&gt;=7,"和平使者","")</f>
        <v/>
      </c>
      <c r="F102" s="936" t="str">
        <f>IF($A$91&gt;=10,"沉穩心靈","")</f>
        <v/>
      </c>
      <c r="G102" s="936" t="str">
        <f>IF($A$91&gt;=15,"模範","")</f>
        <v/>
      </c>
      <c r="H102" s="936" t="str">
        <f>IF($A$91&gt;=18,"傳令執行官","")</f>
        <v/>
      </c>
      <c r="I102" s="936"/>
      <c r="J102" s="936"/>
    </row>
    <row r="103">
      <c r="A103" s="924"/>
      <c r="B103" s="935" t="s">
        <v>993</v>
      </c>
      <c r="C103" s="936"/>
      <c r="D103" s="936"/>
      <c r="E103" s="936"/>
      <c r="F103" s="936"/>
      <c r="G103" s="936"/>
      <c r="H103" s="936"/>
      <c r="I103" s="936"/>
      <c r="J103" s="936"/>
    </row>
    <row r="104" hidden="1">
      <c r="A104" s="924"/>
      <c r="B104" s="935"/>
      <c r="C104" s="936"/>
      <c r="D104" s="936"/>
      <c r="E104" s="936"/>
      <c r="F104" s="936"/>
      <c r="G104" s="936"/>
      <c r="H104" s="936"/>
      <c r="I104" s="936"/>
      <c r="J104" s="936"/>
    </row>
    <row r="105" hidden="1">
      <c r="A105" s="924"/>
      <c r="B105" s="935"/>
      <c r="C105" s="936"/>
      <c r="D105" s="936"/>
      <c r="E105" s="936"/>
      <c r="F105" s="936"/>
      <c r="G105" s="936"/>
      <c r="H105" s="936"/>
      <c r="I105" s="936"/>
      <c r="J105" s="936"/>
    </row>
    <row r="106" hidden="1">
      <c r="A106" s="924"/>
      <c r="B106" s="935"/>
      <c r="C106" s="936"/>
      <c r="D106" s="936"/>
      <c r="E106" s="936"/>
      <c r="F106" s="936"/>
      <c r="G106" s="936"/>
      <c r="H106" s="936"/>
      <c r="I106" s="936"/>
      <c r="J106" s="936"/>
    </row>
    <row r="107" hidden="1">
      <c r="A107" s="924"/>
      <c r="B107" s="935"/>
      <c r="C107" s="936"/>
      <c r="D107" s="936"/>
      <c r="E107" s="936"/>
      <c r="F107" s="936"/>
      <c r="G107" s="936"/>
      <c r="H107" s="936"/>
      <c r="I107" s="936"/>
      <c r="J107" s="936"/>
    </row>
    <row r="108" hidden="1">
      <c r="A108" s="924"/>
      <c r="B108" s="935"/>
      <c r="C108" s="936"/>
      <c r="D108" s="936"/>
      <c r="E108" s="936"/>
      <c r="F108" s="936"/>
      <c r="G108" s="936"/>
      <c r="H108" s="936"/>
      <c r="I108" s="936"/>
      <c r="J108" s="936"/>
    </row>
    <row r="109" hidden="1">
      <c r="A109" s="924"/>
      <c r="B109" s="935"/>
      <c r="C109" s="936"/>
      <c r="D109" s="936"/>
      <c r="E109" s="936"/>
      <c r="F109" s="936"/>
      <c r="G109" s="936"/>
      <c r="H109" s="936"/>
      <c r="I109" s="936"/>
      <c r="J109" s="936"/>
    </row>
    <row r="110" hidden="1">
      <c r="A110" s="924"/>
      <c r="B110" s="935"/>
      <c r="C110" s="936"/>
      <c r="D110" s="936"/>
      <c r="E110" s="936"/>
      <c r="F110" s="936"/>
      <c r="G110" s="936"/>
      <c r="H110" s="936"/>
      <c r="I110" s="936"/>
      <c r="J110" s="936"/>
    </row>
    <row r="111" hidden="1">
      <c r="A111" s="924"/>
      <c r="B111" s="935"/>
      <c r="C111" s="936"/>
      <c r="D111" s="936"/>
      <c r="E111" s="936"/>
      <c r="F111" s="936"/>
      <c r="G111" s="936"/>
      <c r="H111" s="936"/>
      <c r="I111" s="936"/>
      <c r="J111" s="936"/>
    </row>
    <row r="112" hidden="1">
      <c r="A112" s="924"/>
      <c r="B112" s="935"/>
      <c r="C112" s="936"/>
      <c r="D112" s="936"/>
      <c r="E112" s="936"/>
      <c r="F112" s="936"/>
      <c r="G112" s="936"/>
      <c r="H112" s="936"/>
      <c r="I112" s="936"/>
      <c r="J112" s="936"/>
    </row>
    <row r="113">
      <c r="A113" s="924">
        <f>'職業能力'!H2</f>
        <v>0</v>
      </c>
      <c r="B113" s="937" t="s">
        <v>449</v>
      </c>
      <c r="C113" s="938" t="str">
        <f>IF($A$113&gt;=3,"奪命之手","")</f>
        <v/>
      </c>
      <c r="D113" s="938" t="str">
        <f>IF($A$113&gt;=3,"予命之手","")</f>
        <v/>
      </c>
      <c r="E113" s="938" t="str">
        <f>IF($A$113&gt;=3,"掌握命流","")</f>
        <v/>
      </c>
      <c r="F113" s="938" t="str">
        <f>IF($A$113&gt;=6,"生死之觸","")</f>
        <v/>
      </c>
      <c r="G113" s="938" t="str">
        <f>IF($A$113&gt;=11,"活殺自在","")</f>
        <v/>
      </c>
      <c r="H113" s="938" t="str">
        <f>IF($A$113&gt;=17,"命極之手","")</f>
        <v/>
      </c>
      <c r="I113" s="938"/>
      <c r="J113" s="938"/>
    </row>
    <row r="114">
      <c r="A114" s="924" t="s">
        <v>376</v>
      </c>
      <c r="B114" s="937" t="s">
        <v>450</v>
      </c>
      <c r="C114" s="938" t="str">
        <f>IF($A$113&gt;=3,"暗影技藝","")</f>
        <v/>
      </c>
      <c r="D114" s="938" t="str">
        <f>IF($A$113&gt;=6,"暗影步","")</f>
        <v/>
      </c>
      <c r="E114" s="938" t="str">
        <f>IF($A$113&gt;=11,"強化暗影步","")</f>
        <v/>
      </c>
      <c r="F114" s="938" t="str">
        <f>IF($A$113&gt;=17,"暗影斗篷","")</f>
        <v/>
      </c>
      <c r="G114" s="938"/>
      <c r="H114" s="938"/>
      <c r="I114" s="938"/>
      <c r="J114" s="938"/>
    </row>
    <row r="115">
      <c r="A115" s="924"/>
      <c r="B115" s="937" t="s">
        <v>451</v>
      </c>
      <c r="C115" s="938" t="str">
        <f>IF($A$113&gt;=3,"四象同調","")</f>
        <v/>
      </c>
      <c r="D115" s="938" t="str">
        <f>IF($A$113&gt;=3,"操作四象","")</f>
        <v/>
      </c>
      <c r="E115" s="938" t="str">
        <f>IF($A$113&gt;=6,"四象爆破拳","")</f>
        <v/>
      </c>
      <c r="F115" s="938" t="str">
        <f>IF($A$113&gt;=11,"四象遁術","")</f>
        <v/>
      </c>
      <c r="G115" s="938" t="str">
        <f>IF($A$113&gt;=17,"四象神通","")</f>
        <v/>
      </c>
      <c r="H115" s="938"/>
      <c r="I115" s="938"/>
      <c r="J115" s="938"/>
    </row>
    <row r="116">
      <c r="A116" s="924"/>
      <c r="B116" s="937" t="s">
        <v>452</v>
      </c>
      <c r="C116" s="938" t="str">
        <f>IF($A$113&gt;=3,"散打技巧","")</f>
        <v/>
      </c>
      <c r="D116" s="938" t="str">
        <f>IF($A$113&gt;=6,"混元體","")</f>
        <v/>
      </c>
      <c r="E116" s="938" t="str">
        <f>IF($A$113&gt;=11,"流星步","")</f>
        <v/>
      </c>
      <c r="F116" s="938" t="str">
        <f>IF($A$113&gt;=17,"滲透勁","")</f>
        <v/>
      </c>
      <c r="G116" s="938"/>
      <c r="H116" s="938"/>
      <c r="I116" s="938"/>
      <c r="J116" s="938"/>
    </row>
    <row r="117">
      <c r="A117" s="924"/>
      <c r="B117" s="937" t="s">
        <v>994</v>
      </c>
      <c r="C117" s="938" t="str">
        <f>IF($A$113&gt;=3,"染疫之道","")</f>
        <v/>
      </c>
      <c r="D117" s="938" t="str">
        <f>IF($A$113&gt;=3,"疫病賜福","")</f>
        <v/>
      </c>
      <c r="E117" s="938" t="str">
        <f>IF($A$113&gt;=6,"強效瘟疫","")</f>
        <v/>
      </c>
      <c r="F117" s="938" t="str">
        <f>IF($A$113&gt;=6,"敲響喪鐘","")</f>
        <v/>
      </c>
      <c r="G117" s="938" t="str">
        <f>IF($A$113&gt;=11,"致病毒瘴","")</f>
        <v/>
      </c>
      <c r="H117" s="938" t="str">
        <f>IF($A$113&gt;=17,"傳染瘟疫","")</f>
        <v/>
      </c>
      <c r="I117" s="938"/>
      <c r="J117" s="938"/>
    </row>
    <row r="118">
      <c r="A118" s="924"/>
      <c r="B118" s="937" t="s">
        <v>995</v>
      </c>
      <c r="C118" s="938" t="str">
        <f>IF($A$113&gt;=3,"連擊","")</f>
        <v/>
      </c>
      <c r="D118" s="938" t="str">
        <f>IF($A$113&gt;=3,"鐵拳","")</f>
        <v/>
      </c>
      <c r="E118" s="938" t="str">
        <f>IF($A$113&gt;=6,"特殊招式","")</f>
        <v/>
      </c>
      <c r="F118" s="938" t="str">
        <f>IF($A$113&gt;=11,"空中衝刺","")</f>
        <v/>
      </c>
      <c r="G118" s="938" t="str">
        <f>IF($A$113&gt;=17,"K.O.","")</f>
        <v/>
      </c>
      <c r="H118" s="938"/>
      <c r="I118" s="938"/>
      <c r="J118" s="938"/>
    </row>
    <row r="119">
      <c r="A119" s="924"/>
      <c r="B119" s="937" t="s">
        <v>996</v>
      </c>
      <c r="C119" s="938" t="str">
        <f>IF($A$113&gt;=3,"守道技藝","")</f>
        <v/>
      </c>
      <c r="D119" s="938" t="str">
        <f>IF($A$113&gt;=3,"探詢者","")</f>
        <v/>
      </c>
      <c r="E119" s="938" t="str">
        <f>IF($A$113&gt;=6,"均衡衛士","")</f>
        <v/>
      </c>
      <c r="F119" s="938" t="str">
        <f>IF($A$113&gt;=11,"寰宇復原","")</f>
        <v/>
      </c>
      <c r="G119" s="938" t="str">
        <f>IF($A$113&gt;=17,"邪祟封禁","")</f>
        <v/>
      </c>
      <c r="H119" s="938"/>
      <c r="I119" s="938"/>
      <c r="J119" s="938"/>
    </row>
    <row r="120">
      <c r="A120" s="924"/>
      <c r="B120" s="937" t="s">
        <v>997</v>
      </c>
      <c r="C120" s="938" t="str">
        <f>IF($A$113&gt;=3,"無形之手","")</f>
        <v/>
      </c>
      <c r="D120" s="938" t="str">
        <f>IF($A$113&gt;=3,"靈能造詣","")</f>
        <v/>
      </c>
      <c r="E120" s="938" t="str">
        <f>IF($A$113&gt;=6,"顯形打擊","")</f>
        <v/>
      </c>
      <c r="F120" s="938" t="str">
        <f>IF($A$113&gt;=11,"心靈粉碎","")</f>
        <v/>
      </c>
      <c r="G120" s="938" t="str">
        <f>IF($A$113&gt;=17,"靈能神通","")</f>
        <v/>
      </c>
      <c r="H120" s="938"/>
      <c r="I120" s="938"/>
      <c r="J120" s="938"/>
    </row>
    <row r="121">
      <c r="A121" s="924"/>
      <c r="B121" s="937" t="s">
        <v>998</v>
      </c>
      <c r="C121" s="938" t="str">
        <f>IF($A$113&gt;=3,"天方夜譚","")</f>
        <v/>
      </c>
      <c r="D121" s="938" t="str">
        <f>IF($A$113&gt;=3,"愈挫愈勇","")</f>
        <v/>
      </c>
      <c r="E121" s="938" t="str">
        <f>IF($A$113&gt;=3,"強橫攻勢","")</f>
        <v/>
      </c>
      <c r="F121" s="938" t="str">
        <f>IF($A$113&gt;=6,"睚眥必報","")</f>
        <v/>
      </c>
      <c r="G121" s="938" t="str">
        <f>IF($A$113&gt;=6,"倍加圖強","")</f>
        <v/>
      </c>
      <c r="H121" s="938" t="str">
        <f>IF($A$113&gt;=11,"傲骨不折","")</f>
        <v/>
      </c>
      <c r="I121" s="938" t="str">
        <f>IF($A$113&gt;=17,"惟我獨尊","")</f>
        <v/>
      </c>
      <c r="J121" s="938"/>
    </row>
    <row r="122">
      <c r="A122" s="924"/>
      <c r="B122" s="937" t="s">
        <v>999</v>
      </c>
      <c r="C122" s="938" t="str">
        <f>IF($A$113&gt;=3,"悔恨之影","")</f>
        <v/>
      </c>
      <c r="D122" s="938" t="str">
        <f>IF($A$113&gt;=3,"未行之路","")</f>
        <v/>
      </c>
      <c r="E122" s="938" t="str">
        <f>IF($A$113&gt;=6,"未施之援","")</f>
        <v/>
      </c>
      <c r="F122" s="938" t="str">
        <f>IF($A$113&gt;=11,"罪咎碾壓","")</f>
        <v/>
      </c>
      <c r="G122" s="938" t="str">
        <f>IF($A$113&gt;=17,"往日重現","")</f>
        <v/>
      </c>
      <c r="H122" s="938"/>
      <c r="I122" s="938"/>
      <c r="J122" s="938"/>
    </row>
    <row r="123">
      <c r="A123" s="924"/>
      <c r="B123" s="937" t="s">
        <v>1000</v>
      </c>
      <c r="C123" s="938" t="str">
        <f>IF($A$113&gt;=3,"武術形態","")</f>
        <v/>
      </c>
      <c r="D123" s="938" t="str">
        <f>IF($A$113&gt;=3,"變幻莫測","")</f>
        <v/>
      </c>
      <c r="E123" s="938" t="str">
        <f>IF($A$113&gt;=6,"顯化之擊"&amp;'職業能力選項'!AF3,"")</f>
        <v/>
      </c>
      <c r="F123" s="938" t="str">
        <f>IF($A$113&gt;=11,"本能適應","")</f>
        <v/>
      </c>
      <c r="G123" s="938" t="str">
        <f>IF($A$113&gt;=17,"完美型態","")</f>
        <v/>
      </c>
      <c r="H123" s="938"/>
      <c r="I123" s="938"/>
      <c r="J123" s="938"/>
    </row>
    <row r="124">
      <c r="A124" s="924"/>
      <c r="B124" s="937" t="s">
        <v>1001</v>
      </c>
      <c r="C124" s="938" t="str">
        <f>IF($A$113&gt;=3,"天界連結","")</f>
        <v/>
      </c>
      <c r="D124" s="938" t="str">
        <f>IF($A$113&gt;=3,"索魂擊","")</f>
        <v/>
      </c>
      <c r="E124" s="938" t="str">
        <f>IF($A$113&gt;=6,"屏氣凝神","")</f>
        <v/>
      </c>
      <c r="F124" s="938" t="str">
        <f>IF($A$113&gt;=11,"天界使者","")</f>
        <v/>
      </c>
      <c r="G124" s="938" t="str">
        <f>IF($A$113&gt;=17,"天將神兵","")</f>
        <v/>
      </c>
      <c r="H124" s="938"/>
      <c r="I124" s="938"/>
      <c r="J124" s="938"/>
    </row>
    <row r="125" hidden="1">
      <c r="A125" s="924"/>
      <c r="B125" s="937"/>
      <c r="C125" s="938"/>
      <c r="D125" s="938"/>
      <c r="E125" s="938"/>
      <c r="F125" s="938"/>
      <c r="G125" s="938"/>
      <c r="H125" s="938"/>
      <c r="I125" s="938"/>
      <c r="J125" s="938"/>
    </row>
    <row r="126" hidden="1">
      <c r="A126" s="924"/>
      <c r="B126" s="937"/>
      <c r="C126" s="938"/>
      <c r="D126" s="938"/>
      <c r="E126" s="938"/>
      <c r="F126" s="938"/>
      <c r="G126" s="938"/>
      <c r="H126" s="938"/>
      <c r="I126" s="938"/>
      <c r="J126" s="938"/>
    </row>
    <row r="127" hidden="1">
      <c r="A127" s="924"/>
      <c r="B127" s="937"/>
      <c r="C127" s="938"/>
      <c r="D127" s="938"/>
      <c r="E127" s="938"/>
      <c r="F127" s="938"/>
      <c r="G127" s="938"/>
      <c r="H127" s="938"/>
      <c r="I127" s="938"/>
      <c r="J127" s="938"/>
    </row>
    <row r="128" hidden="1">
      <c r="A128" s="924"/>
      <c r="B128" s="937"/>
      <c r="C128" s="938"/>
      <c r="D128" s="938"/>
      <c r="E128" s="938"/>
      <c r="F128" s="938"/>
      <c r="G128" s="938"/>
      <c r="H128" s="938"/>
      <c r="I128" s="938"/>
      <c r="J128" s="938"/>
    </row>
    <row r="129" hidden="1">
      <c r="A129" s="924"/>
      <c r="B129" s="937"/>
      <c r="C129" s="938"/>
      <c r="D129" s="938"/>
      <c r="E129" s="938"/>
      <c r="F129" s="938"/>
      <c r="G129" s="938"/>
      <c r="H129" s="938"/>
      <c r="I129" s="938"/>
      <c r="J129" s="938"/>
    </row>
    <row r="130" hidden="1">
      <c r="A130" s="924"/>
      <c r="B130" s="937"/>
      <c r="C130" s="938"/>
      <c r="D130" s="938"/>
      <c r="E130" s="938"/>
      <c r="F130" s="938"/>
      <c r="G130" s="938"/>
      <c r="H130" s="938"/>
      <c r="I130" s="938"/>
      <c r="J130" s="938"/>
    </row>
    <row r="131" hidden="1">
      <c r="A131" s="924"/>
      <c r="B131" s="937"/>
      <c r="C131" s="938"/>
      <c r="D131" s="938"/>
      <c r="E131" s="938"/>
      <c r="F131" s="938"/>
      <c r="G131" s="938"/>
      <c r="H131" s="938"/>
      <c r="I131" s="938"/>
      <c r="J131" s="938"/>
    </row>
    <row r="132" hidden="1">
      <c r="A132" s="924"/>
      <c r="B132" s="937"/>
      <c r="C132" s="938"/>
      <c r="D132" s="938"/>
      <c r="E132" s="938"/>
      <c r="F132" s="938"/>
      <c r="G132" s="938"/>
      <c r="H132" s="938"/>
      <c r="I132" s="938"/>
      <c r="J132" s="938"/>
    </row>
    <row r="133" hidden="1">
      <c r="A133" s="924"/>
      <c r="B133" s="937"/>
      <c r="C133" s="938"/>
      <c r="D133" s="938"/>
      <c r="E133" s="938"/>
      <c r="F133" s="938"/>
      <c r="G133" s="938"/>
      <c r="H133" s="938"/>
      <c r="I133" s="938"/>
      <c r="J133" s="938"/>
    </row>
    <row r="134" hidden="1">
      <c r="A134" s="924"/>
      <c r="B134" s="937"/>
      <c r="C134" s="938"/>
      <c r="D134" s="938"/>
      <c r="E134" s="938"/>
      <c r="F134" s="938"/>
      <c r="G134" s="938"/>
      <c r="H134" s="938"/>
      <c r="I134" s="938"/>
      <c r="J134" s="938"/>
    </row>
    <row r="135">
      <c r="A135" s="924">
        <f>'職業能力'!J2</f>
        <v>0</v>
      </c>
      <c r="B135" s="939" t="s">
        <v>457</v>
      </c>
      <c r="C135" s="940" t="str">
        <f>IF($A$135&gt;=3,"奉獻之誓法術","")</f>
        <v/>
      </c>
      <c r="D135" s="940" t="str">
        <f>IF($A$135&gt;=3,"引導神力：聖潔武器","")</f>
        <v/>
      </c>
      <c r="E135" s="940" t="str">
        <f>IF($A$135&gt;=7,"奉獻靈光","")</f>
        <v/>
      </c>
      <c r="F135" s="940" t="str">
        <f>IF($A$135&gt;=15,"衛護斬","")</f>
        <v/>
      </c>
      <c r="G135" s="940" t="str">
        <f>IF($A$135&gt;=20,"至聖光輪","")</f>
        <v/>
      </c>
      <c r="H135" s="940"/>
      <c r="I135" s="940"/>
      <c r="J135" s="940"/>
    </row>
    <row r="136">
      <c r="A136" s="924" t="s">
        <v>1002</v>
      </c>
      <c r="B136" s="939" t="s">
        <v>458</v>
      </c>
      <c r="C136" s="940" t="str">
        <f>IF($A$135&gt;=3,"榮耀之誓法術","")</f>
        <v/>
      </c>
      <c r="D136" s="940" t="str">
        <f>IF($A$135&gt;=3,"引導神力：鼓舞斬","")</f>
        <v/>
      </c>
      <c r="E136" s="940" t="str">
        <f>IF($A$135&gt;=3,"引導神力：絕倫健將","")</f>
        <v/>
      </c>
      <c r="F136" s="940" t="str">
        <f>IF($A$135&gt;=7,"迅捷靈光","")</f>
        <v/>
      </c>
      <c r="G136" s="940" t="str">
        <f>IF($A$135&gt;=15,"輝煌防禦","")</f>
        <v/>
      </c>
      <c r="H136" s="940" t="str">
        <f>IF($A$135&gt;=20,"現世傳說","")</f>
        <v/>
      </c>
      <c r="I136" s="940"/>
      <c r="J136" s="940"/>
    </row>
    <row r="137">
      <c r="A137" s="924"/>
      <c r="B137" s="939" t="s">
        <v>459</v>
      </c>
      <c r="C137" s="940" t="str">
        <f>IF($A$135&gt;=3,"遠古之誓法術","")</f>
        <v/>
      </c>
      <c r="D137" s="940" t="str">
        <f>IF($A$135&gt;=3,"引導神力：自然之怒","")</f>
        <v/>
      </c>
      <c r="E137" s="940" t="str">
        <f>IF($A$135&gt;=7,"守御靈光","")</f>
        <v/>
      </c>
      <c r="F137" s="940" t="str">
        <f>IF($A$135&gt;=15,"不朽衛士","")</f>
        <v/>
      </c>
      <c r="G137" s="940" t="str">
        <f>IF($A$135&gt;=20,"遠古鬥士","")</f>
        <v/>
      </c>
      <c r="H137" s="940"/>
      <c r="I137" s="940"/>
      <c r="J137" s="940"/>
    </row>
    <row r="138">
      <c r="A138" s="924"/>
      <c r="B138" s="939" t="s">
        <v>460</v>
      </c>
      <c r="C138" s="940" t="str">
        <f>IF($A$135&gt;=3,"復仇之誓法術","")</f>
        <v/>
      </c>
      <c r="D138" s="940" t="str">
        <f>IF($A$135&gt;=3,"引導神力：仇敵誓言","")</f>
        <v/>
      </c>
      <c r="E138" s="940" t="str">
        <f>IF($A$135&gt;=7,"堅韌復仇","")</f>
        <v/>
      </c>
      <c r="F138" s="940" t="str">
        <f>IF($A$135&gt;=15,"復仇之魂","")</f>
        <v/>
      </c>
      <c r="G138" s="940" t="str">
        <f>IF($A$135&gt;=20,"復仇天使","")</f>
        <v/>
      </c>
      <c r="H138" s="940"/>
      <c r="I138" s="940"/>
      <c r="J138" s="940"/>
    </row>
    <row r="139">
      <c r="A139" s="924"/>
      <c r="B139" s="939" t="s">
        <v>1003</v>
      </c>
      <c r="C139" s="940" t="str">
        <f>IF($A$135&gt;=3,"巨靈貴族之誓法術","")</f>
        <v/>
      </c>
      <c r="D139" s="940" t="str">
        <f>IF($A$135&gt;=3,"引導神力：元素打擊","")</f>
        <v/>
      </c>
      <c r="E139" s="940" t="str">
        <f>IF($A$135&gt;=3,"巨靈榮譽","")</f>
        <v/>
      </c>
      <c r="F139" s="940" t="str">
        <f>IF($A$135&gt;=7,"元素守護靈光","")</f>
        <v/>
      </c>
      <c r="G139" s="940" t="str">
        <f>IF($A$135&gt;=15,"元素喝斥","")</f>
        <v/>
      </c>
      <c r="H139" s="940" t="str">
        <f>IF($A$135&gt;=20,"貴族使徒","")</f>
        <v/>
      </c>
      <c r="I139" s="940"/>
      <c r="J139" s="940"/>
    </row>
    <row r="140">
      <c r="A140" s="924"/>
      <c r="B140" s="939" t="s">
        <v>1004</v>
      </c>
      <c r="C140" s="940" t="str">
        <f>IF($A$135&gt;=3,"瘟疫之誓法術","")</f>
        <v/>
      </c>
      <c r="D140" s="940" t="str">
        <f>IF($A$135&gt;=3,"引導神力：懲戒","")</f>
        <v/>
      </c>
      <c r="E140" s="940" t="str">
        <f>IF($A$135&gt;=3,"引導神力：審問","")</f>
        <v/>
      </c>
      <c r="F140" s="940" t="str">
        <f>IF($A$135&gt;=7,"火種靈光","")</f>
        <v/>
      </c>
      <c r="G140" s="940" t="str">
        <f>IF($A$135&gt;=15,"熾熱審判","")</f>
        <v/>
      </c>
      <c r="H140" s="940" t="str">
        <f>IF($A$135&gt;=20,"硫磺烈火","")</f>
        <v/>
      </c>
      <c r="I140" s="940"/>
      <c r="J140" s="940"/>
    </row>
    <row r="141">
      <c r="A141" s="924"/>
      <c r="B141" s="939" t="s">
        <v>1005</v>
      </c>
      <c r="C141" s="940" t="str">
        <f>IF($A$135&gt;=3,"狂歡之誓法術","")</f>
        <v/>
      </c>
      <c r="D141" s="940" t="str">
        <f>IF($A$135&gt;=3,"引導神力：召喚飲料","")</f>
        <v/>
      </c>
      <c r="E141" s="940" t="str">
        <f>IF($A$135&gt;=7,"兄弟會靈光","")</f>
        <v/>
      </c>
      <c r="F141" s="940" t="str">
        <f>IF($A$135&gt;=15,"歡樂製造者","")</f>
        <v/>
      </c>
      <c r="G141" s="940" t="str">
        <f>IF($A$135&gt;=20,"派對動物","")</f>
        <v/>
      </c>
      <c r="H141" s="940"/>
      <c r="I141" s="940"/>
      <c r="J141" s="940"/>
    </row>
    <row r="142">
      <c r="A142" s="924"/>
      <c r="B142" s="939" t="s">
        <v>1006</v>
      </c>
      <c r="C142" s="940" t="str">
        <f>IF($A$135&gt;=3,"守護之誓法術","")</f>
        <v/>
      </c>
      <c r="D142" s="940" t="str">
        <f>IF($A$135&gt;=3,"引導神力：防護干預","")</f>
        <v/>
      </c>
      <c r="E142" s="940" t="str">
        <f>IF($A$135&gt;=3,"刻印打擊","")</f>
        <v/>
      </c>
      <c r="F142" s="940" t="str">
        <f>IF($A$135&gt;=7,"守護之儀","")</f>
        <v/>
      </c>
      <c r="G142" s="940" t="str">
        <f>IF($A$135&gt;=7,"振奮防禦","")</f>
        <v/>
      </c>
      <c r="H142" s="940" t="str">
        <f>IF($A$135&gt;=15,"守護衛士","")</f>
        <v/>
      </c>
      <c r="I142" s="940" t="str">
        <f>IF($A$135&gt;=20,"守護天使","")</f>
        <v/>
      </c>
      <c r="J142" s="940"/>
    </row>
    <row r="143">
      <c r="A143" s="924"/>
      <c r="B143" s="939" t="s">
        <v>1007</v>
      </c>
      <c r="C143" s="940" t="str">
        <f>IF($A$135&gt;=3,"瘟疫之誓法術","")</f>
        <v/>
      </c>
      <c r="D143" s="940" t="str">
        <f>IF($A$135&gt;=3,"引導神力：熵能感染","")</f>
        <v/>
      </c>
      <c r="E143" s="940" t="str">
        <f>IF($A$135&gt;=3,"衰弱熱疫","")</f>
        <v/>
      </c>
      <c r="F143" s="940" t="str">
        <f>IF($A$135&gt;=7,"染病靈光","")</f>
        <v/>
      </c>
      <c r="G143" s="940" t="str">
        <f>IF($A$135&gt;=15,"穢惡堅韌","")</f>
        <v/>
      </c>
      <c r="H143" s="940" t="str">
        <f>IF($A$135&gt;=20,"瘟疫使者","")</f>
        <v/>
      </c>
      <c r="I143" s="940"/>
      <c r="J143" s="940"/>
    </row>
    <row r="144">
      <c r="A144" s="924"/>
      <c r="B144" s="939" t="s">
        <v>1008</v>
      </c>
      <c r="C144" s="940" t="str">
        <f>IF($A$135&gt;=3,"屠戮之誓法術","")</f>
        <v/>
      </c>
      <c r="D144" s="940" t="str">
        <f>IF($A$135&gt;=3,"引導神力：狂亂屠戮","")</f>
        <v/>
      </c>
      <c r="E144" s="940" t="str">
        <f>IF($A$135&gt;=7,"嗜血靈光","")</f>
        <v/>
      </c>
      <c r="F144" s="940" t="str">
        <f>IF($A$135&gt;=15,"斬盡殺絕","")</f>
        <v/>
      </c>
      <c r="G144" s="940" t="str">
        <f>IF($A$135&gt;=20,"鮮血騎士","")</f>
        <v/>
      </c>
      <c r="H144" s="940"/>
      <c r="I144" s="940"/>
      <c r="J144" s="940"/>
    </row>
    <row r="145">
      <c r="A145" s="924"/>
      <c r="B145" s="939" t="s">
        <v>1009</v>
      </c>
      <c r="C145" s="940" t="str">
        <f>IF($A$135&gt;=3,"狂熱之誓法術","")</f>
        <v/>
      </c>
      <c r="D145" s="940" t="str">
        <f>IF($A$135&gt;=3,"引導神力：異端印記","")</f>
        <v/>
      </c>
      <c r="E145" s="940" t="str">
        <f>IF($A$135&gt;=7,"明目靈光","")</f>
        <v/>
      </c>
      <c r="F145" s="940" t="str">
        <f>IF($A$135&gt;=15,"強迫認罪","")</f>
        <v/>
      </c>
      <c r="G145" s="940" t="str">
        <f>IF($A$135&gt;=20,"啟示錄","")</f>
        <v/>
      </c>
      <c r="H145" s="940"/>
      <c r="I145" s="940"/>
      <c r="J145" s="940"/>
    </row>
    <row r="146">
      <c r="A146" s="924"/>
      <c r="B146" s="939" t="s">
        <v>1010</v>
      </c>
      <c r="C146" s="940" t="str">
        <f>IF($A$135&gt;=3,"爐火之誓法術","")</f>
        <v/>
      </c>
      <c r="D146" s="940" t="str">
        <f>IF($A$135&gt;=3,"引導神力：燃燒武器","")</f>
        <v/>
      </c>
      <c r="E146" s="940" t="str">
        <f>IF($A$135&gt;=7,"溫暖靈光","")</f>
        <v/>
      </c>
      <c r="F146" s="940" t="str">
        <f>IF($A$135&gt;=15,"隔絕護壁","")</f>
        <v/>
      </c>
      <c r="G146" s="940" t="str">
        <f>IF($A$135&gt;=20,"燃燒之魂","")</f>
        <v/>
      </c>
      <c r="H146" s="940"/>
      <c r="I146" s="940"/>
      <c r="J146" s="940"/>
    </row>
    <row r="147" hidden="1">
      <c r="A147" s="924"/>
      <c r="B147" s="939"/>
      <c r="C147" s="940"/>
      <c r="D147" s="940"/>
      <c r="E147" s="940"/>
      <c r="F147" s="940"/>
      <c r="G147" s="940"/>
      <c r="H147" s="940"/>
      <c r="I147" s="940"/>
      <c r="J147" s="940"/>
    </row>
    <row r="148" hidden="1">
      <c r="A148" s="924"/>
      <c r="B148" s="939"/>
      <c r="C148" s="940"/>
      <c r="D148" s="940"/>
      <c r="E148" s="940"/>
      <c r="F148" s="940"/>
      <c r="G148" s="940"/>
      <c r="H148" s="940"/>
      <c r="I148" s="940"/>
      <c r="J148" s="940"/>
    </row>
    <row r="149" hidden="1">
      <c r="A149" s="924"/>
      <c r="B149" s="939"/>
      <c r="C149" s="940"/>
      <c r="D149" s="940"/>
      <c r="E149" s="940"/>
      <c r="F149" s="940"/>
      <c r="G149" s="940"/>
      <c r="H149" s="940"/>
      <c r="I149" s="940"/>
      <c r="J149" s="940"/>
    </row>
    <row r="150" hidden="1">
      <c r="A150" s="924"/>
      <c r="B150" s="939"/>
      <c r="C150" s="940"/>
      <c r="D150" s="940"/>
      <c r="E150" s="940"/>
      <c r="F150" s="940"/>
      <c r="G150" s="940"/>
      <c r="H150" s="940"/>
      <c r="I150" s="940"/>
      <c r="J150" s="940"/>
    </row>
    <row r="151" hidden="1">
      <c r="A151" s="924"/>
      <c r="B151" s="939"/>
      <c r="C151" s="940"/>
      <c r="D151" s="940"/>
      <c r="E151" s="940"/>
      <c r="F151" s="940"/>
      <c r="G151" s="940"/>
      <c r="H151" s="940"/>
      <c r="I151" s="940"/>
      <c r="J151" s="940"/>
    </row>
    <row r="152" hidden="1">
      <c r="A152" s="924"/>
      <c r="B152" s="939"/>
      <c r="C152" s="940"/>
      <c r="D152" s="940"/>
      <c r="E152" s="940"/>
      <c r="F152" s="940"/>
      <c r="G152" s="940"/>
      <c r="H152" s="940"/>
      <c r="I152" s="940"/>
      <c r="J152" s="940"/>
    </row>
    <row r="153" hidden="1">
      <c r="A153" s="924"/>
      <c r="B153" s="939"/>
      <c r="C153" s="940"/>
      <c r="D153" s="940"/>
      <c r="E153" s="940"/>
      <c r="F153" s="940"/>
      <c r="G153" s="940"/>
      <c r="H153" s="940"/>
      <c r="I153" s="940"/>
      <c r="J153" s="940"/>
    </row>
    <row r="154" hidden="1">
      <c r="A154" s="924"/>
      <c r="B154" s="939"/>
      <c r="C154" s="940"/>
      <c r="D154" s="940"/>
      <c r="E154" s="940"/>
      <c r="F154" s="940"/>
      <c r="G154" s="940"/>
      <c r="H154" s="940"/>
      <c r="I154" s="940"/>
      <c r="J154" s="940"/>
    </row>
    <row r="155" hidden="1">
      <c r="A155" s="924"/>
      <c r="B155" s="939"/>
      <c r="C155" s="940"/>
      <c r="D155" s="940"/>
      <c r="E155" s="940"/>
      <c r="F155" s="940"/>
      <c r="G155" s="940"/>
      <c r="H155" s="940"/>
      <c r="I155" s="940"/>
      <c r="J155" s="940"/>
    </row>
    <row r="156" hidden="1">
      <c r="A156" s="924"/>
      <c r="B156" s="939"/>
      <c r="C156" s="940"/>
      <c r="D156" s="940"/>
      <c r="E156" s="940"/>
      <c r="F156" s="940"/>
      <c r="G156" s="940"/>
      <c r="H156" s="940"/>
      <c r="I156" s="940"/>
      <c r="J156" s="940"/>
    </row>
    <row r="157">
      <c r="A157" s="924">
        <f>'職業能力'!L2</f>
        <v>0</v>
      </c>
      <c r="B157" s="941" t="s">
        <v>465</v>
      </c>
      <c r="C157" s="940" t="str">
        <f>IF($A$157&gt;=3,"原初動物夥伴"&amp;'職業能力選項'!AR3,"")</f>
        <v/>
      </c>
      <c r="D157" s="940" t="str">
        <f>IF($A$157&gt;=7,"超絕夥伴","")</f>
        <v/>
      </c>
      <c r="E157" s="940" t="str">
        <f>IF($A$157&gt;=11,"獸性狂怒","")</f>
        <v/>
      </c>
      <c r="F157" s="940" t="str">
        <f>IF($A$157&gt;=15,"法術共享","")</f>
        <v/>
      </c>
      <c r="G157" s="942"/>
      <c r="H157" s="942"/>
      <c r="I157" s="942"/>
      <c r="J157" s="942"/>
    </row>
    <row r="158">
      <c r="A158" s="924" t="s">
        <v>378</v>
      </c>
      <c r="B158" s="941" t="s">
        <v>466</v>
      </c>
      <c r="C158" s="940" t="str">
        <f>IF($A$157&gt;=3,"妖精漫遊者法術","")</f>
        <v/>
      </c>
      <c r="D158" s="940" t="str">
        <f>IF($A$157&gt;=3,"哀懼靈襲","")</f>
        <v/>
      </c>
      <c r="E158" s="940" t="str">
        <f>IF($A$157&gt;=3,"異界魅力","")</f>
        <v/>
      </c>
      <c r="F158" s="940" t="str">
        <f>IF($A$157&gt;=7,"扭轉迷惑","")</f>
        <v/>
      </c>
      <c r="G158" s="940" t="str">
        <f>IF($A$157&gt;=11,"精類增援","")</f>
        <v/>
      </c>
      <c r="H158" s="940" t="str">
        <f>IF($A$157&gt;=15,"霧行漫遊者","")</f>
        <v/>
      </c>
      <c r="I158" s="940"/>
      <c r="J158" s="940"/>
    </row>
    <row r="159">
      <c r="A159" s="924"/>
      <c r="B159" s="941" t="s">
        <v>467</v>
      </c>
      <c r="C159" s="940" t="str">
        <f>IF($A$157&gt;=3,"幽域追蹤者法術","")</f>
        <v/>
      </c>
      <c r="D159" s="940" t="str">
        <f>IF($A$157&gt;=3,"懼怖伏兵","")</f>
        <v/>
      </c>
      <c r="E159" s="940" t="str">
        <f>IF($A$157&gt;=3,"幽影視覺","")</f>
        <v/>
      </c>
      <c r="F159" s="940" t="str">
        <f>IF($A$157&gt;=7,"鋼鐵心智","")</f>
        <v/>
      </c>
      <c r="G159" s="940" t="str">
        <f>IF($A$157&gt;=11,"追獵如風","")</f>
        <v/>
      </c>
      <c r="H159" s="940" t="str">
        <f>IF($A$157&gt;=15,"暗影閃避","")</f>
        <v/>
      </c>
      <c r="I159" s="940"/>
      <c r="J159" s="940"/>
    </row>
    <row r="160">
      <c r="A160" s="924"/>
      <c r="B160" s="941" t="s">
        <v>468</v>
      </c>
      <c r="C160" s="940" t="str">
        <f>IF($A$157&gt;=3,"獵人學識","")</f>
        <v/>
      </c>
      <c r="D160" s="940" t="str">
        <f>IF($A$157&gt;=3,"狩者獵物"&amp;'職業能力選項'!AR6,"")</f>
        <v/>
      </c>
      <c r="E160" s="940" t="str">
        <f>IF($A$157&gt;=7,"防守戰術"&amp;'職業能力選項'!AR9,"")</f>
        <v/>
      </c>
      <c r="F160" s="940" t="str">
        <f>IF($A$157&gt;=11,"進階狩者獵物","")</f>
        <v/>
      </c>
      <c r="G160" s="940" t="str">
        <f>IF($A$157&gt;=15,"進階防守戰術","")</f>
        <v/>
      </c>
      <c r="H160" s="942"/>
      <c r="I160" s="942"/>
      <c r="J160" s="942"/>
    </row>
    <row r="161">
      <c r="A161" s="924"/>
      <c r="B161" s="941" t="s">
        <v>1011</v>
      </c>
      <c r="C161" s="940" t="str">
        <f>IF($A$157&gt;=3,"惡兆先驅法術","")</f>
        <v/>
      </c>
      <c r="D161" s="940" t="str">
        <f>IF($A$157&gt;=3,"死兆","")</f>
        <v/>
      </c>
      <c r="E161" s="940" t="str">
        <f>IF($A$157&gt;=7,"死劫先驅","")</f>
        <v/>
      </c>
      <c r="F161" s="940" t="str">
        <f>IF($A$157&gt;=11,"墳墓連結","")</f>
        <v/>
      </c>
      <c r="G161" s="940" t="str">
        <f>IF($A$157&gt;=15,"宿命已定","")</f>
        <v/>
      </c>
      <c r="H161" s="940"/>
      <c r="I161" s="942"/>
      <c r="J161" s="942"/>
    </row>
    <row r="162">
      <c r="A162" s="924"/>
      <c r="B162" s="941" t="s">
        <v>1012</v>
      </c>
      <c r="C162" s="942" t="str">
        <f>IF($A$157&gt;=3,"冬日行者法術","")</f>
        <v/>
      </c>
      <c r="D162" s="942" t="str">
        <f>IF($A$157&gt;=3,"寒霜探險家","")</f>
        <v/>
      </c>
      <c r="E162" s="942" t="str">
        <f>IF($A$157&gt;=3,"獵者霧淞","")</f>
        <v/>
      </c>
      <c r="F162" s="942" t="str">
        <f>IF($A$157&gt;=7,"堅韌靈魂","")</f>
        <v/>
      </c>
      <c r="G162" s="942" t="str">
        <f>IF($A$157&gt;=11,"寒顫報應","")</f>
        <v/>
      </c>
      <c r="H162" s="942" t="str">
        <f>IF($A$157&gt;=15,"極凍獵殺","")</f>
        <v/>
      </c>
      <c r="I162" s="942"/>
      <c r="J162" s="942"/>
    </row>
    <row r="163">
      <c r="A163" s="924"/>
      <c r="B163" s="941" t="s">
        <v>1013</v>
      </c>
      <c r="C163" s="942" t="str">
        <f>IF($A$157&gt;=3,"荒徑守護者法術","")</f>
        <v/>
      </c>
      <c r="D163" s="942" t="str">
        <f>IF($A$157&gt;=3,"協同戰術","")</f>
        <v/>
      </c>
      <c r="E163" s="942" t="str">
        <f>IF($A$157&gt;=3,"引路","")</f>
        <v/>
      </c>
      <c r="F163" s="942" t="str">
        <f>IF($A$157&gt;=7,"戰術突襲","")</f>
        <v/>
      </c>
      <c r="G163" s="942" t="str">
        <f>IF($A$157&gt;=11,"協同奮戰","")</f>
        <v/>
      </c>
      <c r="H163" s="942" t="str">
        <f>IF($A$157&gt;=15,"群體突擊","")</f>
        <v/>
      </c>
      <c r="I163" s="942"/>
      <c r="J163" s="942"/>
    </row>
    <row r="164">
      <c r="A164" s="924"/>
      <c r="B164" s="941" t="s">
        <v>1014</v>
      </c>
      <c r="C164" s="940" t="str">
        <f>IF($A$157&gt;=3,"綠林死神法術","")</f>
        <v/>
      </c>
      <c r="D164" s="940" t="str">
        <f>IF($A$157&gt;=3,"淬毒攻擊","")</f>
        <v/>
      </c>
      <c r="E164" s="940" t="str">
        <f>IF($A$157&gt;=3,"製毒工藝","")</f>
        <v/>
      </c>
      <c r="F164" s="940" t="str">
        <f>IF($A$157&gt;=7,"劇毒掌控","")</f>
        <v/>
      </c>
      <c r="G164" s="940" t="str">
        <f>IF($A$157&gt;=11,"千變萬毒","")</f>
        <v/>
      </c>
      <c r="H164" s="940" t="str">
        <f>IF($A$157&gt;=15,"痛苦耐受","")</f>
        <v/>
      </c>
      <c r="I164" s="942"/>
      <c r="J164" s="942"/>
    </row>
    <row r="165">
      <c r="A165" s="924"/>
      <c r="B165" s="941" t="s">
        <v>1015</v>
      </c>
      <c r="C165" s="940" t="str">
        <f>IF($A$157&gt;=3,"原初射手法術","")</f>
        <v/>
      </c>
      <c r="D165" s="940" t="str">
        <f>IF($A$157&gt;=3,"元素箭矢","")</f>
        <v/>
      </c>
      <c r="E165" s="940" t="str">
        <f>IF($A$157&gt;=3,"草藥學識","")</f>
        <v/>
      </c>
      <c r="F165" s="940" t="str">
        <f>IF($A$157&gt;=7,"編織元素","")</f>
        <v/>
      </c>
      <c r="G165" s="940" t="str">
        <f>IF($A$157&gt;=11,"巫術箭矢","")</f>
        <v/>
      </c>
      <c r="H165" s="940" t="str">
        <f>IF($A$157&gt;=15,"原初魔法","")</f>
        <v/>
      </c>
      <c r="I165" s="942"/>
      <c r="J165" s="942"/>
    </row>
    <row r="166">
      <c r="A166" s="924"/>
      <c r="B166" s="941" t="s">
        <v>1016</v>
      </c>
      <c r="C166" s="940" t="str">
        <f>IF($A$157&gt;=3,"鼠群之王法術","")</f>
        <v/>
      </c>
      <c r="D166" s="940" t="str">
        <f>IF($A$157&gt;=3,"害獸親族","")</f>
        <v/>
      </c>
      <c r="E166" s="940" t="str">
        <f>IF($A$157&gt;=3,"集群打擊","")</f>
        <v/>
      </c>
      <c r="F166" s="940" t="str">
        <f>IF($A$157&gt;=7,"污穢強韌","")</f>
        <v/>
      </c>
      <c r="G166" s="940" t="str">
        <f>IF($A$157&gt;=11,"感染擴散","")</f>
        <v/>
      </c>
      <c r="H166" s="940" t="str">
        <f>IF($A$157&gt;=15,"群集之力","")</f>
        <v/>
      </c>
      <c r="I166" s="942"/>
      <c r="J166" s="942"/>
    </row>
    <row r="167">
      <c r="A167" s="924"/>
      <c r="B167" s="941" t="s">
        <v>1017</v>
      </c>
      <c r="C167" s="940" t="str">
        <f>IF($A$157&gt;=3,"凜冬陷阱師法術","")</f>
        <v/>
      </c>
      <c r="D167" s="940" t="str">
        <f>IF($A$157&gt;=3,"動彈不得","")</f>
        <v/>
      </c>
      <c r="E167" s="940" t="str">
        <f>IF($A$157&gt;=7,"極地掠食者","")</f>
        <v/>
      </c>
      <c r="F167" s="940" t="str">
        <f>IF($A$157&gt;=11,"魔法圈套","")</f>
        <v/>
      </c>
      <c r="G167" s="940" t="str">
        <f>IF($A$157&gt;=15,"絆倒防禦","")</f>
        <v/>
      </c>
      <c r="H167" s="940"/>
      <c r="I167" s="942"/>
      <c r="J167" s="942"/>
    </row>
    <row r="168">
      <c r="A168" s="924"/>
      <c r="B168" s="941" t="s">
        <v>1018</v>
      </c>
      <c r="C168" s="940" t="str">
        <f>IF($A$157&gt;=3,"遠程特化","")</f>
        <v/>
      </c>
      <c r="D168" s="940" t="str">
        <f>IF($A$157&gt;=3,"遊戲狩獵","")</f>
        <v/>
      </c>
      <c r="E168" s="940" t="str">
        <f>IF($A$157&gt;=7,"進階拋石索",IF($A$157&gt;=3,"拋石索",""))</f>
        <v/>
      </c>
      <c r="F168" s="940" t="str">
        <f>IF($A$157&gt;=11,"進階射擊技巧",IF($A$157&gt;=7,"射擊技巧",""))</f>
        <v/>
      </c>
      <c r="G168" s="940" t="str">
        <f>IF($A$157&gt;=11,"精瞄","")</f>
        <v/>
      </c>
      <c r="H168" s="940" t="str">
        <f>IF($A$157&gt;=15,"頂級獵人","")</f>
        <v/>
      </c>
      <c r="I168" s="940" t="str">
        <f>IF($A$157&gt;=15,"掠食者直覺","")</f>
        <v/>
      </c>
      <c r="J168" s="940" t="str">
        <f>IF($A$157&gt;=15,"狩獵完成","")</f>
        <v/>
      </c>
    </row>
    <row r="169" hidden="1">
      <c r="A169" s="924"/>
      <c r="B169" s="941"/>
      <c r="C169" s="942"/>
      <c r="D169" s="942"/>
      <c r="E169" s="942"/>
      <c r="F169" s="942"/>
      <c r="G169" s="942"/>
      <c r="H169" s="942"/>
      <c r="I169" s="942"/>
      <c r="J169" s="942"/>
    </row>
    <row r="170" hidden="1">
      <c r="A170" s="924"/>
      <c r="B170" s="941"/>
      <c r="C170" s="942"/>
      <c r="D170" s="942"/>
      <c r="E170" s="942"/>
      <c r="F170" s="942"/>
      <c r="G170" s="942"/>
      <c r="H170" s="942"/>
      <c r="I170" s="942"/>
      <c r="J170" s="942"/>
    </row>
    <row r="171" hidden="1">
      <c r="A171" s="924"/>
      <c r="B171" s="941"/>
      <c r="C171" s="942"/>
      <c r="D171" s="942"/>
      <c r="E171" s="942"/>
      <c r="F171" s="942"/>
      <c r="G171" s="942"/>
      <c r="H171" s="942"/>
      <c r="I171" s="942"/>
      <c r="J171" s="942"/>
    </row>
    <row r="172" hidden="1">
      <c r="A172" s="924"/>
      <c r="B172" s="941"/>
      <c r="C172" s="942"/>
      <c r="D172" s="942"/>
      <c r="E172" s="942"/>
      <c r="F172" s="942"/>
      <c r="G172" s="942"/>
      <c r="H172" s="942"/>
      <c r="I172" s="942"/>
      <c r="J172" s="942"/>
    </row>
    <row r="173" hidden="1">
      <c r="A173" s="924"/>
      <c r="B173" s="941"/>
      <c r="C173" s="942"/>
      <c r="D173" s="942"/>
      <c r="E173" s="942"/>
      <c r="F173" s="942"/>
      <c r="G173" s="942"/>
      <c r="H173" s="942"/>
      <c r="I173" s="942"/>
      <c r="J173" s="942"/>
    </row>
    <row r="174" hidden="1">
      <c r="A174" s="924"/>
      <c r="B174" s="941"/>
      <c r="C174" s="942"/>
      <c r="D174" s="942"/>
      <c r="E174" s="942"/>
      <c r="F174" s="942"/>
      <c r="G174" s="942"/>
      <c r="H174" s="942"/>
      <c r="I174" s="942"/>
      <c r="J174" s="942"/>
    </row>
    <row r="175" hidden="1">
      <c r="A175" s="924"/>
      <c r="B175" s="941"/>
      <c r="C175" s="942"/>
      <c r="D175" s="942"/>
      <c r="E175" s="942"/>
      <c r="F175" s="942"/>
      <c r="G175" s="942"/>
      <c r="H175" s="942"/>
      <c r="I175" s="942"/>
      <c r="J175" s="942"/>
    </row>
    <row r="176" hidden="1">
      <c r="A176" s="924"/>
      <c r="B176" s="941"/>
      <c r="C176" s="942"/>
      <c r="D176" s="942"/>
      <c r="E176" s="942"/>
      <c r="F176" s="942"/>
      <c r="G176" s="942"/>
      <c r="H176" s="942"/>
      <c r="I176" s="942"/>
      <c r="J176" s="942"/>
    </row>
    <row r="177" hidden="1">
      <c r="A177" s="924"/>
      <c r="B177" s="941"/>
      <c r="C177" s="942"/>
      <c r="D177" s="942"/>
      <c r="E177" s="942"/>
      <c r="F177" s="942"/>
      <c r="G177" s="942"/>
      <c r="H177" s="942"/>
      <c r="I177" s="942"/>
      <c r="J177" s="942"/>
    </row>
    <row r="178" hidden="1">
      <c r="A178" s="924"/>
      <c r="B178" s="941"/>
      <c r="C178" s="942"/>
      <c r="D178" s="942"/>
      <c r="E178" s="942"/>
      <c r="F178" s="942"/>
      <c r="G178" s="942"/>
      <c r="H178" s="942"/>
      <c r="I178" s="942"/>
      <c r="J178" s="942"/>
    </row>
    <row r="179">
      <c r="A179" s="924">
        <f>'職業能力'!M2</f>
        <v>0</v>
      </c>
      <c r="B179" s="943" t="s">
        <v>472</v>
      </c>
      <c r="C179" s="940" t="str">
        <f>IF($A$179&gt;=3,"施法","")</f>
        <v/>
      </c>
      <c r="D179" s="940" t="str">
        <f>IF($A$179&gt;=3,"法師之手詐術","")</f>
        <v/>
      </c>
      <c r="E179" s="940" t="str">
        <f>IF($A$179&gt;=9,"詭術伏擊","")</f>
        <v/>
      </c>
      <c r="F179" s="940" t="str">
        <f>IF($A$179&gt;=13,"萬能詭術","")</f>
        <v/>
      </c>
      <c r="G179" s="940" t="str">
        <f>IF($A$179&gt;=17,"法術竊賊","")</f>
        <v/>
      </c>
      <c r="H179" s="944"/>
      <c r="I179" s="944"/>
      <c r="J179" s="944"/>
    </row>
    <row r="180">
      <c r="A180" s="924" t="s">
        <v>379</v>
      </c>
      <c r="B180" s="943" t="s">
        <v>473</v>
      </c>
      <c r="C180" s="940" t="str">
        <f>IF($A$179&gt;=3,"暗殺","")</f>
        <v/>
      </c>
      <c r="D180" s="940" t="str">
        <f>IF($A$179&gt;=3,"刺客工具","")</f>
        <v/>
      </c>
      <c r="E180" s="940" t="str">
        <f>IF($A$179&gt;=9,"專業滲透","")</f>
        <v/>
      </c>
      <c r="F180" s="940" t="str">
        <f>IF($A$179&gt;=13,"淬毒武器","")</f>
        <v/>
      </c>
      <c r="G180" s="940" t="str">
        <f>IF($A$179&gt;=17,"死亡一擊","")</f>
        <v/>
      </c>
      <c r="H180" s="944"/>
      <c r="I180" s="944"/>
      <c r="J180" s="944"/>
    </row>
    <row r="181">
      <c r="A181" s="924"/>
      <c r="B181" s="943" t="s">
        <v>474</v>
      </c>
      <c r="C181" s="940" t="str">
        <f>IF($A$179&gt;=3,"靈能力量("&amp;IF(A179&gt;=17,"12枚",IF(A179&gt;=13,"10枚",IF(A179&gt;=9,"8枚",IF(A179&gt;=5,"6枚","4枚"))))&amp;IF(A179&gt;=17,"d12",IF(A179&gt;=11,"d10",IF(A179&gt;=5,"d8","d6")))&amp;")","")</f>
        <v/>
      </c>
      <c r="D181" s="940" t="str">
        <f>IF($A$179&gt;=3,"念刃","")</f>
        <v/>
      </c>
      <c r="E181" s="940" t="str">
        <f>IF($A$179&gt;=9,"靈魂之刃","")</f>
        <v/>
      </c>
      <c r="F181" s="940" t="str">
        <f>IF($A$179&gt;=13,"靈能面紗","")</f>
        <v/>
      </c>
      <c r="G181" s="940" t="str">
        <f>IF($A$179&gt;=17,"撕裂心智","")</f>
        <v/>
      </c>
      <c r="H181" s="944"/>
      <c r="I181" s="944"/>
      <c r="J181" s="944"/>
    </row>
    <row r="182">
      <c r="A182" s="924"/>
      <c r="B182" s="943" t="s">
        <v>475</v>
      </c>
      <c r="C182" s="940" t="str">
        <f>IF($A$179&gt;=3,"快手","")</f>
        <v/>
      </c>
      <c r="D182" s="940" t="str">
        <f>IF($A$179&gt;=3,"樑上君子","")</f>
        <v/>
      </c>
      <c r="E182" s="940" t="str">
        <f>IF($A$179&gt;=9,"卓越潛行","")</f>
        <v/>
      </c>
      <c r="F182" s="940" t="str">
        <f>IF($A$179&gt;=13,"使用魔法設備","")</f>
        <v/>
      </c>
      <c r="G182" s="940" t="str">
        <f>IF($A$179&gt;=17,"竊賊反射","")</f>
        <v/>
      </c>
      <c r="H182" s="944"/>
      <c r="I182" s="944"/>
      <c r="J182" s="944"/>
    </row>
    <row r="183">
      <c r="A183" s="924"/>
      <c r="B183" s="943" t="s">
        <v>1019</v>
      </c>
      <c r="C183" s="944" t="str">
        <f>IF($A$179&gt;=3,"渴血","")</f>
        <v/>
      </c>
      <c r="D183" s="944" t="str">
        <f>IF($A$179&gt;=3,"效忠恐懼","")</f>
        <v/>
      </c>
      <c r="E183" s="943" t="str">
        <f>IF($A$179&gt;=9,"釋放恐懼","")</f>
        <v/>
      </c>
      <c r="F183" s="944" t="str">
        <f>IF($A$179&gt;=13,"惡意靈光","")</f>
        <v/>
      </c>
      <c r="G183" s="944" t="str">
        <f>IF($A$179&gt;=17,"恐懼化身","")</f>
        <v/>
      </c>
      <c r="H183" s="944"/>
      <c r="I183" s="944"/>
      <c r="J183" s="944"/>
    </row>
    <row r="184">
      <c r="A184" s="924"/>
      <c r="B184" s="943" t="s">
        <v>1020</v>
      </c>
      <c r="C184" s="944" t="str">
        <f>IF($A$179&gt;=3,"降咒者","")</f>
        <v/>
      </c>
      <c r="D184" s="944" t="str">
        <f>IF($A$179&gt;=3,"厄運纏身","")</f>
        <v/>
      </c>
      <c r="E184" s="943" t="str">
        <f>IF($A$179&gt;=9,"借用運氣","")</f>
        <v/>
      </c>
      <c r="F184" s="944" t="str">
        <f>IF($A$179&gt;=13,"任君自取","")</f>
        <v/>
      </c>
      <c r="G184" s="944" t="str">
        <f>IF($A$179&gt;=17,"異域幫助","")</f>
        <v/>
      </c>
      <c r="H184" s="944"/>
      <c r="I184" s="944"/>
      <c r="J184" s="944"/>
    </row>
    <row r="185">
      <c r="A185" s="924"/>
      <c r="B185" s="943" t="s">
        <v>1021</v>
      </c>
      <c r="C185" s="940" t="str">
        <f>IF($A$179&gt;=3,"蜘蛛絲","")</f>
        <v/>
      </c>
      <c r="D185" s="940" t="str">
        <f>IF($A$179&gt;=3,"劇毒打擊","")</f>
        <v/>
      </c>
      <c r="E185" s="940" t="str">
        <f>IF($A$179&gt;=9,"攀牆","")</f>
        <v/>
      </c>
      <c r="F185" s="940" t="str">
        <f>IF($A$179&gt;=13,"蜘蛛感應","")</f>
        <v/>
      </c>
      <c r="G185" s="940" t="str">
        <f>IF($A$179&gt;=17,"麻痺毒液","")</f>
        <v/>
      </c>
      <c r="H185" s="944"/>
      <c r="I185" s="944"/>
      <c r="J185" s="944"/>
    </row>
    <row r="186">
      <c r="A186" s="924"/>
      <c r="B186" s="943" t="s">
        <v>1022</v>
      </c>
      <c r="C186" s="940" t="str">
        <f>IF($A$179&gt;=3,"暗影映像","")</f>
        <v/>
      </c>
      <c r="D186" s="940" t="str">
        <f>IF($A$179&gt;=3,"暗影塵埃","")</f>
        <v/>
      </c>
      <c r="E186" s="940" t="str">
        <f>IF($A$179&gt;=9,"暗影援護","")</f>
        <v/>
      </c>
      <c r="F186" s="940" t="str">
        <f>IF($A$179&gt;=13,"暗影之門","")</f>
        <v/>
      </c>
      <c r="G186" s="940" t="str">
        <f>IF($A$179&gt;=17,"真實暗影","")</f>
        <v/>
      </c>
      <c r="H186" s="940"/>
      <c r="I186" s="944"/>
      <c r="J186" s="944"/>
    </row>
    <row r="187">
      <c r="A187" s="924"/>
      <c r="B187" s="943" t="s">
        <v>1023</v>
      </c>
      <c r="C187" s="940" t="str">
        <f>IF($A$179&gt;=3,"一觸即發","")</f>
        <v/>
      </c>
      <c r="D187" s="940" t="str">
        <f>IF($A$179&gt;=3,"可靠坐騎","")</f>
        <v/>
      </c>
      <c r="E187" s="940" t="str">
        <f>IF($A$179&gt;=3,"馭馬奔襲","")</f>
        <v/>
      </c>
      <c r="F187" s="940" t="str">
        <f>IF($A$179&gt;=9,"馬上之王","")</f>
        <v/>
      </c>
      <c r="G187" s="940" t="str">
        <f>IF($A$179&gt;=13,"堅韌不拔","")</f>
        <v/>
      </c>
      <c r="H187" s="940" t="str">
        <f>IF($A$179&gt;=17,"亡命之徒","")</f>
        <v/>
      </c>
      <c r="I187" s="944"/>
      <c r="J187" s="944"/>
    </row>
    <row r="188">
      <c r="A188" s="924"/>
      <c r="B188" s="943" t="s">
        <v>1024</v>
      </c>
      <c r="C188" s="940" t="str">
        <f>IF($A$179&gt;=3,"邪演","")</f>
        <v/>
      </c>
      <c r="D188" s="940" t="str">
        <f>IF($A$179&gt;=3,"禍術師","")</f>
        <v/>
      </c>
      <c r="E188" s="940" t="str">
        <f>IF($A$179&gt;=9,"竊取運氣","")</f>
        <v/>
      </c>
      <c r="F188" s="940" t="str">
        <f>IF($A$179&gt;=13,"降咒者","")</f>
        <v/>
      </c>
      <c r="G188" s="940" t="str">
        <f>IF($A$179&gt;=17,"強化竊取運氣","")</f>
        <v/>
      </c>
      <c r="H188" s="944"/>
      <c r="I188" s="944"/>
      <c r="J188" s="944"/>
    </row>
    <row r="189">
      <c r="A189" s="924"/>
      <c r="B189" s="943" t="s">
        <v>1025</v>
      </c>
      <c r="C189" s="944" t="str">
        <f>IF($A$179&gt;=3,"施法","")</f>
        <v/>
      </c>
      <c r="D189" s="944" t="str">
        <f>IF($A$179&gt;=3,"竊取之力","")</f>
        <v/>
      </c>
      <c r="E189" s="944" t="str">
        <f>IF($A$179&gt;=3,"竊血","")</f>
        <v/>
      </c>
      <c r="F189" s="943" t="str">
        <f>IF($A$179&gt;=9,"鮮血之刃","")</f>
        <v/>
      </c>
      <c r="G189" s="944" t="str">
        <f>IF($A$179&gt;=13,"鮮血縫合","")</f>
        <v/>
      </c>
      <c r="H189" s="944" t="str">
        <f>IF($A$179&gt;=17,"化血遁走","")</f>
        <v/>
      </c>
      <c r="I189" s="944"/>
      <c r="J189" s="944"/>
    </row>
    <row r="190">
      <c r="A190" s="924"/>
      <c r="B190" s="943" t="s">
        <v>1026</v>
      </c>
      <c r="C190" s="940" t="str">
        <f>IF($A$179&gt;=3,"印象派","")</f>
        <v/>
      </c>
      <c r="D190" s="940" t="str">
        <f>IF($A$179&gt;=3,"符文","")</f>
        <v/>
      </c>
      <c r="E190" s="940" t="str">
        <f>IF($A$179&gt;=9,"逃脫藝術家","")</f>
        <v/>
      </c>
      <c r="F190" s="940" t="str">
        <f>IF($A$179&gt;=13,"足智多謀","")</f>
        <v/>
      </c>
      <c r="G190" s="940" t="str">
        <f>IF($A$179&gt;=17,"鉛色塗料","")</f>
        <v/>
      </c>
      <c r="H190" s="944"/>
      <c r="I190" s="944"/>
      <c r="J190" s="944"/>
    </row>
    <row r="191" hidden="1">
      <c r="A191" s="924"/>
      <c r="B191" s="943"/>
      <c r="C191" s="944"/>
      <c r="D191" s="944"/>
      <c r="E191" s="944"/>
      <c r="F191" s="944"/>
      <c r="G191" s="944"/>
      <c r="H191" s="944"/>
      <c r="I191" s="944"/>
      <c r="J191" s="944"/>
    </row>
    <row r="192" hidden="1">
      <c r="A192" s="924"/>
      <c r="B192" s="943"/>
      <c r="C192" s="944"/>
      <c r="D192" s="944"/>
      <c r="E192" s="944"/>
      <c r="F192" s="944"/>
      <c r="G192" s="944"/>
      <c r="H192" s="944"/>
      <c r="I192" s="944"/>
      <c r="J192" s="944"/>
    </row>
    <row r="193" hidden="1">
      <c r="A193" s="924"/>
      <c r="B193" s="943"/>
      <c r="C193" s="944"/>
      <c r="D193" s="944"/>
      <c r="E193" s="944"/>
      <c r="F193" s="944"/>
      <c r="G193" s="944"/>
      <c r="H193" s="944"/>
      <c r="I193" s="944"/>
      <c r="J193" s="944"/>
    </row>
    <row r="194" hidden="1">
      <c r="A194" s="924"/>
      <c r="B194" s="943"/>
      <c r="C194" s="944"/>
      <c r="D194" s="944"/>
      <c r="E194" s="944"/>
      <c r="F194" s="944"/>
      <c r="G194" s="944"/>
      <c r="H194" s="944"/>
      <c r="I194" s="944"/>
      <c r="J194" s="944"/>
    </row>
    <row r="195" hidden="1">
      <c r="A195" s="924"/>
      <c r="B195" s="943"/>
      <c r="C195" s="944"/>
      <c r="D195" s="944"/>
      <c r="E195" s="944"/>
      <c r="F195" s="944"/>
      <c r="G195" s="944"/>
      <c r="H195" s="944"/>
      <c r="I195" s="944"/>
      <c r="J195" s="944"/>
    </row>
    <row r="196" hidden="1">
      <c r="A196" s="924"/>
      <c r="B196" s="943"/>
      <c r="C196" s="944"/>
      <c r="D196" s="944"/>
      <c r="E196" s="944"/>
      <c r="F196" s="944"/>
      <c r="G196" s="944"/>
      <c r="H196" s="944"/>
      <c r="I196" s="944"/>
      <c r="J196" s="944"/>
    </row>
    <row r="197" hidden="1">
      <c r="A197" s="924"/>
      <c r="B197" s="943"/>
      <c r="C197" s="944"/>
      <c r="D197" s="944"/>
      <c r="E197" s="944"/>
      <c r="F197" s="944"/>
      <c r="G197" s="944"/>
      <c r="H197" s="944"/>
      <c r="I197" s="944"/>
      <c r="J197" s="944"/>
    </row>
    <row r="198" hidden="1">
      <c r="A198" s="924"/>
      <c r="B198" s="943"/>
      <c r="C198" s="944"/>
      <c r="D198" s="944"/>
      <c r="E198" s="944"/>
      <c r="F198" s="944"/>
      <c r="G198" s="944"/>
      <c r="H198" s="944"/>
      <c r="I198" s="944"/>
      <c r="J198" s="944"/>
    </row>
    <row r="199" hidden="1">
      <c r="A199" s="924"/>
      <c r="B199" s="943"/>
      <c r="C199" s="944"/>
      <c r="D199" s="944"/>
      <c r="E199" s="944"/>
      <c r="F199" s="944"/>
      <c r="G199" s="944"/>
      <c r="H199" s="944"/>
      <c r="I199" s="944"/>
      <c r="J199" s="944"/>
    </row>
    <row r="200" hidden="1">
      <c r="A200" s="924"/>
      <c r="B200" s="943"/>
      <c r="C200" s="944"/>
      <c r="D200" s="944"/>
      <c r="E200" s="944"/>
      <c r="F200" s="944"/>
      <c r="G200" s="944"/>
      <c r="H200" s="944"/>
      <c r="I200" s="944"/>
      <c r="J200" s="944"/>
    </row>
    <row r="201">
      <c r="A201" s="924">
        <f>'職業能力'!N2</f>
        <v>0</v>
      </c>
      <c r="B201" s="945" t="s">
        <v>480</v>
      </c>
      <c r="C201" s="940" t="str">
        <f>IF($A$201&gt;=3,"靈能法術","")</f>
        <v/>
      </c>
      <c r="D201" s="940" t="str">
        <f>IF($A$201&gt;=3,"傳心談話","")</f>
        <v/>
      </c>
      <c r="E201" s="940" t="str">
        <f>IF($A$201&gt;=6,"靈能術法","")</f>
        <v/>
      </c>
      <c r="F201" s="940" t="str">
        <f>IF($A$201&gt;=6,"心靈防禦","")</f>
        <v/>
      </c>
      <c r="G201" s="940" t="str">
        <f>IF($A$201&gt;=14,"血肉啓示","")</f>
        <v/>
      </c>
      <c r="H201" s="940" t="str">
        <f>IF($A$201&gt;=18,"扭曲爆裂","")</f>
        <v/>
      </c>
      <c r="I201" s="940"/>
      <c r="J201" s="940"/>
    </row>
    <row r="202">
      <c r="A202" s="924" t="s">
        <v>380</v>
      </c>
      <c r="B202" s="945" t="s">
        <v>481</v>
      </c>
      <c r="C202" s="940" t="str">
        <f>IF($A$201&gt;=3,"時械法術","")</f>
        <v/>
      </c>
      <c r="D202" s="940" t="str">
        <f>IF($A$201&gt;=3,"歸復平衡","")</f>
        <v/>
      </c>
      <c r="E202" s="940" t="str">
        <f>IF($A$201&gt;=6,"律令之壁","")</f>
        <v/>
      </c>
      <c r="F202" s="940" t="str">
        <f>IF($A$201&gt;=14,"序列意識","")</f>
        <v/>
      </c>
      <c r="G202" s="940" t="str">
        <f>IF($A$201&gt;=18,"時械矩陣","")</f>
        <v/>
      </c>
      <c r="H202" s="946"/>
      <c r="I202" s="946"/>
      <c r="J202" s="946"/>
    </row>
    <row r="203">
      <c r="A203" s="924"/>
      <c r="B203" s="945" t="s">
        <v>482</v>
      </c>
      <c r="C203" s="940" t="str">
        <f>IF($A$201&gt;=3,"龍族法術","")</f>
        <v/>
      </c>
      <c r="D203" s="940" t="str">
        <f>IF($A$201&gt;=3,"龍族韌性","")</f>
        <v/>
      </c>
      <c r="E203" s="940" t="str">
        <f>IF($A$201&gt;=6,"元素親和","")</f>
        <v/>
      </c>
      <c r="F203" s="940" t="str">
        <f>IF($A$201&gt;=14,"龍之翼","")</f>
        <v/>
      </c>
      <c r="G203" s="940" t="str">
        <f>IF($A$201&gt;=18,"龍族夥伴","")</f>
        <v/>
      </c>
      <c r="H203" s="946"/>
      <c r="I203" s="946"/>
      <c r="J203" s="946"/>
    </row>
    <row r="204">
      <c r="A204" s="924"/>
      <c r="B204" s="945" t="s">
        <v>483</v>
      </c>
      <c r="C204" s="940" t="str">
        <f>IF($A$201&gt;=3,"狂野魔法浪涌","")</f>
        <v/>
      </c>
      <c r="D204" s="940" t="str">
        <f>IF($A$201&gt;=3,"混亂之潮","")</f>
        <v/>
      </c>
      <c r="E204" s="940" t="str">
        <f>IF($A$201&gt;=6,"竄改運氣","")</f>
        <v/>
      </c>
      <c r="F204" s="940" t="str">
        <f>IF($A$201&gt;=14,"控制混沌","")</f>
        <v/>
      </c>
      <c r="G204" s="940" t="str">
        <f>IF($A$201&gt;=18,"馴服浪湧","")</f>
        <v/>
      </c>
      <c r="H204" s="946"/>
      <c r="I204" s="946"/>
      <c r="J204" s="946"/>
    </row>
    <row r="205">
      <c r="A205" s="924"/>
      <c r="B205" s="945" t="s">
        <v>1027</v>
      </c>
      <c r="C205" s="940" t="str">
        <f>IF($A$201&gt;=3,"咒火法術","")</f>
        <v/>
      </c>
      <c r="D205" s="946" t="str">
        <f>IF($A$201&gt;=3,"咒火爆發","")</f>
        <v/>
      </c>
      <c r="E205" s="946" t="str">
        <f>IF($A$201&gt;=6,"吸收法術","")</f>
        <v/>
      </c>
      <c r="F205" s="946" t="str">
        <f>IF($A$201&gt;=14,"精煉咒火","")</f>
        <v/>
      </c>
      <c r="G205" s="946" t="str">
        <f>IF($A$201&gt;=18,"咒火冠冕","")</f>
        <v/>
      </c>
      <c r="H205" s="946"/>
      <c r="I205" s="946"/>
      <c r="J205" s="946"/>
    </row>
    <row r="206">
      <c r="A206" s="924"/>
      <c r="B206" s="945" t="s">
        <v>1028</v>
      </c>
      <c r="C206" s="940" t="str">
        <f>IF($A$201&gt;=3,"猩紅法術","")</f>
        <v/>
      </c>
      <c r="D206" s="940" t="str">
        <f>IF($A$201&gt;=3,"血井","")</f>
        <v/>
      </c>
      <c r="E206" s="940" t="str">
        <f>IF($A$201&gt;=6,"血池","")</f>
        <v/>
      </c>
      <c r="F206" s="940" t="str">
        <f>IF($A$201&gt;=6,"朱紅活力","")</f>
        <v/>
      </c>
      <c r="G206" s="940" t="str">
        <f>IF($A$201&gt;=14,"汲取生命","")</f>
        <v/>
      </c>
      <c r="H206" s="940" t="str">
        <f>IF($A$201&gt;=18,"血宴","")</f>
        <v/>
      </c>
      <c r="I206" s="946"/>
      <c r="J206" s="946"/>
    </row>
    <row r="207">
      <c r="A207" s="924"/>
      <c r="B207" s="945" t="s">
        <v>1029</v>
      </c>
      <c r="C207" s="940" t="str">
        <f>IF($A$201&gt;=3,"天賦黑暗法術","")</f>
        <v/>
      </c>
      <c r="D207" s="946" t="str">
        <f>IF($A$201&gt;=3,"幽影之魂","")</f>
        <v/>
      </c>
      <c r="E207" s="946" t="str">
        <f>IF($A$201&gt;=6,"與暗為友","")</f>
        <v/>
      </c>
      <c r="F207" s="946" t="str">
        <f>IF($A$201&gt;=14,"純暗","")</f>
        <v/>
      </c>
      <c r="G207" s="946" t="str">
        <f>IF($A$201&gt;=18,"與暗同體","")</f>
        <v/>
      </c>
      <c r="H207" s="940"/>
      <c r="I207" s="946"/>
      <c r="J207" s="946"/>
    </row>
    <row r="208">
      <c r="A208" s="924"/>
      <c r="B208" s="945" t="s">
        <v>1030</v>
      </c>
      <c r="C208" s="940" t="str">
        <f>IF($A$201&gt;=3,"天啟法術","")</f>
        <v/>
      </c>
      <c r="D208" s="940" t="str">
        <f>IF($A$201&gt;=3,"癲狂箴言","")</f>
        <v/>
      </c>
      <c r="E208" s="940" t="str">
        <f>IF($A$201&gt;=6,"親歷毀滅","")</f>
        <v/>
      </c>
      <c r="F208" s="940" t="str">
        <f>IF($A$201&gt;=6,"奧法外典","")</f>
        <v/>
      </c>
      <c r="G208" s="940" t="str">
        <f>IF($A$201&gt;=14,"禁忌魔法","")</f>
        <v/>
      </c>
      <c r="H208" s="940" t="str">
        <f>IF($A$201&gt;=18,"末日將至","")</f>
        <v/>
      </c>
      <c r="I208" s="946"/>
      <c r="J208" s="946"/>
    </row>
    <row r="209">
      <c r="A209" s="924"/>
      <c r="B209" s="945" t="s">
        <v>1031</v>
      </c>
      <c r="C209" s="940" t="str">
        <f>IF($A$201&gt;=3,"幽靈法術","")</f>
        <v/>
      </c>
      <c r="D209" s="940" t="str">
        <f>IF($A$201&gt;=3,"第六感","")</f>
        <v/>
      </c>
      <c r="E209" s="940" t="str">
        <f>IF($A$201&gt;=3,"背後靈","")</f>
        <v/>
      </c>
      <c r="F209" s="940" t="str">
        <f>IF($A$201&gt;=6,"靈魂之力","")</f>
        <v/>
      </c>
      <c r="G209" s="940" t="str">
        <f>IF($A$201&gt;=6,"死亡蒼白","")</f>
        <v/>
      </c>
      <c r="H209" s="940" t="str">
        <f>IF($A$201&gt;=14,"亡魂附體","")</f>
        <v/>
      </c>
      <c r="I209" s="940" t="str">
        <f>IF($A$201&gt;=18,"化身死神","")</f>
        <v/>
      </c>
      <c r="J209" s="940"/>
    </row>
    <row r="210">
      <c r="A210" s="924"/>
      <c r="B210" s="945" t="s">
        <v>1032</v>
      </c>
      <c r="C210" s="940" t="str">
        <f>IF($A$201&gt;=3,"厄運護咒","")</f>
        <v/>
      </c>
      <c r="D210" s="940" t="str">
        <f>IF($A$201&gt;=3,"血脈連結","")</f>
        <v/>
      </c>
      <c r="E210" s="940" t="str">
        <f>IF($A$201&gt;=3,"悲慘詛咒"&amp;'職業能力選項'!BA11,"")</f>
        <v/>
      </c>
      <c r="F210" s="940" t="str">
        <f>IF($A$201&gt;=6,"分擔重擔","")</f>
        <v/>
      </c>
      <c r="G210" s="940" t="str">
        <f>IF($A$201&gt;=14,"駭人面容","")</f>
        <v/>
      </c>
      <c r="H210" s="940" t="str">
        <f>IF($A$201&gt;=18,"復仇召喚","")</f>
        <v/>
      </c>
      <c r="I210" s="946"/>
      <c r="J210" s="946"/>
    </row>
    <row r="211">
      <c r="A211" s="924"/>
      <c r="B211" s="945" t="s">
        <v>1033</v>
      </c>
      <c r="C211" s="940" t="str">
        <f>IF($A$201&gt;=3,"霜凍法術","")</f>
        <v/>
      </c>
      <c r="D211" s="940" t="str">
        <f>IF($A$201&gt;=3,"塑冰","")</f>
        <v/>
      </c>
      <c r="E211" s="940" t="str">
        <f>IF($A$201&gt;=3,"冰凍身軀","")</f>
        <v/>
      </c>
      <c r="F211" s="940" t="str">
        <f>IF($A$201&gt;=6,"寒冰之心","")</f>
        <v/>
      </c>
      <c r="G211" s="940" t="str">
        <f>IF($A$201&gt;=14,"急速冷凍","")</f>
        <v/>
      </c>
      <c r="H211" s="940" t="str">
        <f>IF($A$201&gt;=18,"寒冰之魂","")</f>
        <v/>
      </c>
      <c r="I211" s="946"/>
      <c r="J211" s="946"/>
    </row>
    <row r="212" hidden="1">
      <c r="A212" s="924"/>
      <c r="B212" s="945"/>
      <c r="C212" s="940"/>
      <c r="D212" s="946"/>
      <c r="E212" s="946"/>
      <c r="F212" s="946"/>
      <c r="G212" s="946"/>
      <c r="H212" s="946"/>
      <c r="I212" s="946"/>
      <c r="J212" s="946"/>
    </row>
    <row r="213" hidden="1">
      <c r="A213" s="924"/>
      <c r="B213" s="945"/>
      <c r="C213" s="940"/>
      <c r="D213" s="946"/>
      <c r="E213" s="946"/>
      <c r="F213" s="946"/>
      <c r="G213" s="946"/>
      <c r="H213" s="946"/>
      <c r="I213" s="946"/>
      <c r="J213" s="946"/>
    </row>
    <row r="214" hidden="1">
      <c r="A214" s="924"/>
      <c r="B214" s="945"/>
      <c r="C214" s="940"/>
      <c r="D214" s="946"/>
      <c r="E214" s="946"/>
      <c r="F214" s="946"/>
      <c r="G214" s="946"/>
      <c r="H214" s="946"/>
      <c r="I214" s="946"/>
      <c r="J214" s="946"/>
    </row>
    <row r="215" hidden="1">
      <c r="A215" s="924"/>
      <c r="B215" s="945"/>
      <c r="C215" s="940"/>
      <c r="D215" s="946"/>
      <c r="E215" s="946"/>
      <c r="F215" s="946"/>
      <c r="G215" s="946"/>
      <c r="H215" s="946"/>
      <c r="I215" s="946"/>
      <c r="J215" s="946"/>
    </row>
    <row r="216" hidden="1">
      <c r="A216" s="924"/>
      <c r="B216" s="945"/>
      <c r="C216" s="940"/>
      <c r="D216" s="946"/>
      <c r="E216" s="946"/>
      <c r="F216" s="946"/>
      <c r="G216" s="946"/>
      <c r="H216" s="946"/>
      <c r="I216" s="946"/>
      <c r="J216" s="946"/>
    </row>
    <row r="217" hidden="1">
      <c r="A217" s="924"/>
      <c r="B217" s="945"/>
      <c r="C217" s="940"/>
      <c r="D217" s="946"/>
      <c r="E217" s="946"/>
      <c r="F217" s="946"/>
      <c r="G217" s="946"/>
      <c r="H217" s="946"/>
      <c r="I217" s="946"/>
      <c r="J217" s="946"/>
    </row>
    <row r="218" hidden="1">
      <c r="A218" s="924"/>
      <c r="B218" s="945"/>
      <c r="C218" s="940"/>
      <c r="D218" s="946"/>
      <c r="E218" s="946"/>
      <c r="F218" s="946"/>
      <c r="G218" s="946"/>
      <c r="H218" s="946"/>
      <c r="I218" s="946"/>
      <c r="J218" s="946"/>
    </row>
    <row r="219" hidden="1">
      <c r="A219" s="924"/>
      <c r="B219" s="945"/>
      <c r="C219" s="940"/>
      <c r="D219" s="946"/>
      <c r="E219" s="946"/>
      <c r="F219" s="946"/>
      <c r="G219" s="946"/>
      <c r="H219" s="946"/>
      <c r="I219" s="946"/>
      <c r="J219" s="946"/>
    </row>
    <row r="220" hidden="1">
      <c r="A220" s="924"/>
      <c r="B220" s="945"/>
      <c r="C220" s="940"/>
      <c r="D220" s="946"/>
      <c r="E220" s="946"/>
      <c r="F220" s="946"/>
      <c r="G220" s="946"/>
      <c r="H220" s="946"/>
      <c r="I220" s="946"/>
      <c r="J220" s="946"/>
    </row>
    <row r="221" hidden="1">
      <c r="A221" s="924"/>
      <c r="B221" s="945"/>
      <c r="C221" s="940"/>
      <c r="D221" s="946"/>
      <c r="E221" s="946"/>
      <c r="F221" s="946"/>
      <c r="G221" s="946"/>
      <c r="H221" s="946"/>
      <c r="I221" s="946"/>
      <c r="J221" s="946"/>
    </row>
    <row r="222" hidden="1">
      <c r="A222" s="924"/>
      <c r="B222" s="945"/>
      <c r="C222" s="940"/>
      <c r="D222" s="946"/>
      <c r="E222" s="946"/>
      <c r="F222" s="946"/>
      <c r="G222" s="946"/>
      <c r="H222" s="946"/>
      <c r="I222" s="946"/>
      <c r="J222" s="946"/>
    </row>
    <row r="223">
      <c r="A223" s="924">
        <f>'職業能力'!O2</f>
        <v>0</v>
      </c>
      <c r="B223" s="947" t="s">
        <v>487</v>
      </c>
      <c r="C223" s="940" t="str">
        <f>IF($A$223&gt;=3,"至高妖精法術","")</f>
        <v/>
      </c>
      <c r="D223" s="940" t="str">
        <f>IF($A$223&gt;=3,"妖精步伐","")</f>
        <v/>
      </c>
      <c r="E223" s="940" t="str">
        <f>IF($A$223&gt;=6,"霧遁","")</f>
        <v/>
      </c>
      <c r="F223" s="940" t="str">
        <f>IF($A$223&gt;=10,"斗轉星移","")</f>
        <v/>
      </c>
      <c r="G223" s="940" t="str">
        <f>IF($A$223&gt;=14,"醉心魔法","")</f>
        <v/>
      </c>
      <c r="H223" s="948"/>
      <c r="I223" s="948"/>
      <c r="J223" s="948"/>
    </row>
    <row r="224">
      <c r="A224" s="924" t="s">
        <v>381</v>
      </c>
      <c r="B224" s="947" t="s">
        <v>488</v>
      </c>
      <c r="C224" s="940" t="str">
        <f>IF($A$223&gt;=3,"天界法術","")</f>
        <v/>
      </c>
      <c r="D224" s="940" t="str">
        <f>IF($A$223&gt;=3,"治癒之光","")</f>
        <v/>
      </c>
      <c r="E224" s="940" t="str">
        <f>IF($A$223&gt;=6,"光輝之魂","")</f>
        <v/>
      </c>
      <c r="F224" s="940" t="str">
        <f>IF($A$223&gt;=10,"天族韌性","")</f>
        <v/>
      </c>
      <c r="G224" s="940" t="str">
        <f>IF($A$223&gt;=14,"灼光復仇","")</f>
        <v/>
      </c>
      <c r="H224" s="948"/>
      <c r="I224" s="948"/>
      <c r="J224" s="948"/>
    </row>
    <row r="225">
      <c r="A225" s="924"/>
      <c r="B225" s="947" t="s">
        <v>489</v>
      </c>
      <c r="C225" s="940" t="str">
        <f>IF($A$223&gt;=3,"邪魔法術","")</f>
        <v/>
      </c>
      <c r="D225" s="940" t="str">
        <f>IF($A$223&gt;=3,"黑暗者賜福","")</f>
        <v/>
      </c>
      <c r="E225" s="940" t="str">
        <f>IF($A$223&gt;=6,"黑暗者強運","")</f>
        <v/>
      </c>
      <c r="F225" s="940" t="str">
        <f>IF($A$223&gt;=10,"邪魔韌性","")</f>
        <v/>
      </c>
      <c r="G225" s="940" t="str">
        <f>IF($A$223&gt;=14,"直墮地獄","")</f>
        <v/>
      </c>
      <c r="H225" s="948"/>
      <c r="I225" s="948"/>
      <c r="J225" s="948"/>
    </row>
    <row r="226">
      <c r="A226" s="924"/>
      <c r="B226" s="947" t="s">
        <v>490</v>
      </c>
      <c r="C226" s="940" t="str">
        <f>IF($A$223&gt;=3,"舊日支配者法術","")</f>
        <v/>
      </c>
      <c r="D226" s="940" t="str">
        <f>IF($A$223&gt;=3,"喚醒心靈","")</f>
        <v/>
      </c>
      <c r="E226" s="940" t="str">
        <f>IF($A$223&gt;=6,"銳眼鬥士","")</f>
        <v/>
      </c>
      <c r="F226" s="940" t="str">
        <f>IF($A$223&gt;=10,"駭異惡咒","")</f>
        <v/>
      </c>
      <c r="G226" s="940" t="str">
        <f>IF($A$223&gt;=10,"思維護盾","")</f>
        <v/>
      </c>
      <c r="H226" s="940" t="str">
        <f>IF($A$223&gt;=14,"創造奴僕","")</f>
        <v/>
      </c>
      <c r="I226" s="940"/>
      <c r="J226" s="940"/>
    </row>
    <row r="227">
      <c r="A227" s="924"/>
      <c r="B227" s="947" t="s">
        <v>1034</v>
      </c>
      <c r="C227" s="940" t="str">
        <f>IF($A$223&gt;=3,"愚神法術","")</f>
        <v/>
      </c>
      <c r="D227" s="940" t="str">
        <f>IF($A$223&gt;=3,"致命玩笑","")</f>
        <v/>
      </c>
      <c r="E227" s="940" t="str">
        <f>IF($A$223&gt;=6,"弄臣戲謔","")</f>
        <v/>
      </c>
      <c r="F227" s="940" t="str">
        <f>IF($A$223&gt;=10,"諷刺戲語","")</f>
        <v/>
      </c>
      <c r="G227" s="940" t="str">
        <f>IF($A$223&gt;=14,"丑角登場","")</f>
        <v/>
      </c>
      <c r="H227" s="948"/>
      <c r="I227" s="948"/>
      <c r="J227" s="948"/>
    </row>
    <row r="228">
      <c r="A228" s="924"/>
      <c r="B228" s="947" t="s">
        <v>1035</v>
      </c>
      <c r="C228" s="940" t="str">
        <f>IF($A$223&gt;=3,"角之王法術","")</f>
        <v/>
      </c>
      <c r="D228" s="940" t="str">
        <f>IF($A$223&gt;=3,"巫印","")</f>
        <v/>
      </c>
      <c r="E228" s="940" t="str">
        <f>IF($A$223&gt;=3,"咒怨","")</f>
        <v/>
      </c>
      <c r="F228" s="940" t="str">
        <f>IF($A$223&gt;=6,"怨毒詛咒","")</f>
        <v/>
      </c>
      <c r="G228" s="940" t="str">
        <f>IF($A$223&gt;=10,"角之王冠","")</f>
        <v/>
      </c>
      <c r="H228" s="940" t="str">
        <f>IF($A$223&gt;=14,"集結密會","")</f>
        <v/>
      </c>
      <c r="I228" s="948"/>
      <c r="J228" s="948"/>
    </row>
    <row r="229">
      <c r="A229" s="924"/>
      <c r="B229" s="947" t="s">
        <v>1036</v>
      </c>
      <c r="C229" s="940" t="str">
        <f>IF($A$223&gt;=3,"未來的你法術","")</f>
        <v/>
      </c>
      <c r="D229" s="940" t="str">
        <f>IF($A$223&gt;=3,"如此這般","")</f>
        <v/>
      </c>
      <c r="E229" s="940" t="str">
        <f>IF($A$223&gt;=6,"我可不想再多幾道傷疤","")</f>
        <v/>
      </c>
      <c r="F229" s="940" t="str">
        <f>IF($A$223&gt;=10,"堤防伏擊","")</f>
        <v/>
      </c>
      <c r="G229" s="940" t="str">
        <f>IF($A$223&gt;=14,"祖父輩論","")</f>
        <v/>
      </c>
      <c r="H229" s="948"/>
      <c r="I229" s="948"/>
      <c r="J229" s="948"/>
    </row>
    <row r="230">
      <c r="A230" s="924"/>
      <c r="B230" s="947" t="s">
        <v>1037</v>
      </c>
      <c r="C230" s="940" t="str">
        <f>IF($A$223&gt;=3,"貓科法術","")</f>
        <v/>
      </c>
      <c r="D230" s="940" t="str">
        <f>IF($A$223&gt;=3,"貓科親和","")</f>
        <v/>
      </c>
      <c r="E230" s="940" t="str">
        <f>IF($A$223&gt;=3,"貓科型態","")</f>
        <v/>
      </c>
      <c r="F230" s="940" t="str">
        <f>IF($A$223&gt;=6,"魂牽夢縈","")</f>
        <v/>
      </c>
      <c r="G230" s="940" t="str">
        <f>IF($A$223&gt;=10,"九命貓","")</f>
        <v/>
      </c>
      <c r="H230" s="940" t="str">
        <f>IF($A$223&gt;=14,"眾臣歸位","")</f>
        <v/>
      </c>
      <c r="I230" s="948"/>
      <c r="J230" s="948"/>
    </row>
    <row r="231">
      <c r="A231" s="924"/>
      <c r="B231" s="947" t="s">
        <v>1038</v>
      </c>
      <c r="C231" s="940" t="str">
        <f>IF($A$223&gt;=3,"鬼婆集會法術","")</f>
        <v/>
      </c>
      <c r="D231" s="940" t="str">
        <f>IF($A$223&gt;=3,"鬼婆之眼","")</f>
        <v/>
      </c>
      <c r="E231" s="940" t="str">
        <f>IF($A$223&gt;=6,"鬼婆奸計","")</f>
        <v/>
      </c>
      <c r="F231" s="940" t="str">
        <f>IF($A$223&gt;=10,"鬼婆面容","")</f>
        <v/>
      </c>
      <c r="G231" s="940" t="str">
        <f>IF($A$223&gt;=14,"鬼婆工藝","")</f>
        <v/>
      </c>
      <c r="H231" s="948"/>
      <c r="I231" s="948"/>
      <c r="J231" s="948"/>
    </row>
    <row r="232">
      <c r="A232" s="924"/>
      <c r="B232" s="947" t="s">
        <v>1039</v>
      </c>
      <c r="C232" s="940" t="str">
        <f>IF($A$223&gt;=3,"吸血鬼先祖法術","")</f>
        <v/>
      </c>
      <c r="D232" s="940" t="str">
        <f>IF($A$223&gt;=3,"生命汲取","")</f>
        <v/>
      </c>
      <c r="E232" s="940" t="str">
        <f>IF($A$223&gt;=3,"暗夜掠食者","")</f>
        <v/>
      </c>
      <c r="F232" s="940" t="str">
        <f>IF($A$223&gt;=6,"暗夜眷族","")</f>
        <v/>
      </c>
      <c r="G232" s="940" t="str">
        <f>IF($A$223&gt;=10,"魔能貪慾","")</f>
        <v/>
      </c>
      <c r="H232" s="940" t="str">
        <f>IF($A$223&gt;=14,"永恆暗夜","")</f>
        <v/>
      </c>
      <c r="I232" s="948"/>
      <c r="J232" s="948"/>
    </row>
    <row r="233">
      <c r="A233" s="924"/>
      <c r="B233" s="947" t="s">
        <v>1040</v>
      </c>
      <c r="C233" s="940" t="str">
        <f>IF($A$223&gt;=3,"法術虹吸","")</f>
        <v/>
      </c>
      <c r="D233" s="940" t="str">
        <f>IF($A$223&gt;=3,"寄生肉體","")</f>
        <v/>
      </c>
      <c r="E233" s="940" t="str">
        <f>IF($A$223&gt;=6,"共生哨兵","")</f>
        <v/>
      </c>
      <c r="F233" s="940" t="str">
        <f>IF($A$223&gt;=10,"活體棋子","")</f>
        <v/>
      </c>
      <c r="G233" s="940" t="str">
        <f>IF($A$223&gt;=10,"幼體再生","")</f>
        <v/>
      </c>
      <c r="H233" s="948"/>
      <c r="I233" s="948"/>
      <c r="J233" s="948"/>
    </row>
    <row r="234">
      <c r="A234" s="924"/>
      <c r="B234" s="947" t="s">
        <v>1041</v>
      </c>
      <c r="C234" s="940" t="str">
        <f>IF($A$223&gt;=3,"星界獅鷲獸法術","")</f>
        <v/>
      </c>
      <c r="D234" s="940" t="str">
        <f>IF($A$223&gt;=3,"星界飛彈","")</f>
        <v/>
      </c>
      <c r="E234" s="940" t="str">
        <f>IF($A$223&gt;=3,"異度敏銳","")</f>
        <v/>
      </c>
      <c r="F234" s="940" t="str">
        <f>IF($A$223&gt;=6,"位面脫離","")</f>
        <v/>
      </c>
      <c r="G234" s="940" t="str">
        <f>IF($A$223&gt;=10,"異度精通","")</f>
        <v/>
      </c>
      <c r="H234" s="940" t="str">
        <f>IF($A$223&gt;=14,"口袋次元","")</f>
        <v/>
      </c>
      <c r="I234" s="948"/>
      <c r="J234" s="948"/>
    </row>
    <row r="235" hidden="1">
      <c r="A235" s="924"/>
      <c r="B235" s="947"/>
      <c r="C235" s="940"/>
      <c r="D235" s="948"/>
      <c r="E235" s="948"/>
      <c r="F235" s="948"/>
      <c r="G235" s="948"/>
      <c r="H235" s="948"/>
      <c r="I235" s="948"/>
      <c r="J235" s="948"/>
    </row>
    <row r="236" hidden="1">
      <c r="A236" s="924"/>
      <c r="B236" s="947"/>
      <c r="C236" s="940"/>
      <c r="D236" s="948"/>
      <c r="E236" s="948"/>
      <c r="F236" s="948"/>
      <c r="G236" s="948"/>
      <c r="H236" s="948"/>
      <c r="I236" s="948"/>
      <c r="J236" s="948"/>
    </row>
    <row r="237" hidden="1">
      <c r="A237" s="924"/>
      <c r="B237" s="947"/>
      <c r="C237" s="940"/>
      <c r="D237" s="948"/>
      <c r="E237" s="948"/>
      <c r="F237" s="948"/>
      <c r="G237" s="948"/>
      <c r="H237" s="948"/>
      <c r="I237" s="948"/>
      <c r="J237" s="948"/>
    </row>
    <row r="238" hidden="1">
      <c r="A238" s="924"/>
      <c r="B238" s="947"/>
      <c r="C238" s="940"/>
      <c r="D238" s="948"/>
      <c r="E238" s="948"/>
      <c r="F238" s="948"/>
      <c r="G238" s="948"/>
      <c r="H238" s="948"/>
      <c r="I238" s="948"/>
      <c r="J238" s="948"/>
    </row>
    <row r="239" hidden="1">
      <c r="A239" s="924"/>
      <c r="B239" s="947"/>
      <c r="C239" s="940"/>
      <c r="D239" s="948"/>
      <c r="E239" s="948"/>
      <c r="F239" s="948"/>
      <c r="G239" s="948"/>
      <c r="H239" s="948"/>
      <c r="I239" s="948"/>
      <c r="J239" s="948"/>
    </row>
    <row r="240" hidden="1">
      <c r="A240" s="924"/>
      <c r="B240" s="947"/>
      <c r="C240" s="940"/>
      <c r="D240" s="948"/>
      <c r="E240" s="948"/>
      <c r="F240" s="948"/>
      <c r="G240" s="948"/>
      <c r="H240" s="948"/>
      <c r="I240" s="948"/>
      <c r="J240" s="948"/>
    </row>
    <row r="241" hidden="1">
      <c r="A241" s="924"/>
      <c r="B241" s="947"/>
      <c r="C241" s="940"/>
      <c r="D241" s="948"/>
      <c r="E241" s="948"/>
      <c r="F241" s="948"/>
      <c r="G241" s="948"/>
      <c r="H241" s="948"/>
      <c r="I241" s="948"/>
      <c r="J241" s="948"/>
    </row>
    <row r="242" hidden="1">
      <c r="A242" s="924"/>
      <c r="B242" s="947"/>
      <c r="C242" s="940"/>
      <c r="D242" s="948"/>
      <c r="E242" s="948"/>
      <c r="F242" s="948"/>
      <c r="G242" s="948"/>
      <c r="H242" s="948"/>
      <c r="I242" s="948"/>
      <c r="J242" s="948"/>
    </row>
    <row r="243" hidden="1">
      <c r="A243" s="924"/>
      <c r="B243" s="947"/>
      <c r="C243" s="940"/>
      <c r="D243" s="948"/>
      <c r="E243" s="948"/>
      <c r="F243" s="948"/>
      <c r="G243" s="948"/>
      <c r="H243" s="948"/>
      <c r="I243" s="948"/>
      <c r="J243" s="948"/>
    </row>
    <row r="244" hidden="1">
      <c r="A244" s="924"/>
      <c r="B244" s="947"/>
      <c r="C244" s="940"/>
      <c r="D244" s="948"/>
      <c r="E244" s="948"/>
      <c r="F244" s="948"/>
      <c r="G244" s="948"/>
      <c r="H244" s="948"/>
      <c r="I244" s="948"/>
      <c r="J244" s="948"/>
    </row>
    <row r="245" hidden="1">
      <c r="A245" s="924"/>
      <c r="B245" s="947"/>
      <c r="C245" s="940"/>
      <c r="D245" s="948"/>
      <c r="E245" s="948"/>
      <c r="F245" s="948"/>
      <c r="G245" s="948"/>
      <c r="H245" s="948"/>
      <c r="I245" s="948"/>
      <c r="J245" s="948"/>
    </row>
    <row r="246">
      <c r="A246" s="924">
        <f>'職業能力'!P2</f>
        <v>3</v>
      </c>
      <c r="B246" s="949" t="s">
        <v>495</v>
      </c>
      <c r="C246" s="940" t="str">
        <f>IF($A$246&gt;=3,"防護學者","")</f>
        <v>防護學者</v>
      </c>
      <c r="D246" s="940" t="str">
        <f>IF($A$246&gt;=3,"奧法防護","")</f>
        <v>奧法防護</v>
      </c>
      <c r="E246" s="940" t="str">
        <f>IF($A$246&gt;=6,"投射防護","")</f>
        <v/>
      </c>
      <c r="F246" s="940" t="str">
        <f>IF($A$246&gt;=10,"破法者","")</f>
        <v/>
      </c>
      <c r="G246" s="940" t="str">
        <f>IF($A$246&gt;=14,"法術抗性","")</f>
        <v/>
      </c>
      <c r="H246" s="938"/>
      <c r="I246" s="938"/>
      <c r="J246" s="938"/>
    </row>
    <row r="247">
      <c r="A247" s="950" t="s">
        <v>265</v>
      </c>
      <c r="B247" s="949" t="s">
        <v>496</v>
      </c>
      <c r="C247" s="940" t="str">
        <f>IF($A$246&gt;=3,"預言學者","")</f>
        <v>預言學者</v>
      </c>
      <c r="D247" s="940" t="str">
        <f>IF($A$246&gt;=3,"預兆","")</f>
        <v>預兆</v>
      </c>
      <c r="E247" s="940" t="str">
        <f>IF($A$246&gt;=6,"預言專家","")</f>
        <v/>
      </c>
      <c r="F247" s="940" t="str">
        <f>IF($A$246&gt;=10,"天眼通"&amp;'職業能力選項'!BI3,"")</f>
        <v/>
      </c>
      <c r="G247" s="940" t="str">
        <f>IF($A$246&gt;=14,"高等預兆","")</f>
        <v/>
      </c>
      <c r="H247" s="938"/>
      <c r="I247" s="938"/>
      <c r="J247" s="938"/>
    </row>
    <row r="248">
      <c r="A248" s="950"/>
      <c r="B248" s="949" t="s">
        <v>497</v>
      </c>
      <c r="C248" s="940" t="str">
        <f>IF($A$246&gt;=3,"塑能學者","")</f>
        <v>塑能學者</v>
      </c>
      <c r="D248" s="940" t="str">
        <f>IF($A$246&gt;=3,"強力戲法","")</f>
        <v>強力戲法</v>
      </c>
      <c r="E248" s="940" t="str">
        <f>IF($A$246&gt;=6,"形塑法術","")</f>
        <v/>
      </c>
      <c r="F248" s="940" t="str">
        <f>IF($A$246&gt;=10,"強效塑能","")</f>
        <v/>
      </c>
      <c r="G248" s="940" t="str">
        <f>IF($A$246&gt;=14,"重載導魔","")</f>
        <v/>
      </c>
      <c r="H248" s="938"/>
      <c r="I248" s="938"/>
      <c r="J248" s="938"/>
    </row>
    <row r="249">
      <c r="A249" s="950"/>
      <c r="B249" s="949" t="s">
        <v>498</v>
      </c>
      <c r="C249" s="940" t="str">
        <f>IF($A$246&gt;=3,"幻術學者","")</f>
        <v>幻術學者</v>
      </c>
      <c r="D249" s="940" t="str">
        <f>IF($A$246&gt;=3,"強化幻術","")</f>
        <v>強化幻術</v>
      </c>
      <c r="E249" s="940" t="str">
        <f>IF($A$246&gt;=6,"魅影生靈","")</f>
        <v/>
      </c>
      <c r="F249" s="940" t="str">
        <f>IF($A$246&gt;=10,"幻影化形","")</f>
        <v/>
      </c>
      <c r="G249" s="940" t="str">
        <f>IF($A$246&gt;=14,"亦真亦幻","")</f>
        <v/>
      </c>
      <c r="H249" s="938"/>
      <c r="I249" s="938"/>
      <c r="J249" s="938"/>
    </row>
    <row r="250">
      <c r="A250" s="950"/>
      <c r="B250" s="949" t="s">
        <v>350</v>
      </c>
      <c r="C250" s="938" t="str">
        <f>IF($A$246&gt;=3,"劍歌","")</f>
        <v>劍歌</v>
      </c>
      <c r="D250" s="938" t="str">
        <f>IF($A$246&gt;=3,"戰歌訓練","")</f>
        <v>戰歌訓練</v>
      </c>
      <c r="E250" s="938" t="str">
        <f>IF($A$246&gt;=6,"額外攻擊","")</f>
        <v/>
      </c>
      <c r="F250" s="938" t="str">
        <f>IF($A$246&gt;=10,"守禦之歌","")</f>
        <v/>
      </c>
      <c r="G250" s="938" t="str">
        <f>IF($A$246&gt;=14,"勝利之歌","")</f>
        <v/>
      </c>
      <c r="H250" s="938"/>
      <c r="I250" s="938"/>
      <c r="J250" s="938"/>
    </row>
    <row r="251">
      <c r="A251" s="950"/>
      <c r="B251" s="949" t="s">
        <v>1042</v>
      </c>
      <c r="C251" s="940" t="str">
        <f>IF($A$246&gt;=3,"禁忌知識","")</f>
        <v>禁忌知識</v>
      </c>
      <c r="D251" s="940" t="str">
        <f>IF($A$246&gt;=3,"侵擾","")</f>
        <v>侵擾</v>
      </c>
      <c r="E251" s="940" t="str">
        <f>IF($A$246&gt;=6,"現實撕裂","")</f>
        <v/>
      </c>
      <c r="F251" s="940" t="str">
        <f>IF($A$246&gt;=10,"神秘顯現","")</f>
        <v/>
      </c>
      <c r="G251" s="940" t="str">
        <f>IF($A$246&gt;=14,"超越空間","")</f>
        <v/>
      </c>
      <c r="H251" s="938"/>
      <c r="I251" s="938"/>
      <c r="J251" s="938"/>
    </row>
    <row r="252">
      <c r="A252" s="950"/>
      <c r="B252" s="949" t="s">
        <v>1043</v>
      </c>
      <c r="C252" s="940" t="str">
        <f>IF($A$246&gt;=3,"煉金學識","")</f>
        <v>煉金學識</v>
      </c>
      <c r="D252" s="940" t="str">
        <f>IF($A$246&gt;=3,"第五元素","")</f>
        <v>第五元素</v>
      </c>
      <c r="E252" s="940" t="str">
        <f>IF($A$246&gt;=6,"白化","")</f>
        <v/>
      </c>
      <c r="F252" s="940" t="str">
        <f>IF($A$246&gt;=10,"黃化","")</f>
        <v/>
      </c>
      <c r="G252" s="940" t="str">
        <f>IF($A$246&gt;=14,"紅化","")</f>
        <v/>
      </c>
      <c r="H252" s="938"/>
      <c r="I252" s="938"/>
      <c r="J252" s="938"/>
    </row>
    <row r="253">
      <c r="A253" s="950"/>
      <c r="B253" s="949" t="s">
        <v>1044</v>
      </c>
      <c r="C253" s="940" t="str">
        <f>IF($A$246&gt;=3,"圖書學","")</f>
        <v>圖書學</v>
      </c>
      <c r="D253" s="940" t="str">
        <f>IF($A$246&gt;=3,"修改法術","")</f>
        <v>修改法術</v>
      </c>
      <c r="E253" s="940" t="str">
        <f>IF($A$246&gt;=6,"織言者","")</f>
        <v/>
      </c>
      <c r="F253" s="940" t="str">
        <f>IF($A$246&gt;=10,"客製法術","")</f>
        <v/>
      </c>
      <c r="G253" s="940" t="str">
        <f>IF($A$246&gt;=14,"語言大師","")</f>
        <v/>
      </c>
      <c r="H253" s="938"/>
      <c r="I253" s="938"/>
      <c r="J253" s="938"/>
    </row>
    <row r="254">
      <c r="A254" s="950"/>
      <c r="B254" s="949" t="s">
        <v>1045</v>
      </c>
      <c r="C254" s="940" t="str">
        <f>IF($A$246&gt;=3,"善惡無常"&amp;'職業能力選項'!BI6,"")</f>
        <v>善惡無常(請選擇)</v>
      </c>
      <c r="D254" s="940" t="str">
        <f>IF($A$246&gt;=3,"竊取秘密","")</f>
        <v>竊取秘密</v>
      </c>
      <c r="E254" s="940" t="str">
        <f>IF($A$246&gt;=6,"借舌畫皮","")</f>
        <v/>
      </c>
      <c r="F254" s="940" t="str">
        <f>IF($A$246&gt;=10,"異界面容","")</f>
        <v/>
      </c>
      <c r="G254" s="940" t="str">
        <f>IF($A$246&gt;=14,"爆發永恆戰爭","")</f>
        <v/>
      </c>
      <c r="H254" s="938"/>
      <c r="I254" s="938"/>
      <c r="J254" s="938"/>
    </row>
    <row r="255">
      <c r="A255" s="950"/>
      <c r="B255" s="949" t="s">
        <v>1046</v>
      </c>
      <c r="C255" s="940" t="str">
        <f>IF($A$246&gt;=3,"製藥工藝","")</f>
        <v>製藥工藝</v>
      </c>
      <c r="D255" s="940" t="str">
        <f>IF($A$246&gt;=3,"良藥","")</f>
        <v>良藥</v>
      </c>
      <c r="E255" s="940" t="str">
        <f>IF($A$246&gt;=6,"惡藥","")</f>
        <v/>
      </c>
      <c r="F255" s="940" t="str">
        <f>IF($A$246&gt;=10,"吸入藥霧","")</f>
        <v/>
      </c>
      <c r="G255" s="940" t="str">
        <f>IF($A$246&gt;=14,"藥劑大師","")</f>
        <v/>
      </c>
      <c r="H255" s="938"/>
      <c r="I255" s="938"/>
      <c r="J255" s="938"/>
    </row>
    <row r="256">
      <c r="A256" s="950"/>
      <c r="B256" s="949" t="s">
        <v>1047</v>
      </c>
      <c r="C256" s="940" t="str">
        <f>IF($A$246&gt;=3,"操血學者","")</f>
        <v>操血學者</v>
      </c>
      <c r="D256" s="940" t="str">
        <f>IF($A$246&gt;=3,"盈血","")</f>
        <v>盈血</v>
      </c>
      <c r="E256" s="940" t="str">
        <f>IF($A$246&gt;=6,"鮮血活力","")</f>
        <v/>
      </c>
      <c r="F256" s="940" t="str">
        <f>IF($A$246&gt;=10,"以血還血","")</f>
        <v/>
      </c>
      <c r="G256" s="940" t="str">
        <f>IF($A$246&gt;=14,"猩紅復甦","")</f>
        <v/>
      </c>
      <c r="H256" s="938"/>
      <c r="I256" s="938"/>
      <c r="J256" s="938"/>
    </row>
    <row r="257">
      <c r="A257" s="950"/>
      <c r="B257" s="949" t="s">
        <v>1048</v>
      </c>
      <c r="C257" s="940" t="str">
        <f>IF($A$246&gt;=3,"秘法工匠","")</f>
        <v>秘法工匠</v>
      </c>
      <c r="D257" s="940" t="str">
        <f>IF($A$246&gt;=3,"次級造物","")</f>
        <v>次級造物</v>
      </c>
      <c r="E257" s="940" t="str">
        <f>IF($A$246&gt;=6,"物質強化","")</f>
        <v/>
      </c>
      <c r="F257" s="940" t="str">
        <f>IF($A$246&gt;=10,"去物質化","")</f>
        <v/>
      </c>
      <c r="G257" s="940" t="str">
        <f>IF($A$246&gt;=14,"再物質化","")</f>
        <v/>
      </c>
      <c r="H257" s="938"/>
      <c r="I257" s="938"/>
      <c r="J257" s="938"/>
    </row>
    <row r="258" hidden="1">
      <c r="A258" s="950"/>
      <c r="B258" s="949"/>
      <c r="C258" s="938"/>
      <c r="D258" s="938"/>
      <c r="E258" s="938"/>
      <c r="F258" s="938"/>
      <c r="G258" s="938"/>
      <c r="H258" s="938"/>
      <c r="I258" s="938"/>
      <c r="J258" s="938"/>
    </row>
    <row r="259" hidden="1">
      <c r="A259" s="950"/>
      <c r="B259" s="949"/>
      <c r="C259" s="938"/>
      <c r="D259" s="938"/>
      <c r="E259" s="938"/>
      <c r="F259" s="938"/>
      <c r="G259" s="938"/>
      <c r="H259" s="938"/>
      <c r="I259" s="938"/>
      <c r="J259" s="938"/>
    </row>
    <row r="260" hidden="1">
      <c r="A260" s="950"/>
      <c r="B260" s="949"/>
      <c r="C260" s="938"/>
      <c r="D260" s="938"/>
      <c r="E260" s="938"/>
      <c r="F260" s="938"/>
      <c r="G260" s="938"/>
      <c r="H260" s="938"/>
      <c r="I260" s="938"/>
      <c r="J260" s="938"/>
    </row>
    <row r="261" hidden="1">
      <c r="A261" s="950"/>
      <c r="B261" s="949"/>
      <c r="C261" s="938"/>
      <c r="D261" s="938"/>
      <c r="E261" s="938"/>
      <c r="F261" s="938"/>
      <c r="G261" s="938"/>
      <c r="H261" s="938"/>
      <c r="I261" s="938"/>
      <c r="J261" s="938"/>
    </row>
    <row r="262" hidden="1">
      <c r="A262" s="950"/>
      <c r="B262" s="949"/>
      <c r="C262" s="938"/>
      <c r="D262" s="938"/>
      <c r="E262" s="938"/>
      <c r="F262" s="938"/>
      <c r="G262" s="938"/>
      <c r="H262" s="938"/>
      <c r="I262" s="938"/>
      <c r="J262" s="938"/>
    </row>
    <row r="263" hidden="1">
      <c r="A263" s="950"/>
      <c r="B263" s="949"/>
      <c r="C263" s="938"/>
      <c r="D263" s="938"/>
      <c r="E263" s="938"/>
      <c r="F263" s="938"/>
      <c r="G263" s="938"/>
      <c r="H263" s="938"/>
      <c r="I263" s="938"/>
      <c r="J263" s="938"/>
    </row>
    <row r="264" hidden="1">
      <c r="A264" s="950"/>
      <c r="B264" s="949"/>
      <c r="C264" s="938"/>
      <c r="D264" s="938"/>
      <c r="E264" s="938"/>
      <c r="F264" s="938"/>
      <c r="G264" s="938"/>
      <c r="H264" s="938"/>
      <c r="I264" s="938"/>
      <c r="J264" s="938"/>
    </row>
    <row r="265" hidden="1">
      <c r="A265" s="950"/>
      <c r="B265" s="949"/>
      <c r="C265" s="938"/>
      <c r="D265" s="938"/>
      <c r="E265" s="938"/>
      <c r="F265" s="938"/>
      <c r="G265" s="938"/>
      <c r="H265" s="938"/>
      <c r="I265" s="938"/>
      <c r="J265" s="938"/>
    </row>
    <row r="266" hidden="1">
      <c r="A266" s="950"/>
      <c r="B266" s="949"/>
      <c r="C266" s="938"/>
      <c r="D266" s="938"/>
      <c r="E266" s="938"/>
      <c r="F266" s="938"/>
      <c r="G266" s="938"/>
      <c r="H266" s="938"/>
      <c r="I266" s="938"/>
      <c r="J266" s="938"/>
    </row>
    <row r="267" hidden="1">
      <c r="A267" s="950"/>
      <c r="B267" s="949"/>
      <c r="C267" s="938"/>
      <c r="D267" s="938"/>
      <c r="E267" s="938"/>
      <c r="F267" s="938"/>
      <c r="G267" s="938"/>
      <c r="H267" s="938"/>
      <c r="I267" s="938"/>
      <c r="J267" s="938"/>
    </row>
    <row r="268" hidden="1">
      <c r="A268" s="950"/>
      <c r="B268" s="949"/>
      <c r="C268" s="938"/>
      <c r="D268" s="938"/>
      <c r="E268" s="938"/>
      <c r="F268" s="938"/>
      <c r="G268" s="938"/>
      <c r="H268" s="938"/>
      <c r="I268" s="938"/>
      <c r="J268" s="938"/>
    </row>
    <row r="269">
      <c r="A269" s="925">
        <f>'職業能力'!A2</f>
        <v>0</v>
      </c>
      <c r="B269" s="951" t="s">
        <v>502</v>
      </c>
      <c r="C269" s="952" t="str">
        <f>IF($A$269&gt;=3,"煉金匠法術","")</f>
        <v/>
      </c>
      <c r="D269" s="952" t="str">
        <f t="shared" ref="D269:D275" si="1">IF($A$269&gt;=3,"本職工具","")</f>
        <v/>
      </c>
      <c r="E269" s="952" t="str">
        <f>IF($A$269&gt;=3,"實驗性靈藥","")</f>
        <v/>
      </c>
      <c r="F269" s="952" t="str">
        <f>IF($A$269&gt;=5,"鍊金術掌握","")</f>
        <v/>
      </c>
      <c r="G269" s="952" t="str">
        <f>IF($A$269&gt;=9,"復原藥劑","")</f>
        <v/>
      </c>
      <c r="H269" s="952" t="str">
        <f>IF($A$269&gt;=15,"煉成專家","")</f>
        <v/>
      </c>
      <c r="I269" s="952" t="str">
        <f>IF('請先閱讀'!$O$33=true,IF($A$269&gt;=20,"變體頂點：完美靈藥",""),"")</f>
        <v/>
      </c>
      <c r="J269" s="952"/>
    </row>
    <row r="270">
      <c r="A270" s="925" t="s">
        <v>499</v>
      </c>
      <c r="B270" s="953" t="s">
        <v>503</v>
      </c>
      <c r="C270" s="954" t="str">
        <f>IF($A$269&gt;=3,"裝甲匠法術","")</f>
        <v/>
      </c>
      <c r="D270" s="954" t="str">
        <f t="shared" si="1"/>
        <v/>
      </c>
      <c r="E270" s="954" t="str">
        <f>IF($A$269&gt;=3,"奧能裝甲","")</f>
        <v/>
      </c>
      <c r="F270" s="954" t="str">
        <f>IF($A$269&gt;=3,"裝甲型號","")</f>
        <v/>
      </c>
      <c r="G270" s="954" t="str">
        <f>IF($A$269&gt;=9,"精進裝甲師","")</f>
        <v/>
      </c>
      <c r="H270" s="954" t="str">
        <f>IF($A$269&gt;=15,"完美裝甲","")</f>
        <v/>
      </c>
      <c r="I270" s="954" t="str">
        <f>IF('請先閱讀'!$O$33=true,IF($A$269&gt;=20,"變體頂點：過度充能",""),"")</f>
        <v/>
      </c>
      <c r="J270" s="954"/>
    </row>
    <row r="271">
      <c r="A271" s="925"/>
      <c r="B271" s="951" t="s">
        <v>504</v>
      </c>
      <c r="C271" s="952" t="str">
        <f>IF($A$269&gt;=3,"魔炮匠法術","")</f>
        <v/>
      </c>
      <c r="D271" s="952" t="str">
        <f t="shared" si="1"/>
        <v/>
      </c>
      <c r="E271" s="952" t="str">
        <f>IF($A$269&gt;=3,"魔能炮台","")</f>
        <v/>
      </c>
      <c r="F271" s="952" t="str">
        <f>IF($A$269&gt;=5,"奧法火器","")</f>
        <v/>
      </c>
      <c r="G271" s="952" t="str">
        <f>IF($A$269&gt;=9,"高爆炮台","")</f>
        <v/>
      </c>
      <c r="H271" s="952" t="str">
        <f>IF($A$269&gt;=15,"要塞陣地","")</f>
        <v/>
      </c>
      <c r="I271" s="952" t="str">
        <f>IF('請先閱讀'!$O$33=true,IF($A$269&gt;=20,"變體頂點：注法魔炮",""),"")</f>
        <v/>
      </c>
      <c r="J271" s="952"/>
    </row>
    <row r="272">
      <c r="A272" s="925"/>
      <c r="B272" s="953" t="s">
        <v>505</v>
      </c>
      <c r="C272" s="954" t="str">
        <f>IF($A$269&gt;=3,"戰地工匠法術","")</f>
        <v/>
      </c>
      <c r="D272" s="954" t="str">
        <f t="shared" si="1"/>
        <v/>
      </c>
      <c r="E272" s="954" t="str">
        <f>IF($A$269&gt;=3,"戰鬥準備","")</f>
        <v/>
      </c>
      <c r="F272" s="954" t="str">
        <f>IF($A$269&gt;=3,"鋼鐵守衛","")</f>
        <v/>
      </c>
      <c r="G272" s="954" t="str">
        <f>IF($A$269&gt;=5,"額外攻擊","")</f>
        <v/>
      </c>
      <c r="H272" s="954" t="str">
        <f>IF($A$269&gt;=9,"奧能震盪","")</f>
        <v/>
      </c>
      <c r="I272" s="954" t="str">
        <f>IF($A$269&gt;=15,"精良守衛","")</f>
        <v/>
      </c>
      <c r="J272" s="954" t="str">
        <f>IF('請先閱讀'!$O$33=true,IF($A$269&gt;=20,"變體頂點：鋼鐵先鋒",""),"")</f>
        <v/>
      </c>
    </row>
    <row r="273">
      <c r="A273" s="925"/>
      <c r="B273" s="951" t="s">
        <v>506</v>
      </c>
      <c r="C273" s="952" t="str">
        <f>IF($A$269&gt;=3,"製圖匠法術","")</f>
        <v/>
      </c>
      <c r="D273" s="952" t="str">
        <f t="shared" si="1"/>
        <v/>
      </c>
      <c r="E273" s="952" t="str">
        <f>IF($A$269&gt;=3,"冒險者的地圖匣","")</f>
        <v/>
      </c>
      <c r="F273" s="952" t="str">
        <f>IF($A$269&gt;=3,"地圖魔法","")</f>
        <v/>
      </c>
      <c r="G273" s="952" t="str">
        <f>IF($A$269&gt;=5,"精準引導","")</f>
        <v/>
      </c>
      <c r="H273" s="952" t="str">
        <f>IF($A$269&gt;=9,"靈機一動","")</f>
        <v/>
      </c>
      <c r="I273" s="952" t="str">
        <f>IF($A$269&gt;=15,"高等地圖匣","")</f>
        <v/>
      </c>
      <c r="J273" s="952" t="str">
        <f>IF('請先閱讀'!$O$33=true,IF($A$269&gt;=20,"變體頂點：隨處旅行",""),"")</f>
        <v/>
      </c>
    </row>
    <row r="274">
      <c r="A274" s="925"/>
      <c r="B274" s="953" t="s">
        <v>1049</v>
      </c>
      <c r="C274" s="954" t="str">
        <f>IF($A$269&gt;=3,"鍛造匠法術","")</f>
        <v/>
      </c>
      <c r="D274" s="954" t="str">
        <f t="shared" si="1"/>
        <v/>
      </c>
      <c r="E274" s="954" t="str">
        <f>IF($A$269&gt;=3,"戰鬥準備","")</f>
        <v/>
      </c>
      <c r="F274" s="954" t="str">
        <f>IF($A$269&gt;=3,"Ghaal'Shaarat (強大之刃)","")</f>
        <v/>
      </c>
      <c r="G274" s="954" t="str">
        <f>IF($A$269&gt;=5,"額外攻擊","")</f>
        <v/>
      </c>
      <c r="H274" s="954" t="str">
        <f>IF($A$269&gt;=9,"戰爭符文","")</f>
        <v/>
      </c>
      <c r="I274" s="954" t="str">
        <f>IF($A$269&gt;=15,"完美武器","")</f>
        <v/>
      </c>
      <c r="J274" s="955" t="str">
        <f>IF($A$269&gt;=20,"變體頂點：傳奇武器","")</f>
        <v/>
      </c>
    </row>
    <row r="275">
      <c r="A275" s="925"/>
      <c r="B275" s="951" t="s">
        <v>1050</v>
      </c>
      <c r="C275" s="952" t="str">
        <f>IF($A$269&gt;=3,"獨行匠法術","")</f>
        <v/>
      </c>
      <c r="D275" s="952" t="str">
        <f t="shared" si="1"/>
        <v/>
      </c>
      <c r="E275" s="952" t="str">
        <f>IF($A$269&gt;=3,"奧術原型","")</f>
        <v/>
      </c>
      <c r="F275" s="952" t="str">
        <f>IF($A$269&gt;=5,"微調","")</f>
        <v/>
      </c>
      <c r="G275" s="952" t="str">
        <f>IF($A$269&gt;=9,"現正進行","")</f>
        <v/>
      </c>
      <c r="H275" s="952" t="str">
        <f>IF($A$269&gt;=15,"最終突破","")</f>
        <v/>
      </c>
      <c r="I275" s="952" t="str">
        <f>IF($A$269&gt;=20,"變體頂點：進階天才","")</f>
        <v/>
      </c>
      <c r="J275" s="952"/>
    </row>
    <row r="276">
      <c r="A276" s="925">
        <f>'職業能力'!G2</f>
        <v>0</v>
      </c>
      <c r="B276" s="956" t="s">
        <v>510</v>
      </c>
      <c r="C276" s="957" t="str">
        <f>IF($A$276&gt;=3,"鷹眼[戰技]","")</f>
        <v/>
      </c>
      <c r="D276" s="957" t="str">
        <f>IF($A$276&gt;=3,"神射之姿","")</f>
        <v/>
      </c>
      <c r="E276" s="957" t="str">
        <f>IF($A$276&gt;=6,"隱蔽之處","")</f>
        <v/>
      </c>
      <c r="F276" s="957" t="str">
        <f>IF($A$276&gt;=10,"調整位置","")</f>
        <v/>
      </c>
      <c r="G276" s="957" t="str">
        <f>IF($A$276&gt;=3,"專注射擊","")</f>
        <v/>
      </c>
      <c r="H276" s="958"/>
      <c r="I276" s="958"/>
      <c r="J276" s="958"/>
    </row>
    <row r="277">
      <c r="A277" s="925" t="s">
        <v>1051</v>
      </c>
      <c r="B277" s="959" t="s">
        <v>511</v>
      </c>
      <c r="C277" s="959" t="str">
        <f>IF($A$276&gt;=3,"詐欺骰[戰技]","")</f>
        <v/>
      </c>
      <c r="D277" s="959" t="str">
        <f>IF($A$276&gt;=3,"撲克臉","")</f>
        <v/>
      </c>
      <c r="E277" s="959" t="str">
        <f>IF($A$276&gt;=6,"暴虎馮河","")</f>
        <v/>
      </c>
      <c r="F277" s="959" t="str">
        <f>IF($A$276&gt;=10,"以身犯險","")</f>
        <v/>
      </c>
      <c r="G277" s="959" t="str">
        <f>IF($A$276&gt;=14,"雙倍或無","")</f>
        <v/>
      </c>
      <c r="H277" s="959"/>
      <c r="I277" s="959"/>
      <c r="J277" s="959"/>
    </row>
    <row r="278">
      <c r="A278" s="925"/>
      <c r="B278" s="956" t="s">
        <v>1052</v>
      </c>
      <c r="C278" s="957" t="str">
        <f>IF($A$276&gt;=3,"拋下狠話[戰技]","")</f>
        <v/>
      </c>
      <c r="D278" s="957" t="str">
        <f>IF($A$276&gt;=3,"特務訓練","")</f>
        <v/>
      </c>
      <c r="E278" s="957" t="str">
        <f>IF($A$276&gt;=6,"戰場技藝","")</f>
        <v/>
      </c>
      <c r="F278" s="957" t="str">
        <f>IF($A$276&gt;=10,"走為上計","")</f>
        <v/>
      </c>
      <c r="G278" s="957" t="str">
        <f>IF($A$276&gt;=14,"殺戮許可","")</f>
        <v/>
      </c>
      <c r="H278" s="958"/>
      <c r="I278" s="958"/>
      <c r="J278" s="958"/>
    </row>
    <row r="279">
      <c r="A279" s="925"/>
      <c r="B279" s="959" t="s">
        <v>507</v>
      </c>
      <c r="C279" s="959" t="str">
        <f>IF($A$276&gt;=3,"施法","")</f>
        <v/>
      </c>
      <c r="D279" s="959" t="str">
        <f>IF($A$276&gt;=3,"砰！你死了！","")</f>
        <v/>
      </c>
      <c r="E279" s="959" t="str">
        <f>IF($A$276&gt;=6,"法術射擊","")</f>
        <v/>
      </c>
      <c r="F279" s="959" t="str">
        <f>IF($A$276&gt;=10,"反制巫師","")</f>
        <v/>
      </c>
      <c r="G279" s="959" t="str">
        <f>IF($A$276&gt;=14,"魔彈[戰技]","")</f>
        <v/>
      </c>
      <c r="H279" s="959"/>
      <c r="I279" s="959"/>
      <c r="J279" s="959"/>
    </row>
    <row r="280">
      <c r="A280" s="925"/>
      <c r="B280" s="956" t="s">
        <v>513</v>
      </c>
      <c r="C280" s="957" t="str">
        <f>IF($A$276&gt;=3,"彈射[戰技]","")</f>
        <v/>
      </c>
      <c r="D280" s="957" t="str">
        <f>IF($A$276&gt;=3,"創意彈道","")</f>
        <v/>
      </c>
      <c r="E280" s="957" t="str">
        <f>IF($A$276&gt;=6,"花式槍法","")</f>
        <v/>
      </c>
      <c r="F280" s="957" t="str">
        <f>IF($A$276&gt;=10,"凌空偏轉[戰技]","")</f>
        <v/>
      </c>
      <c r="G280" s="957" t="str">
        <f>IF($A$276&gt;=14,"彈珠彈射","")</f>
        <v/>
      </c>
      <c r="H280" s="958"/>
      <c r="I280" s="958"/>
      <c r="J280" s="958"/>
    </row>
    <row r="281">
      <c r="A281" s="925"/>
      <c r="B281" s="959" t="s">
        <v>514</v>
      </c>
      <c r="C281" s="959" t="str">
        <f>IF($A$276&gt;=3,"發號施令","")</f>
        <v/>
      </c>
      <c r="D281" s="959" t="str">
        <f>IF($A$276&gt;=3,"堅定靈光","")</f>
        <v/>
      </c>
      <c r="E281" s="959" t="str">
        <f>IF($A$276&gt;=6,"把手舉高","")</f>
        <v/>
      </c>
      <c r="F281" s="959" t="str">
        <f>IF($A$276&gt;=10,"法網恢恢","")</f>
        <v/>
      </c>
      <c r="G281" s="959" t="str">
        <f>IF($A$276&gt;=14,"金星英雄","")</f>
        <v/>
      </c>
      <c r="H281" s="959"/>
      <c r="I281" s="959"/>
      <c r="J281" s="959"/>
    </row>
    <row r="282">
      <c r="A282" s="925">
        <f>'職業能力'!I2</f>
        <v>0</v>
      </c>
      <c r="B282" s="960" t="s">
        <v>518</v>
      </c>
      <c r="C282" s="960" t="str">
        <f>IF($A$282&gt;=3,"全副武裝","")</f>
        <v/>
      </c>
      <c r="D282" s="960" t="str">
        <f>IF($A$282&gt;=3,"近距離作戰","")</f>
        <v/>
      </c>
      <c r="E282" s="960" t="str">
        <f>IF($A$282&gt;=7,"真實的勇氣","")</f>
        <v/>
      </c>
      <c r="F282" s="960" t="str">
        <f>IF($A$282&gt;=10,"以恐制恐","")</f>
        <v/>
      </c>
      <c r="G282" s="960" t="str">
        <f>IF($A$282&gt;=15,"致命偏斜","")</f>
        <v/>
      </c>
      <c r="H282" s="960" t="str">
        <f>IF($A$282&gt;=18,"精準步法","")</f>
        <v/>
      </c>
      <c r="I282" s="960"/>
      <c r="J282" s="960"/>
    </row>
    <row r="283">
      <c r="A283" s="925" t="s">
        <v>1053</v>
      </c>
      <c r="B283" s="961" t="s">
        <v>519</v>
      </c>
      <c r="C283" s="961" t="str">
        <f>IF($A$282&gt;=3,"煉金美食學","")</f>
        <v/>
      </c>
      <c r="D283" s="961" t="str">
        <f>IF($A$282&gt;=3,"轉化代謝","")</f>
        <v/>
      </c>
      <c r="E283" s="961" t="str">
        <f>IF($A$282&gt;=7,"同步應對","")</f>
        <v/>
      </c>
      <c r="F283" s="961" t="str">
        <f>IF($A$282&gt;=10,"飢渴難耐","")</f>
        <v/>
      </c>
      <c r="G283" s="961" t="str">
        <f>IF($A$282&gt;=15,"煉金煎劑","")</f>
        <v/>
      </c>
      <c r="H283" s="961" t="str">
        <f>IF($A$282&gt;=18,"嗜異成性","")</f>
        <v/>
      </c>
      <c r="I283" s="961"/>
      <c r="J283" s="961"/>
    </row>
    <row r="284">
      <c r="A284" s="925"/>
      <c r="B284" s="960" t="s">
        <v>515</v>
      </c>
      <c r="C284" s="960" t="str">
        <f>IF($A$282&gt;=3,"神秘學信徒","")</f>
        <v/>
      </c>
      <c r="D284" s="960" t="str">
        <f>IF($A$282&gt;=3,"施法","")</f>
        <v/>
      </c>
      <c r="E284" s="960" t="str">
        <f>IF($A$282&gt;=3,"奧法干涉","")</f>
        <v/>
      </c>
      <c r="F284" s="960" t="str">
        <f>IF($A$282&gt;=7,"巫師獵人","")</f>
        <v/>
      </c>
      <c r="G284" s="960" t="str">
        <f>IF($A$282&gt;=10,"神祕學識","")</f>
        <v/>
      </c>
      <c r="H284" s="960" t="str">
        <f>IF($A$282&gt;=15,"魔法護盾","")</f>
        <v/>
      </c>
      <c r="I284" s="960" t="str">
        <f>IF($A$282&gt;=18,"奧法應對","")</f>
        <v/>
      </c>
      <c r="J284" s="960"/>
    </row>
    <row r="285">
      <c r="A285" s="925"/>
      <c r="B285" s="961" t="s">
        <v>520</v>
      </c>
      <c r="C285" s="961" t="str">
        <f>IF($A$282&gt;=3,"狡猾詭計","")</f>
        <v/>
      </c>
      <c r="D285" s="961" t="str">
        <f>IF($A$282&gt;=3,"捕獸者工具","")</f>
        <v/>
      </c>
      <c r="E285" s="961" t="str">
        <f>IF($A$282&gt;=7,"伏擊者優勢","")</f>
        <v/>
      </c>
      <c r="F285" s="961" t="str">
        <f>IF($A$282&gt;=10,"靈敏應對","")</f>
        <v/>
      </c>
      <c r="G285" s="961" t="str">
        <f>IF($A$282&gt;=15,"怪物皮甲","")</f>
        <v/>
      </c>
      <c r="H285" s="961" t="str">
        <f>IF($A$282&gt;=18,"快速修補匠","")</f>
        <v/>
      </c>
      <c r="I285" s="961"/>
      <c r="J285" s="961"/>
    </row>
    <row r="286">
      <c r="A286" s="925">
        <f>'職業能力'!K2</f>
        <v>0</v>
      </c>
      <c r="B286" s="962" t="s">
        <v>523</v>
      </c>
      <c r="C286" s="963" t="str">
        <f>IF($A$286&gt;=3,"鬥士的最佳夥伴","")</f>
        <v/>
      </c>
      <c r="D286" s="963" t="str">
        <f>IF($A$286&gt;=3,"共享膽識","")</f>
        <v/>
      </c>
      <c r="E286" s="963" t="str">
        <f>IF($A$286&gt;=6,"協同攻擊","")</f>
        <v/>
      </c>
      <c r="F286" s="963" t="str">
        <f>IF($A$286&gt;=11,"獵犬的最佳夥伴","")</f>
        <v/>
      </c>
      <c r="G286" s="963" t="str">
        <f>IF($A$286&gt;=17,"解開枷鎖","")</f>
        <v/>
      </c>
      <c r="H286" s="964"/>
      <c r="I286" s="964"/>
      <c r="J286" s="964"/>
    </row>
    <row r="287">
      <c r="A287" s="925" t="s">
        <v>1054</v>
      </c>
      <c r="B287" s="965" t="s">
        <v>524</v>
      </c>
      <c r="C287" s="965" t="str">
        <f>IF($A$286&gt;=3,"黑魔法","")</f>
        <v/>
      </c>
      <c r="D287" s="965" t="str">
        <f>IF($A$286&gt;=3,"恐懼之手","")</f>
        <v/>
      </c>
      <c r="E287" s="965" t="str">
        <f>IF($A$286&gt;=6,"惡魔交易","")</f>
        <v/>
      </c>
      <c r="F287" s="965" t="str">
        <f>IF($A$286&gt;=11,"怪誕增生","")</f>
        <v/>
      </c>
      <c r="G287" s="965" t="str">
        <f>IF($A$286&gt;=17,"臟器噴泉","")</f>
        <v/>
      </c>
      <c r="H287" s="965"/>
      <c r="I287" s="965"/>
      <c r="J287" s="965"/>
    </row>
    <row r="288">
      <c r="A288" s="925"/>
      <c r="B288" s="962" t="s">
        <v>525</v>
      </c>
      <c r="C288" s="963" t="str">
        <f>IF($A$286&gt;=3,"惡劣態度","")</f>
        <v/>
      </c>
      <c r="D288" s="963" t="str">
        <f>IF($A$286&gt;=3,"鹹酸敬禮","")</f>
        <v/>
      </c>
      <c r="E288" s="963" t="str">
        <f>IF($A$286&gt;=6,"骯髒把戲","")</f>
        <v/>
      </c>
      <c r="F288" s="963" t="str">
        <f>IF($A$286&gt;=11,"老混帳","")</f>
        <v/>
      </c>
      <c r="G288" s="963" t="str">
        <f>IF($A$286&gt;=17,"更骯髒的把戲","")</f>
        <v/>
      </c>
      <c r="H288" s="964"/>
      <c r="I288" s="964"/>
      <c r="J288" s="964"/>
    </row>
    <row r="289">
      <c r="A289" s="925"/>
      <c r="B289" s="965" t="s">
        <v>526</v>
      </c>
      <c r="C289" s="965" t="str">
        <f>IF($A$286&gt;=3,"基本功","")</f>
        <v/>
      </c>
      <c r="D289" s="965" t="str">
        <f>IF($A$286&gt;=3,"肌肉本錢","")</f>
        <v/>
      </c>
      <c r="E289" s="965" t="str">
        <f>IF($A$286&gt;=6,"肉盾","")</f>
        <v/>
      </c>
      <c r="F289" s="965" t="str">
        <f>IF($A$286&gt;=11,"重量級","")</f>
        <v/>
      </c>
      <c r="G289" s="965" t="str">
        <f>IF($A$286&gt;=17,"乾淨收尾","")</f>
        <v/>
      </c>
      <c r="H289" s="965"/>
      <c r="I289" s="965"/>
      <c r="J289" s="965"/>
    </row>
    <row r="290">
      <c r="A290" s="925"/>
      <c r="B290" s="962" t="s">
        <v>527</v>
      </c>
      <c r="C290" s="963" t="str">
        <f>IF($A$286&gt;=3,"引導神力","")</f>
        <v/>
      </c>
      <c r="D290" s="963" t="str">
        <f>IF($A$286&gt;=3,"聖療","")</f>
        <v/>
      </c>
      <c r="E290" s="963" t="str">
        <f>IF($A$286&gt;=6,"受創仍堅","")</f>
        <v/>
      </c>
      <c r="F290" s="963" t="str">
        <f>IF($A$286&gt;=11,"堅韌靈光","")</f>
        <v/>
      </c>
      <c r="G290" s="963" t="str">
        <f>IF($A$286&gt;=17,"聖化之手","")</f>
        <v/>
      </c>
      <c r="H290" s="964"/>
      <c r="I290" s="964"/>
      <c r="J290" s="964"/>
    </row>
    <row r="291">
      <c r="A291" s="925"/>
      <c r="B291" s="965" t="s">
        <v>528</v>
      </c>
      <c r="C291" s="965" t="str">
        <f>IF($A$286&gt;=3,"裸拳拳擊","")</f>
        <v/>
      </c>
      <c r="D291" s="965" t="str">
        <f>IF($A$286&gt;=3,"交叉反擊","")</f>
        <v/>
      </c>
      <c r="E291" s="965" t="str">
        <f>IF($A$286&gt;=6,"連段製造者","")</f>
        <v/>
      </c>
      <c r="F291" s="965" t="str">
        <f>IF($A$286&gt;=11,"連段終結者","")</f>
        <v/>
      </c>
      <c r="G291" s="965" t="str">
        <f>IF($A$286&gt;=17,"擊倒","")</f>
        <v/>
      </c>
      <c r="H291" s="965"/>
      <c r="I291" s="965"/>
      <c r="J291" s="965"/>
    </row>
  </sheetData>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6" width="18.71"/>
  </cols>
  <sheetData>
    <row r="1">
      <c r="A1" s="906" t="str">
        <f>IF('請先閱讀'!F34=true,"奇械師-Artificer","")</f>
        <v>奇械師-Artificer</v>
      </c>
      <c r="B1" s="966" t="s">
        <v>408</v>
      </c>
      <c r="C1" s="966" t="s">
        <v>415</v>
      </c>
      <c r="D1" s="966" t="s">
        <v>424</v>
      </c>
      <c r="E1" s="966" t="s">
        <v>1055</v>
      </c>
      <c r="F1" s="966" t="s">
        <v>440</v>
      </c>
      <c r="G1" s="966" t="str">
        <f>IF('請先閱讀'!O29=true,"銃士-Gunslinger","")</f>
        <v/>
      </c>
      <c r="H1" s="966" t="s">
        <v>1056</v>
      </c>
      <c r="I1" s="966" t="str">
        <f>IF('請先閱讀'!O31=true,"怪物獵人-Monster Hunter","")</f>
        <v/>
      </c>
      <c r="J1" s="966" t="s">
        <v>1057</v>
      </c>
      <c r="K1" s="966" t="str">
        <f>IF('請先閱讀'!O34=true,"拳鬥士-Pugilist","")</f>
        <v/>
      </c>
      <c r="L1" s="966" t="s">
        <v>464</v>
      </c>
      <c r="M1" s="966" t="s">
        <v>471</v>
      </c>
      <c r="N1" s="966" t="s">
        <v>1058</v>
      </c>
      <c r="O1" s="966" t="s">
        <v>1059</v>
      </c>
      <c r="P1" s="967" t="s">
        <v>245</v>
      </c>
    </row>
    <row r="2">
      <c r="A2" s="906">
        <f>IFNA(VLOOKUP(A1,'角色卡'!$AB$16:$AM$18,11,FALSE),0)</f>
        <v>0</v>
      </c>
      <c r="B2" s="966">
        <f>IFNA(VLOOKUP(B1,'角色卡'!$AB$16:$AM$18,11,FALSE),0)</f>
        <v>0</v>
      </c>
      <c r="C2" s="968">
        <f>IFNA(VLOOKUP(C1,'角色卡'!$AB$16:$AM$18,11,FALSE),0)</f>
        <v>0</v>
      </c>
      <c r="D2" s="968">
        <f>IFNA(VLOOKUP(D1,'角色卡'!$AB$16:$AM$18,11,FALSE),0)</f>
        <v>0</v>
      </c>
      <c r="E2" s="968">
        <f>IFNA(VLOOKUP(E1,'角色卡'!$AB$16:$AM$18,11,FALSE),0)</f>
        <v>0</v>
      </c>
      <c r="F2" s="968">
        <f>IFNA(VLOOKUP(F1,'角色卡'!$AB$16:$AM$18,11,FALSE),0)</f>
        <v>0</v>
      </c>
      <c r="G2" s="968">
        <f>IFNA(VLOOKUP(G1,'角色卡'!$AB$16:$AM$18,11,FALSE),0)</f>
        <v>0</v>
      </c>
      <c r="H2" s="968">
        <f>IFNA(VLOOKUP(H1,'角色卡'!$AB$16:$AM$18,11,FALSE),0)</f>
        <v>0</v>
      </c>
      <c r="I2" s="968">
        <f>IFNA(VLOOKUP(I1,'角色卡'!$AB$16:$AM$18,11,FALSE),0)</f>
        <v>0</v>
      </c>
      <c r="J2" s="968">
        <f>IFNA(VLOOKUP(J1,'角色卡'!$AB$16:$AM$18,11,FALSE),0)</f>
        <v>0</v>
      </c>
      <c r="K2" s="968">
        <f>IFNA(VLOOKUP(K1,'角色卡'!$AB$16:$AM$18,11,FALSE),0)</f>
        <v>0</v>
      </c>
      <c r="L2" s="968">
        <f>IFNA(VLOOKUP(L1,'角色卡'!$AB$16:$AM$18,11,FALSE),0)</f>
        <v>0</v>
      </c>
      <c r="M2" s="968">
        <f>IFNA(VLOOKUP(M1,'角色卡'!$AB$16:$AM$18,11,FALSE),0)</f>
        <v>0</v>
      </c>
      <c r="N2" s="968">
        <f>IFNA(VLOOKUP(N1,'角色卡'!$AB$16:$AM$18,11,FALSE),0)</f>
        <v>0</v>
      </c>
      <c r="O2" s="968">
        <f>IFNA(VLOOKUP(O1,'角色卡'!$AB$16:$AM$18,11,FALSE),0)</f>
        <v>0</v>
      </c>
      <c r="P2" s="968">
        <f>IFNA(VLOOKUP(P1,'角色卡'!$AB$16:$AM$18,11,FALSE),0)</f>
        <v>3</v>
      </c>
    </row>
    <row r="3">
      <c r="A3" s="907" t="str">
        <f>IF($A$2&gt;=1,"施法","")</f>
        <v/>
      </c>
      <c r="B3" s="907" t="str">
        <f>IF(B2&gt;=1,"狂暴("&amp;IF(B2&gt;=16,"+4",IF(B2&gt;=9,"+3","+2"))&amp;"/"&amp;IF(B2&gt;=17,"6次",IF(B2&gt;=12,"5次",IF(B2&gt;=6,"4次",IF(B2&gt;=3,"3次","2次"))))&amp;")","")</f>
        <v/>
      </c>
      <c r="C3" s="907" t="str">
        <f>IF(C2&gt;=1,"吟遊激勵("&amp;IF(C2&gt;=15,"1d12",IF(C2&gt;=10,"1d10",IF(C2&gt;=5,"1d8","1d6")))&amp;")","")</f>
        <v/>
      </c>
      <c r="D3" s="907" t="str">
        <f t="shared" ref="D3:E3" si="1">IF(D$2&gt;=1,"施法","")</f>
        <v/>
      </c>
      <c r="E3" s="907" t="str">
        <f t="shared" si="1"/>
        <v/>
      </c>
      <c r="F3" s="907" t="str">
        <f t="shared" ref="F3:G3" si="2">IF(F$2&gt;=1,"戰鬥風格","")</f>
        <v/>
      </c>
      <c r="G3" s="907" t="str">
        <f t="shared" si="2"/>
        <v/>
      </c>
      <c r="H3" s="969" t="str">
        <f>IF(H2&gt;=1,"武藝("&amp;IF(H2&gt;=17,"1d12",IF(H2&gt;=11,"1d10",IF(H2&gt;=5,"1d8","1d6")))&amp;")","")</f>
        <v/>
      </c>
      <c r="I3" s="969" t="str">
        <f>IF(I$2&gt;=1,"怪物寶典("&amp;IF(I2&gt;=13,"4",IF(H2&gt;=6,"3","2"))&amp;"種)","")</f>
        <v/>
      </c>
      <c r="J3" s="907" t="str">
        <f>IF(J$2&gt;=1,"聖療("&amp;5*J2&amp;"點)","")</f>
        <v/>
      </c>
      <c r="K3" s="969" t="str">
        <f>IF(K$2&gt;=1,"拳鬥("&amp;IF(K$2&gt;=17,"2d6",IF(K$2&gt;=11,"1d12",IF(K$2&gt;=5,"1d10","1d8")))&amp;")","")</f>
        <v/>
      </c>
      <c r="L3" s="907" t="str">
        <f>IF(L$2&gt;=1,"施法","")</f>
        <v/>
      </c>
      <c r="M3" s="969" t="str">
        <f>IF(M$2&gt;=1,"專精"&amp;IF(M2&gt;=6,"(4種)","(2種)"),"")</f>
        <v/>
      </c>
      <c r="N3" s="907" t="str">
        <f>IF(N$2&gt;=1,"施法","")</f>
        <v/>
      </c>
      <c r="O3" s="907" t="str">
        <f>IF(O$2&gt;=1,"魔能祈喚"&amp;IF(O2&gt;=18,"(10項)",IF(O2&gt;=15,"(9項)",IF(O2&gt;=12,"(8項)",IF(O2&gt;=9,"(7項)",IF(O2&gt;=7,"(6項)",IF(O2&gt;=5,"(5項)",IF(O2&gt;=2,"(3項)","(1項)"))))))),"")</f>
        <v/>
      </c>
      <c r="P3" s="907" t="str">
        <f>IF(P$2&gt;=1,"施法","")</f>
        <v>施法</v>
      </c>
    </row>
    <row r="4">
      <c r="A4" s="907" t="str">
        <f>IF($A$2&gt;=1,"工藝魔法","")</f>
        <v/>
      </c>
      <c r="B4" s="907" t="str">
        <f>IF(B2&gt;=1,"無甲防禦","")</f>
        <v/>
      </c>
      <c r="C4" s="907" t="str">
        <f>IF(C2&gt;=1,"施法","")</f>
        <v/>
      </c>
      <c r="D4" s="907" t="str">
        <f>IF(D2&gt;=1,"聖職"&amp;'職業能力選項'!N3,"")</f>
        <v/>
      </c>
      <c r="E4" s="907" t="str">
        <f>IF(E$2&gt;=1,"德魯伊語","")</f>
        <v/>
      </c>
      <c r="F4" s="907" t="str">
        <f>IF(F2&gt;=1,"回氣"&amp;IF(F2&gt;=10,"(4次)",IF(F2&gt;=4,"(3次)","(2次)")),"")</f>
        <v/>
      </c>
      <c r="G4" s="907" t="str">
        <f>IF(G$2&gt;=1,"快速拔槍","")</f>
        <v/>
      </c>
      <c r="H4" s="907" t="str">
        <f>IF(H$2&gt;=1,"無甲防禦","")</f>
        <v/>
      </c>
      <c r="I4" s="969" t="str">
        <f>IF(I$2&gt;=1,"武器精通"&amp;IF(I$2&gt;=16,"(5種)",IF(I$2&gt;=11,"(4種)",IF(I$2&gt;=5,"(3種)","(2種)"))),"")</f>
        <v/>
      </c>
      <c r="J4" s="907" t="str">
        <f>IF(J$2&gt;=1,"施法","")</f>
        <v/>
      </c>
      <c r="K4" s="907" t="str">
        <f>IF(K$2&gt;=1,"硬骨頭","")</f>
        <v/>
      </c>
      <c r="L4" s="907" t="str">
        <f>IF(L2&gt;=1,"宿敵("&amp;ROUNDUP(L2/4+1,0)&amp;"次)","")</f>
        <v/>
      </c>
      <c r="M4" s="969" t="str">
        <f>IF(M$2&gt;=1,"偷襲("&amp;ROUNDUP(M2/2,0)&amp;"d6)","")</f>
        <v/>
      </c>
      <c r="N4" s="907" t="str">
        <f>IF(N$2&gt;=1,"先天術法","")</f>
        <v/>
      </c>
      <c r="O4" s="907" t="str">
        <f>IF(O$2&gt;=1,"契約魔法","")</f>
        <v/>
      </c>
      <c r="P4" s="907" t="str">
        <f>IF(P$2&gt;=1,"儀式學家","")</f>
        <v>儀式學家</v>
      </c>
    </row>
    <row r="5">
      <c r="A5" s="907" t="str">
        <f>IF($A$2&gt;=2,"再現魔法物品","")</f>
        <v/>
      </c>
      <c r="B5" s="907" t="str">
        <f>IF(B2&gt;=1,"武器精通"&amp;IF(B2&gt;=10,"(4種)",IF(B2&gt;=4,"(3種)","(2種)")),"")</f>
        <v/>
      </c>
      <c r="C5" s="969" t="str">
        <f>IF(C2&gt;=2,"專精"&amp;IF(C2&gt;=9,"(4種)","(2種)"),"")</f>
        <v/>
      </c>
      <c r="D5" s="907" t="str">
        <f>IF(D2&gt;=2,"引導神力"&amp;IF(D2&gt;=18,"(4次)",IF(D2&gt;=6,"(3次)","(2次)")),"")</f>
        <v/>
      </c>
      <c r="E5" s="907" t="str">
        <f>IF(E$2&gt;=1,"原初職責"&amp;'職業能力選項'!R3,"")</f>
        <v/>
      </c>
      <c r="F5" s="907" t="str">
        <f>IF(F2&gt;=1,"武器精通"&amp;IF(F2&gt;=16,"(6種)",IF(F2&gt;=10,"(5種)",IF(F2&gt;=4,"(4種)","(3種)"))),"")</f>
        <v/>
      </c>
      <c r="G5" s="907" t="str">
        <f>IF(G$2&gt;=1,"武器精通"&amp;IF(G$2&gt;=10,"(4種)",IF(G$2&gt;=4,"(3種)","(2種)")),"")</f>
        <v/>
      </c>
      <c r="H5" s="907" t="str">
        <f>IF(H$2&gt;=2,"武僧武功("&amp;H2&amp;"點)","")</f>
        <v/>
      </c>
      <c r="I5" s="969" t="str">
        <f>IF(I$2&gt;=2,"戰鬥風格","")</f>
        <v/>
      </c>
      <c r="J5" s="907" t="str">
        <f>IF(J$2&gt;=1,"武器精通(2種)","")</f>
        <v/>
      </c>
      <c r="K5" s="907" t="str">
        <f>IF(K$2&gt;=2,"膽識("&amp;ROUNDDOWN(K2/2,0)+1+IF(K2&gt;=19,1,0)&amp;"點)","")</f>
        <v/>
      </c>
      <c r="L5" s="907" t="str">
        <f>IF(L$2&gt;=1,"武器精通(2種)","")</f>
        <v/>
      </c>
      <c r="M5" s="969" t="str">
        <f>IF(M$2&gt;=1,"竊賊黑話","")</f>
        <v/>
      </c>
      <c r="N5" s="907" t="str">
        <f>IF(N$2&gt;=2,"魔力泉湧("&amp;N2&amp;"點)","")</f>
        <v/>
      </c>
      <c r="O5" s="907" t="str">
        <f>IF(O$2&gt;=2,"祕法回流","")</f>
        <v/>
      </c>
      <c r="P5" s="907" t="str">
        <f>IF(P$2&gt;=1,"奧術恢復("&amp;ROUNDUP(P2/2,0)&amp;"個環位)","")</f>
        <v>奧術恢復(2個環位)</v>
      </c>
    </row>
    <row r="6">
      <c r="A6" s="907" t="str">
        <f>IF($A$2&gt;=2," - "&amp;IF(A2&gt;=18,"8個方案/6個物品",IF(A2&gt;=14,"7個方案/5個物品",IF(A2&gt;=10,"6個方案/4個物品",IF(A2&gt;=6,"5個方案/3個物品","4個方案/2個物品")))),"")</f>
        <v/>
      </c>
      <c r="B6" s="907" t="str">
        <f>IF(B2&gt;=2,"險境感知","")</f>
        <v/>
      </c>
      <c r="C6" s="907" t="str">
        <f>IF(C2&gt;=2,"全能高手","")</f>
        <v/>
      </c>
      <c r="D6" s="907" t="str">
        <f>IF(D2&gt;=2,"-引導神力：神聖火花"&amp;IF(D2&gt;=18,"(4d8)",IF(D2&gt;=13,"(3d8)",IF(D2&gt;=7,"(2d8)","(1d8)"))),"")</f>
        <v/>
      </c>
      <c r="E6" s="907" t="str">
        <f>IF(E$2&gt;=2,"荒野型態"&amp;IF(E2&gt;=17,"(4次/",IF(E2&gt;=6,"(3次/","(2次/"))&amp;IF(E2&gt;=8,"8種)",IF(E2&gt;=4,"6種)","4種)")),"")</f>
        <v/>
      </c>
      <c r="F6" s="907" t="str">
        <f>IF(F2&gt;=2,"動作如潮"&amp;IF(F2&gt;=17,"(2次)","(1次)"),"")</f>
        <v/>
      </c>
      <c r="G6" s="907" t="str">
        <f>IF(G$2&gt;=2,"致命射擊","")</f>
        <v/>
      </c>
      <c r="H6" s="969" t="str">
        <f>IF(H2&gt;=2,"無甲移動(+"&amp;IF(H2&gt;=18,30,IF(H2&gt;=14,25,IF(H2&gt;=10,20,IF(H2&gt;=6,15,10))))&amp;"呎)","")</f>
        <v/>
      </c>
      <c r="I6" s="969" t="str">
        <f>IF(I$2&gt;=2,"研習應對","")</f>
        <v/>
      </c>
      <c r="J6" s="907" t="str">
        <f>IF(J$2&gt;=2,"戰鬥風格","")</f>
        <v/>
      </c>
      <c r="K6" s="907" t="str">
        <f>IF(K$2&gt;=2,"見血不屈","")</f>
        <v/>
      </c>
      <c r="L6" s="907" t="str">
        <f>IF(L$2&gt;=2,"熟練探險家","")</f>
        <v/>
      </c>
      <c r="M6" s="969" t="str">
        <f>IF(M$2&gt;=1,"武器精通","")</f>
        <v/>
      </c>
      <c r="N6" s="907" t="str">
        <f>IF(N$2&gt;=2,"超魔法("&amp;IF(N2&gt;=17,6,IF(N2&gt;=10,4,2))&amp;"項)","")</f>
        <v/>
      </c>
      <c r="O6" s="907" t="str">
        <f>IF(O$2&gt;=9,"聯繫宗主","")</f>
        <v/>
      </c>
      <c r="P6" s="907" t="str">
        <f>IF(P$2&gt;=2,"學者","")</f>
        <v>學者</v>
      </c>
    </row>
    <row r="7">
      <c r="A7" s="907" t="str">
        <f>IF($A$2&gt;=6,"魔法物品工藝","")</f>
        <v/>
      </c>
      <c r="B7" s="907" t="str">
        <f>IF(B2&gt;=2,"魯莽攻擊","")</f>
        <v/>
      </c>
      <c r="C7" s="969" t="str">
        <f>IF(C2&gt;=5,"激勵湧泉","")</f>
        <v/>
      </c>
      <c r="D7" s="907" t="str">
        <f>IF(D2&gt;=2,"-引導神力：驅散亡靈","")</f>
        <v/>
      </c>
      <c r="E7" s="907" t="str">
        <f>IF(E$2&gt;=2,"荒野夥伴","")</f>
        <v/>
      </c>
      <c r="F7" s="907" t="str">
        <f>IF(F$2&gt;=2,"戰術思維","")</f>
        <v/>
      </c>
      <c r="G7" s="907" t="str">
        <f>IF(G$2&gt;=2,"犯險","")</f>
        <v/>
      </c>
      <c r="H7" s="969" t="str">
        <f>IF(H$2&gt;=2,"運轉周天","")</f>
        <v/>
      </c>
      <c r="I7" s="969" t="str">
        <f>IF(I$2&gt;=5,"精準打擊","")</f>
        <v/>
      </c>
      <c r="J7" s="907" t="str">
        <f>IF(J$2&gt;=2,"聖騎士斬擊","")</f>
        <v/>
      </c>
      <c r="K7" s="907" t="str">
        <f>IF(K$2&gt;=2,"強運","")</f>
        <v/>
      </c>
      <c r="L7" s="907" t="str">
        <f>IF(L$2&gt;=2,"戰鬥風格","")</f>
        <v/>
      </c>
      <c r="M7" s="969" t="str">
        <f>IF(M$2&gt;=2,"靈巧動作","")</f>
        <v/>
      </c>
      <c r="N7" s="907" t="str">
        <f>IF(N$2&gt;=5,"術法復甦(恢復"&amp;ROUNDDOWN(N2/2,0)&amp;"點)","")</f>
        <v/>
      </c>
      <c r="O7" s="907" t="str">
        <f>IF(O$2&gt;=11,"玄奥秘法(6~"&amp;IF(O2&gt;=17,9,ROUNDUP(O2/2,0))&amp;"環)","")</f>
        <v/>
      </c>
      <c r="P7" s="907" t="str">
        <f>IF(P$2&gt;=5,"記憶法術","")</f>
        <v/>
      </c>
    </row>
    <row r="8">
      <c r="A8" s="907" t="str">
        <f>IF($A$2&gt;=7,"靈光一閃","")</f>
        <v/>
      </c>
      <c r="B8" s="907" t="str">
        <f>IF(B2&gt;=3,"原初學識","")</f>
        <v/>
      </c>
      <c r="C8" s="969" t="str">
        <f>IF(C2&gt;=7,"反制迷惑","")</f>
        <v/>
      </c>
      <c r="D8" s="907" t="str">
        <f>IF(D2&gt;=5,"灼淨亡靈","")</f>
        <v/>
      </c>
      <c r="E8" s="907" t="str">
        <f>IF(E$2&gt;=5,"荒野復甦","")</f>
        <v/>
      </c>
      <c r="F8" s="907" t="str">
        <f>IF(F2&gt;=5,"額外攻擊"&amp;IF(F2&gt;=20,"(三)",IF(F2&gt;=11,"(二)","")),"")</f>
        <v/>
      </c>
      <c r="G8" s="907" t="str">
        <f>IF(G$2&gt;=5,"額外攻擊","")</f>
        <v/>
      </c>
      <c r="H8" s="969" t="str">
        <f>IF(H$2&gt;=3,"撥檔攻擊","")</f>
        <v/>
      </c>
      <c r="I8" s="969" t="str">
        <f>IF(I$2&gt;=6,"進階怪物寶典","")</f>
        <v/>
      </c>
      <c r="J8" s="907" t="str">
        <f>IF(J2&gt;=3,"引導神力"&amp;IF(J2&gt;=11,"(3次)","(2次)"),"")</f>
        <v/>
      </c>
      <c r="K8" s="907" t="str">
        <f>IF(K$2&gt;=3,"重拳出擊","")</f>
        <v/>
      </c>
      <c r="L8" s="907" t="str">
        <f>IF(L$2&gt;=5,"額外攻擊","")</f>
        <v/>
      </c>
      <c r="M8" s="969" t="str">
        <f>IF(M$2&gt;=3,"手穩就準","")</f>
        <v/>
      </c>
      <c r="N8" s="907" t="str">
        <f>IF(N$2&gt;=7,"術法化身","")</f>
        <v/>
      </c>
      <c r="O8" s="907" t="str">
        <f>IF(O$2&gt;=20,"魔能掌控","")</f>
        <v/>
      </c>
      <c r="P8" s="907" t="str">
        <f>IF(P$2&gt;=18,"法術精通","")</f>
        <v/>
      </c>
    </row>
    <row r="9">
      <c r="A9" s="907" t="str">
        <f>IF($A$2&gt;=10,"魔法物品熟稔","")</f>
        <v/>
      </c>
      <c r="B9" s="907" t="str">
        <f>IF(B2&gt;=5,"額外攻擊","")</f>
        <v/>
      </c>
      <c r="C9" s="969" t="str">
        <f>IF(C2&gt;=10,"魔法秘密","")</f>
        <v/>
      </c>
      <c r="D9" s="907" t="str">
        <f>IF(D2&gt;=7,"受祝擊"&amp;'職業能力選項'!N6,"")</f>
        <v/>
      </c>
      <c r="E9" s="907" t="str">
        <f>IF(E$2&gt;=7,"元素狂怒"&amp;'職業能力選項'!R16,"")</f>
        <v/>
      </c>
      <c r="F9" s="907" t="str">
        <f>IF(F$2&gt;=5,"戰術位移","")</f>
        <v/>
      </c>
      <c r="G9" s="907" t="str">
        <f>IF(G$2&gt;=5,"內臟射擊","")</f>
        <v/>
      </c>
      <c r="H9" s="969" t="str">
        <f>IF(H$2&gt;=4,"輕身墜","")</f>
        <v/>
      </c>
      <c r="I9" s="969" t="str">
        <f>IF(I$2&gt;=9,"博學防禦","")</f>
        <v/>
      </c>
      <c r="J9" s="907" t="str">
        <f>IF(J$2&gt;=3,"-引導神力：神聖感知","")</f>
        <v/>
      </c>
      <c r="K9" s="907" t="str">
        <f>IF(K$2&gt;=4,"全力以赴","")</f>
        <v/>
      </c>
      <c r="L9" s="907" t="str">
        <f>IF(L$2&gt;=6,"越野","")</f>
        <v/>
      </c>
      <c r="M9" s="969" t="str">
        <f>IF(M$2&gt;=5,"詭詐打擊","")</f>
        <v/>
      </c>
      <c r="N9" s="907" t="str">
        <f>IF(N$2&gt;=20,"奧術登神","")</f>
        <v/>
      </c>
      <c r="O9" s="907"/>
      <c r="P9" s="907" t="str">
        <f>IF(P$2&gt;=20,"招牌法術","")</f>
        <v/>
      </c>
    </row>
    <row r="10">
      <c r="A10" s="907" t="str">
        <f>IF($A$2&gt;=11,"儲法物品","")</f>
        <v/>
      </c>
      <c r="B10" s="907" t="str">
        <f>IF(B2&gt;=5,"快速移動","")</f>
        <v/>
      </c>
      <c r="C10" s="969" t="str">
        <f>IF(C2&gt;=18,"卓越激勵","")</f>
        <v/>
      </c>
      <c r="D10" s="907" t="str">
        <f>IF(D2&gt;=10,"神力干預","")</f>
        <v/>
      </c>
      <c r="E10" s="907" t="str">
        <f>IF(E$2&gt;=15,"強化元素狂怒","")</f>
        <v/>
      </c>
      <c r="F10" s="907" t="str">
        <f>IF(F2&gt;=9,"不屈"&amp;IF(F2&gt;=17,"(3次)",IF(F2&gt;=13,"(2次)","(1次)")),"")</f>
        <v/>
      </c>
      <c r="G10" s="907" t="str">
        <f>IF(G$2&gt;=7,"反射閃避","")</f>
        <v/>
      </c>
      <c r="H10" s="969" t="str">
        <f>IF(H$2&gt;=5,"額外攻擊","")</f>
        <v/>
      </c>
      <c r="I10" s="969" t="str">
        <f>IF(I$2&gt;=11,"額外攻擊","")</f>
        <v/>
      </c>
      <c r="J10" s="907" t="str">
        <f>IF(J$2&gt;=5,"額外攻擊","")</f>
        <v/>
      </c>
      <c r="K10" s="907" t="str">
        <f>IF(K$2&gt;=5,"強力一擊","")</f>
        <v/>
      </c>
      <c r="L10" s="907" t="str">
        <f>IF(L$2&gt;=9,"專精","")</f>
        <v/>
      </c>
      <c r="M10" s="969" t="str">
        <f>IF(M$2&gt;=5,"直覺閃避","")</f>
        <v/>
      </c>
      <c r="N10" s="907"/>
      <c r="O10" s="907"/>
      <c r="P10" s="907"/>
    </row>
    <row r="11">
      <c r="A11" s="907" t="str">
        <f>IF($A$2&gt;=14,"進階技藝","")</f>
        <v/>
      </c>
      <c r="B11" s="907" t="str">
        <f>IF(B2&gt;=7,"野性直覺","")</f>
        <v/>
      </c>
      <c r="C11" s="969" t="str">
        <f>IF(C2&gt;=20,"創造之言","")</f>
        <v/>
      </c>
      <c r="D11" s="907" t="str">
        <f>IF(D2&gt;=14,"強化受祝擊","")</f>
        <v/>
      </c>
      <c r="E11" s="907" t="str">
        <f>IF(E$2&gt;=18,"野獸施法","")</f>
        <v/>
      </c>
      <c r="F11" s="907" t="str">
        <f>IF(F$2&gt;=9,"戰術大師","")</f>
        <v/>
      </c>
      <c r="G11" s="907" t="str">
        <f>IF(G$2&gt;=11,"趕盡殺絕","")</f>
        <v/>
      </c>
      <c r="H11" s="969" t="str">
        <f>IF(H$2&gt;=5,"震懾拳","")</f>
        <v/>
      </c>
      <c r="I11" s="969" t="str">
        <f>IF(I$2&gt;=13,"高等怪物寶典","")</f>
        <v/>
      </c>
      <c r="J11" s="907" t="str">
        <f>IF(J$2&gt;=5,"虔誠坐騎","")</f>
        <v/>
      </c>
      <c r="K11" s="907" t="str">
        <f>IF(K$2&gt;=6,"壯膽之拳","")</f>
        <v/>
      </c>
      <c r="L11" s="907" t="str">
        <f>IF(L$2&gt;=10,"不知疲倦","")</f>
        <v/>
      </c>
      <c r="M11" s="969" t="str">
        <f>IF(M$2&gt;=7,"反射閃避","")</f>
        <v/>
      </c>
      <c r="N11" s="907"/>
      <c r="O11" s="907"/>
      <c r="P11" s="907"/>
    </row>
    <row r="12">
      <c r="A12" s="907" t="str">
        <f>IF($A$2&gt;=18,"魔法物品大師","")</f>
        <v/>
      </c>
      <c r="B12" s="907" t="str">
        <f>IF(B2&gt;=7,"直覺猛撲","")</f>
        <v/>
      </c>
      <c r="C12" s="969"/>
      <c r="D12" s="907" t="str">
        <f>IF(D2&gt;=20,"進階神聖干預","")</f>
        <v/>
      </c>
      <c r="E12" s="907" t="str">
        <f>IF(E$2&gt;=20,"大德魯伊","")</f>
        <v/>
      </c>
      <c r="F12" s="907" t="str">
        <f>IF(F$2&gt;=13,"分析攻擊","")</f>
        <v/>
      </c>
      <c r="G12" s="907" t="str">
        <f>IF(G$2&gt;=13,"死亡欺詐","")</f>
        <v/>
      </c>
      <c r="H12" s="969" t="str">
        <f>IF(H$2&gt;=6,"真氣注拳","")</f>
        <v/>
      </c>
      <c r="I12" s="969" t="str">
        <f>IF(I$2&gt;=1,"巢穴感知","")</f>
        <v/>
      </c>
      <c r="J12" s="907" t="str">
        <f>IF(J$2&gt;=6,"守護靈光","")</f>
        <v/>
      </c>
      <c r="K12" s="907" t="str">
        <f>IF(K$2&gt;=7,"潦而不倒","")</f>
        <v/>
      </c>
      <c r="L12" s="907" t="str">
        <f>IF(L$2&gt;=13,"無盡追獵","")</f>
        <v/>
      </c>
      <c r="M12" s="969" t="str">
        <f>IF(M$2&gt;=7,"可靠才能","")</f>
        <v/>
      </c>
      <c r="N12" s="907"/>
      <c r="O12" s="907"/>
      <c r="P12" s="907"/>
    </row>
    <row r="13">
      <c r="A13" s="907" t="str">
        <f>IF($A$2&gt;=20,"技藝之魂","")</f>
        <v/>
      </c>
      <c r="B13" s="907" t="str">
        <f>IF(B2&gt;=9,"兇猛打擊","")</f>
        <v/>
      </c>
      <c r="C13" s="969"/>
      <c r="F13" s="969"/>
      <c r="G13" s="907" t="str">
        <f>IF(G$2&gt;=15,"險境博弈","")</f>
        <v/>
      </c>
      <c r="H13" s="969" t="str">
        <f>IF(H$2&gt;=7,"反射閃避","")</f>
        <v/>
      </c>
      <c r="I13" s="969" t="str">
        <f>IF(I$2&gt;=17,"屠戮者援助","")</f>
        <v/>
      </c>
      <c r="J13" s="907" t="str">
        <f>IF(J$2&gt;=9,"引導神力：斥退眾敵","")</f>
        <v/>
      </c>
      <c r="K13" s="907" t="str">
        <f>IF(K$2&gt;=9,"硬漢訓練","")</f>
        <v/>
      </c>
      <c r="L13" s="907" t="str">
        <f>IF(L$2&gt;=14,"自然面紗","")</f>
        <v/>
      </c>
      <c r="M13" s="969" t="str">
        <f>IF(M$2&gt;=11,"強化詭詐打擊","")</f>
        <v/>
      </c>
      <c r="N13" s="907"/>
      <c r="O13" s="907"/>
      <c r="P13" s="907"/>
    </row>
    <row r="14">
      <c r="A14" s="907"/>
      <c r="B14" s="907" t="str">
        <f>IF(B2&gt;=11,"頑強狂暴","")</f>
        <v/>
      </c>
      <c r="C14" s="969"/>
      <c r="E14" s="969"/>
      <c r="F14" s="969"/>
      <c r="G14" s="907" t="str">
        <f>IF(G$2&gt;=18,"靈巧戰技","")</f>
        <v/>
      </c>
      <c r="H14" s="969" t="str">
        <f>IF(H$2&gt;=9,"飛簷走壁","")</f>
        <v/>
      </c>
      <c r="I14" s="969" t="str">
        <f>IF(I$2&gt;=20,"送葬一擊","")</f>
        <v/>
      </c>
      <c r="J14" s="907" t="str">
        <f>IF(J$2&gt;=10,"勇氣靈光","")</f>
        <v/>
      </c>
      <c r="K14" s="907" t="str">
        <f>IF(K$2&gt;=10,"大力士","")</f>
        <v/>
      </c>
      <c r="L14" s="907" t="str">
        <f>IF(L$2&gt;=17,"致命獵殺","")</f>
        <v/>
      </c>
      <c r="M14" s="969" t="str">
        <f>IF(M$2&gt;=14,"凶狡打擊","")</f>
        <v/>
      </c>
      <c r="N14" s="907"/>
      <c r="O14" s="907"/>
      <c r="P14" s="907"/>
    </row>
    <row r="15">
      <c r="A15" s="907"/>
      <c r="B15" s="907" t="str">
        <f>IF(B2&gt;=13,"強化兇猛打擊","")</f>
        <v/>
      </c>
      <c r="C15" s="969"/>
      <c r="D15" s="969"/>
      <c r="E15" s="969"/>
      <c r="F15" s="969"/>
      <c r="G15" s="907" t="str">
        <f>IF(G$2&gt;=20,"爆頭","")</f>
        <v/>
      </c>
      <c r="H15" s="969" t="str">
        <f>IF(H$2&gt;=10,"出神入化","")</f>
        <v/>
      </c>
      <c r="I15" s="969"/>
      <c r="J15" s="907" t="str">
        <f>IF(J$2&gt;=11,"光耀打擊","")</f>
        <v/>
      </c>
      <c r="K15" s="907" t="str">
        <f>IF(K$2&gt;=10,"通通甩掉","")</f>
        <v/>
      </c>
      <c r="L15" s="907" t="str">
        <f>IF(L$2&gt;=18,"野性感官","")</f>
        <v/>
      </c>
      <c r="M15" s="969" t="str">
        <f>IF(M$2&gt;=15,"靈活心智","")</f>
        <v/>
      </c>
      <c r="N15" s="907"/>
      <c r="O15" s="907"/>
      <c r="P15" s="907"/>
    </row>
    <row r="16">
      <c r="A16" s="907"/>
      <c r="B16" s="907" t="str">
        <f>IF(B2&gt;=15,"持久狂暴","")</f>
        <v/>
      </c>
      <c r="C16" s="969"/>
      <c r="D16" s="969"/>
      <c r="E16" s="969"/>
      <c r="F16" s="969"/>
      <c r="G16" s="907"/>
      <c r="H16" s="969" t="str">
        <f>IF(H$2&gt;=10,"返本還元","")</f>
        <v/>
      </c>
      <c r="I16" s="969"/>
      <c r="J16" s="907" t="str">
        <f>IF(J$2&gt;=14,"復原之觸","")</f>
        <v/>
      </c>
      <c r="K16" s="907" t="str">
        <f>IF(K$2&gt;=13,"推進極限","")</f>
        <v/>
      </c>
      <c r="L16" s="907" t="str">
        <f>IF(L$2&gt;=20,"眾敵屠戮","")</f>
        <v/>
      </c>
      <c r="M16" s="969" t="str">
        <f>IF(M$2&gt;=18,"捉摸不定","")</f>
        <v/>
      </c>
      <c r="N16" s="907"/>
      <c r="O16" s="907"/>
      <c r="P16" s="907"/>
    </row>
    <row r="17">
      <c r="A17" s="907"/>
      <c r="B17" s="907" t="str">
        <f>IF(B2&gt;=17,"強化兇猛打擊","")</f>
        <v/>
      </c>
      <c r="C17" s="969"/>
      <c r="D17" s="969"/>
      <c r="E17" s="969"/>
      <c r="F17" s="969"/>
      <c r="G17" s="907"/>
      <c r="H17" s="969" t="str">
        <f>IF(H$2&gt;=13,"撥檔能量","")</f>
        <v/>
      </c>
      <c r="I17" s="969"/>
      <c r="J17" s="907" t="str">
        <f>IF(J$2&gt;=18,"靈光延展","")</f>
        <v/>
      </c>
      <c r="K17" s="907" t="str">
        <f>IF(K$2&gt;=14,"不可撼動","")</f>
        <v/>
      </c>
      <c r="L17" s="969"/>
      <c r="M17" s="969" t="str">
        <f>IF(M$2&gt;=20,"幸運一擊","")</f>
        <v/>
      </c>
      <c r="N17" s="907"/>
      <c r="O17" s="969"/>
      <c r="P17" s="907"/>
    </row>
    <row r="18">
      <c r="A18" s="907"/>
      <c r="B18" s="907" t="str">
        <f>IF(B2&gt;=18,"不屈勇武","")</f>
        <v/>
      </c>
      <c r="C18" s="969"/>
      <c r="D18" s="969"/>
      <c r="E18" s="969"/>
      <c r="F18" s="969"/>
      <c r="G18" s="907"/>
      <c r="H18" s="969" t="str">
        <f>IF(H$2&gt;=14,"圓融自在","")</f>
        <v/>
      </c>
      <c r="I18" s="969"/>
      <c r="J18" s="969"/>
      <c r="K18" s="907" t="str">
        <f>IF(K$2&gt;=15,"好鬥","")</f>
        <v/>
      </c>
      <c r="L18" s="969"/>
      <c r="M18" s="969"/>
      <c r="N18" s="969"/>
      <c r="O18" s="969"/>
      <c r="P18" s="907"/>
    </row>
    <row r="19">
      <c r="A19" s="907"/>
      <c r="B19" s="907" t="str">
        <f>IF(B2&gt;=20,"原初勇士","")</f>
        <v/>
      </c>
      <c r="C19" s="969"/>
      <c r="D19" s="969"/>
      <c r="E19" s="969"/>
      <c r="F19" s="969"/>
      <c r="G19" s="907"/>
      <c r="H19" s="969" t="str">
        <f>IF(H$2&gt;=15,"明鏡止水","")</f>
        <v/>
      </c>
      <c r="I19" s="969"/>
      <c r="J19" s="969"/>
      <c r="K19" s="907" t="str">
        <f>IF(K$2&gt;=18,"鬥魂","")</f>
        <v/>
      </c>
      <c r="L19" s="969"/>
      <c r="M19" s="969"/>
      <c r="N19" s="969"/>
      <c r="O19" s="969"/>
      <c r="P19" s="969"/>
    </row>
    <row r="20">
      <c r="A20" s="907"/>
      <c r="B20" s="907"/>
      <c r="C20" s="969"/>
      <c r="D20" s="969"/>
      <c r="E20" s="969"/>
      <c r="F20" s="969"/>
      <c r="G20" s="907"/>
      <c r="H20" s="969" t="str">
        <f>IF(H$2&gt;=18,"無懈可擊","")</f>
        <v/>
      </c>
      <c r="I20" s="969"/>
      <c r="J20" s="969"/>
      <c r="K20" s="907" t="str">
        <f>IF(K$2&gt;=20,"巔峰體格","")</f>
        <v/>
      </c>
      <c r="L20" s="969"/>
      <c r="M20" s="969"/>
      <c r="N20" s="969"/>
      <c r="O20" s="969"/>
      <c r="P20" s="969"/>
    </row>
    <row r="21">
      <c r="A21" s="969"/>
      <c r="B21" s="969"/>
      <c r="C21" s="969"/>
      <c r="D21" s="969"/>
      <c r="E21" s="969"/>
      <c r="F21" s="969"/>
      <c r="G21" s="907"/>
      <c r="H21" s="969" t="str">
        <f>IF(H$2&gt;=20,"身心合一","")</f>
        <v/>
      </c>
      <c r="I21" s="969"/>
      <c r="J21" s="969"/>
      <c r="K21" s="969"/>
      <c r="L21" s="969"/>
      <c r="M21" s="969"/>
      <c r="N21" s="969"/>
      <c r="O21" s="969"/>
      <c r="P21" s="969"/>
    </row>
    <row r="22">
      <c r="A22" s="969"/>
      <c r="B22" s="969"/>
      <c r="C22" s="969"/>
      <c r="D22" s="969"/>
      <c r="E22" s="969"/>
      <c r="F22" s="969"/>
      <c r="G22" s="907"/>
      <c r="H22" s="969"/>
      <c r="I22" s="969"/>
      <c r="J22" s="969"/>
      <c r="K22" s="969"/>
      <c r="L22" s="969"/>
      <c r="M22" s="969"/>
      <c r="N22" s="969"/>
      <c r="O22" s="969"/>
      <c r="P22" s="969"/>
    </row>
    <row r="23">
      <c r="A23" s="969"/>
      <c r="B23" s="969"/>
      <c r="C23" s="969"/>
      <c r="D23" s="969"/>
      <c r="E23" s="969"/>
      <c r="F23" s="969"/>
      <c r="G23" s="907"/>
      <c r="H23" s="969"/>
      <c r="I23" s="969"/>
      <c r="J23" s="969"/>
      <c r="K23" s="969"/>
      <c r="L23" s="969"/>
      <c r="M23" s="969"/>
      <c r="N23" s="969"/>
      <c r="O23" s="969"/>
      <c r="P23" s="969"/>
    </row>
    <row r="24">
      <c r="A24" s="969"/>
      <c r="B24" s="969"/>
      <c r="C24" s="969"/>
      <c r="D24" s="969"/>
      <c r="E24" s="969"/>
      <c r="F24" s="969"/>
      <c r="G24" s="907"/>
      <c r="H24" s="969"/>
      <c r="I24" s="969"/>
      <c r="J24" s="969"/>
      <c r="K24" s="969"/>
      <c r="L24" s="969"/>
      <c r="M24" s="969"/>
      <c r="N24" s="969"/>
      <c r="O24" s="969"/>
      <c r="P24" s="969"/>
    </row>
    <row r="25">
      <c r="A25" s="969"/>
      <c r="B25" s="969"/>
      <c r="C25" s="969"/>
      <c r="D25" s="969"/>
      <c r="E25" s="969"/>
      <c r="F25" s="969"/>
      <c r="G25" s="907"/>
      <c r="H25" s="969"/>
      <c r="I25" s="969"/>
      <c r="J25" s="969"/>
      <c r="K25" s="969"/>
      <c r="L25" s="969"/>
      <c r="M25" s="969"/>
      <c r="N25" s="969"/>
      <c r="O25" s="969"/>
      <c r="P25" s="969"/>
    </row>
    <row r="26">
      <c r="A26" s="969"/>
      <c r="B26" s="969"/>
      <c r="C26" s="969"/>
      <c r="D26" s="969"/>
      <c r="E26" s="969"/>
      <c r="F26" s="969"/>
      <c r="G26" s="907"/>
      <c r="H26" s="969"/>
      <c r="I26" s="969"/>
      <c r="J26" s="969"/>
      <c r="K26" s="969"/>
      <c r="L26" s="969"/>
      <c r="M26" s="969"/>
      <c r="N26" s="969"/>
      <c r="O26" s="969"/>
      <c r="P26" s="969"/>
    </row>
    <row r="27">
      <c r="A27" s="969"/>
      <c r="B27" s="969"/>
      <c r="C27" s="969"/>
      <c r="D27" s="969"/>
      <c r="E27" s="969"/>
      <c r="F27" s="969"/>
      <c r="G27" s="969"/>
      <c r="H27" s="969"/>
      <c r="I27" s="969"/>
      <c r="J27" s="969"/>
      <c r="K27" s="969"/>
      <c r="L27" s="969"/>
      <c r="M27" s="969"/>
      <c r="N27" s="969"/>
      <c r="O27" s="969"/>
      <c r="P27" s="969"/>
    </row>
    <row r="28">
      <c r="A28" s="969"/>
      <c r="B28" s="969"/>
      <c r="C28" s="969"/>
      <c r="D28" s="969"/>
      <c r="E28" s="969"/>
      <c r="F28" s="969"/>
      <c r="G28" s="969"/>
      <c r="H28" s="969"/>
      <c r="I28" s="969"/>
      <c r="J28" s="969"/>
      <c r="K28" s="969"/>
      <c r="L28" s="969"/>
      <c r="M28" s="969"/>
      <c r="N28" s="969"/>
      <c r="O28" s="969"/>
      <c r="P28" s="969"/>
    </row>
    <row r="29">
      <c r="A29" s="969"/>
      <c r="B29" s="969"/>
      <c r="C29" s="969"/>
      <c r="D29" s="969"/>
      <c r="E29" s="969"/>
      <c r="F29" s="969"/>
      <c r="G29" s="969"/>
      <c r="H29" s="969"/>
      <c r="I29" s="969"/>
      <c r="J29" s="969"/>
      <c r="K29" s="969"/>
      <c r="L29" s="969"/>
      <c r="M29" s="969"/>
      <c r="N29" s="969"/>
      <c r="O29" s="969"/>
      <c r="P29" s="969"/>
    </row>
    <row r="30">
      <c r="A30" s="969"/>
      <c r="B30" s="969"/>
      <c r="C30" s="969"/>
      <c r="D30" s="969"/>
      <c r="E30" s="969"/>
      <c r="F30" s="969"/>
      <c r="G30" s="969"/>
      <c r="H30" s="969"/>
      <c r="I30" s="969"/>
      <c r="J30" s="969"/>
      <c r="K30" s="969"/>
      <c r="L30" s="969"/>
      <c r="M30" s="969"/>
      <c r="N30" s="969"/>
      <c r="O30" s="969"/>
      <c r="P30" s="969"/>
    </row>
    <row r="31">
      <c r="A31" s="969"/>
      <c r="B31" s="969"/>
      <c r="C31" s="969"/>
      <c r="D31" s="969"/>
      <c r="E31" s="969"/>
      <c r="F31" s="969"/>
      <c r="G31" s="969"/>
      <c r="H31" s="969"/>
      <c r="I31" s="969"/>
      <c r="J31" s="969"/>
      <c r="K31" s="969"/>
      <c r="L31" s="969"/>
      <c r="M31" s="969"/>
      <c r="N31" s="969"/>
      <c r="O31" s="969"/>
      <c r="P31" s="969"/>
    </row>
    <row r="32">
      <c r="A32" s="969"/>
      <c r="B32" s="969"/>
      <c r="C32" s="969"/>
      <c r="D32" s="969"/>
      <c r="E32" s="969"/>
      <c r="F32" s="969"/>
      <c r="G32" s="969"/>
      <c r="H32" s="969"/>
      <c r="I32" s="969"/>
      <c r="J32" s="969"/>
      <c r="K32" s="969"/>
      <c r="L32" s="969"/>
      <c r="M32" s="969"/>
      <c r="N32" s="969"/>
      <c r="O32" s="969"/>
      <c r="P32" s="969"/>
    </row>
    <row r="33">
      <c r="A33" s="969"/>
      <c r="B33" s="969"/>
      <c r="C33" s="969"/>
      <c r="D33" s="969"/>
      <c r="E33" s="969"/>
      <c r="F33" s="969"/>
      <c r="G33" s="969"/>
      <c r="H33" s="969"/>
      <c r="I33" s="969"/>
      <c r="J33" s="969"/>
      <c r="K33" s="969"/>
      <c r="L33" s="969"/>
      <c r="M33" s="969"/>
      <c r="N33" s="969"/>
      <c r="O33" s="969"/>
      <c r="P33" s="969"/>
    </row>
    <row r="34">
      <c r="A34" s="969"/>
      <c r="B34" s="969"/>
      <c r="C34" s="969"/>
      <c r="D34" s="969"/>
      <c r="E34" s="969"/>
      <c r="F34" s="969"/>
      <c r="G34" s="969"/>
      <c r="H34" s="969"/>
      <c r="I34" s="969"/>
      <c r="J34" s="969"/>
      <c r="K34" s="969"/>
      <c r="L34" s="969"/>
      <c r="M34" s="969"/>
      <c r="N34" s="969"/>
      <c r="O34" s="969"/>
      <c r="P34" s="969"/>
    </row>
    <row r="35">
      <c r="A35" s="969"/>
      <c r="B35" s="969"/>
      <c r="C35" s="969"/>
      <c r="D35" s="969"/>
      <c r="E35" s="969"/>
      <c r="F35" s="969"/>
      <c r="G35" s="969"/>
      <c r="H35" s="969"/>
      <c r="I35" s="969"/>
      <c r="J35" s="969"/>
      <c r="K35" s="969"/>
      <c r="L35" s="969"/>
      <c r="M35" s="969"/>
      <c r="N35" s="969"/>
      <c r="O35" s="969"/>
      <c r="P35" s="969"/>
    </row>
    <row r="36">
      <c r="A36" s="969"/>
      <c r="B36" s="969"/>
      <c r="C36" s="969"/>
      <c r="D36" s="969"/>
      <c r="E36" s="969"/>
      <c r="F36" s="969"/>
      <c r="G36" s="969"/>
      <c r="H36" s="969"/>
      <c r="I36" s="969"/>
      <c r="J36" s="969"/>
      <c r="K36" s="969"/>
      <c r="L36" s="969"/>
      <c r="M36" s="969"/>
      <c r="N36" s="969"/>
      <c r="O36" s="969"/>
      <c r="P36" s="969"/>
    </row>
    <row r="37">
      <c r="A37" s="969"/>
      <c r="B37" s="969"/>
      <c r="C37" s="969"/>
      <c r="D37" s="969"/>
      <c r="E37" s="969"/>
      <c r="F37" s="969"/>
      <c r="G37" s="969"/>
      <c r="H37" s="969"/>
      <c r="I37" s="969"/>
      <c r="J37" s="969"/>
      <c r="K37" s="969"/>
      <c r="L37" s="969"/>
      <c r="M37" s="969"/>
      <c r="N37" s="969"/>
      <c r="O37" s="969"/>
      <c r="P37" s="969"/>
    </row>
    <row r="38">
      <c r="A38" s="969"/>
      <c r="B38" s="969"/>
      <c r="C38" s="969"/>
      <c r="D38" s="969"/>
      <c r="E38" s="969"/>
      <c r="F38" s="969"/>
      <c r="G38" s="969"/>
      <c r="H38" s="969"/>
      <c r="I38" s="969"/>
      <c r="J38" s="969"/>
      <c r="K38" s="969"/>
      <c r="L38" s="969"/>
      <c r="M38" s="969"/>
      <c r="N38" s="969"/>
      <c r="O38" s="969"/>
      <c r="P38" s="969"/>
    </row>
    <row r="39">
      <c r="A39" s="969"/>
      <c r="B39" s="969"/>
      <c r="C39" s="969"/>
      <c r="D39" s="969"/>
      <c r="E39" s="969"/>
      <c r="F39" s="969"/>
      <c r="G39" s="969"/>
      <c r="H39" s="969"/>
      <c r="I39" s="969"/>
      <c r="J39" s="969"/>
      <c r="K39" s="969"/>
      <c r="L39" s="969"/>
      <c r="M39" s="969"/>
      <c r="N39" s="969"/>
      <c r="O39" s="969"/>
      <c r="P39" s="969"/>
    </row>
    <row r="40">
      <c r="A40" s="969"/>
      <c r="B40" s="969"/>
      <c r="C40" s="969"/>
      <c r="D40" s="969"/>
      <c r="E40" s="969"/>
      <c r="F40" s="969"/>
      <c r="G40" s="969"/>
      <c r="H40" s="969"/>
      <c r="I40" s="969"/>
      <c r="J40" s="969"/>
      <c r="K40" s="969"/>
      <c r="L40" s="969"/>
      <c r="M40" s="969"/>
      <c r="N40" s="969"/>
      <c r="O40" s="969"/>
      <c r="P40" s="969"/>
    </row>
    <row r="41">
      <c r="A41" s="969"/>
      <c r="B41" s="969"/>
      <c r="C41" s="969"/>
      <c r="D41" s="969"/>
      <c r="E41" s="969"/>
      <c r="F41" s="969"/>
      <c r="G41" s="969"/>
      <c r="H41" s="969"/>
      <c r="I41" s="969"/>
      <c r="J41" s="969"/>
      <c r="K41" s="969"/>
      <c r="L41" s="969"/>
      <c r="M41" s="969"/>
      <c r="N41" s="969"/>
      <c r="O41" s="969"/>
      <c r="P41" s="969"/>
    </row>
    <row r="42">
      <c r="A42" s="969"/>
      <c r="B42" s="969"/>
      <c r="C42" s="969"/>
      <c r="D42" s="969"/>
      <c r="E42" s="969"/>
      <c r="F42" s="969"/>
      <c r="G42" s="969"/>
      <c r="H42" s="969"/>
      <c r="I42" s="969"/>
      <c r="J42" s="969"/>
      <c r="K42" s="969"/>
      <c r="L42" s="969"/>
      <c r="M42" s="969"/>
      <c r="N42" s="969"/>
      <c r="O42" s="969"/>
      <c r="P42" s="969"/>
    </row>
    <row r="43">
      <c r="A43" s="969"/>
      <c r="B43" s="969"/>
      <c r="C43" s="969"/>
      <c r="D43" s="969"/>
      <c r="E43" s="969"/>
      <c r="F43" s="969"/>
      <c r="G43" s="969"/>
      <c r="H43" s="969"/>
      <c r="I43" s="969"/>
      <c r="J43" s="969"/>
      <c r="K43" s="969"/>
      <c r="L43" s="969"/>
      <c r="M43" s="969"/>
      <c r="N43" s="969"/>
      <c r="O43" s="969"/>
      <c r="P43" s="969"/>
    </row>
    <row r="44">
      <c r="A44" s="969"/>
      <c r="B44" s="969"/>
      <c r="C44" s="969"/>
      <c r="D44" s="969"/>
      <c r="E44" s="969"/>
      <c r="F44" s="969"/>
      <c r="G44" s="969"/>
      <c r="H44" s="969"/>
      <c r="I44" s="969"/>
      <c r="J44" s="969"/>
      <c r="K44" s="969"/>
      <c r="L44" s="969"/>
      <c r="M44" s="969"/>
      <c r="N44" s="969"/>
      <c r="O44" s="969"/>
      <c r="P44" s="969"/>
    </row>
    <row r="45">
      <c r="A45" s="969"/>
      <c r="B45" s="969"/>
      <c r="C45" s="969"/>
      <c r="D45" s="969"/>
      <c r="E45" s="969"/>
      <c r="F45" s="969"/>
      <c r="G45" s="969"/>
      <c r="H45" s="969"/>
      <c r="I45" s="969"/>
      <c r="J45" s="969"/>
      <c r="K45" s="969"/>
      <c r="L45" s="969"/>
      <c r="M45" s="969"/>
      <c r="N45" s="969"/>
      <c r="O45" s="969"/>
      <c r="P45" s="969"/>
    </row>
    <row r="46">
      <c r="A46" s="969"/>
      <c r="B46" s="969"/>
      <c r="C46" s="969"/>
      <c r="D46" s="969"/>
      <c r="E46" s="969"/>
      <c r="F46" s="969"/>
      <c r="G46" s="969"/>
      <c r="H46" s="969"/>
      <c r="I46" s="969"/>
      <c r="J46" s="969"/>
      <c r="K46" s="969"/>
      <c r="L46" s="969"/>
      <c r="M46" s="969"/>
      <c r="N46" s="969"/>
      <c r="O46" s="969"/>
      <c r="P46" s="969"/>
    </row>
    <row r="47">
      <c r="A47" s="969"/>
      <c r="B47" s="969"/>
      <c r="C47" s="969"/>
      <c r="D47" s="969"/>
      <c r="E47" s="969"/>
      <c r="F47" s="969"/>
      <c r="G47" s="969"/>
      <c r="H47" s="969"/>
      <c r="I47" s="969"/>
      <c r="J47" s="969"/>
      <c r="K47" s="969"/>
      <c r="L47" s="969"/>
      <c r="M47" s="969"/>
      <c r="N47" s="969"/>
      <c r="O47" s="969"/>
      <c r="P47" s="969"/>
    </row>
    <row r="48">
      <c r="A48" s="969"/>
      <c r="B48" s="969"/>
      <c r="C48" s="969"/>
      <c r="D48" s="969"/>
      <c r="E48" s="969"/>
      <c r="F48" s="969"/>
      <c r="G48" s="969"/>
      <c r="H48" s="969"/>
      <c r="I48" s="969"/>
      <c r="J48" s="969"/>
      <c r="K48" s="969"/>
      <c r="L48" s="969"/>
      <c r="M48" s="969"/>
      <c r="N48" s="969"/>
      <c r="O48" s="969"/>
      <c r="P48" s="969"/>
    </row>
    <row r="49">
      <c r="A49" s="969"/>
      <c r="B49" s="969"/>
      <c r="C49" s="969"/>
      <c r="D49" s="969"/>
      <c r="E49" s="969"/>
      <c r="F49" s="969"/>
      <c r="G49" s="969"/>
      <c r="H49" s="969"/>
      <c r="I49" s="969"/>
      <c r="J49" s="969"/>
      <c r="K49" s="969"/>
      <c r="L49" s="969"/>
      <c r="M49" s="969"/>
      <c r="N49" s="969"/>
      <c r="O49" s="969"/>
      <c r="P49" s="969"/>
    </row>
    <row r="50">
      <c r="A50" s="969"/>
      <c r="B50" s="969"/>
      <c r="C50" s="969"/>
      <c r="D50" s="969"/>
      <c r="E50" s="969"/>
      <c r="F50" s="969"/>
      <c r="G50" s="969"/>
      <c r="H50" s="969"/>
      <c r="I50" s="969"/>
      <c r="J50" s="969"/>
      <c r="K50" s="969"/>
      <c r="L50" s="969"/>
      <c r="M50" s="969"/>
      <c r="N50" s="969"/>
      <c r="O50" s="969"/>
      <c r="P50" s="969"/>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57"/>
    <col customWidth="1" min="2" max="5" width="7.29"/>
    <col customWidth="1" min="6" max="6" width="29.43"/>
    <col customWidth="1" min="7" max="8" width="10.86"/>
    <col customWidth="1" min="9" max="9" width="20.14"/>
  </cols>
  <sheetData>
    <row r="1">
      <c r="A1" s="970" t="s">
        <v>1060</v>
      </c>
      <c r="B1" s="906" t="s">
        <v>681</v>
      </c>
      <c r="C1" s="971" t="s">
        <v>1061</v>
      </c>
      <c r="D1" s="972"/>
      <c r="E1" s="973"/>
      <c r="F1" s="905" t="s">
        <v>334</v>
      </c>
      <c r="G1" s="971" t="s">
        <v>1062</v>
      </c>
      <c r="H1" s="973"/>
      <c r="I1" s="906" t="s">
        <v>1063</v>
      </c>
    </row>
    <row r="2">
      <c r="A2" s="974" t="s">
        <v>1064</v>
      </c>
      <c r="B2" s="974" t="s">
        <v>113</v>
      </c>
      <c r="C2" s="974" t="s">
        <v>80</v>
      </c>
      <c r="D2" s="974" t="s">
        <v>83</v>
      </c>
      <c r="E2" s="974" t="s">
        <v>88</v>
      </c>
      <c r="F2" s="974" t="s">
        <v>1065</v>
      </c>
      <c r="G2" s="974" t="s">
        <v>186</v>
      </c>
      <c r="H2" s="974" t="s">
        <v>206</v>
      </c>
      <c r="I2" s="974" t="s">
        <v>337</v>
      </c>
    </row>
    <row r="3">
      <c r="A3" s="975" t="s">
        <v>1066</v>
      </c>
      <c r="B3" s="975" t="s">
        <v>113</v>
      </c>
      <c r="C3" s="975" t="s">
        <v>67</v>
      </c>
      <c r="D3" s="975" t="s">
        <v>71</v>
      </c>
      <c r="E3" s="975" t="s">
        <v>80</v>
      </c>
      <c r="F3" s="975" t="s">
        <v>1067</v>
      </c>
      <c r="G3" s="975" t="s">
        <v>200</v>
      </c>
      <c r="H3" s="975" t="s">
        <v>207</v>
      </c>
      <c r="I3" s="975" t="s">
        <v>1068</v>
      </c>
    </row>
    <row r="4">
      <c r="A4" s="974" t="s">
        <v>1069</v>
      </c>
      <c r="B4" s="974" t="s">
        <v>113</v>
      </c>
      <c r="C4" s="974" t="s">
        <v>71</v>
      </c>
      <c r="D4" s="974" t="s">
        <v>76</v>
      </c>
      <c r="E4" s="974" t="s">
        <v>88</v>
      </c>
      <c r="F4" s="974" t="s">
        <v>1070</v>
      </c>
      <c r="G4" s="974" t="s">
        <v>197</v>
      </c>
      <c r="H4" s="974" t="s">
        <v>188</v>
      </c>
      <c r="I4" s="974" t="s">
        <v>665</v>
      </c>
    </row>
    <row r="5">
      <c r="A5" s="975" t="s">
        <v>1071</v>
      </c>
      <c r="B5" s="975" t="s">
        <v>113</v>
      </c>
      <c r="C5" s="975" t="s">
        <v>71</v>
      </c>
      <c r="D5" s="975" t="s">
        <v>76</v>
      </c>
      <c r="E5" s="975" t="s">
        <v>80</v>
      </c>
      <c r="F5" s="975" t="s">
        <v>1072</v>
      </c>
      <c r="G5" s="975" t="s">
        <v>188</v>
      </c>
      <c r="H5" s="975" t="s">
        <v>190</v>
      </c>
      <c r="I5" s="975" t="s">
        <v>676</v>
      </c>
    </row>
    <row r="6">
      <c r="A6" s="974" t="s">
        <v>1073</v>
      </c>
      <c r="B6" s="974" t="s">
        <v>113</v>
      </c>
      <c r="C6" s="974" t="s">
        <v>67</v>
      </c>
      <c r="D6" s="974" t="s">
        <v>71</v>
      </c>
      <c r="E6" s="974" t="s">
        <v>88</v>
      </c>
      <c r="F6" s="974" t="s">
        <v>1074</v>
      </c>
      <c r="G6" s="974" t="s">
        <v>185</v>
      </c>
      <c r="H6" s="974" t="s">
        <v>203</v>
      </c>
      <c r="I6" s="974" t="s">
        <v>1075</v>
      </c>
    </row>
    <row r="7">
      <c r="A7" s="975" t="s">
        <v>1076</v>
      </c>
      <c r="B7" s="975" t="s">
        <v>113</v>
      </c>
      <c r="C7" s="975" t="s">
        <v>67</v>
      </c>
      <c r="D7" s="975" t="s">
        <v>76</v>
      </c>
      <c r="E7" s="975" t="s">
        <v>83</v>
      </c>
      <c r="F7" s="975" t="s">
        <v>1077</v>
      </c>
      <c r="G7" s="975" t="s">
        <v>1078</v>
      </c>
      <c r="H7" s="975" t="s">
        <v>202</v>
      </c>
      <c r="I7" s="975" t="s">
        <v>607</v>
      </c>
    </row>
    <row r="8">
      <c r="A8" s="974" t="s">
        <v>1079</v>
      </c>
      <c r="B8" s="974" t="s">
        <v>113</v>
      </c>
      <c r="C8" s="974" t="s">
        <v>67</v>
      </c>
      <c r="D8" s="974" t="s">
        <v>80</v>
      </c>
      <c r="E8" s="974" t="s">
        <v>83</v>
      </c>
      <c r="F8" s="974" t="s">
        <v>1072</v>
      </c>
      <c r="G8" s="974" t="s">
        <v>182</v>
      </c>
      <c r="H8" s="974" t="s">
        <v>191</v>
      </c>
      <c r="I8" s="974" t="s">
        <v>1080</v>
      </c>
    </row>
    <row r="9">
      <c r="A9" s="975" t="s">
        <v>1081</v>
      </c>
      <c r="B9" s="975" t="s">
        <v>113</v>
      </c>
      <c r="C9" s="975" t="s">
        <v>71</v>
      </c>
      <c r="D9" s="975" t="s">
        <v>76</v>
      </c>
      <c r="E9" s="975" t="s">
        <v>83</v>
      </c>
      <c r="F9" s="975" t="s">
        <v>1082</v>
      </c>
      <c r="G9" s="975" t="s">
        <v>190</v>
      </c>
      <c r="H9" s="975" t="s">
        <v>194</v>
      </c>
      <c r="I9" s="975" t="s">
        <v>610</v>
      </c>
    </row>
    <row r="10">
      <c r="A10" s="974" t="s">
        <v>1083</v>
      </c>
      <c r="B10" s="974" t="s">
        <v>113</v>
      </c>
      <c r="C10" s="974" t="s">
        <v>76</v>
      </c>
      <c r="D10" s="974" t="s">
        <v>83</v>
      </c>
      <c r="E10" s="974" t="s">
        <v>88</v>
      </c>
      <c r="F10" s="974" t="s">
        <v>1084</v>
      </c>
      <c r="G10" s="974" t="s">
        <v>189</v>
      </c>
      <c r="H10" s="974" t="s">
        <v>206</v>
      </c>
      <c r="I10" s="974" t="s">
        <v>341</v>
      </c>
    </row>
    <row r="11">
      <c r="A11" s="975" t="s">
        <v>1085</v>
      </c>
      <c r="B11" s="975" t="s">
        <v>113</v>
      </c>
      <c r="C11" s="975" t="s">
        <v>76</v>
      </c>
      <c r="D11" s="975" t="s">
        <v>80</v>
      </c>
      <c r="E11" s="975" t="s">
        <v>88</v>
      </c>
      <c r="F11" s="975" t="s">
        <v>712</v>
      </c>
      <c r="G11" s="975" t="s">
        <v>1078</v>
      </c>
      <c r="H11" s="975" t="s">
        <v>207</v>
      </c>
      <c r="I11" s="975" t="s">
        <v>674</v>
      </c>
    </row>
    <row r="12">
      <c r="A12" s="974" t="s">
        <v>1086</v>
      </c>
      <c r="B12" s="974" t="s">
        <v>113</v>
      </c>
      <c r="C12" s="974" t="s">
        <v>67</v>
      </c>
      <c r="D12" s="974" t="s">
        <v>80</v>
      </c>
      <c r="E12" s="974" t="s">
        <v>88</v>
      </c>
      <c r="F12" s="974" t="s">
        <v>1070</v>
      </c>
      <c r="G12" s="976" t="s">
        <v>196</v>
      </c>
      <c r="H12" s="976" t="s">
        <v>207</v>
      </c>
      <c r="I12" s="974" t="s">
        <v>1080</v>
      </c>
    </row>
    <row r="13">
      <c r="A13" s="975" t="s">
        <v>229</v>
      </c>
      <c r="B13" s="975" t="s">
        <v>113</v>
      </c>
      <c r="C13" s="975" t="s">
        <v>76</v>
      </c>
      <c r="D13" s="975" t="s">
        <v>80</v>
      </c>
      <c r="E13" s="975" t="s">
        <v>83</v>
      </c>
      <c r="F13" s="975" t="s">
        <v>1087</v>
      </c>
      <c r="G13" s="977" t="s">
        <v>193</v>
      </c>
      <c r="H13" s="977" t="s">
        <v>196</v>
      </c>
      <c r="I13" s="977" t="s">
        <v>337</v>
      </c>
    </row>
    <row r="14">
      <c r="A14" s="974" t="s">
        <v>1088</v>
      </c>
      <c r="B14" s="974" t="s">
        <v>113</v>
      </c>
      <c r="C14" s="974" t="s">
        <v>67</v>
      </c>
      <c r="D14" s="974" t="s">
        <v>71</v>
      </c>
      <c r="E14" s="974" t="s">
        <v>83</v>
      </c>
      <c r="F14" s="974" t="s">
        <v>1089</v>
      </c>
      <c r="G14" s="976" t="s">
        <v>185</v>
      </c>
      <c r="H14" s="976" t="s">
        <v>191</v>
      </c>
      <c r="I14" s="976" t="s">
        <v>674</v>
      </c>
    </row>
    <row r="15">
      <c r="A15" s="975" t="s">
        <v>1090</v>
      </c>
      <c r="B15" s="975" t="s">
        <v>113</v>
      </c>
      <c r="C15" s="975" t="s">
        <v>71</v>
      </c>
      <c r="D15" s="975" t="s">
        <v>80</v>
      </c>
      <c r="E15" s="975" t="s">
        <v>83</v>
      </c>
      <c r="F15" s="975" t="s">
        <v>1070</v>
      </c>
      <c r="G15" s="975" t="s">
        <v>200</v>
      </c>
      <c r="H15" s="975" t="s">
        <v>191</v>
      </c>
      <c r="I15" s="975" t="s">
        <v>337</v>
      </c>
    </row>
    <row r="16">
      <c r="A16" s="974" t="s">
        <v>1091</v>
      </c>
      <c r="B16" s="974" t="s">
        <v>113</v>
      </c>
      <c r="C16" s="974" t="s">
        <v>67</v>
      </c>
      <c r="D16" s="974" t="s">
        <v>71</v>
      </c>
      <c r="E16" s="974" t="s">
        <v>76</v>
      </c>
      <c r="F16" s="974" t="s">
        <v>1092</v>
      </c>
      <c r="G16" s="974" t="s">
        <v>182</v>
      </c>
      <c r="H16" s="974" t="s">
        <v>201</v>
      </c>
      <c r="I16" s="974" t="s">
        <v>1080</v>
      </c>
    </row>
    <row r="17">
      <c r="A17" s="975" t="s">
        <v>1093</v>
      </c>
      <c r="B17" s="975" t="s">
        <v>113</v>
      </c>
      <c r="C17" s="975" t="s">
        <v>71</v>
      </c>
      <c r="D17" s="975" t="s">
        <v>83</v>
      </c>
      <c r="E17" s="975" t="s">
        <v>88</v>
      </c>
      <c r="F17" s="975" t="s">
        <v>712</v>
      </c>
      <c r="G17" s="975" t="s">
        <v>186</v>
      </c>
      <c r="H17" s="975" t="s">
        <v>190</v>
      </c>
      <c r="I17" s="975" t="s">
        <v>676</v>
      </c>
    </row>
    <row r="18">
      <c r="A18" s="974" t="s">
        <v>1094</v>
      </c>
      <c r="B18" s="974" t="s">
        <v>120</v>
      </c>
      <c r="C18" s="974" t="s">
        <v>1095</v>
      </c>
      <c r="D18" s="978"/>
      <c r="E18" s="974"/>
      <c r="F18" s="978"/>
      <c r="G18" s="978"/>
      <c r="H18" s="978"/>
      <c r="I18" s="978"/>
    </row>
    <row r="19">
      <c r="A19" s="979" t="str">
        <f>if('請先閱讀'!$F$31=true,"瓊達斯浪人 Chondathan Freebooter","")</f>
        <v>瓊達斯浪人 Chondathan Freebooter</v>
      </c>
      <c r="B19" s="979" t="s">
        <v>1096</v>
      </c>
      <c r="C19" s="979" t="s">
        <v>67</v>
      </c>
      <c r="D19" s="979" t="s">
        <v>71</v>
      </c>
      <c r="E19" s="979" t="s">
        <v>83</v>
      </c>
      <c r="F19" s="979" t="s">
        <v>1070</v>
      </c>
      <c r="G19" s="979" t="s">
        <v>182</v>
      </c>
      <c r="H19" s="979" t="s">
        <v>188</v>
      </c>
      <c r="I19" s="979" t="s">
        <v>1097</v>
      </c>
    </row>
    <row r="20">
      <c r="A20" s="921" t="str">
        <f>if('請先閱讀'!$F$31=true,"死亡魔法住民 Dead Magic Dweller","")</f>
        <v>死亡魔法住民 Dead Magic Dweller</v>
      </c>
      <c r="B20" s="921" t="s">
        <v>1096</v>
      </c>
      <c r="C20" s="921" t="s">
        <v>67</v>
      </c>
      <c r="D20" s="921" t="s">
        <v>76</v>
      </c>
      <c r="E20" s="921" t="s">
        <v>83</v>
      </c>
      <c r="F20" s="921" t="s">
        <v>1084</v>
      </c>
      <c r="G20" s="921" t="s">
        <v>189</v>
      </c>
      <c r="H20" s="921" t="s">
        <v>194</v>
      </c>
      <c r="I20" s="921" t="s">
        <v>631</v>
      </c>
    </row>
    <row r="21">
      <c r="A21" s="979" t="str">
        <f>if('請先閱讀'!$F$31=true,"拜龍教徒 Dragon Cultist","")</f>
        <v>拜龍教徒 Dragon Cultist</v>
      </c>
      <c r="B21" s="979" t="s">
        <v>1096</v>
      </c>
      <c r="C21" s="979" t="s">
        <v>71</v>
      </c>
      <c r="D21" s="979" t="s">
        <v>76</v>
      </c>
      <c r="E21" s="979" t="s">
        <v>80</v>
      </c>
      <c r="F21" s="979" t="s">
        <v>1098</v>
      </c>
      <c r="G21" s="979" t="s">
        <v>197</v>
      </c>
      <c r="H21" s="979" t="s">
        <v>190</v>
      </c>
      <c r="I21" s="979" t="s">
        <v>337</v>
      </c>
    </row>
    <row r="22">
      <c r="A22" s="921" t="str">
        <f>if('請先閱讀'!$F$31=true,"翠綠閑庭守門人 Emerald Enclave Caretaker","")</f>
        <v>翠綠閑庭守門人 Emerald Enclave Caretaker</v>
      </c>
      <c r="B22" s="921" t="s">
        <v>1096</v>
      </c>
      <c r="C22" s="921" t="s">
        <v>76</v>
      </c>
      <c r="D22" s="921" t="s">
        <v>80</v>
      </c>
      <c r="E22" s="921" t="s">
        <v>83</v>
      </c>
      <c r="F22" s="921" t="s">
        <v>1099</v>
      </c>
      <c r="G22" s="921" t="s">
        <v>202</v>
      </c>
      <c r="H22" s="921" t="s">
        <v>194</v>
      </c>
      <c r="I22" s="921" t="s">
        <v>341</v>
      </c>
    </row>
    <row r="23">
      <c r="A23" s="979" t="str">
        <f>if('請先閱讀'!$F$31=true,"焰拳傭兵 Flaming Fist Mercenary","")</f>
        <v>焰拳傭兵 Flaming Fist Mercenary</v>
      </c>
      <c r="B23" s="979" t="s">
        <v>1096</v>
      </c>
      <c r="C23" s="979" t="s">
        <v>67</v>
      </c>
      <c r="D23" s="979" t="s">
        <v>76</v>
      </c>
      <c r="E23" s="979" t="s">
        <v>88</v>
      </c>
      <c r="F23" s="979" t="s">
        <v>1077</v>
      </c>
      <c r="G23" s="979" t="s">
        <v>201</v>
      </c>
      <c r="H23" s="979" t="s">
        <v>191</v>
      </c>
      <c r="I23" s="979" t="s">
        <v>651</v>
      </c>
    </row>
    <row r="24">
      <c r="A24" s="921" t="str">
        <f>if('請先閱讀'!$F$31=true,"巨靈觸碰 Genie Touched","")</f>
        <v>巨靈觸碰 Genie Touched</v>
      </c>
      <c r="B24" s="921" t="s">
        <v>1096</v>
      </c>
      <c r="C24" s="921" t="s">
        <v>71</v>
      </c>
      <c r="D24" s="921" t="s">
        <v>83</v>
      </c>
      <c r="E24" s="921" t="s">
        <v>88</v>
      </c>
      <c r="F24" s="921" t="s">
        <v>1087</v>
      </c>
      <c r="G24" s="921" t="s">
        <v>191</v>
      </c>
      <c r="H24" s="921" t="s">
        <v>207</v>
      </c>
      <c r="I24" s="921" t="s">
        <v>621</v>
      </c>
    </row>
    <row r="25">
      <c r="A25" s="979" t="str">
        <f>if('請先閱讀'!$F$31=true,"豎琴手 Harper","")</f>
        <v>豎琴手 Harper</v>
      </c>
      <c r="B25" s="979" t="s">
        <v>1096</v>
      </c>
      <c r="C25" s="979" t="s">
        <v>71</v>
      </c>
      <c r="D25" s="979" t="s">
        <v>80</v>
      </c>
      <c r="E25" s="979" t="s">
        <v>88</v>
      </c>
      <c r="F25" s="979" t="s">
        <v>1100</v>
      </c>
      <c r="G25" s="979" t="s">
        <v>203</v>
      </c>
      <c r="H25" s="979" t="s">
        <v>188</v>
      </c>
      <c r="I25" s="979" t="s">
        <v>664</v>
      </c>
    </row>
    <row r="26">
      <c r="A26" s="921" t="str">
        <f>if('請先閱讀'!$F$31=true,"冰釣者 Ice Fisher","")</f>
        <v>冰釣者 Ice Fisher</v>
      </c>
      <c r="B26" s="921" t="s">
        <v>1096</v>
      </c>
      <c r="C26" s="921" t="s">
        <v>67</v>
      </c>
      <c r="D26" s="921" t="s">
        <v>71</v>
      </c>
      <c r="E26" s="921" t="s">
        <v>76</v>
      </c>
      <c r="F26" s="921" t="s">
        <v>1072</v>
      </c>
      <c r="G26" s="921" t="s">
        <v>1078</v>
      </c>
      <c r="H26" s="921" t="s">
        <v>182</v>
      </c>
      <c r="I26" s="921" t="s">
        <v>661</v>
      </c>
    </row>
    <row r="27">
      <c r="A27" s="979" t="str">
        <f>if('請先閱讀'!$F$31=true,"鐵腕騎士 Knight of the Gauntlet","")</f>
        <v>鐵腕騎士 Knight of the Gauntlet</v>
      </c>
      <c r="B27" s="979" t="s">
        <v>1096</v>
      </c>
      <c r="C27" s="979" t="s">
        <v>67</v>
      </c>
      <c r="D27" s="979" t="s">
        <v>80</v>
      </c>
      <c r="E27" s="979" t="s">
        <v>83</v>
      </c>
      <c r="F27" s="979" t="s">
        <v>1101</v>
      </c>
      <c r="G27" s="979" t="s">
        <v>182</v>
      </c>
      <c r="H27" s="979" t="s">
        <v>189</v>
      </c>
      <c r="I27" s="979" t="s">
        <v>651</v>
      </c>
    </row>
    <row r="28">
      <c r="A28" s="921" t="str">
        <f>if('請先閱讀'!$F$31=true,"領主聯盟附庸 Lords' Alliance Vassal","")</f>
        <v>領主聯盟附庸 Lords' Alliance Vassal</v>
      </c>
      <c r="B28" s="921" t="s">
        <v>1096</v>
      </c>
      <c r="C28" s="921" t="s">
        <v>67</v>
      </c>
      <c r="D28" s="921" t="s">
        <v>80</v>
      </c>
      <c r="E28" s="921" t="s">
        <v>88</v>
      </c>
      <c r="F28" s="921" t="s">
        <v>1102</v>
      </c>
      <c r="G28" s="921" t="s">
        <v>186</v>
      </c>
      <c r="H28" s="921" t="s">
        <v>207</v>
      </c>
      <c r="I28" s="921" t="s">
        <v>337</v>
      </c>
    </row>
    <row r="29">
      <c r="A29" s="979" t="str">
        <f>if('請先閱讀'!$F$31=true,"月之井朝聖者 Moonwell Pilgrim","")</f>
        <v>月之井朝聖者 Moonwell Pilgrim</v>
      </c>
      <c r="B29" s="979" t="s">
        <v>1096</v>
      </c>
      <c r="C29" s="979" t="s">
        <v>76</v>
      </c>
      <c r="D29" s="979" t="s">
        <v>83</v>
      </c>
      <c r="E29" s="979" t="s">
        <v>88</v>
      </c>
      <c r="F29" s="979" t="s">
        <v>1082</v>
      </c>
      <c r="G29" s="979" t="s">
        <v>202</v>
      </c>
      <c r="H29" s="979" t="s">
        <v>203</v>
      </c>
      <c r="I29" s="979" t="s">
        <v>642</v>
      </c>
    </row>
    <row r="30">
      <c r="A30" s="921" t="str">
        <f>if('請先閱讀'!$F$31=true,"穆爾霍蘭德盜墓者 Mulhorandi Tomb Raider","")</f>
        <v>穆爾霍蘭德盜墓者 Mulhorandi Tomb Raider</v>
      </c>
      <c r="B30" s="921" t="s">
        <v>1096</v>
      </c>
      <c r="C30" s="921" t="s">
        <v>71</v>
      </c>
      <c r="D30" s="921" t="s">
        <v>80</v>
      </c>
      <c r="E30" s="921" t="s">
        <v>83</v>
      </c>
      <c r="F30" s="921" t="s">
        <v>712</v>
      </c>
      <c r="G30" s="921" t="s">
        <v>200</v>
      </c>
      <c r="H30" s="921" t="s">
        <v>206</v>
      </c>
      <c r="I30" s="921" t="s">
        <v>636</v>
      </c>
    </row>
    <row r="31">
      <c r="A31" s="979" t="str">
        <f>if('請先閱讀'!$F$31=true,"祕法守密人 Mythalkeeper","")</f>
        <v>祕法守密人 Mythalkeeper</v>
      </c>
      <c r="B31" s="979" t="s">
        <v>1096</v>
      </c>
      <c r="C31" s="979" t="s">
        <v>80</v>
      </c>
      <c r="D31" s="979" t="s">
        <v>83</v>
      </c>
      <c r="E31" s="979" t="s">
        <v>88</v>
      </c>
      <c r="F31" s="979" t="s">
        <v>1067</v>
      </c>
      <c r="G31" s="979" t="s">
        <v>193</v>
      </c>
      <c r="H31" s="979" t="s">
        <v>196</v>
      </c>
      <c r="I31" s="979" t="s">
        <v>626</v>
      </c>
    </row>
    <row r="32">
      <c r="A32" s="921" t="str">
        <f>if('請先閱讀'!$F$31=true,"紫龍禁衛軍 Purple Dragon Squire","")</f>
        <v>紫龍禁衛軍 Purple Dragon Squire</v>
      </c>
      <c r="B32" s="921" t="s">
        <v>1096</v>
      </c>
      <c r="C32" s="921" t="s">
        <v>67</v>
      </c>
      <c r="D32" s="921" t="s">
        <v>83</v>
      </c>
      <c r="E32" s="921" t="s">
        <v>88</v>
      </c>
      <c r="F32" s="921" t="s">
        <v>1103</v>
      </c>
      <c r="G32" s="921" t="s">
        <v>1078</v>
      </c>
      <c r="H32" s="921" t="s">
        <v>186</v>
      </c>
      <c r="I32" s="921" t="s">
        <v>674</v>
      </c>
    </row>
    <row r="33">
      <c r="A33" s="979" t="str">
        <f>if('請先閱讀'!$F$31=true,"萊瑟曼漫遊者 Rashemi Wanderer","")</f>
        <v>萊瑟曼漫遊者 Rashemi Wanderer</v>
      </c>
      <c r="B33" s="979" t="s">
        <v>1096</v>
      </c>
      <c r="C33" s="979" t="s">
        <v>67</v>
      </c>
      <c r="D33" s="979" t="s">
        <v>76</v>
      </c>
      <c r="E33" s="979" t="s">
        <v>88</v>
      </c>
      <c r="F33" s="979" t="s">
        <v>1077</v>
      </c>
      <c r="G33" s="979" t="s">
        <v>201</v>
      </c>
      <c r="H33" s="979" t="s">
        <v>191</v>
      </c>
      <c r="I33" s="979" t="s">
        <v>610</v>
      </c>
    </row>
    <row r="34">
      <c r="A34" s="921" t="str">
        <f>if('請先閱讀'!$F$31=true,"暗影大師流亡者 Shadowmasters Exile","")</f>
        <v>暗影大師流亡者 Shadowmasters Exile</v>
      </c>
      <c r="B34" s="921" t="s">
        <v>1096</v>
      </c>
      <c r="C34" s="921" t="s">
        <v>71</v>
      </c>
      <c r="D34" s="921" t="s">
        <v>80</v>
      </c>
      <c r="E34" s="921" t="s">
        <v>88</v>
      </c>
      <c r="F34" s="921" t="s">
        <v>1092</v>
      </c>
      <c r="G34" s="921" t="s">
        <v>185</v>
      </c>
      <c r="H34" s="921" t="s">
        <v>190</v>
      </c>
      <c r="I34" s="921" t="s">
        <v>676</v>
      </c>
    </row>
    <row r="35">
      <c r="A35" s="979" t="str">
        <f>if('請先閱讀'!$F$31=true,"咒火學徒 Spellfire Initiate","")</f>
        <v>咒火學徒 Spellfire Initiate</v>
      </c>
      <c r="B35" s="979" t="s">
        <v>1096</v>
      </c>
      <c r="C35" s="979" t="s">
        <v>76</v>
      </c>
      <c r="D35" s="979" t="s">
        <v>80</v>
      </c>
      <c r="E35" s="979" t="s">
        <v>88</v>
      </c>
      <c r="F35" s="979" t="s">
        <v>1104</v>
      </c>
      <c r="G35" s="979" t="s">
        <v>193</v>
      </c>
      <c r="H35" s="979" t="s">
        <v>191</v>
      </c>
      <c r="I35" s="979" t="s">
        <v>1080</v>
      </c>
    </row>
    <row r="36">
      <c r="A36" s="921" t="str">
        <f>if('請先閱讀'!$F$31=true,"散塔林傭兵 Zhentarim Mercenary","")</f>
        <v>散塔林傭兵 Zhentarim Mercenary</v>
      </c>
      <c r="B36" s="921" t="s">
        <v>1096</v>
      </c>
      <c r="C36" s="921" t="s">
        <v>67</v>
      </c>
      <c r="D36" s="921" t="s">
        <v>71</v>
      </c>
      <c r="E36" s="921" t="s">
        <v>88</v>
      </c>
      <c r="F36" s="921" t="s">
        <v>1105</v>
      </c>
      <c r="G36" s="921" t="s">
        <v>201</v>
      </c>
      <c r="H36" s="921" t="s">
        <v>191</v>
      </c>
      <c r="I36" s="921" t="s">
        <v>665</v>
      </c>
    </row>
    <row r="37">
      <c r="A37" s="909" t="str">
        <f>if('請先閱讀'!F32=true,"洛溫專家 Lorwyn Expert","")</f>
        <v>洛溫專家 Lorwyn Expert</v>
      </c>
      <c r="B37" s="909" t="s">
        <v>140</v>
      </c>
      <c r="C37" s="909" t="s">
        <v>67</v>
      </c>
      <c r="D37" s="909" t="s">
        <v>76</v>
      </c>
      <c r="E37" s="909" t="s">
        <v>83</v>
      </c>
      <c r="F37" s="909" t="s">
        <v>1106</v>
      </c>
      <c r="G37" s="909" t="s">
        <v>182</v>
      </c>
      <c r="H37" s="909" t="s">
        <v>202</v>
      </c>
      <c r="I37" s="909" t="s">
        <v>610</v>
      </c>
    </row>
    <row r="38">
      <c r="A38" s="908" t="str">
        <f>if('請先閱讀'!F32=true,"闇影荒原專家 Shadowmoor Expert","")</f>
        <v>闇影荒原專家 Shadowmoor Expert</v>
      </c>
      <c r="B38" s="908" t="s">
        <v>140</v>
      </c>
      <c r="C38" s="908" t="s">
        <v>71</v>
      </c>
      <c r="D38" s="908" t="s">
        <v>80</v>
      </c>
      <c r="E38" s="908" t="s">
        <v>88</v>
      </c>
      <c r="F38" s="908" t="s">
        <v>1107</v>
      </c>
      <c r="G38" s="908" t="s">
        <v>185</v>
      </c>
      <c r="H38" s="908" t="s">
        <v>197</v>
      </c>
      <c r="I38" s="908" t="s">
        <v>621</v>
      </c>
    </row>
    <row r="39">
      <c r="A39" s="980" t="str">
        <f>if('請先閱讀'!F33=true,"縱情者 Carouser","")</f>
        <v>縱情者 Carouser</v>
      </c>
      <c r="B39" s="980" t="s">
        <v>734</v>
      </c>
      <c r="C39" s="980" t="s">
        <v>71</v>
      </c>
      <c r="D39" s="980" t="s">
        <v>80</v>
      </c>
      <c r="E39" s="980" t="s">
        <v>88</v>
      </c>
      <c r="F39" s="980" t="s">
        <v>1108</v>
      </c>
      <c r="G39" s="980" t="s">
        <v>197</v>
      </c>
      <c r="H39" s="980" t="s">
        <v>207</v>
      </c>
      <c r="I39" s="980" t="s">
        <v>1109</v>
      </c>
    </row>
    <row r="40">
      <c r="A40" s="910" t="str">
        <f>if('請先閱讀'!F33=true,"吸血鬼信徒 Vampire Devotee","")</f>
        <v>吸血鬼信徒 Vampire Devotee</v>
      </c>
      <c r="B40" s="910" t="s">
        <v>734</v>
      </c>
      <c r="C40" s="910" t="s">
        <v>67</v>
      </c>
      <c r="D40" s="910" t="s">
        <v>76</v>
      </c>
      <c r="E40" s="910" t="s">
        <v>88</v>
      </c>
      <c r="F40" s="910" t="s">
        <v>1110</v>
      </c>
      <c r="G40" s="910" t="s">
        <v>207</v>
      </c>
      <c r="H40" s="910" t="s">
        <v>190</v>
      </c>
      <c r="I40" s="910" t="s">
        <v>616</v>
      </c>
    </row>
    <row r="41">
      <c r="A41" s="980" t="str">
        <f>if('請先閱讀'!F33=true,"吸血鬼倖存者 Vampire Survivor","")</f>
        <v>吸血鬼倖存者 Vampire Survivor</v>
      </c>
      <c r="B41" s="980" t="s">
        <v>734</v>
      </c>
      <c r="C41" s="980" t="s">
        <v>71</v>
      </c>
      <c r="D41" s="980" t="s">
        <v>76</v>
      </c>
      <c r="E41" s="980" t="s">
        <v>83</v>
      </c>
      <c r="F41" s="980" t="s">
        <v>1111</v>
      </c>
      <c r="G41" s="980" t="s">
        <v>186</v>
      </c>
      <c r="H41" s="980" t="s">
        <v>206</v>
      </c>
      <c r="I41" s="980" t="s">
        <v>661</v>
      </c>
    </row>
    <row r="42">
      <c r="A42" s="912" t="str">
        <f>if('請先閱讀'!$F$34=true,"異族繼承人 Aberrant Heir","")</f>
        <v>異族繼承人 Aberrant Heir</v>
      </c>
      <c r="B42" s="912" t="s">
        <v>151</v>
      </c>
      <c r="C42" s="912" t="s">
        <v>67</v>
      </c>
      <c r="D42" s="912" t="s">
        <v>76</v>
      </c>
      <c r="E42" s="912" t="s">
        <v>88</v>
      </c>
      <c r="F42" s="912" t="s">
        <v>1112</v>
      </c>
      <c r="G42" s="912" t="s">
        <v>196</v>
      </c>
      <c r="H42" s="912" t="s">
        <v>201</v>
      </c>
      <c r="I42" s="912" t="s">
        <v>664</v>
      </c>
    </row>
    <row r="43">
      <c r="A43" s="911" t="str">
        <f>if('請先閱讀'!$F$34=true,"考古學家 Archaeologist","")</f>
        <v>考古學家 Archaeologist</v>
      </c>
      <c r="B43" s="911" t="s">
        <v>151</v>
      </c>
      <c r="C43" s="911" t="s">
        <v>71</v>
      </c>
      <c r="D43" s="911" t="s">
        <v>80</v>
      </c>
      <c r="E43" s="911" t="s">
        <v>83</v>
      </c>
      <c r="F43" s="911" t="s">
        <v>1070</v>
      </c>
      <c r="G43" s="911" t="s">
        <v>196</v>
      </c>
      <c r="H43" s="911" t="s">
        <v>194</v>
      </c>
      <c r="I43" s="911" t="s">
        <v>610</v>
      </c>
    </row>
    <row r="44">
      <c r="A44" s="912" t="str">
        <f>if('請先閱讀'!$F$34=true,"家族特務 House Agent","")</f>
        <v>家族特務 House Agent</v>
      </c>
      <c r="B44" s="912" t="s">
        <v>151</v>
      </c>
      <c r="C44" s="912" t="s">
        <v>67</v>
      </c>
      <c r="D44" s="912" t="s">
        <v>80</v>
      </c>
      <c r="E44" s="912" t="s">
        <v>88</v>
      </c>
      <c r="F44" s="912" t="s">
        <v>712</v>
      </c>
      <c r="G44" s="912" t="s">
        <v>200</v>
      </c>
      <c r="H44" s="912" t="s">
        <v>207</v>
      </c>
      <c r="I44" s="912" t="s">
        <v>1068</v>
      </c>
    </row>
    <row r="45">
      <c r="A45" s="911" t="str">
        <f>if('請先閱讀'!$F$34=true,"坎尼斯家族繼承人 House Cannith Heir","")</f>
        <v>坎尼斯家族繼承人 House Cannith Heir</v>
      </c>
      <c r="B45" s="911" t="s">
        <v>151</v>
      </c>
      <c r="C45" s="911" t="s">
        <v>67</v>
      </c>
      <c r="D45" s="911" t="s">
        <v>71</v>
      </c>
      <c r="E45" s="911" t="s">
        <v>80</v>
      </c>
      <c r="F45" s="911" t="s">
        <v>1113</v>
      </c>
      <c r="G45" s="911" t="s">
        <v>200</v>
      </c>
      <c r="H45" s="911" t="s">
        <v>188</v>
      </c>
      <c r="I45" s="911" t="s">
        <v>1068</v>
      </c>
    </row>
    <row r="46">
      <c r="A46" s="912" t="str">
        <f>if('請先閱讀'!$F$34=true,"德恩奈家族繼承人 House Deneith Heir","")</f>
        <v>德恩奈家族繼承人 House Deneith Heir</v>
      </c>
      <c r="B46" s="912" t="s">
        <v>151</v>
      </c>
      <c r="C46" s="912" t="s">
        <v>67</v>
      </c>
      <c r="D46" s="912" t="s">
        <v>76</v>
      </c>
      <c r="E46" s="912" t="s">
        <v>83</v>
      </c>
      <c r="F46" s="912" t="s">
        <v>1114</v>
      </c>
      <c r="G46" s="912" t="s">
        <v>186</v>
      </c>
      <c r="H46" s="912" t="s">
        <v>197</v>
      </c>
      <c r="I46" s="912" t="s">
        <v>1080</v>
      </c>
    </row>
    <row r="47">
      <c r="A47" s="911" t="str">
        <f>if('請先閱讀'!$F$34=true,"加蘭達家族繼承人 House Ghallanda Heir","")</f>
        <v>加蘭達家族繼承人 House Ghallanda Heir</v>
      </c>
      <c r="B47" s="911" t="s">
        <v>151</v>
      </c>
      <c r="C47" s="911" t="s">
        <v>71</v>
      </c>
      <c r="D47" s="911" t="s">
        <v>83</v>
      </c>
      <c r="E47" s="911" t="s">
        <v>88</v>
      </c>
      <c r="F47" s="911" t="s">
        <v>1115</v>
      </c>
      <c r="G47" s="911" t="s">
        <v>186</v>
      </c>
      <c r="H47" s="911" t="s">
        <v>207</v>
      </c>
      <c r="I47" s="911" t="s">
        <v>616</v>
      </c>
    </row>
    <row r="48">
      <c r="A48" s="912" t="str">
        <f>if('請先閱讀'!$F$34=true,"喬拉斯科家族繼承人 House Jorasco Heir","")</f>
        <v>喬拉斯科家族繼承人 House Jorasco Heir</v>
      </c>
      <c r="B48" s="912" t="s">
        <v>151</v>
      </c>
      <c r="C48" s="912" t="s">
        <v>71</v>
      </c>
      <c r="D48" s="912" t="s">
        <v>76</v>
      </c>
      <c r="E48" s="912" t="s">
        <v>83</v>
      </c>
      <c r="F48" s="912" t="s">
        <v>1116</v>
      </c>
      <c r="G48" s="912" t="s">
        <v>189</v>
      </c>
      <c r="H48" s="912" t="s">
        <v>194</v>
      </c>
      <c r="I48" s="912" t="s">
        <v>341</v>
      </c>
    </row>
    <row r="49">
      <c r="A49" s="911" t="str">
        <f>if('請先閱讀'!$F$34=true,"昆達拉克家族繼承人 House Kundarak Heir","")</f>
        <v>昆達拉克家族繼承人 House Kundarak Heir</v>
      </c>
      <c r="B49" s="911" t="s">
        <v>151</v>
      </c>
      <c r="C49" s="911" t="s">
        <v>67</v>
      </c>
      <c r="D49" s="911" t="s">
        <v>76</v>
      </c>
      <c r="E49" s="911" t="s">
        <v>80</v>
      </c>
      <c r="F49" s="911" t="s">
        <v>1117</v>
      </c>
      <c r="G49" s="911" t="s">
        <v>193</v>
      </c>
      <c r="H49" s="911" t="s">
        <v>200</v>
      </c>
      <c r="I49" s="911" t="s">
        <v>676</v>
      </c>
    </row>
    <row r="50">
      <c r="A50" s="912" t="str">
        <f>if('請先閱讀'!$F$34=true,"萊蘭德家族繼承人 House Lyrandar Heir","")</f>
        <v>萊蘭德家族繼承人 House Lyrandar Heir</v>
      </c>
      <c r="B50" s="912" t="s">
        <v>151</v>
      </c>
      <c r="C50" s="912" t="s">
        <v>67</v>
      </c>
      <c r="D50" s="912" t="s">
        <v>71</v>
      </c>
      <c r="E50" s="912" t="s">
        <v>88</v>
      </c>
      <c r="F50" s="912" t="s">
        <v>1118</v>
      </c>
      <c r="G50" s="912" t="s">
        <v>185</v>
      </c>
      <c r="H50" s="912" t="s">
        <v>202</v>
      </c>
      <c r="I50" s="912" t="s">
        <v>674</v>
      </c>
    </row>
    <row r="51">
      <c r="A51" s="911" t="str">
        <f>if('請先閱讀'!$F$34=true,"梅達尼家族繼承人 House Medani Heir","")</f>
        <v>梅達尼家族繼承人 House Medani Heir</v>
      </c>
      <c r="B51" s="911" t="s">
        <v>151</v>
      </c>
      <c r="C51" s="911" t="s">
        <v>71</v>
      </c>
      <c r="D51" s="911" t="s">
        <v>80</v>
      </c>
      <c r="E51" s="911" t="s">
        <v>83</v>
      </c>
      <c r="F51" s="911" t="s">
        <v>1119</v>
      </c>
      <c r="G51" s="911" t="s">
        <v>186</v>
      </c>
      <c r="H51" s="911" t="s">
        <v>200</v>
      </c>
      <c r="I51" s="911" t="s">
        <v>664</v>
      </c>
    </row>
    <row r="52">
      <c r="A52" s="912" t="str">
        <f>if('請先閱讀'!$F$34=true,"歐瑞恩家族繼承人 House Orien Heir","")</f>
        <v>歐瑞恩家族繼承人 House Orien Heir</v>
      </c>
      <c r="B52" s="912" t="s">
        <v>151</v>
      </c>
      <c r="C52" s="912" t="s">
        <v>71</v>
      </c>
      <c r="D52" s="912" t="s">
        <v>76</v>
      </c>
      <c r="E52" s="912" t="s">
        <v>80</v>
      </c>
      <c r="F52" s="912" t="s">
        <v>1120</v>
      </c>
      <c r="G52" s="912" t="s">
        <v>185</v>
      </c>
      <c r="H52" s="912" t="s">
        <v>182</v>
      </c>
      <c r="I52" s="912" t="s">
        <v>610</v>
      </c>
    </row>
    <row r="53">
      <c r="A53" s="911" t="str">
        <f>if('請先閱讀'!$F$34=true,"菲奧蘭家族繼承人 House Phiarlan Heir","")</f>
        <v>菲奧蘭家族繼承人 House Phiarlan Heir</v>
      </c>
      <c r="B53" s="911" t="s">
        <v>151</v>
      </c>
      <c r="C53" s="911" t="s">
        <v>71</v>
      </c>
      <c r="D53" s="911" t="s">
        <v>83</v>
      </c>
      <c r="E53" s="911" t="s">
        <v>88</v>
      </c>
      <c r="F53" s="911" t="s">
        <v>1121</v>
      </c>
      <c r="G53" s="911" t="s">
        <v>197</v>
      </c>
      <c r="H53" s="911" t="s">
        <v>190</v>
      </c>
      <c r="I53" s="911" t="s">
        <v>664</v>
      </c>
    </row>
    <row r="54">
      <c r="A54" s="912" t="str">
        <f>if('請先閱讀'!$F$34=true,"西維斯家族繼承人 House Sivis Heir","")</f>
        <v>西維斯家族繼承人 House Sivis Heir</v>
      </c>
      <c r="B54" s="912" t="s">
        <v>151</v>
      </c>
      <c r="C54" s="912" t="s">
        <v>80</v>
      </c>
      <c r="D54" s="912" t="s">
        <v>83</v>
      </c>
      <c r="E54" s="912" t="s">
        <v>88</v>
      </c>
      <c r="F54" s="912" t="s">
        <v>1122</v>
      </c>
      <c r="G54" s="912" t="s">
        <v>196</v>
      </c>
      <c r="H54" s="912" t="s">
        <v>191</v>
      </c>
      <c r="I54" s="912" t="s">
        <v>337</v>
      </c>
    </row>
    <row r="55">
      <c r="A55" s="911" t="str">
        <f>if('請先閱讀'!$F$34=true,"薩拉釋克家族繼承人 House Tharashk Heir","")</f>
        <v>薩拉釋克家族繼承人 House Tharashk Heir</v>
      </c>
      <c r="B55" s="911" t="s">
        <v>151</v>
      </c>
      <c r="C55" s="911" t="s">
        <v>76</v>
      </c>
      <c r="D55" s="911" t="s">
        <v>80</v>
      </c>
      <c r="E55" s="911" t="s">
        <v>83</v>
      </c>
      <c r="F55" s="911" t="s">
        <v>1123</v>
      </c>
      <c r="G55" s="911" t="s">
        <v>191</v>
      </c>
      <c r="H55" s="911" t="s">
        <v>194</v>
      </c>
      <c r="I55" s="911" t="s">
        <v>1080</v>
      </c>
    </row>
    <row r="56">
      <c r="A56" s="912" t="str">
        <f>if('請先閱讀'!$F$34=true,"圖蘭尼家族繼承人 House Thuranni Heir","")</f>
        <v>圖蘭尼家族繼承人 House Thuranni Heir</v>
      </c>
      <c r="B56" s="912" t="s">
        <v>151</v>
      </c>
      <c r="C56" s="912" t="s">
        <v>71</v>
      </c>
      <c r="D56" s="912" t="s">
        <v>80</v>
      </c>
      <c r="E56" s="912" t="s">
        <v>88</v>
      </c>
      <c r="F56" s="912" t="s">
        <v>1121</v>
      </c>
      <c r="G56" s="912" t="s">
        <v>203</v>
      </c>
      <c r="H56" s="912" t="s">
        <v>190</v>
      </c>
      <c r="I56" s="912" t="s">
        <v>1075</v>
      </c>
    </row>
    <row r="57">
      <c r="A57" s="911" t="str">
        <f>if('請先閱讀'!$F$34=true,"瓦達利斯家族繼承人 House Vadalis Heir","")</f>
        <v>瓦達利斯家族繼承人 House Vadalis Heir</v>
      </c>
      <c r="B57" s="911" t="s">
        <v>151</v>
      </c>
      <c r="C57" s="911" t="s">
        <v>76</v>
      </c>
      <c r="D57" s="911" t="s">
        <v>83</v>
      </c>
      <c r="E57" s="911" t="s">
        <v>88</v>
      </c>
      <c r="F57" s="911" t="s">
        <v>1124</v>
      </c>
      <c r="G57" s="911" t="s">
        <v>1078</v>
      </c>
      <c r="H57" s="911" t="s">
        <v>202</v>
      </c>
      <c r="I57" s="911" t="s">
        <v>341</v>
      </c>
    </row>
    <row r="58">
      <c r="A58" s="912" t="str">
        <f>if('請先閱讀'!$F$34=true,"調查員 Inquisitive","")</f>
        <v>調查員 Inquisitive</v>
      </c>
      <c r="B58" s="912" t="s">
        <v>151</v>
      </c>
      <c r="C58" s="912" t="s">
        <v>76</v>
      </c>
      <c r="D58" s="912" t="s">
        <v>80</v>
      </c>
      <c r="E58" s="912" t="s">
        <v>88</v>
      </c>
      <c r="F58" s="912" t="s">
        <v>1072</v>
      </c>
      <c r="G58" s="912" t="s">
        <v>186</v>
      </c>
      <c r="H58" s="912" t="s">
        <v>200</v>
      </c>
      <c r="I58" s="912" t="s">
        <v>676</v>
      </c>
    </row>
    <row r="59">
      <c r="A59" s="981" t="str">
        <f>if('請先閱讀'!$F$36=true,"契約尋者 Pact Seeker","")</f>
        <v/>
      </c>
      <c r="B59" s="981" t="s">
        <v>1125</v>
      </c>
      <c r="C59" s="981" t="s">
        <v>76</v>
      </c>
      <c r="D59" s="981" t="s">
        <v>80</v>
      </c>
      <c r="E59" s="981" t="s">
        <v>88</v>
      </c>
      <c r="F59" s="981" t="s">
        <v>1126</v>
      </c>
      <c r="G59" s="981" t="s">
        <v>193</v>
      </c>
      <c r="H59" s="981" t="s">
        <v>207</v>
      </c>
      <c r="I59" s="981" t="s">
        <v>337</v>
      </c>
    </row>
    <row r="60">
      <c r="A60" s="913" t="str">
        <f>IF('請先閱讀'!$O$27=true,"失憶 Amnesiac","")</f>
        <v/>
      </c>
      <c r="B60" s="913" t="str">
        <f>'請先閱讀'!M$27</f>
        <v>TCM</v>
      </c>
      <c r="C60" s="913" t="s">
        <v>1095</v>
      </c>
      <c r="D60" s="913"/>
      <c r="E60" s="913"/>
      <c r="F60" s="913" t="s">
        <v>1127</v>
      </c>
      <c r="G60" s="913"/>
      <c r="H60" s="913"/>
      <c r="I60" s="913"/>
    </row>
    <row r="61">
      <c r="A61" s="914" t="str">
        <f>IF('請先閱讀'!$O$27=true,"猩紅求道者 Crimson Aspirant","")</f>
        <v/>
      </c>
      <c r="B61" s="914" t="str">
        <f>'請先閱讀'!M$27</f>
        <v>TCM</v>
      </c>
      <c r="C61" s="914" t="s">
        <v>1095</v>
      </c>
      <c r="D61" s="914"/>
      <c r="E61" s="914"/>
      <c r="F61" s="914" t="s">
        <v>1128</v>
      </c>
      <c r="G61" s="914" t="s">
        <v>193</v>
      </c>
      <c r="H61" s="914" t="s">
        <v>189</v>
      </c>
      <c r="I61" s="914" t="s">
        <v>341</v>
      </c>
    </row>
    <row r="62">
      <c r="A62" s="913" t="str">
        <f>IF('請先閱讀'!$O$27=true,"十字路賭徒 Crossroads Gambler","")</f>
        <v/>
      </c>
      <c r="B62" s="913" t="str">
        <f>'請先閱讀'!M$27</f>
        <v>TCM</v>
      </c>
      <c r="C62" s="913" t="s">
        <v>1095</v>
      </c>
      <c r="D62" s="913"/>
      <c r="E62" s="913"/>
      <c r="F62" s="913" t="s">
        <v>1129</v>
      </c>
      <c r="G62" s="913" t="s">
        <v>197</v>
      </c>
      <c r="H62" s="913" t="s">
        <v>186</v>
      </c>
      <c r="I62" s="913" t="s">
        <v>1109</v>
      </c>
    </row>
    <row r="63">
      <c r="A63" s="914" t="str">
        <f>IF('請先閱讀'!$O$27=true,"密教徒 Cultist","")</f>
        <v/>
      </c>
      <c r="B63" s="914" t="str">
        <f>'請先閱讀'!M$27</f>
        <v>TCM</v>
      </c>
      <c r="C63" s="914" t="s">
        <v>1095</v>
      </c>
      <c r="D63" s="914"/>
      <c r="E63" s="914"/>
      <c r="F63" s="914" t="s">
        <v>1130</v>
      </c>
      <c r="G63" s="914" t="s">
        <v>1131</v>
      </c>
      <c r="H63" s="914" t="s">
        <v>193</v>
      </c>
      <c r="I63" s="914" t="s">
        <v>337</v>
      </c>
    </row>
    <row r="64">
      <c r="A64" s="913" t="str">
        <f>IF('請先閱讀'!$O$27=true,"德魯斯肯瓦伊德居民 Druskenvald Dweller","")</f>
        <v/>
      </c>
      <c r="B64" s="913" t="str">
        <f>'請先閱讀'!M$27</f>
        <v>TCM</v>
      </c>
      <c r="C64" s="913" t="s">
        <v>1095</v>
      </c>
      <c r="D64" s="913"/>
      <c r="E64" s="913"/>
      <c r="F64" s="913" t="s">
        <v>1132</v>
      </c>
      <c r="G64" s="913" t="s">
        <v>1131</v>
      </c>
      <c r="H64" s="913" t="s">
        <v>194</v>
      </c>
      <c r="I64" s="913" t="s">
        <v>1133</v>
      </c>
    </row>
    <row r="65">
      <c r="A65" s="914" t="str">
        <f>IF('請先閱讀'!$O$27=true,"實驗體 Experiment","")</f>
        <v/>
      </c>
      <c r="B65" s="914" t="str">
        <f>'請先閱讀'!M$27</f>
        <v>TCM</v>
      </c>
      <c r="C65" s="914" t="s">
        <v>1095</v>
      </c>
      <c r="D65" s="914"/>
      <c r="E65" s="914"/>
      <c r="F65" s="914" t="s">
        <v>1134</v>
      </c>
      <c r="G65" s="914" t="s">
        <v>201</v>
      </c>
      <c r="H65" s="914" t="s">
        <v>189</v>
      </c>
      <c r="I65" s="914" t="s">
        <v>593</v>
      </c>
    </row>
    <row r="66">
      <c r="A66" s="913" t="str">
        <f>IF('請先閱讀'!$O$27=true,"幽燈乘客 Ghostlight Passenger","")</f>
        <v/>
      </c>
      <c r="B66" s="913" t="str">
        <f>'請先閱讀'!M$27</f>
        <v>TCM</v>
      </c>
      <c r="C66" s="913" t="s">
        <v>1095</v>
      </c>
      <c r="D66" s="913"/>
      <c r="E66" s="913"/>
      <c r="F66" s="913" t="s">
        <v>1135</v>
      </c>
      <c r="G66" s="913" t="s">
        <v>186</v>
      </c>
      <c r="H66" s="913" t="s">
        <v>207</v>
      </c>
      <c r="I66" s="913" t="s">
        <v>651</v>
      </c>
    </row>
    <row r="67">
      <c r="A67" s="914" t="str">
        <f>IF('請先閱讀'!$O$27=true,"暗夜獵手 Night Stalker","")</f>
        <v/>
      </c>
      <c r="B67" s="914" t="str">
        <f>'請先閱讀'!M$27</f>
        <v>TCM</v>
      </c>
      <c r="C67" s="914" t="s">
        <v>1095</v>
      </c>
      <c r="D67" s="914"/>
      <c r="E67" s="914"/>
      <c r="F67" s="914" t="s">
        <v>1136</v>
      </c>
      <c r="G67" s="914" t="s">
        <v>190</v>
      </c>
      <c r="H67" s="914" t="s">
        <v>1137</v>
      </c>
      <c r="I67" s="914" t="s">
        <v>631</v>
      </c>
    </row>
    <row r="68">
      <c r="A68" s="913" t="str">
        <f>IF('請先閱讀'!$O$27=true,"彷徨鏡影 Reflected Wanderer","")</f>
        <v/>
      </c>
      <c r="B68" s="913" t="str">
        <f>'請先閱讀'!M$27</f>
        <v>TCM</v>
      </c>
      <c r="C68" s="913" t="s">
        <v>1095</v>
      </c>
      <c r="D68" s="913"/>
      <c r="E68" s="913"/>
      <c r="F68" s="913" t="s">
        <v>1138</v>
      </c>
      <c r="G68" s="913" t="s">
        <v>197</v>
      </c>
      <c r="H68" s="913" t="s">
        <v>200</v>
      </c>
      <c r="I68" s="913" t="s">
        <v>664</v>
      </c>
    </row>
    <row r="69">
      <c r="A69" s="914" t="str">
        <f>IF('請先閱讀'!$O$27=true,"安魂守衛 Rest Warden","")</f>
        <v/>
      </c>
      <c r="B69" s="914" t="str">
        <f>'請先閱讀'!M$27</f>
        <v>TCM</v>
      </c>
      <c r="C69" s="914" t="s">
        <v>1095</v>
      </c>
      <c r="D69" s="914"/>
      <c r="E69" s="914"/>
      <c r="F69" s="914" t="s">
        <v>1139</v>
      </c>
      <c r="G69" s="914" t="s">
        <v>206</v>
      </c>
      <c r="H69" s="914" t="s">
        <v>194</v>
      </c>
      <c r="I69" s="914" t="s">
        <v>636</v>
      </c>
    </row>
    <row r="70">
      <c r="A70" s="913" t="str">
        <f>IF('請先閱讀'!$O$27=true,"狂歡者 Reveler","")</f>
        <v/>
      </c>
      <c r="B70" s="913" t="str">
        <f>'請先閱讀'!M$27</f>
        <v>TCM</v>
      </c>
      <c r="C70" s="913" t="s">
        <v>1095</v>
      </c>
      <c r="D70" s="913"/>
      <c r="E70" s="913"/>
      <c r="F70" s="913" t="s">
        <v>1140</v>
      </c>
      <c r="G70" s="913" t="s">
        <v>203</v>
      </c>
      <c r="H70" s="913" t="s">
        <v>190</v>
      </c>
      <c r="I70" s="913" t="s">
        <v>1075</v>
      </c>
    </row>
    <row r="71">
      <c r="A71" s="914" t="str">
        <f>IF('請先閱讀'!$O$27=true,"禁忌學者 Scholar of the Forbidden","")</f>
        <v/>
      </c>
      <c r="B71" s="914" t="str">
        <f>'請先閱讀'!M$27</f>
        <v>TCM</v>
      </c>
      <c r="C71" s="914" t="s">
        <v>1095</v>
      </c>
      <c r="D71" s="914"/>
      <c r="E71" s="914"/>
      <c r="F71" s="914" t="s">
        <v>1141</v>
      </c>
      <c r="G71" s="914" t="s">
        <v>193</v>
      </c>
      <c r="H71" s="914" t="s">
        <v>201</v>
      </c>
      <c r="I71" s="914" t="s">
        <v>337</v>
      </c>
    </row>
    <row r="72">
      <c r="A72" s="913" t="str">
        <f>IF('請先閱讀'!$O$27=true,"柳條織工 Wicker Weaver","")</f>
        <v/>
      </c>
      <c r="B72" s="913" t="str">
        <f>'請先閱讀'!M$27</f>
        <v>TCM</v>
      </c>
      <c r="C72" s="913" t="s">
        <v>1095</v>
      </c>
      <c r="D72" s="913"/>
      <c r="E72" s="913"/>
      <c r="F72" s="913" t="s">
        <v>1142</v>
      </c>
      <c r="G72" s="913" t="s">
        <v>186</v>
      </c>
      <c r="H72" s="913" t="s">
        <v>202</v>
      </c>
      <c r="I72" s="913" t="s">
        <v>658</v>
      </c>
    </row>
    <row r="73">
      <c r="A73" s="982" t="str">
        <f>IF('請先閱讀'!$O$30=true,"神話調查員 Mythos Investigator","")</f>
        <v/>
      </c>
      <c r="B73" s="982" t="s">
        <v>1143</v>
      </c>
      <c r="C73" s="982" t="s">
        <v>1095</v>
      </c>
      <c r="D73" s="982"/>
      <c r="E73" s="982"/>
      <c r="F73" s="982"/>
      <c r="G73" s="982"/>
      <c r="H73" s="982"/>
      <c r="I73" s="982"/>
    </row>
    <row r="74">
      <c r="A74" s="917" t="str">
        <f>IF('請先閱讀'!$O$31=true,"奧古斯丁代理人 Agent of Augustine","")</f>
        <v/>
      </c>
      <c r="B74" s="917" t="s">
        <v>137</v>
      </c>
      <c r="C74" s="917" t="s">
        <v>80</v>
      </c>
      <c r="D74" s="917" t="s">
        <v>76</v>
      </c>
      <c r="E74" s="917" t="s">
        <v>88</v>
      </c>
      <c r="F74" s="917" t="s">
        <v>1144</v>
      </c>
      <c r="G74" s="917" t="s">
        <v>196</v>
      </c>
      <c r="H74" s="917" t="s">
        <v>207</v>
      </c>
      <c r="I74" s="917" t="s">
        <v>665</v>
      </c>
    </row>
    <row r="75">
      <c r="A75" s="918" t="str">
        <f>IF('請先閱讀'!$O$31=true,"古文物家 Antiquarian","")</f>
        <v/>
      </c>
      <c r="B75" s="918" t="s">
        <v>137</v>
      </c>
      <c r="C75" s="918" t="s">
        <v>71</v>
      </c>
      <c r="D75" s="918" t="s">
        <v>76</v>
      </c>
      <c r="E75" s="918" t="s">
        <v>80</v>
      </c>
      <c r="F75" s="918" t="s">
        <v>1070</v>
      </c>
      <c r="G75" s="918" t="s">
        <v>193</v>
      </c>
      <c r="H75" s="918" t="s">
        <v>196</v>
      </c>
      <c r="I75" s="918" t="s">
        <v>1145</v>
      </c>
    </row>
    <row r="76">
      <c r="A76" s="917" t="str">
        <f>IF('請先閱讀'!$O$31=true,"野獸獵人 Beast Hunter","")</f>
        <v/>
      </c>
      <c r="B76" s="917" t="s">
        <v>137</v>
      </c>
      <c r="C76" s="917" t="s">
        <v>67</v>
      </c>
      <c r="D76" s="917" t="s">
        <v>71</v>
      </c>
      <c r="E76" s="917" t="s">
        <v>76</v>
      </c>
      <c r="F76" s="917" t="s">
        <v>1146</v>
      </c>
      <c r="G76" s="917" t="s">
        <v>1078</v>
      </c>
      <c r="H76" s="917" t="s">
        <v>194</v>
      </c>
      <c r="I76" s="917" t="s">
        <v>631</v>
      </c>
    </row>
    <row r="77">
      <c r="A77" s="918" t="str">
        <f>IF('請先閱讀'!$O$31=true,"乞丐 Beggar","")</f>
        <v/>
      </c>
      <c r="B77" s="918" t="s">
        <v>137</v>
      </c>
      <c r="C77" s="918" t="s">
        <v>67</v>
      </c>
      <c r="D77" s="918" t="s">
        <v>71</v>
      </c>
      <c r="E77" s="918" t="s">
        <v>83</v>
      </c>
      <c r="F77" s="918" t="s">
        <v>1147</v>
      </c>
      <c r="G77" s="918" t="s">
        <v>186</v>
      </c>
      <c r="H77" s="918" t="s">
        <v>207</v>
      </c>
      <c r="I77" s="918" t="s">
        <v>664</v>
      </c>
    </row>
    <row r="78">
      <c r="A78" s="917" t="str">
        <f>IF('請先閱讀'!$O$31=true,"章節騎士 Chapter Knight","")</f>
        <v/>
      </c>
      <c r="B78" s="917" t="s">
        <v>137</v>
      </c>
      <c r="C78" s="917" t="s">
        <v>67</v>
      </c>
      <c r="D78" s="917" t="s">
        <v>83</v>
      </c>
      <c r="E78" s="917" t="s">
        <v>88</v>
      </c>
      <c r="F78" s="917" t="s">
        <v>1092</v>
      </c>
      <c r="G78" s="917" t="s">
        <v>1078</v>
      </c>
      <c r="H78" s="917" t="s">
        <v>182</v>
      </c>
      <c r="I78" s="917" t="s">
        <v>1075</v>
      </c>
    </row>
    <row r="79">
      <c r="A79" s="918" t="str">
        <f>IF('請先閱讀'!$O$31=true,"議員 Courtier","")</f>
        <v/>
      </c>
      <c r="B79" s="918" t="s">
        <v>137</v>
      </c>
      <c r="C79" s="918" t="s">
        <v>80</v>
      </c>
      <c r="D79" s="918" t="s">
        <v>83</v>
      </c>
      <c r="E79" s="918" t="s">
        <v>88</v>
      </c>
      <c r="F79" s="918" t="s">
        <v>1070</v>
      </c>
      <c r="G79" s="918" t="s">
        <v>186</v>
      </c>
      <c r="H79" s="918" t="s">
        <v>207</v>
      </c>
      <c r="I79" s="918" t="s">
        <v>1148</v>
      </c>
    </row>
    <row r="80">
      <c r="A80" s="917" t="str">
        <f>IF('請先閱讀'!$O$31=true,"惡名昭彰 Disgraced Raider","")</f>
        <v/>
      </c>
      <c r="B80" s="917" t="s">
        <v>137</v>
      </c>
      <c r="C80" s="917" t="s">
        <v>67</v>
      </c>
      <c r="D80" s="917" t="s">
        <v>76</v>
      </c>
      <c r="E80" s="917" t="s">
        <v>83</v>
      </c>
      <c r="F80" s="917" t="s">
        <v>1092</v>
      </c>
      <c r="G80" s="917" t="s">
        <v>182</v>
      </c>
      <c r="H80" s="917" t="s">
        <v>202</v>
      </c>
      <c r="I80" s="917" t="s">
        <v>674</v>
      </c>
    </row>
    <row r="81">
      <c r="A81" s="918" t="str">
        <f>IF('請先閱讀'!$O$31=true,"使節 Envoy","")</f>
        <v/>
      </c>
      <c r="B81" s="918" t="s">
        <v>137</v>
      </c>
      <c r="C81" s="918" t="s">
        <v>67</v>
      </c>
      <c r="D81" s="918" t="s">
        <v>76</v>
      </c>
      <c r="E81" s="918" t="s">
        <v>88</v>
      </c>
      <c r="F81" s="918" t="s">
        <v>1070</v>
      </c>
      <c r="G81" s="918" t="s">
        <v>186</v>
      </c>
      <c r="H81" s="918" t="s">
        <v>207</v>
      </c>
      <c r="I81" s="918" t="s">
        <v>337</v>
      </c>
    </row>
    <row r="82">
      <c r="A82" s="917" t="str">
        <f>IF('請先閱讀'!$O$31=true,"劊子手 Executioner","")</f>
        <v/>
      </c>
      <c r="B82" s="917" t="s">
        <v>137</v>
      </c>
      <c r="C82" s="917" t="s">
        <v>67</v>
      </c>
      <c r="D82" s="917" t="s">
        <v>76</v>
      </c>
      <c r="E82" s="917" t="s">
        <v>80</v>
      </c>
      <c r="F82" s="917" t="s">
        <v>1149</v>
      </c>
      <c r="G82" s="917" t="s">
        <v>182</v>
      </c>
      <c r="H82" s="917" t="s">
        <v>189</v>
      </c>
      <c r="I82" s="917" t="s">
        <v>651</v>
      </c>
    </row>
    <row r="83">
      <c r="A83" s="918" t="str">
        <f>IF('請先閱讀'!$O$31=true,"探索者 Explorer","")</f>
        <v/>
      </c>
      <c r="B83" s="918" t="s">
        <v>137</v>
      </c>
      <c r="C83" s="918" t="s">
        <v>67</v>
      </c>
      <c r="D83" s="918" t="s">
        <v>76</v>
      </c>
      <c r="E83" s="918" t="s">
        <v>83</v>
      </c>
      <c r="F83" s="918" t="s">
        <v>1072</v>
      </c>
      <c r="G83" s="918" t="s">
        <v>182</v>
      </c>
      <c r="H83" s="918" t="s">
        <v>194</v>
      </c>
      <c r="I83" s="918" t="s">
        <v>674</v>
      </c>
    </row>
    <row r="84">
      <c r="A84" s="917" t="str">
        <f>IF('請先閱讀'!$O$31=true,"滅蟲專家 Exterminator","")</f>
        <v/>
      </c>
      <c r="B84" s="917" t="s">
        <v>137</v>
      </c>
      <c r="C84" s="917" t="s">
        <v>71</v>
      </c>
      <c r="D84" s="917" t="s">
        <v>76</v>
      </c>
      <c r="E84" s="917" t="s">
        <v>80</v>
      </c>
      <c r="F84" s="917" t="s">
        <v>1082</v>
      </c>
      <c r="G84" s="917" t="s">
        <v>1078</v>
      </c>
      <c r="H84" s="917" t="s">
        <v>189</v>
      </c>
      <c r="I84" s="917" t="s">
        <v>342</v>
      </c>
    </row>
    <row r="85">
      <c r="A85" s="918" t="str">
        <f>IF('請先閱讀'!$O$31=true,"精類祝福 Fey-Blessed","")</f>
        <v/>
      </c>
      <c r="B85" s="918" t="s">
        <v>137</v>
      </c>
      <c r="C85" s="918" t="s">
        <v>71</v>
      </c>
      <c r="D85" s="918" t="s">
        <v>76</v>
      </c>
      <c r="E85" s="918" t="s">
        <v>88</v>
      </c>
      <c r="F85" s="918" t="s">
        <v>1087</v>
      </c>
      <c r="G85" s="918" t="s">
        <v>193</v>
      </c>
      <c r="H85" s="918" t="s">
        <v>203</v>
      </c>
      <c r="I85" s="918" t="s">
        <v>1075</v>
      </c>
    </row>
    <row r="86">
      <c r="A86" s="917" t="str">
        <f>IF('請先閱讀'!$O$31=true,"自由劍傭兵 Free Swords Mercenary","")</f>
        <v/>
      </c>
      <c r="B86" s="917" t="s">
        <v>137</v>
      </c>
      <c r="C86" s="917" t="s">
        <v>67</v>
      </c>
      <c r="D86" s="917" t="s">
        <v>71</v>
      </c>
      <c r="E86" s="917" t="s">
        <v>76</v>
      </c>
      <c r="F86" s="917" t="s">
        <v>1150</v>
      </c>
      <c r="G86" s="917" t="s">
        <v>185</v>
      </c>
      <c r="H86" s="917" t="s">
        <v>182</v>
      </c>
      <c r="I86" s="917" t="s">
        <v>1080</v>
      </c>
    </row>
    <row r="87">
      <c r="A87" s="918" t="str">
        <f>IF('請先閱讀'!$O$31=true,"異教徒 Heretic","")</f>
        <v/>
      </c>
      <c r="B87" s="918" t="s">
        <v>137</v>
      </c>
      <c r="C87" s="918" t="s">
        <v>67</v>
      </c>
      <c r="D87" s="918" t="s">
        <v>71</v>
      </c>
      <c r="E87" s="918" t="s">
        <v>83</v>
      </c>
      <c r="F87" s="918" t="s">
        <v>1065</v>
      </c>
      <c r="G87" s="918" t="s">
        <v>197</v>
      </c>
      <c r="H87" s="918" t="s">
        <v>206</v>
      </c>
      <c r="I87" s="918" t="s">
        <v>664</v>
      </c>
    </row>
    <row r="88">
      <c r="A88" s="917" t="str">
        <f>IF('請先閱讀'!$O$31=true,"虔信者審判官 Inquisitor of the Faithful","")</f>
        <v/>
      </c>
      <c r="B88" s="917" t="s">
        <v>137</v>
      </c>
      <c r="C88" s="917" t="s">
        <v>67</v>
      </c>
      <c r="D88" s="917" t="s">
        <v>83</v>
      </c>
      <c r="E88" s="917" t="s">
        <v>88</v>
      </c>
      <c r="F88" s="917" t="s">
        <v>1151</v>
      </c>
      <c r="G88" s="917" t="s">
        <v>201</v>
      </c>
      <c r="H88" s="917" t="s">
        <v>206</v>
      </c>
      <c r="I88" s="917" t="s">
        <v>341</v>
      </c>
    </row>
    <row r="89">
      <c r="A89" s="918" t="str">
        <f>IF('請先閱讀'!$O$31=true,"失職審判官 Lapsed Inquisitor","")</f>
        <v/>
      </c>
      <c r="B89" s="918" t="s">
        <v>137</v>
      </c>
      <c r="C89" s="918" t="s">
        <v>67</v>
      </c>
      <c r="D89" s="918" t="s">
        <v>83</v>
      </c>
      <c r="E89" s="918" t="s">
        <v>88</v>
      </c>
      <c r="F89" s="918" t="s">
        <v>1151</v>
      </c>
      <c r="G89" s="918" t="s">
        <v>207</v>
      </c>
      <c r="H89" s="918" t="s">
        <v>206</v>
      </c>
      <c r="I89" s="918" t="s">
        <v>674</v>
      </c>
    </row>
    <row r="90">
      <c r="A90" s="917" t="str">
        <f>IF('請先閱讀'!$O$31=true,"神隱之人 One of the Taken","")</f>
        <v/>
      </c>
      <c r="B90" s="917" t="s">
        <v>137</v>
      </c>
      <c r="C90" s="917" t="s">
        <v>71</v>
      </c>
      <c r="D90" s="917" t="s">
        <v>83</v>
      </c>
      <c r="E90" s="917" t="s">
        <v>88</v>
      </c>
      <c r="F90" s="917" t="s">
        <v>1082</v>
      </c>
      <c r="G90" s="917" t="s">
        <v>193</v>
      </c>
      <c r="H90" s="917" t="s">
        <v>202</v>
      </c>
      <c r="I90" s="917" t="s">
        <v>661</v>
      </c>
    </row>
    <row r="91">
      <c r="A91" s="918" t="str">
        <f>IF('請先閱讀'!$O$31=true,"醫師 Physician","")</f>
        <v/>
      </c>
      <c r="B91" s="918" t="s">
        <v>137</v>
      </c>
      <c r="C91" s="918" t="s">
        <v>71</v>
      </c>
      <c r="D91" s="918" t="s">
        <v>80</v>
      </c>
      <c r="E91" s="918" t="s">
        <v>83</v>
      </c>
      <c r="F91" s="918" t="s">
        <v>1152</v>
      </c>
      <c r="G91" s="918" t="s">
        <v>189</v>
      </c>
      <c r="H91" s="918" t="s">
        <v>202</v>
      </c>
      <c r="I91" s="918" t="s">
        <v>341</v>
      </c>
    </row>
    <row r="92">
      <c r="A92" s="917" t="str">
        <f>IF('請先閱讀'!$O$31=true,"先驅者 Pioneer","")</f>
        <v/>
      </c>
      <c r="B92" s="917" t="s">
        <v>137</v>
      </c>
      <c r="C92" s="917" t="s">
        <v>67</v>
      </c>
      <c r="D92" s="917" t="s">
        <v>76</v>
      </c>
      <c r="E92" s="917" t="s">
        <v>83</v>
      </c>
      <c r="F92" s="917" t="s">
        <v>1147</v>
      </c>
      <c r="G92" s="917" t="s">
        <v>182</v>
      </c>
      <c r="H92" s="917" t="s">
        <v>194</v>
      </c>
      <c r="I92" s="917" t="s">
        <v>1153</v>
      </c>
    </row>
    <row r="93">
      <c r="A93" s="918" t="str">
        <f>IF('請先閱讀'!$O$31=true,"格鬥士 Pit Fighter","")</f>
        <v/>
      </c>
      <c r="B93" s="918" t="s">
        <v>137</v>
      </c>
      <c r="C93" s="918" t="s">
        <v>67</v>
      </c>
      <c r="D93" s="918" t="s">
        <v>71</v>
      </c>
      <c r="E93" s="918" t="s">
        <v>88</v>
      </c>
      <c r="F93" s="918" t="s">
        <v>1092</v>
      </c>
      <c r="G93" s="918" t="s">
        <v>182</v>
      </c>
      <c r="H93" s="918" t="s">
        <v>203</v>
      </c>
      <c r="I93" s="918" t="s">
        <v>1080</v>
      </c>
    </row>
    <row r="94">
      <c r="A94" s="917" t="str">
        <f>IF('請先閱讀'!$O$31=true,"絕症纏身 Pox-Touched","")</f>
        <v/>
      </c>
      <c r="B94" s="917" t="s">
        <v>137</v>
      </c>
      <c r="C94" s="917" t="s">
        <v>76</v>
      </c>
      <c r="D94" s="917" t="s">
        <v>80</v>
      </c>
      <c r="E94" s="917" t="s">
        <v>83</v>
      </c>
      <c r="F94" s="917" t="s">
        <v>1152</v>
      </c>
      <c r="G94" s="917" t="s">
        <v>201</v>
      </c>
      <c r="H94" s="917" t="s">
        <v>189</v>
      </c>
      <c r="I94" s="917" t="s">
        <v>341</v>
      </c>
    </row>
    <row r="95">
      <c r="A95" s="918" t="str">
        <f>IF('請先閱讀'!$O$31=true,"囚徒 Prisoner","")</f>
        <v/>
      </c>
      <c r="B95" s="918" t="s">
        <v>137</v>
      </c>
      <c r="C95" s="918" t="s">
        <v>71</v>
      </c>
      <c r="D95" s="918" t="s">
        <v>76</v>
      </c>
      <c r="E95" s="918" t="s">
        <v>88</v>
      </c>
      <c r="F95" s="918" t="s">
        <v>1072</v>
      </c>
      <c r="G95" s="918" t="s">
        <v>197</v>
      </c>
      <c r="H95" s="918" t="s">
        <v>188</v>
      </c>
      <c r="I95" s="918" t="s">
        <v>676</v>
      </c>
    </row>
    <row r="96">
      <c r="A96" s="917" t="str">
        <f>IF('請先閱讀'!$O$31=true,"獲釋奴僕 Released Thrall","")</f>
        <v/>
      </c>
      <c r="B96" s="917" t="s">
        <v>137</v>
      </c>
      <c r="C96" s="917" t="s">
        <v>76</v>
      </c>
      <c r="D96" s="917" t="s">
        <v>80</v>
      </c>
      <c r="E96" s="917" t="s">
        <v>83</v>
      </c>
      <c r="F96" s="917" t="s">
        <v>1147</v>
      </c>
      <c r="G96" s="917" t="s">
        <v>191</v>
      </c>
      <c r="H96" s="917" t="s">
        <v>190</v>
      </c>
      <c r="I96" s="917" t="s">
        <v>1068</v>
      </c>
    </row>
    <row r="97">
      <c r="A97" s="918" t="str">
        <f>IF('請先閱讀'!$O$31=true,"奇術師門徒 Scion of the Thaumaturge","")</f>
        <v/>
      </c>
      <c r="B97" s="918" t="s">
        <v>137</v>
      </c>
      <c r="C97" s="918" t="s">
        <v>80</v>
      </c>
      <c r="D97" s="918" t="s">
        <v>83</v>
      </c>
      <c r="E97" s="918" t="s">
        <v>88</v>
      </c>
      <c r="F97" s="918" t="s">
        <v>1154</v>
      </c>
      <c r="G97" s="918" t="s">
        <v>193</v>
      </c>
      <c r="H97" s="918" t="s">
        <v>186</v>
      </c>
      <c r="I97" s="918" t="s">
        <v>610</v>
      </c>
    </row>
    <row r="98">
      <c r="A98" s="917" t="str">
        <f>IF('請先閱讀'!$O$31=true,"幫派走私犯 Syndicate Smuggler","")</f>
        <v/>
      </c>
      <c r="B98" s="917" t="s">
        <v>137</v>
      </c>
      <c r="C98" s="917" t="s">
        <v>71</v>
      </c>
      <c r="D98" s="917" t="s">
        <v>80</v>
      </c>
      <c r="E98" s="917" t="s">
        <v>88</v>
      </c>
      <c r="F98" s="917" t="s">
        <v>1155</v>
      </c>
      <c r="G98" s="917" t="s">
        <v>196</v>
      </c>
      <c r="H98" s="917" t="s">
        <v>190</v>
      </c>
      <c r="I98" s="917" t="s">
        <v>665</v>
      </c>
    </row>
    <row r="99">
      <c r="A99" s="912" t="str">
        <f>IF('請先閱讀'!$O$33=true,"幻身靈旅行者 Changeling Traveler","")</f>
        <v/>
      </c>
      <c r="B99" s="912" t="s">
        <v>147</v>
      </c>
      <c r="C99" s="912" t="s">
        <v>71</v>
      </c>
      <c r="D99" s="912" t="s">
        <v>83</v>
      </c>
      <c r="E99" s="912" t="s">
        <v>88</v>
      </c>
      <c r="F99" s="912" t="s">
        <v>1156</v>
      </c>
      <c r="G99" s="912" t="s">
        <v>197</v>
      </c>
      <c r="H99" s="912" t="s">
        <v>188</v>
      </c>
      <c r="I99" s="912" t="s">
        <v>676</v>
      </c>
    </row>
    <row r="100">
      <c r="A100" s="911" t="str">
        <f>IF('請先閱讀'!$O$33=true,"瑪倫提 Malenti","")</f>
        <v/>
      </c>
      <c r="B100" s="911" t="s">
        <v>147</v>
      </c>
      <c r="C100" s="911" t="s">
        <v>71</v>
      </c>
      <c r="D100" s="911" t="s">
        <v>80</v>
      </c>
      <c r="E100" s="911" t="s">
        <v>88</v>
      </c>
      <c r="F100" s="911" t="s">
        <v>1157</v>
      </c>
      <c r="G100" s="911" t="s">
        <v>197</v>
      </c>
      <c r="H100" s="911" t="s">
        <v>186</v>
      </c>
      <c r="I100" s="911" t="s">
        <v>1158</v>
      </c>
    </row>
    <row r="101">
      <c r="A101" s="912" t="str">
        <f>IF('請先閱讀'!$O$33=true,"原石 Natural","")</f>
        <v/>
      </c>
      <c r="B101" s="912" t="s">
        <v>147</v>
      </c>
      <c r="C101" s="912" t="s">
        <v>71</v>
      </c>
      <c r="D101" s="912" t="s">
        <v>83</v>
      </c>
      <c r="E101" s="912" t="s">
        <v>88</v>
      </c>
      <c r="F101" s="912" t="s">
        <v>712</v>
      </c>
      <c r="G101" s="912" t="s">
        <v>186</v>
      </c>
      <c r="H101" s="912" t="s">
        <v>190</v>
      </c>
      <c r="I101" s="912" t="s">
        <v>676</v>
      </c>
    </row>
    <row r="102">
      <c r="A102" s="911" t="str">
        <f>IF('請先閱讀'!$O$33=true,"奇才 Savant","")</f>
        <v/>
      </c>
      <c r="B102" s="911" t="s">
        <v>147</v>
      </c>
      <c r="C102" s="911" t="s">
        <v>76</v>
      </c>
      <c r="D102" s="911" t="s">
        <v>80</v>
      </c>
      <c r="E102" s="911" t="s">
        <v>83</v>
      </c>
      <c r="F102" s="911" t="s">
        <v>1087</v>
      </c>
      <c r="G102" s="911" t="s">
        <v>193</v>
      </c>
      <c r="H102" s="911" t="s">
        <v>196</v>
      </c>
      <c r="I102" s="911" t="s">
        <v>337</v>
      </c>
    </row>
    <row r="103">
      <c r="A103" s="912" t="str">
        <f>IF('請先閱讀'!$O$33=true,"攻城技師 Siege Engineer","")</f>
        <v/>
      </c>
      <c r="B103" s="912" t="s">
        <v>147</v>
      </c>
      <c r="C103" s="912" t="s">
        <v>67</v>
      </c>
      <c r="D103" s="912" t="s">
        <v>71</v>
      </c>
      <c r="E103" s="912" t="s">
        <v>76</v>
      </c>
      <c r="F103" s="912" t="s">
        <v>1092</v>
      </c>
      <c r="G103" s="912" t="s">
        <v>182</v>
      </c>
      <c r="H103" s="912" t="s">
        <v>201</v>
      </c>
      <c r="I103" s="912" t="s">
        <v>1109</v>
      </c>
    </row>
    <row r="104">
      <c r="A104" s="911" t="str">
        <f>IF('請先閱讀'!$O$33=true,"支援技師 Technical Support","")</f>
        <v/>
      </c>
      <c r="B104" s="911" t="s">
        <v>147</v>
      </c>
      <c r="C104" s="911" t="s">
        <v>71</v>
      </c>
      <c r="D104" s="911" t="s">
        <v>76</v>
      </c>
      <c r="E104" s="911" t="s">
        <v>80</v>
      </c>
      <c r="F104" s="911" t="s">
        <v>1072</v>
      </c>
      <c r="G104" s="911" t="s">
        <v>188</v>
      </c>
      <c r="H104" s="911" t="s">
        <v>190</v>
      </c>
      <c r="I104" s="911" t="s">
        <v>676</v>
      </c>
    </row>
    <row r="105">
      <c r="A105" s="912" t="str">
        <f>IF('請先閱讀'!$O$33=true,"藍領法師 Wage Mage","")</f>
        <v/>
      </c>
      <c r="B105" s="912" t="s">
        <v>147</v>
      </c>
      <c r="C105" s="912" t="s">
        <v>67</v>
      </c>
      <c r="D105" s="912" t="s">
        <v>71</v>
      </c>
      <c r="E105" s="912" t="s">
        <v>80</v>
      </c>
      <c r="F105" s="912" t="s">
        <v>1067</v>
      </c>
      <c r="G105" s="912" t="s">
        <v>200</v>
      </c>
      <c r="H105" s="912" t="s">
        <v>207</v>
      </c>
      <c r="I105" s="912" t="s">
        <v>1159</v>
      </c>
    </row>
    <row r="106">
      <c r="A106" s="978"/>
      <c r="B106" s="978"/>
      <c r="C106" s="978"/>
      <c r="D106" s="978"/>
      <c r="E106" s="978"/>
      <c r="F106" s="978"/>
      <c r="G106" s="978"/>
      <c r="H106" s="978"/>
      <c r="I106" s="978"/>
    </row>
    <row r="107">
      <c r="A107" s="983"/>
      <c r="B107" s="983"/>
      <c r="C107" s="983"/>
      <c r="D107" s="983"/>
      <c r="E107" s="983"/>
      <c r="F107" s="983"/>
      <c r="G107" s="983"/>
      <c r="H107" s="983"/>
      <c r="I107" s="983"/>
    </row>
    <row r="108">
      <c r="A108" s="978"/>
      <c r="B108" s="978"/>
      <c r="C108" s="978"/>
      <c r="D108" s="978"/>
      <c r="E108" s="978"/>
      <c r="F108" s="978"/>
      <c r="G108" s="978"/>
      <c r="H108" s="978"/>
      <c r="I108" s="978"/>
    </row>
    <row r="109">
      <c r="A109" s="983"/>
      <c r="B109" s="983"/>
      <c r="C109" s="983"/>
      <c r="D109" s="983"/>
      <c r="E109" s="983"/>
      <c r="F109" s="983"/>
      <c r="G109" s="983"/>
      <c r="H109" s="983"/>
      <c r="I109" s="983"/>
    </row>
    <row r="110">
      <c r="A110" s="978"/>
      <c r="B110" s="978"/>
      <c r="C110" s="978"/>
      <c r="D110" s="978"/>
      <c r="E110" s="978"/>
      <c r="F110" s="978"/>
      <c r="G110" s="978"/>
      <c r="H110" s="978"/>
      <c r="I110" s="978"/>
    </row>
    <row r="111">
      <c r="A111" s="983"/>
      <c r="B111" s="983"/>
      <c r="C111" s="983"/>
      <c r="D111" s="983"/>
      <c r="E111" s="983"/>
      <c r="F111" s="983"/>
      <c r="G111" s="983"/>
      <c r="H111" s="983"/>
      <c r="I111" s="983"/>
    </row>
    <row r="112">
      <c r="A112" s="978"/>
      <c r="B112" s="978"/>
      <c r="C112" s="978"/>
      <c r="D112" s="978"/>
      <c r="E112" s="978"/>
      <c r="F112" s="978"/>
      <c r="G112" s="978"/>
      <c r="H112" s="978"/>
      <c r="I112" s="978"/>
    </row>
    <row r="113">
      <c r="A113" s="983"/>
      <c r="B113" s="983"/>
      <c r="C113" s="983"/>
      <c r="D113" s="983"/>
      <c r="E113" s="983"/>
      <c r="F113" s="983"/>
      <c r="G113" s="983"/>
      <c r="H113" s="983"/>
      <c r="I113" s="983"/>
    </row>
    <row r="114">
      <c r="A114" s="978"/>
      <c r="B114" s="978"/>
      <c r="C114" s="978"/>
      <c r="D114" s="978"/>
      <c r="E114" s="978"/>
      <c r="F114" s="978"/>
      <c r="G114" s="978"/>
      <c r="H114" s="978"/>
      <c r="I114" s="978"/>
    </row>
    <row r="115">
      <c r="A115" s="983"/>
      <c r="B115" s="983"/>
      <c r="C115" s="983"/>
      <c r="D115" s="983"/>
      <c r="E115" s="983"/>
      <c r="F115" s="983"/>
      <c r="G115" s="983"/>
      <c r="H115" s="983"/>
      <c r="I115" s="983"/>
    </row>
    <row r="116">
      <c r="A116" s="978"/>
      <c r="B116" s="978"/>
      <c r="C116" s="978"/>
      <c r="D116" s="978"/>
      <c r="E116" s="978"/>
      <c r="F116" s="978"/>
      <c r="G116" s="978"/>
      <c r="H116" s="978"/>
      <c r="I116" s="978"/>
    </row>
    <row r="117">
      <c r="A117" s="983"/>
      <c r="B117" s="983"/>
      <c r="C117" s="983"/>
      <c r="D117" s="983"/>
      <c r="E117" s="983"/>
      <c r="F117" s="983"/>
      <c r="G117" s="983"/>
      <c r="H117" s="983"/>
      <c r="I117" s="983"/>
    </row>
    <row r="118">
      <c r="A118" s="978"/>
      <c r="B118" s="978"/>
      <c r="C118" s="978"/>
      <c r="D118" s="978"/>
      <c r="E118" s="978"/>
      <c r="F118" s="978"/>
      <c r="G118" s="978"/>
      <c r="H118" s="978"/>
      <c r="I118" s="978"/>
    </row>
    <row r="119">
      <c r="A119" s="983"/>
      <c r="B119" s="983"/>
      <c r="C119" s="983"/>
      <c r="D119" s="983"/>
      <c r="E119" s="983"/>
      <c r="F119" s="983"/>
      <c r="G119" s="983"/>
      <c r="H119" s="983"/>
      <c r="I119" s="983"/>
    </row>
    <row r="120">
      <c r="A120" s="978"/>
      <c r="B120" s="978"/>
      <c r="C120" s="978"/>
      <c r="D120" s="978"/>
      <c r="E120" s="978"/>
      <c r="F120" s="978"/>
      <c r="G120" s="978"/>
      <c r="H120" s="978"/>
      <c r="I120" s="978"/>
    </row>
    <row r="121">
      <c r="A121" s="983"/>
      <c r="B121" s="983"/>
      <c r="C121" s="983"/>
      <c r="D121" s="983"/>
      <c r="E121" s="983"/>
      <c r="F121" s="983"/>
      <c r="G121" s="983"/>
      <c r="H121" s="983"/>
      <c r="I121" s="983"/>
    </row>
    <row r="122">
      <c r="A122" s="978"/>
      <c r="B122" s="978"/>
      <c r="C122" s="978"/>
      <c r="D122" s="978"/>
      <c r="E122" s="978"/>
      <c r="F122" s="978"/>
      <c r="G122" s="978"/>
      <c r="H122" s="978"/>
      <c r="I122" s="978"/>
    </row>
    <row r="123">
      <c r="A123" s="983"/>
      <c r="B123" s="983"/>
      <c r="C123" s="983"/>
      <c r="D123" s="983"/>
      <c r="E123" s="983"/>
      <c r="F123" s="983"/>
      <c r="G123" s="983"/>
      <c r="H123" s="983"/>
      <c r="I123" s="983"/>
    </row>
    <row r="124">
      <c r="A124" s="978"/>
      <c r="B124" s="978"/>
      <c r="C124" s="978"/>
      <c r="D124" s="978"/>
      <c r="E124" s="978"/>
      <c r="F124" s="978"/>
      <c r="G124" s="978"/>
      <c r="H124" s="978"/>
      <c r="I124" s="978"/>
    </row>
    <row r="125">
      <c r="A125" s="975"/>
      <c r="B125" s="983"/>
      <c r="C125" s="983"/>
      <c r="D125" s="983"/>
      <c r="E125" s="983"/>
      <c r="F125" s="983"/>
      <c r="G125" s="983"/>
      <c r="H125" s="983"/>
      <c r="I125" s="983"/>
    </row>
    <row r="126">
      <c r="A126" s="974"/>
      <c r="B126" s="978"/>
      <c r="C126" s="978"/>
      <c r="D126" s="978"/>
      <c r="E126" s="978"/>
      <c r="F126" s="978"/>
      <c r="G126" s="978"/>
      <c r="H126" s="978"/>
      <c r="I126" s="978"/>
    </row>
    <row r="127">
      <c r="A127" s="975"/>
      <c r="B127" s="983"/>
      <c r="C127" s="983"/>
      <c r="D127" s="983"/>
      <c r="E127" s="983"/>
      <c r="F127" s="983"/>
      <c r="G127" s="983"/>
      <c r="H127" s="983"/>
      <c r="I127" s="983"/>
    </row>
    <row r="128">
      <c r="A128" s="974"/>
      <c r="B128" s="978"/>
      <c r="C128" s="978"/>
      <c r="D128" s="978"/>
      <c r="E128" s="978"/>
      <c r="F128" s="978"/>
      <c r="G128" s="978"/>
      <c r="H128" s="978"/>
      <c r="I128" s="978"/>
    </row>
    <row r="129">
      <c r="A129" s="975"/>
      <c r="B129" s="983"/>
      <c r="C129" s="983"/>
      <c r="D129" s="983"/>
      <c r="E129" s="983"/>
      <c r="F129" s="983"/>
      <c r="G129" s="983"/>
      <c r="H129" s="983"/>
      <c r="I129" s="983"/>
    </row>
    <row r="130">
      <c r="A130" s="974"/>
      <c r="B130" s="978"/>
      <c r="C130" s="978"/>
      <c r="D130" s="978"/>
      <c r="E130" s="978"/>
      <c r="F130" s="978"/>
      <c r="G130" s="978"/>
      <c r="H130" s="978"/>
      <c r="I130" s="978"/>
    </row>
    <row r="131">
      <c r="A131" s="975"/>
      <c r="B131" s="983"/>
      <c r="C131" s="983"/>
      <c r="D131" s="983"/>
      <c r="E131" s="983"/>
      <c r="F131" s="983"/>
      <c r="G131" s="983"/>
      <c r="H131" s="983"/>
      <c r="I131" s="983"/>
    </row>
    <row r="132">
      <c r="A132" s="974"/>
      <c r="B132" s="978"/>
      <c r="C132" s="978"/>
      <c r="D132" s="978"/>
      <c r="E132" s="978"/>
      <c r="F132" s="978"/>
      <c r="G132" s="978"/>
      <c r="H132" s="978"/>
      <c r="I132" s="978"/>
    </row>
    <row r="133">
      <c r="A133" s="975"/>
      <c r="B133" s="983"/>
      <c r="C133" s="983"/>
      <c r="D133" s="983"/>
      <c r="E133" s="983"/>
      <c r="F133" s="983"/>
      <c r="G133" s="983"/>
      <c r="H133" s="983"/>
      <c r="I133" s="983"/>
    </row>
    <row r="134">
      <c r="A134" s="974"/>
      <c r="B134" s="978"/>
      <c r="C134" s="978"/>
      <c r="D134" s="978"/>
      <c r="E134" s="978"/>
      <c r="F134" s="978"/>
      <c r="G134" s="978"/>
      <c r="H134" s="978"/>
      <c r="I134" s="978"/>
    </row>
    <row r="135">
      <c r="A135" s="975"/>
      <c r="B135" s="983"/>
      <c r="C135" s="983"/>
      <c r="D135" s="983"/>
      <c r="E135" s="983"/>
      <c r="F135" s="983"/>
      <c r="G135" s="983"/>
      <c r="H135" s="983"/>
      <c r="I135" s="983"/>
    </row>
    <row r="136">
      <c r="A136" s="974"/>
      <c r="B136" s="978"/>
      <c r="C136" s="978"/>
      <c r="D136" s="978"/>
      <c r="E136" s="978"/>
      <c r="F136" s="978"/>
      <c r="G136" s="978"/>
      <c r="H136" s="978"/>
      <c r="I136" s="978"/>
    </row>
    <row r="137">
      <c r="A137" s="975"/>
      <c r="B137" s="983"/>
      <c r="C137" s="983"/>
      <c r="D137" s="983"/>
      <c r="E137" s="983"/>
      <c r="F137" s="983"/>
      <c r="G137" s="983"/>
      <c r="H137" s="983"/>
      <c r="I137" s="983"/>
    </row>
    <row r="138">
      <c r="A138" s="974"/>
      <c r="B138" s="978"/>
      <c r="C138" s="978"/>
      <c r="D138" s="978"/>
      <c r="E138" s="978"/>
      <c r="F138" s="978"/>
      <c r="G138" s="978"/>
      <c r="H138" s="978"/>
      <c r="I138" s="978"/>
    </row>
    <row r="139">
      <c r="A139" s="975"/>
      <c r="B139" s="983"/>
      <c r="C139" s="983"/>
      <c r="D139" s="983"/>
      <c r="E139" s="983"/>
      <c r="F139" s="983"/>
      <c r="G139" s="983"/>
      <c r="H139" s="983"/>
      <c r="I139" s="983"/>
    </row>
    <row r="140">
      <c r="A140" s="974"/>
      <c r="B140" s="978"/>
      <c r="C140" s="978"/>
      <c r="D140" s="978"/>
      <c r="E140" s="978"/>
      <c r="F140" s="978"/>
      <c r="G140" s="978"/>
      <c r="H140" s="978"/>
      <c r="I140" s="978"/>
    </row>
    <row r="141">
      <c r="A141" s="975"/>
      <c r="B141" s="983"/>
      <c r="C141" s="983"/>
      <c r="D141" s="983"/>
      <c r="E141" s="983"/>
      <c r="F141" s="983"/>
      <c r="G141" s="983"/>
      <c r="H141" s="983"/>
      <c r="I141" s="983"/>
    </row>
    <row r="142">
      <c r="A142" s="974"/>
      <c r="B142" s="978"/>
      <c r="C142" s="978"/>
      <c r="D142" s="978"/>
      <c r="E142" s="978"/>
      <c r="F142" s="978"/>
      <c r="G142" s="978"/>
      <c r="H142" s="978"/>
      <c r="I142" s="978"/>
    </row>
    <row r="143">
      <c r="A143" s="975"/>
      <c r="B143" s="983"/>
      <c r="C143" s="983"/>
      <c r="D143" s="983"/>
      <c r="E143" s="983"/>
      <c r="F143" s="983"/>
      <c r="G143" s="983"/>
      <c r="H143" s="983"/>
      <c r="I143" s="983"/>
    </row>
    <row r="144">
      <c r="A144" s="974"/>
      <c r="B144" s="978"/>
      <c r="C144" s="978"/>
      <c r="D144" s="978"/>
      <c r="E144" s="978"/>
      <c r="F144" s="978"/>
      <c r="G144" s="978"/>
      <c r="H144" s="978"/>
      <c r="I144" s="978"/>
    </row>
    <row r="145">
      <c r="A145" s="975"/>
      <c r="B145" s="983"/>
      <c r="C145" s="983"/>
      <c r="D145" s="983"/>
      <c r="E145" s="983"/>
      <c r="F145" s="983"/>
      <c r="G145" s="983"/>
      <c r="H145" s="983"/>
      <c r="I145" s="983"/>
    </row>
    <row r="146">
      <c r="A146" s="974"/>
      <c r="B146" s="978"/>
      <c r="C146" s="978"/>
      <c r="D146" s="978"/>
      <c r="E146" s="978"/>
      <c r="F146" s="978"/>
      <c r="G146" s="978"/>
      <c r="H146" s="978"/>
      <c r="I146" s="978"/>
    </row>
    <row r="147">
      <c r="A147" s="975"/>
      <c r="B147" s="983"/>
      <c r="C147" s="983"/>
      <c r="D147" s="983"/>
      <c r="E147" s="983"/>
      <c r="F147" s="983"/>
      <c r="G147" s="983"/>
      <c r="H147" s="983"/>
      <c r="I147" s="983"/>
    </row>
    <row r="148">
      <c r="A148" s="974"/>
      <c r="B148" s="978"/>
      <c r="C148" s="978"/>
      <c r="D148" s="978"/>
      <c r="E148" s="978"/>
      <c r="F148" s="978"/>
      <c r="G148" s="978"/>
      <c r="H148" s="978"/>
      <c r="I148" s="978"/>
    </row>
    <row r="149">
      <c r="A149" s="975"/>
      <c r="B149" s="983"/>
      <c r="C149" s="983"/>
      <c r="D149" s="983"/>
      <c r="E149" s="983"/>
      <c r="F149" s="983"/>
      <c r="G149" s="983"/>
      <c r="H149" s="983"/>
      <c r="I149" s="983"/>
    </row>
    <row r="150">
      <c r="A150" s="974"/>
      <c r="B150" s="978"/>
      <c r="C150" s="978"/>
      <c r="D150" s="978"/>
      <c r="E150" s="978"/>
      <c r="F150" s="978"/>
      <c r="G150" s="978"/>
      <c r="H150" s="978"/>
      <c r="I150" s="978"/>
    </row>
    <row r="151">
      <c r="A151" s="975"/>
      <c r="B151" s="983"/>
      <c r="C151" s="983"/>
      <c r="D151" s="983"/>
      <c r="E151" s="983"/>
      <c r="F151" s="983"/>
      <c r="G151" s="983"/>
      <c r="H151" s="983"/>
      <c r="I151" s="983"/>
    </row>
    <row r="152">
      <c r="A152" s="974"/>
      <c r="B152" s="978"/>
      <c r="C152" s="978"/>
      <c r="D152" s="978"/>
      <c r="E152" s="978"/>
      <c r="F152" s="978"/>
      <c r="G152" s="978"/>
      <c r="H152" s="978"/>
      <c r="I152" s="978"/>
    </row>
    <row r="153">
      <c r="A153" s="975"/>
      <c r="B153" s="983"/>
      <c r="C153" s="983"/>
      <c r="D153" s="983"/>
      <c r="E153" s="983"/>
      <c r="F153" s="983"/>
      <c r="G153" s="983"/>
      <c r="H153" s="983"/>
      <c r="I153" s="983"/>
    </row>
    <row r="154">
      <c r="A154" s="974"/>
      <c r="B154" s="978"/>
      <c r="C154" s="978"/>
      <c r="D154" s="978"/>
      <c r="E154" s="978"/>
      <c r="F154" s="978"/>
      <c r="G154" s="978"/>
      <c r="H154" s="978"/>
      <c r="I154" s="978"/>
    </row>
    <row r="155">
      <c r="A155" s="975"/>
      <c r="B155" s="983"/>
      <c r="C155" s="983"/>
      <c r="D155" s="983"/>
      <c r="E155" s="983"/>
      <c r="F155" s="983"/>
      <c r="G155" s="983"/>
      <c r="H155" s="983"/>
      <c r="I155" s="983"/>
    </row>
    <row r="156">
      <c r="A156" s="974"/>
      <c r="B156" s="978"/>
      <c r="C156" s="978"/>
      <c r="D156" s="978"/>
      <c r="E156" s="978"/>
      <c r="F156" s="978"/>
      <c r="G156" s="978"/>
      <c r="H156" s="978"/>
      <c r="I156" s="978"/>
    </row>
    <row r="157">
      <c r="A157" s="975"/>
      <c r="B157" s="983"/>
      <c r="C157" s="983"/>
      <c r="D157" s="983"/>
      <c r="E157" s="983"/>
      <c r="F157" s="983"/>
      <c r="G157" s="983"/>
      <c r="H157" s="983"/>
      <c r="I157" s="983"/>
    </row>
    <row r="158">
      <c r="A158" s="974"/>
      <c r="B158" s="978"/>
      <c r="C158" s="978"/>
      <c r="D158" s="978"/>
      <c r="E158" s="978"/>
      <c r="F158" s="978"/>
      <c r="G158" s="978"/>
      <c r="H158" s="978"/>
      <c r="I158" s="978"/>
    </row>
    <row r="159">
      <c r="A159" s="975"/>
      <c r="B159" s="983"/>
      <c r="C159" s="983"/>
      <c r="D159" s="983"/>
      <c r="E159" s="983"/>
      <c r="F159" s="983"/>
      <c r="G159" s="983"/>
      <c r="H159" s="983"/>
      <c r="I159" s="983"/>
    </row>
    <row r="160">
      <c r="A160" s="974"/>
      <c r="B160" s="978"/>
      <c r="C160" s="978"/>
      <c r="D160" s="978"/>
      <c r="E160" s="978"/>
      <c r="F160" s="978"/>
      <c r="G160" s="978"/>
      <c r="H160" s="978"/>
      <c r="I160" s="978"/>
    </row>
    <row r="161">
      <c r="A161" s="975"/>
      <c r="B161" s="983"/>
      <c r="C161" s="983"/>
      <c r="D161" s="983"/>
      <c r="E161" s="983"/>
      <c r="F161" s="983"/>
      <c r="G161" s="983"/>
      <c r="H161" s="983"/>
      <c r="I161" s="983"/>
    </row>
    <row r="162">
      <c r="A162" s="974"/>
      <c r="B162" s="978"/>
      <c r="C162" s="978"/>
      <c r="D162" s="978"/>
      <c r="E162" s="978"/>
      <c r="F162" s="978"/>
      <c r="G162" s="978"/>
      <c r="H162" s="978"/>
      <c r="I162" s="978"/>
    </row>
    <row r="163">
      <c r="A163" s="975"/>
      <c r="B163" s="983"/>
      <c r="C163" s="983"/>
      <c r="D163" s="983"/>
      <c r="E163" s="983"/>
      <c r="F163" s="983"/>
      <c r="G163" s="983"/>
      <c r="H163" s="983"/>
      <c r="I163" s="983"/>
    </row>
    <row r="164">
      <c r="A164" s="974"/>
      <c r="B164" s="978"/>
      <c r="C164" s="978"/>
      <c r="D164" s="978"/>
      <c r="E164" s="978"/>
      <c r="F164" s="978"/>
      <c r="G164" s="978"/>
      <c r="H164" s="978"/>
      <c r="I164" s="978"/>
    </row>
    <row r="165">
      <c r="A165" s="975"/>
      <c r="B165" s="983"/>
      <c r="C165" s="983"/>
      <c r="D165" s="983"/>
      <c r="E165" s="983"/>
      <c r="F165" s="983"/>
      <c r="G165" s="983"/>
      <c r="H165" s="983"/>
      <c r="I165" s="983"/>
    </row>
    <row r="166">
      <c r="A166" s="974"/>
      <c r="B166" s="978"/>
      <c r="C166" s="978"/>
      <c r="D166" s="978"/>
      <c r="E166" s="978"/>
      <c r="F166" s="978"/>
      <c r="G166" s="978"/>
      <c r="H166" s="978"/>
      <c r="I166" s="978"/>
    </row>
    <row r="167">
      <c r="A167" s="975"/>
      <c r="B167" s="983"/>
      <c r="C167" s="983"/>
      <c r="D167" s="983"/>
      <c r="E167" s="983"/>
      <c r="F167" s="983"/>
      <c r="G167" s="983"/>
      <c r="H167" s="983"/>
      <c r="I167" s="983"/>
    </row>
    <row r="168">
      <c r="A168" s="974"/>
      <c r="B168" s="978"/>
      <c r="C168" s="978"/>
      <c r="D168" s="978"/>
      <c r="E168" s="978"/>
      <c r="F168" s="978"/>
      <c r="G168" s="978"/>
      <c r="H168" s="978"/>
      <c r="I168" s="978"/>
    </row>
    <row r="169">
      <c r="A169" s="975"/>
      <c r="B169" s="983"/>
      <c r="C169" s="983"/>
      <c r="D169" s="983"/>
      <c r="E169" s="983"/>
      <c r="F169" s="983"/>
      <c r="G169" s="983"/>
      <c r="H169" s="983"/>
      <c r="I169" s="983"/>
    </row>
    <row r="170">
      <c r="A170" s="974"/>
      <c r="B170" s="978"/>
      <c r="C170" s="978"/>
      <c r="D170" s="978"/>
      <c r="E170" s="978"/>
      <c r="F170" s="978"/>
      <c r="G170" s="978"/>
      <c r="H170" s="978"/>
      <c r="I170" s="978"/>
    </row>
    <row r="171">
      <c r="A171" s="975"/>
      <c r="B171" s="983"/>
      <c r="C171" s="983"/>
      <c r="D171" s="983"/>
      <c r="E171" s="983"/>
      <c r="F171" s="983"/>
      <c r="G171" s="983"/>
      <c r="H171" s="983"/>
      <c r="I171" s="983"/>
    </row>
    <row r="172">
      <c r="A172" s="974"/>
      <c r="B172" s="978"/>
      <c r="C172" s="978"/>
      <c r="D172" s="978"/>
      <c r="E172" s="978"/>
      <c r="F172" s="978"/>
      <c r="G172" s="978"/>
      <c r="H172" s="978"/>
      <c r="I172" s="978"/>
    </row>
    <row r="173">
      <c r="A173" s="975"/>
      <c r="B173" s="983"/>
      <c r="C173" s="983"/>
      <c r="D173" s="983"/>
      <c r="E173" s="983"/>
      <c r="F173" s="983"/>
      <c r="G173" s="983"/>
      <c r="H173" s="983"/>
      <c r="I173" s="983"/>
    </row>
    <row r="174">
      <c r="A174" s="974"/>
      <c r="B174" s="978"/>
      <c r="C174" s="978"/>
      <c r="D174" s="978"/>
      <c r="E174" s="978"/>
      <c r="F174" s="978"/>
      <c r="G174" s="978"/>
      <c r="H174" s="978"/>
      <c r="I174" s="978"/>
    </row>
    <row r="175">
      <c r="A175" s="975"/>
      <c r="B175" s="983"/>
      <c r="C175" s="983"/>
      <c r="D175" s="983"/>
      <c r="E175" s="983"/>
      <c r="F175" s="983"/>
      <c r="G175" s="983"/>
      <c r="H175" s="983"/>
      <c r="I175" s="983"/>
    </row>
    <row r="176">
      <c r="A176" s="974"/>
      <c r="B176" s="978"/>
      <c r="C176" s="978"/>
      <c r="D176" s="978"/>
      <c r="E176" s="978"/>
      <c r="F176" s="978"/>
      <c r="G176" s="978"/>
      <c r="H176" s="978"/>
      <c r="I176" s="978"/>
    </row>
    <row r="177">
      <c r="A177" s="975"/>
      <c r="B177" s="983"/>
      <c r="C177" s="983"/>
      <c r="D177" s="983"/>
      <c r="E177" s="983"/>
      <c r="F177" s="983"/>
      <c r="G177" s="983"/>
      <c r="H177" s="983"/>
      <c r="I177" s="983"/>
    </row>
    <row r="178">
      <c r="A178" s="974"/>
      <c r="B178" s="978"/>
      <c r="C178" s="978"/>
      <c r="D178" s="978"/>
      <c r="E178" s="978"/>
      <c r="F178" s="978"/>
      <c r="G178" s="978"/>
      <c r="H178" s="978"/>
      <c r="I178" s="978"/>
    </row>
    <row r="179">
      <c r="A179" s="975"/>
      <c r="B179" s="983"/>
      <c r="C179" s="983"/>
      <c r="D179" s="983"/>
      <c r="E179" s="983"/>
      <c r="F179" s="983"/>
      <c r="G179" s="983"/>
      <c r="H179" s="983"/>
      <c r="I179" s="983"/>
    </row>
    <row r="180">
      <c r="A180" s="974"/>
      <c r="B180" s="978"/>
      <c r="C180" s="978"/>
      <c r="D180" s="978"/>
      <c r="E180" s="978"/>
      <c r="F180" s="978"/>
      <c r="G180" s="978"/>
      <c r="H180" s="978"/>
      <c r="I180" s="978"/>
    </row>
    <row r="181">
      <c r="A181" s="975"/>
      <c r="B181" s="983"/>
      <c r="C181" s="983"/>
      <c r="D181" s="983"/>
      <c r="E181" s="983"/>
      <c r="F181" s="983"/>
      <c r="G181" s="983"/>
      <c r="H181" s="983"/>
      <c r="I181" s="983"/>
    </row>
    <row r="182">
      <c r="A182" s="974"/>
      <c r="B182" s="978"/>
      <c r="C182" s="978"/>
      <c r="D182" s="978"/>
      <c r="E182" s="978"/>
      <c r="F182" s="978"/>
      <c r="G182" s="978"/>
      <c r="H182" s="978"/>
      <c r="I182" s="978"/>
    </row>
    <row r="183">
      <c r="A183" s="975"/>
      <c r="B183" s="983"/>
      <c r="C183" s="983"/>
      <c r="D183" s="983"/>
      <c r="E183" s="983"/>
      <c r="F183" s="983"/>
      <c r="G183" s="983"/>
      <c r="H183" s="983"/>
      <c r="I183" s="983"/>
    </row>
    <row r="184">
      <c r="A184" s="974"/>
      <c r="B184" s="978"/>
      <c r="C184" s="978"/>
      <c r="D184" s="978"/>
      <c r="E184" s="978"/>
      <c r="F184" s="978"/>
      <c r="G184" s="978"/>
      <c r="H184" s="978"/>
      <c r="I184" s="978"/>
    </row>
    <row r="185">
      <c r="A185" s="975"/>
      <c r="B185" s="983"/>
      <c r="C185" s="983"/>
      <c r="D185" s="983"/>
      <c r="E185" s="983"/>
      <c r="F185" s="983"/>
      <c r="G185" s="983"/>
      <c r="H185" s="983"/>
      <c r="I185" s="983"/>
    </row>
    <row r="186">
      <c r="A186" s="974"/>
      <c r="B186" s="978"/>
      <c r="C186" s="978"/>
      <c r="D186" s="978"/>
      <c r="E186" s="978"/>
      <c r="F186" s="978"/>
      <c r="G186" s="978"/>
      <c r="H186" s="978"/>
      <c r="I186" s="978"/>
    </row>
    <row r="187">
      <c r="A187" s="975"/>
      <c r="B187" s="983"/>
      <c r="C187" s="983"/>
      <c r="D187" s="983"/>
      <c r="E187" s="983"/>
      <c r="F187" s="983"/>
      <c r="G187" s="983"/>
      <c r="H187" s="983"/>
      <c r="I187" s="983"/>
    </row>
    <row r="188">
      <c r="A188" s="974"/>
      <c r="B188" s="978"/>
      <c r="C188" s="978"/>
      <c r="D188" s="978"/>
      <c r="E188" s="978"/>
      <c r="F188" s="978"/>
      <c r="G188" s="978"/>
      <c r="H188" s="978"/>
      <c r="I188" s="978"/>
    </row>
    <row r="189">
      <c r="A189" s="975"/>
      <c r="B189" s="983"/>
      <c r="C189" s="983"/>
      <c r="D189" s="983"/>
      <c r="E189" s="983"/>
      <c r="F189" s="983"/>
      <c r="G189" s="983"/>
      <c r="H189" s="983"/>
      <c r="I189" s="983"/>
    </row>
    <row r="190">
      <c r="A190" s="974"/>
      <c r="B190" s="978"/>
      <c r="C190" s="978"/>
      <c r="D190" s="978"/>
      <c r="E190" s="978"/>
      <c r="F190" s="978"/>
      <c r="G190" s="978"/>
      <c r="H190" s="978"/>
      <c r="I190" s="978"/>
    </row>
    <row r="191">
      <c r="A191" s="975"/>
      <c r="B191" s="983"/>
      <c r="C191" s="983"/>
      <c r="D191" s="983"/>
      <c r="E191" s="983"/>
      <c r="F191" s="983"/>
      <c r="G191" s="983"/>
      <c r="H191" s="983"/>
      <c r="I191" s="983"/>
    </row>
    <row r="192">
      <c r="A192" s="974"/>
      <c r="B192" s="978"/>
      <c r="C192" s="978"/>
      <c r="D192" s="978"/>
      <c r="E192" s="978"/>
      <c r="F192" s="978"/>
      <c r="G192" s="978"/>
      <c r="H192" s="978"/>
      <c r="I192" s="978"/>
    </row>
    <row r="193">
      <c r="A193" s="975"/>
      <c r="B193" s="983"/>
      <c r="C193" s="983"/>
      <c r="D193" s="983"/>
      <c r="E193" s="983"/>
      <c r="F193" s="983"/>
      <c r="G193" s="983"/>
      <c r="H193" s="983"/>
      <c r="I193" s="983"/>
    </row>
    <row r="194">
      <c r="A194" s="974"/>
      <c r="B194" s="978"/>
      <c r="C194" s="978"/>
      <c r="D194" s="978"/>
      <c r="E194" s="978"/>
      <c r="F194" s="978"/>
      <c r="G194" s="978"/>
      <c r="H194" s="978"/>
      <c r="I194" s="978"/>
    </row>
    <row r="195">
      <c r="A195" s="975"/>
      <c r="B195" s="983"/>
      <c r="C195" s="983"/>
      <c r="D195" s="983"/>
      <c r="E195" s="983"/>
      <c r="F195" s="983"/>
      <c r="G195" s="983"/>
      <c r="H195" s="983"/>
      <c r="I195" s="983"/>
    </row>
    <row r="196">
      <c r="A196" s="974"/>
      <c r="B196" s="978"/>
      <c r="C196" s="978"/>
      <c r="D196" s="978"/>
      <c r="E196" s="978"/>
      <c r="F196" s="978"/>
      <c r="G196" s="978"/>
      <c r="H196" s="978"/>
      <c r="I196" s="978"/>
    </row>
    <row r="197">
      <c r="A197" s="975"/>
      <c r="B197" s="983"/>
      <c r="C197" s="983"/>
      <c r="D197" s="983"/>
      <c r="E197" s="983"/>
      <c r="F197" s="983"/>
      <c r="G197" s="983"/>
      <c r="H197" s="983"/>
      <c r="I197" s="983"/>
    </row>
    <row r="198">
      <c r="A198" s="974"/>
      <c r="B198" s="978"/>
      <c r="C198" s="978"/>
      <c r="D198" s="978"/>
      <c r="E198" s="978"/>
      <c r="F198" s="978"/>
      <c r="G198" s="978"/>
      <c r="H198" s="978"/>
      <c r="I198" s="978"/>
    </row>
    <row r="199">
      <c r="A199" s="975"/>
      <c r="B199" s="983"/>
      <c r="C199" s="983"/>
      <c r="D199" s="983"/>
      <c r="E199" s="983"/>
      <c r="F199" s="983"/>
      <c r="G199" s="983"/>
      <c r="H199" s="983"/>
      <c r="I199" s="983"/>
    </row>
    <row r="200">
      <c r="A200" s="974"/>
      <c r="B200" s="978"/>
      <c r="C200" s="978"/>
      <c r="D200" s="978"/>
      <c r="E200" s="978"/>
      <c r="F200" s="978"/>
      <c r="G200" s="978"/>
      <c r="H200" s="978"/>
      <c r="I200" s="978"/>
    </row>
    <row r="201">
      <c r="A201" s="975"/>
      <c r="B201" s="983"/>
      <c r="C201" s="983"/>
      <c r="D201" s="983"/>
      <c r="E201" s="983"/>
      <c r="F201" s="983"/>
      <c r="G201" s="983"/>
      <c r="H201" s="983"/>
      <c r="I201" s="983"/>
    </row>
    <row r="202">
      <c r="A202" s="974"/>
      <c r="B202" s="978"/>
      <c r="C202" s="978"/>
      <c r="D202" s="978"/>
      <c r="E202" s="978"/>
      <c r="F202" s="978"/>
      <c r="G202" s="978"/>
      <c r="H202" s="978"/>
      <c r="I202" s="978"/>
    </row>
    <row r="203">
      <c r="A203" s="975"/>
      <c r="B203" s="983"/>
      <c r="C203" s="983"/>
      <c r="D203" s="983"/>
      <c r="E203" s="983"/>
      <c r="F203" s="983"/>
      <c r="G203" s="983"/>
      <c r="H203" s="983"/>
      <c r="I203" s="983"/>
    </row>
    <row r="204">
      <c r="A204" s="974"/>
      <c r="B204" s="978"/>
      <c r="C204" s="978"/>
      <c r="D204" s="978"/>
      <c r="E204" s="978"/>
      <c r="F204" s="978"/>
      <c r="G204" s="978"/>
      <c r="H204" s="978"/>
      <c r="I204" s="978"/>
    </row>
    <row r="205">
      <c r="A205" s="975"/>
      <c r="B205" s="983"/>
      <c r="C205" s="983"/>
      <c r="D205" s="983"/>
      <c r="E205" s="983"/>
      <c r="F205" s="983"/>
      <c r="G205" s="983"/>
      <c r="H205" s="983"/>
      <c r="I205" s="983"/>
    </row>
    <row r="206">
      <c r="A206" s="974"/>
      <c r="B206" s="978"/>
      <c r="C206" s="978"/>
      <c r="D206" s="978"/>
      <c r="E206" s="978"/>
      <c r="F206" s="978"/>
      <c r="G206" s="978"/>
      <c r="H206" s="978"/>
      <c r="I206" s="978"/>
    </row>
    <row r="207">
      <c r="A207" s="975"/>
      <c r="B207" s="983"/>
      <c r="C207" s="983"/>
      <c r="D207" s="983"/>
      <c r="E207" s="983"/>
      <c r="F207" s="983"/>
      <c r="G207" s="983"/>
      <c r="H207" s="983"/>
      <c r="I207" s="983"/>
    </row>
    <row r="208">
      <c r="A208" s="974"/>
      <c r="B208" s="978"/>
      <c r="C208" s="978"/>
      <c r="D208" s="978"/>
      <c r="E208" s="978"/>
      <c r="F208" s="978"/>
      <c r="G208" s="978"/>
      <c r="H208" s="978"/>
      <c r="I208" s="978"/>
    </row>
    <row r="209">
      <c r="A209" s="975"/>
      <c r="B209" s="983"/>
      <c r="C209" s="983"/>
      <c r="D209" s="983"/>
      <c r="E209" s="983"/>
      <c r="F209" s="983"/>
      <c r="G209" s="983"/>
      <c r="H209" s="983"/>
      <c r="I209" s="983"/>
    </row>
    <row r="210">
      <c r="A210" s="974"/>
      <c r="B210" s="978"/>
      <c r="C210" s="978"/>
      <c r="D210" s="978"/>
      <c r="E210" s="978"/>
      <c r="F210" s="978"/>
      <c r="G210" s="978"/>
      <c r="H210" s="978"/>
      <c r="I210" s="978"/>
    </row>
    <row r="211">
      <c r="A211" s="975"/>
      <c r="B211" s="983"/>
      <c r="C211" s="983"/>
      <c r="D211" s="983"/>
      <c r="E211" s="983"/>
      <c r="F211" s="983"/>
      <c r="G211" s="983"/>
      <c r="H211" s="983"/>
      <c r="I211" s="983"/>
    </row>
    <row r="212">
      <c r="A212" s="974"/>
      <c r="B212" s="978"/>
      <c r="C212" s="978"/>
      <c r="D212" s="978"/>
      <c r="E212" s="978"/>
      <c r="F212" s="978"/>
      <c r="G212" s="978"/>
      <c r="H212" s="978"/>
      <c r="I212" s="978"/>
    </row>
    <row r="213">
      <c r="A213" s="975"/>
      <c r="B213" s="983"/>
      <c r="C213" s="983"/>
      <c r="D213" s="983"/>
      <c r="E213" s="983"/>
      <c r="F213" s="983"/>
      <c r="G213" s="983"/>
      <c r="H213" s="983"/>
      <c r="I213" s="983"/>
    </row>
    <row r="214">
      <c r="A214" s="974"/>
      <c r="B214" s="978"/>
      <c r="C214" s="978"/>
      <c r="D214" s="978"/>
      <c r="E214" s="978"/>
      <c r="F214" s="978"/>
      <c r="G214" s="978"/>
      <c r="H214" s="978"/>
      <c r="I214" s="978"/>
    </row>
    <row r="215">
      <c r="A215" s="975"/>
      <c r="B215" s="983"/>
      <c r="C215" s="983"/>
      <c r="D215" s="983"/>
      <c r="E215" s="983"/>
      <c r="F215" s="983"/>
      <c r="G215" s="983"/>
      <c r="H215" s="983"/>
      <c r="I215" s="983"/>
    </row>
    <row r="216">
      <c r="A216" s="974"/>
      <c r="B216" s="978"/>
      <c r="C216" s="978"/>
      <c r="D216" s="978"/>
      <c r="E216" s="978"/>
      <c r="F216" s="978"/>
      <c r="G216" s="978"/>
      <c r="H216" s="978"/>
      <c r="I216" s="978"/>
    </row>
    <row r="217">
      <c r="A217" s="975"/>
      <c r="B217" s="983"/>
      <c r="C217" s="983"/>
      <c r="D217" s="983"/>
      <c r="E217" s="983"/>
      <c r="F217" s="983"/>
      <c r="G217" s="983"/>
      <c r="H217" s="983"/>
      <c r="I217" s="983"/>
    </row>
    <row r="218">
      <c r="A218" s="974"/>
      <c r="B218" s="978"/>
      <c r="C218" s="978"/>
      <c r="D218" s="978"/>
      <c r="E218" s="978"/>
      <c r="F218" s="978"/>
      <c r="G218" s="978"/>
      <c r="H218" s="978"/>
      <c r="I218" s="978"/>
    </row>
    <row r="219">
      <c r="A219" s="975"/>
      <c r="B219" s="983"/>
      <c r="C219" s="983"/>
      <c r="D219" s="983"/>
      <c r="E219" s="983"/>
      <c r="F219" s="983"/>
      <c r="G219" s="983"/>
      <c r="H219" s="983"/>
      <c r="I219" s="983"/>
    </row>
    <row r="220">
      <c r="A220" s="974"/>
      <c r="B220" s="978"/>
      <c r="C220" s="978"/>
      <c r="D220" s="978"/>
      <c r="E220" s="978"/>
      <c r="F220" s="978"/>
      <c r="G220" s="978"/>
      <c r="H220" s="978"/>
      <c r="I220" s="978"/>
    </row>
    <row r="221">
      <c r="A221" s="975"/>
      <c r="B221" s="983"/>
      <c r="C221" s="983"/>
      <c r="D221" s="983"/>
      <c r="E221" s="983"/>
      <c r="F221" s="983"/>
      <c r="G221" s="983"/>
      <c r="H221" s="983"/>
      <c r="I221" s="983"/>
    </row>
    <row r="222">
      <c r="A222" s="974"/>
      <c r="B222" s="978"/>
      <c r="C222" s="978"/>
      <c r="D222" s="978"/>
      <c r="E222" s="978"/>
      <c r="F222" s="978"/>
      <c r="G222" s="978"/>
      <c r="H222" s="978"/>
      <c r="I222" s="978"/>
    </row>
    <row r="223">
      <c r="A223" s="975"/>
      <c r="B223" s="983"/>
      <c r="C223" s="983"/>
      <c r="D223" s="983"/>
      <c r="E223" s="983"/>
      <c r="F223" s="983"/>
      <c r="G223" s="983"/>
      <c r="H223" s="983"/>
      <c r="I223" s="983"/>
    </row>
    <row r="224">
      <c r="A224" s="974"/>
      <c r="B224" s="978"/>
      <c r="C224" s="978"/>
      <c r="D224" s="978"/>
      <c r="E224" s="978"/>
      <c r="F224" s="978"/>
      <c r="G224" s="978"/>
      <c r="H224" s="978"/>
      <c r="I224" s="978"/>
    </row>
    <row r="225">
      <c r="A225" s="975"/>
      <c r="B225" s="983"/>
      <c r="C225" s="983"/>
      <c r="D225" s="983"/>
      <c r="E225" s="983"/>
      <c r="F225" s="983"/>
      <c r="G225" s="983"/>
      <c r="H225" s="983"/>
      <c r="I225" s="983"/>
    </row>
    <row r="226">
      <c r="A226" s="974"/>
      <c r="B226" s="978"/>
      <c r="C226" s="978"/>
      <c r="D226" s="978"/>
      <c r="E226" s="978"/>
      <c r="F226" s="978"/>
      <c r="G226" s="978"/>
      <c r="H226" s="978"/>
      <c r="I226" s="978"/>
    </row>
    <row r="227">
      <c r="A227" s="975"/>
      <c r="B227" s="983"/>
      <c r="C227" s="983"/>
      <c r="D227" s="983"/>
      <c r="E227" s="983"/>
      <c r="F227" s="983"/>
      <c r="G227" s="983"/>
      <c r="H227" s="983"/>
      <c r="I227" s="983"/>
    </row>
    <row r="228">
      <c r="A228" s="974"/>
      <c r="B228" s="978"/>
      <c r="C228" s="978"/>
      <c r="D228" s="978"/>
      <c r="E228" s="978"/>
      <c r="F228" s="978"/>
      <c r="G228" s="978"/>
      <c r="H228" s="978"/>
      <c r="I228" s="978"/>
    </row>
    <row r="229">
      <c r="A229" s="975"/>
      <c r="B229" s="983"/>
      <c r="C229" s="983"/>
      <c r="D229" s="983"/>
      <c r="E229" s="983"/>
      <c r="F229" s="983"/>
      <c r="G229" s="983"/>
      <c r="H229" s="983"/>
      <c r="I229" s="983"/>
    </row>
    <row r="230">
      <c r="A230" s="974"/>
      <c r="B230" s="978"/>
      <c r="C230" s="978"/>
      <c r="D230" s="978"/>
      <c r="E230" s="978"/>
      <c r="F230" s="978"/>
      <c r="G230" s="978"/>
      <c r="H230" s="978"/>
      <c r="I230" s="978"/>
    </row>
    <row r="231">
      <c r="A231" s="975"/>
      <c r="B231" s="983"/>
      <c r="C231" s="983"/>
      <c r="D231" s="983"/>
      <c r="E231" s="983"/>
      <c r="F231" s="983"/>
      <c r="G231" s="983"/>
      <c r="H231" s="983"/>
      <c r="I231" s="983"/>
    </row>
    <row r="232">
      <c r="A232" s="974"/>
      <c r="B232" s="978"/>
      <c r="C232" s="978"/>
      <c r="D232" s="978"/>
      <c r="E232" s="978"/>
      <c r="F232" s="978"/>
      <c r="G232" s="978"/>
      <c r="H232" s="978"/>
      <c r="I232" s="978"/>
    </row>
    <row r="233">
      <c r="A233" s="975"/>
      <c r="B233" s="983"/>
      <c r="C233" s="983"/>
      <c r="D233" s="983"/>
      <c r="E233" s="983"/>
      <c r="F233" s="983"/>
      <c r="G233" s="983"/>
      <c r="H233" s="983"/>
      <c r="I233" s="983"/>
    </row>
    <row r="234">
      <c r="A234" s="974"/>
      <c r="B234" s="978"/>
      <c r="C234" s="978"/>
      <c r="D234" s="978"/>
      <c r="E234" s="978"/>
      <c r="F234" s="978"/>
      <c r="G234" s="978"/>
      <c r="H234" s="978"/>
      <c r="I234" s="978"/>
    </row>
    <row r="235">
      <c r="A235" s="975"/>
      <c r="B235" s="983"/>
      <c r="C235" s="983"/>
      <c r="D235" s="983"/>
      <c r="E235" s="983"/>
      <c r="F235" s="983"/>
      <c r="G235" s="983"/>
      <c r="H235" s="983"/>
      <c r="I235" s="983"/>
    </row>
    <row r="236">
      <c r="A236" s="974"/>
      <c r="B236" s="978"/>
      <c r="C236" s="978"/>
      <c r="D236" s="978"/>
      <c r="E236" s="978"/>
      <c r="F236" s="978"/>
      <c r="G236" s="978"/>
      <c r="H236" s="978"/>
      <c r="I236" s="978"/>
    </row>
    <row r="237">
      <c r="A237" s="975"/>
      <c r="B237" s="983"/>
      <c r="C237" s="983"/>
      <c r="D237" s="983"/>
      <c r="E237" s="983"/>
      <c r="F237" s="983"/>
      <c r="G237" s="983"/>
      <c r="H237" s="983"/>
      <c r="I237" s="983"/>
    </row>
    <row r="238">
      <c r="A238" s="974"/>
      <c r="B238" s="978"/>
      <c r="C238" s="978"/>
      <c r="D238" s="978"/>
      <c r="E238" s="978"/>
      <c r="F238" s="978"/>
      <c r="G238" s="978"/>
      <c r="H238" s="978"/>
      <c r="I238" s="978"/>
    </row>
    <row r="239">
      <c r="A239" s="975"/>
      <c r="B239" s="983"/>
      <c r="C239" s="983"/>
      <c r="D239" s="983"/>
      <c r="E239" s="983"/>
      <c r="F239" s="983"/>
      <c r="G239" s="983"/>
      <c r="H239" s="983"/>
      <c r="I239" s="983"/>
    </row>
    <row r="240">
      <c r="A240" s="974"/>
      <c r="B240" s="978"/>
      <c r="C240" s="978"/>
      <c r="D240" s="978"/>
      <c r="E240" s="978"/>
      <c r="F240" s="978"/>
      <c r="G240" s="978"/>
      <c r="H240" s="978"/>
      <c r="I240" s="978"/>
    </row>
    <row r="241">
      <c r="A241" s="975"/>
      <c r="B241" s="983"/>
      <c r="C241" s="983"/>
      <c r="D241" s="983"/>
      <c r="E241" s="983"/>
      <c r="F241" s="983"/>
      <c r="G241" s="983"/>
      <c r="H241" s="983"/>
      <c r="I241" s="983"/>
    </row>
    <row r="242">
      <c r="A242" s="974"/>
      <c r="B242" s="978"/>
      <c r="C242" s="978"/>
      <c r="D242" s="978"/>
      <c r="E242" s="978"/>
      <c r="F242" s="978"/>
      <c r="G242" s="978"/>
      <c r="H242" s="978"/>
      <c r="I242" s="978"/>
    </row>
    <row r="243">
      <c r="A243" s="975"/>
      <c r="B243" s="983"/>
      <c r="C243" s="983"/>
      <c r="D243" s="983"/>
      <c r="E243" s="983"/>
      <c r="F243" s="983"/>
      <c r="G243" s="983"/>
      <c r="H243" s="983"/>
      <c r="I243" s="983"/>
    </row>
    <row r="244">
      <c r="A244" s="974"/>
      <c r="B244" s="978"/>
      <c r="C244" s="978"/>
      <c r="D244" s="978"/>
      <c r="E244" s="978"/>
      <c r="F244" s="978"/>
      <c r="G244" s="978"/>
      <c r="H244" s="978"/>
      <c r="I244" s="978"/>
    </row>
    <row r="245">
      <c r="A245" s="975"/>
      <c r="B245" s="983"/>
      <c r="C245" s="983"/>
      <c r="D245" s="983"/>
      <c r="E245" s="983"/>
      <c r="F245" s="983"/>
      <c r="G245" s="983"/>
      <c r="H245" s="983"/>
      <c r="I245" s="983"/>
    </row>
    <row r="246">
      <c r="A246" s="974"/>
      <c r="B246" s="978"/>
      <c r="C246" s="978"/>
      <c r="D246" s="978"/>
      <c r="E246" s="978"/>
      <c r="F246" s="978"/>
      <c r="G246" s="978"/>
      <c r="H246" s="978"/>
      <c r="I246" s="978"/>
    </row>
    <row r="247">
      <c r="A247" s="975"/>
      <c r="B247" s="983"/>
      <c r="C247" s="983"/>
      <c r="D247" s="983"/>
      <c r="E247" s="983"/>
      <c r="F247" s="983"/>
      <c r="G247" s="983"/>
      <c r="H247" s="983"/>
      <c r="I247" s="983"/>
    </row>
    <row r="248">
      <c r="A248" s="974"/>
      <c r="B248" s="978"/>
      <c r="C248" s="978"/>
      <c r="D248" s="978"/>
      <c r="E248" s="978"/>
      <c r="F248" s="978"/>
      <c r="G248" s="978"/>
      <c r="H248" s="978"/>
      <c r="I248" s="978"/>
    </row>
    <row r="249">
      <c r="A249" s="975"/>
      <c r="B249" s="983"/>
      <c r="C249" s="983"/>
      <c r="D249" s="983"/>
      <c r="E249" s="983"/>
      <c r="F249" s="983"/>
      <c r="G249" s="983"/>
      <c r="H249" s="983"/>
      <c r="I249" s="983"/>
    </row>
    <row r="250">
      <c r="A250" s="974"/>
      <c r="B250" s="978"/>
      <c r="C250" s="978"/>
      <c r="D250" s="978"/>
      <c r="E250" s="978"/>
      <c r="F250" s="978"/>
      <c r="G250" s="978"/>
      <c r="H250" s="978"/>
      <c r="I250" s="978"/>
    </row>
    <row r="251">
      <c r="A251" s="975"/>
      <c r="B251" s="983"/>
      <c r="C251" s="983"/>
      <c r="D251" s="983"/>
      <c r="E251" s="983"/>
      <c r="F251" s="983"/>
      <c r="G251" s="983"/>
      <c r="H251" s="983"/>
      <c r="I251" s="983"/>
    </row>
    <row r="252">
      <c r="A252" s="974"/>
      <c r="B252" s="978"/>
      <c r="C252" s="978"/>
      <c r="D252" s="978"/>
      <c r="E252" s="978"/>
      <c r="F252" s="978"/>
      <c r="G252" s="978"/>
      <c r="H252" s="978"/>
      <c r="I252" s="978"/>
    </row>
    <row r="253">
      <c r="A253" s="975"/>
      <c r="B253" s="983"/>
      <c r="C253" s="983"/>
      <c r="D253" s="983"/>
      <c r="E253" s="983"/>
      <c r="F253" s="983"/>
      <c r="G253" s="983"/>
      <c r="H253" s="983"/>
      <c r="I253" s="983"/>
    </row>
    <row r="254">
      <c r="A254" s="974"/>
      <c r="B254" s="978"/>
      <c r="C254" s="978"/>
      <c r="D254" s="978"/>
      <c r="E254" s="978"/>
      <c r="F254" s="978"/>
      <c r="G254" s="978"/>
      <c r="H254" s="978"/>
      <c r="I254" s="978"/>
    </row>
    <row r="255">
      <c r="A255" s="975"/>
      <c r="B255" s="983"/>
      <c r="C255" s="983"/>
      <c r="D255" s="983"/>
      <c r="E255" s="983"/>
      <c r="F255" s="983"/>
      <c r="G255" s="983"/>
      <c r="H255" s="983"/>
      <c r="I255" s="983"/>
    </row>
    <row r="256">
      <c r="A256" s="974"/>
      <c r="B256" s="978"/>
      <c r="C256" s="978"/>
      <c r="D256" s="978"/>
      <c r="E256" s="978"/>
      <c r="F256" s="978"/>
      <c r="G256" s="978"/>
      <c r="H256" s="978"/>
      <c r="I256" s="978"/>
    </row>
    <row r="257">
      <c r="A257" s="975"/>
      <c r="B257" s="983"/>
      <c r="C257" s="983"/>
      <c r="D257" s="983"/>
      <c r="E257" s="983"/>
      <c r="F257" s="983"/>
      <c r="G257" s="983"/>
      <c r="H257" s="983"/>
      <c r="I257" s="983"/>
    </row>
    <row r="258">
      <c r="A258" s="974"/>
      <c r="B258" s="978"/>
      <c r="C258" s="978"/>
      <c r="D258" s="978"/>
      <c r="E258" s="978"/>
      <c r="F258" s="978"/>
      <c r="G258" s="978"/>
      <c r="H258" s="978"/>
      <c r="I258" s="978"/>
    </row>
    <row r="259">
      <c r="A259" s="975"/>
      <c r="B259" s="983"/>
      <c r="C259" s="983"/>
      <c r="D259" s="983"/>
      <c r="E259" s="983"/>
      <c r="F259" s="983"/>
      <c r="G259" s="983"/>
      <c r="H259" s="983"/>
      <c r="I259" s="983"/>
    </row>
    <row r="260">
      <c r="A260" s="974"/>
      <c r="B260" s="978"/>
      <c r="C260" s="978"/>
      <c r="D260" s="978"/>
      <c r="E260" s="978"/>
      <c r="F260" s="978"/>
      <c r="G260" s="978"/>
      <c r="H260" s="978"/>
      <c r="I260" s="978"/>
    </row>
    <row r="261">
      <c r="A261" s="975"/>
      <c r="B261" s="983"/>
      <c r="C261" s="983"/>
      <c r="D261" s="983"/>
      <c r="E261" s="983"/>
      <c r="F261" s="983"/>
      <c r="G261" s="983"/>
      <c r="H261" s="983"/>
      <c r="I261" s="983"/>
    </row>
    <row r="262">
      <c r="A262" s="974"/>
      <c r="B262" s="978"/>
      <c r="C262" s="978"/>
      <c r="D262" s="978"/>
      <c r="E262" s="978"/>
      <c r="F262" s="978"/>
      <c r="G262" s="978"/>
      <c r="H262" s="978"/>
      <c r="I262" s="978"/>
    </row>
    <row r="263">
      <c r="A263" s="975"/>
      <c r="B263" s="983"/>
      <c r="C263" s="983"/>
      <c r="D263" s="983"/>
      <c r="E263" s="983"/>
      <c r="F263" s="983"/>
      <c r="G263" s="983"/>
      <c r="H263" s="983"/>
      <c r="I263" s="983"/>
    </row>
    <row r="264">
      <c r="A264" s="974"/>
      <c r="B264" s="978"/>
      <c r="C264" s="978"/>
      <c r="D264" s="978"/>
      <c r="E264" s="978"/>
      <c r="F264" s="978"/>
      <c r="G264" s="978"/>
      <c r="H264" s="978"/>
      <c r="I264" s="978"/>
    </row>
    <row r="265">
      <c r="A265" s="975"/>
      <c r="B265" s="983"/>
      <c r="C265" s="983"/>
      <c r="D265" s="983"/>
      <c r="E265" s="983"/>
      <c r="F265" s="983"/>
      <c r="G265" s="983"/>
      <c r="H265" s="983"/>
      <c r="I265" s="983"/>
    </row>
    <row r="266">
      <c r="A266" s="974"/>
      <c r="B266" s="978"/>
      <c r="C266" s="978"/>
      <c r="D266" s="978"/>
      <c r="E266" s="978"/>
      <c r="F266" s="978"/>
      <c r="G266" s="978"/>
      <c r="H266" s="978"/>
      <c r="I266" s="978"/>
    </row>
    <row r="267">
      <c r="A267" s="975"/>
      <c r="B267" s="983"/>
      <c r="C267" s="983"/>
      <c r="D267" s="983"/>
      <c r="E267" s="983"/>
      <c r="F267" s="983"/>
      <c r="G267" s="983"/>
      <c r="H267" s="983"/>
      <c r="I267" s="983"/>
    </row>
    <row r="268">
      <c r="A268" s="974"/>
      <c r="B268" s="978"/>
      <c r="C268" s="978"/>
      <c r="D268" s="978"/>
      <c r="E268" s="978"/>
      <c r="F268" s="978"/>
      <c r="G268" s="978"/>
      <c r="H268" s="978"/>
      <c r="I268" s="978"/>
    </row>
    <row r="269">
      <c r="A269" s="975"/>
      <c r="B269" s="983"/>
      <c r="C269" s="983"/>
      <c r="D269" s="983"/>
      <c r="E269" s="983"/>
      <c r="F269" s="983"/>
      <c r="G269" s="983"/>
      <c r="H269" s="983"/>
      <c r="I269" s="983"/>
    </row>
    <row r="270">
      <c r="A270" s="974"/>
      <c r="B270" s="978"/>
      <c r="C270" s="978"/>
      <c r="D270" s="978"/>
      <c r="E270" s="978"/>
      <c r="F270" s="978"/>
      <c r="G270" s="978"/>
      <c r="H270" s="978"/>
      <c r="I270" s="978"/>
    </row>
    <row r="271">
      <c r="A271" s="975"/>
      <c r="B271" s="983"/>
      <c r="C271" s="983"/>
      <c r="D271" s="983"/>
      <c r="E271" s="983"/>
      <c r="F271" s="983"/>
      <c r="G271" s="983"/>
      <c r="H271" s="983"/>
      <c r="I271" s="983"/>
    </row>
    <row r="272">
      <c r="A272" s="974"/>
      <c r="B272" s="978"/>
      <c r="C272" s="978"/>
      <c r="D272" s="978"/>
      <c r="E272" s="978"/>
      <c r="F272" s="978"/>
      <c r="G272" s="978"/>
      <c r="H272" s="978"/>
      <c r="I272" s="978"/>
    </row>
    <row r="273">
      <c r="A273" s="975"/>
      <c r="B273" s="983"/>
      <c r="C273" s="983"/>
      <c r="D273" s="983"/>
      <c r="E273" s="983"/>
      <c r="F273" s="983"/>
      <c r="G273" s="983"/>
      <c r="H273" s="983"/>
      <c r="I273" s="983"/>
    </row>
    <row r="274">
      <c r="A274" s="974"/>
      <c r="B274" s="978"/>
      <c r="C274" s="978"/>
      <c r="D274" s="978"/>
      <c r="E274" s="978"/>
      <c r="F274" s="978"/>
      <c r="G274" s="978"/>
      <c r="H274" s="978"/>
      <c r="I274" s="978"/>
    </row>
    <row r="275">
      <c r="A275" s="975"/>
      <c r="B275" s="983"/>
      <c r="C275" s="983"/>
      <c r="D275" s="983"/>
      <c r="E275" s="983"/>
      <c r="F275" s="983"/>
      <c r="G275" s="983"/>
      <c r="H275" s="983"/>
      <c r="I275" s="983"/>
    </row>
    <row r="276">
      <c r="A276" s="974"/>
      <c r="B276" s="978"/>
      <c r="C276" s="978"/>
      <c r="D276" s="978"/>
      <c r="E276" s="978"/>
      <c r="F276" s="978"/>
      <c r="G276" s="978"/>
      <c r="H276" s="978"/>
      <c r="I276" s="978"/>
    </row>
    <row r="277">
      <c r="A277" s="975"/>
      <c r="B277" s="983"/>
      <c r="C277" s="983"/>
      <c r="D277" s="983"/>
      <c r="E277" s="983"/>
      <c r="F277" s="983"/>
      <c r="G277" s="983"/>
      <c r="H277" s="983"/>
      <c r="I277" s="983"/>
    </row>
    <row r="278">
      <c r="A278" s="974"/>
      <c r="B278" s="978"/>
      <c r="C278" s="978"/>
      <c r="D278" s="978"/>
      <c r="E278" s="978"/>
      <c r="F278" s="978"/>
      <c r="G278" s="978"/>
      <c r="H278" s="978"/>
      <c r="I278" s="978"/>
    </row>
    <row r="279">
      <c r="A279" s="975"/>
      <c r="B279" s="983"/>
      <c r="C279" s="983"/>
      <c r="D279" s="983"/>
      <c r="E279" s="983"/>
      <c r="F279" s="983"/>
      <c r="G279" s="983"/>
      <c r="H279" s="983"/>
      <c r="I279" s="983"/>
    </row>
    <row r="280">
      <c r="A280" s="974"/>
      <c r="B280" s="978"/>
      <c r="C280" s="978"/>
      <c r="D280" s="978"/>
      <c r="E280" s="978"/>
      <c r="F280" s="978"/>
      <c r="G280" s="978"/>
      <c r="H280" s="978"/>
      <c r="I280" s="978"/>
    </row>
    <row r="281">
      <c r="A281" s="975"/>
      <c r="B281" s="983"/>
      <c r="C281" s="983"/>
      <c r="D281" s="983"/>
      <c r="E281" s="983"/>
      <c r="F281" s="983"/>
      <c r="G281" s="983"/>
      <c r="H281" s="983"/>
      <c r="I281" s="983"/>
    </row>
    <row r="282">
      <c r="A282" s="974"/>
      <c r="B282" s="978"/>
      <c r="C282" s="978"/>
      <c r="D282" s="978"/>
      <c r="E282" s="978"/>
      <c r="F282" s="978"/>
      <c r="G282" s="978"/>
      <c r="H282" s="978"/>
      <c r="I282" s="978"/>
    </row>
    <row r="283">
      <c r="A283" s="975"/>
      <c r="B283" s="983"/>
      <c r="C283" s="983"/>
      <c r="D283" s="983"/>
      <c r="E283" s="983"/>
      <c r="F283" s="983"/>
      <c r="G283" s="983"/>
      <c r="H283" s="983"/>
      <c r="I283" s="983"/>
    </row>
    <row r="284">
      <c r="A284" s="974"/>
      <c r="B284" s="978"/>
      <c r="C284" s="978"/>
      <c r="D284" s="978"/>
      <c r="E284" s="978"/>
      <c r="F284" s="978"/>
      <c r="G284" s="978"/>
      <c r="H284" s="978"/>
      <c r="I284" s="978"/>
    </row>
    <row r="285">
      <c r="A285" s="975"/>
      <c r="B285" s="983"/>
      <c r="C285" s="983"/>
      <c r="D285" s="983"/>
      <c r="E285" s="983"/>
      <c r="F285" s="983"/>
      <c r="G285" s="983"/>
      <c r="H285" s="983"/>
      <c r="I285" s="983"/>
    </row>
    <row r="286">
      <c r="A286" s="974"/>
      <c r="B286" s="978"/>
      <c r="C286" s="978"/>
      <c r="D286" s="978"/>
      <c r="E286" s="978"/>
      <c r="F286" s="978"/>
      <c r="G286" s="978"/>
      <c r="H286" s="978"/>
      <c r="I286" s="978"/>
    </row>
    <row r="287">
      <c r="A287" s="975"/>
      <c r="B287" s="983"/>
      <c r="C287" s="983"/>
      <c r="D287" s="983"/>
      <c r="E287" s="983"/>
      <c r="F287" s="983"/>
      <c r="G287" s="983"/>
      <c r="H287" s="983"/>
      <c r="I287" s="983"/>
    </row>
    <row r="288">
      <c r="A288" s="974"/>
      <c r="B288" s="978"/>
      <c r="C288" s="978"/>
      <c r="D288" s="978"/>
      <c r="E288" s="978"/>
      <c r="F288" s="978"/>
      <c r="G288" s="978"/>
      <c r="H288" s="978"/>
      <c r="I288" s="978"/>
    </row>
    <row r="289">
      <c r="A289" s="975"/>
      <c r="B289" s="983"/>
      <c r="C289" s="983"/>
      <c r="D289" s="983"/>
      <c r="E289" s="983"/>
      <c r="F289" s="983"/>
      <c r="G289" s="983"/>
      <c r="H289" s="983"/>
      <c r="I289" s="983"/>
    </row>
    <row r="290">
      <c r="A290" s="974"/>
      <c r="B290" s="978"/>
      <c r="C290" s="978"/>
      <c r="D290" s="978"/>
      <c r="E290" s="978"/>
      <c r="F290" s="978"/>
      <c r="G290" s="978"/>
      <c r="H290" s="978"/>
      <c r="I290" s="978"/>
    </row>
    <row r="291">
      <c r="A291" s="975"/>
      <c r="B291" s="983"/>
      <c r="C291" s="983"/>
      <c r="D291" s="983"/>
      <c r="E291" s="983"/>
      <c r="F291" s="983"/>
      <c r="G291" s="983"/>
      <c r="H291" s="983"/>
      <c r="I291" s="983"/>
    </row>
    <row r="292">
      <c r="A292" s="974"/>
      <c r="B292" s="978"/>
      <c r="C292" s="978"/>
      <c r="D292" s="978"/>
      <c r="E292" s="978"/>
      <c r="F292" s="978"/>
      <c r="G292" s="978"/>
      <c r="H292" s="978"/>
      <c r="I292" s="978"/>
    </row>
    <row r="293">
      <c r="A293" s="975"/>
      <c r="B293" s="983"/>
      <c r="C293" s="983"/>
      <c r="D293" s="983"/>
      <c r="E293" s="983"/>
      <c r="F293" s="983"/>
      <c r="G293" s="983"/>
      <c r="H293" s="983"/>
      <c r="I293" s="983"/>
    </row>
    <row r="294">
      <c r="A294" s="974"/>
      <c r="B294" s="978"/>
      <c r="C294" s="978"/>
      <c r="D294" s="978"/>
      <c r="E294" s="978"/>
      <c r="F294" s="978"/>
      <c r="G294" s="978"/>
      <c r="H294" s="978"/>
      <c r="I294" s="978"/>
    </row>
    <row r="295">
      <c r="A295" s="975"/>
      <c r="B295" s="983"/>
      <c r="C295" s="983"/>
      <c r="D295" s="983"/>
      <c r="E295" s="983"/>
      <c r="F295" s="983"/>
      <c r="G295" s="983"/>
      <c r="H295" s="983"/>
      <c r="I295" s="983"/>
    </row>
    <row r="296">
      <c r="A296" s="974"/>
      <c r="B296" s="978"/>
      <c r="C296" s="978"/>
      <c r="D296" s="978"/>
      <c r="E296" s="978"/>
      <c r="F296" s="978"/>
      <c r="G296" s="978"/>
      <c r="H296" s="978"/>
      <c r="I296" s="978"/>
    </row>
    <row r="297">
      <c r="A297" s="975"/>
      <c r="B297" s="983"/>
      <c r="C297" s="983"/>
      <c r="D297" s="983"/>
      <c r="E297" s="983"/>
      <c r="F297" s="983"/>
      <c r="G297" s="983"/>
      <c r="H297" s="983"/>
      <c r="I297" s="983"/>
    </row>
    <row r="298">
      <c r="A298" s="974"/>
      <c r="B298" s="978"/>
      <c r="C298" s="978"/>
      <c r="D298" s="978"/>
      <c r="E298" s="978"/>
      <c r="F298" s="978"/>
      <c r="G298" s="978"/>
      <c r="H298" s="978"/>
      <c r="I298" s="978"/>
    </row>
    <row r="299">
      <c r="A299" s="975"/>
      <c r="B299" s="983"/>
      <c r="C299" s="983"/>
      <c r="D299" s="983"/>
      <c r="E299" s="983"/>
      <c r="F299" s="983"/>
      <c r="G299" s="983"/>
      <c r="H299" s="983"/>
      <c r="I299" s="983"/>
    </row>
    <row r="300">
      <c r="A300" s="974"/>
      <c r="B300" s="978"/>
      <c r="C300" s="978"/>
      <c r="D300" s="978"/>
      <c r="E300" s="978"/>
      <c r="F300" s="978"/>
      <c r="G300" s="978"/>
      <c r="H300" s="978"/>
      <c r="I300" s="978"/>
    </row>
    <row r="301">
      <c r="A301" s="975"/>
      <c r="B301" s="983"/>
      <c r="C301" s="983"/>
      <c r="D301" s="983"/>
      <c r="E301" s="983"/>
      <c r="F301" s="983"/>
      <c r="G301" s="983"/>
      <c r="H301" s="983"/>
      <c r="I301" s="983"/>
    </row>
    <row r="302">
      <c r="A302" s="974"/>
      <c r="B302" s="978"/>
      <c r="C302" s="978"/>
      <c r="D302" s="978"/>
      <c r="E302" s="978"/>
      <c r="F302" s="978"/>
      <c r="G302" s="978"/>
      <c r="H302" s="978"/>
      <c r="I302" s="978"/>
    </row>
    <row r="303">
      <c r="A303" s="975"/>
      <c r="B303" s="983"/>
      <c r="C303" s="983"/>
      <c r="D303" s="983"/>
      <c r="E303" s="983"/>
      <c r="F303" s="983"/>
      <c r="G303" s="983"/>
      <c r="H303" s="983"/>
      <c r="I303" s="983"/>
    </row>
    <row r="304">
      <c r="A304" s="974"/>
      <c r="B304" s="978"/>
      <c r="C304" s="978"/>
      <c r="D304" s="978"/>
      <c r="E304" s="978"/>
      <c r="F304" s="978"/>
      <c r="G304" s="978"/>
      <c r="H304" s="978"/>
      <c r="I304" s="978"/>
    </row>
    <row r="305">
      <c r="A305" s="975"/>
      <c r="B305" s="983"/>
      <c r="C305" s="983"/>
      <c r="D305" s="983"/>
      <c r="E305" s="983"/>
      <c r="F305" s="983"/>
      <c r="G305" s="983"/>
      <c r="H305" s="983"/>
      <c r="I305" s="983"/>
    </row>
    <row r="306">
      <c r="A306" s="974"/>
      <c r="B306" s="978"/>
      <c r="C306" s="978"/>
      <c r="D306" s="978"/>
      <c r="E306" s="978"/>
      <c r="F306" s="978"/>
      <c r="G306" s="978"/>
      <c r="H306" s="978"/>
      <c r="I306" s="978"/>
    </row>
    <row r="307">
      <c r="A307" s="975"/>
      <c r="B307" s="983"/>
      <c r="C307" s="983"/>
      <c r="D307" s="983"/>
      <c r="E307" s="983"/>
      <c r="F307" s="983"/>
      <c r="G307" s="983"/>
      <c r="H307" s="983"/>
      <c r="I307" s="983"/>
    </row>
    <row r="308">
      <c r="A308" s="974"/>
      <c r="B308" s="978"/>
      <c r="C308" s="978"/>
      <c r="D308" s="978"/>
      <c r="E308" s="978"/>
      <c r="F308" s="978"/>
      <c r="G308" s="978"/>
      <c r="H308" s="978"/>
      <c r="I308" s="978"/>
    </row>
    <row r="309">
      <c r="A309" s="975"/>
      <c r="B309" s="983"/>
      <c r="C309" s="983"/>
      <c r="D309" s="983"/>
      <c r="E309" s="983"/>
      <c r="F309" s="983"/>
      <c r="G309" s="983"/>
      <c r="H309" s="983"/>
      <c r="I309" s="983"/>
    </row>
    <row r="310">
      <c r="A310" s="974"/>
      <c r="B310" s="978"/>
      <c r="C310" s="978"/>
      <c r="D310" s="978"/>
      <c r="E310" s="978"/>
      <c r="F310" s="978"/>
      <c r="G310" s="978"/>
      <c r="H310" s="978"/>
      <c r="I310" s="978"/>
    </row>
    <row r="311">
      <c r="A311" s="975"/>
      <c r="B311" s="983"/>
      <c r="C311" s="983"/>
      <c r="D311" s="983"/>
      <c r="E311" s="983"/>
      <c r="F311" s="983"/>
      <c r="G311" s="983"/>
      <c r="H311" s="983"/>
      <c r="I311" s="983"/>
    </row>
    <row r="312">
      <c r="A312" s="974"/>
      <c r="B312" s="978"/>
      <c r="C312" s="978"/>
      <c r="D312" s="978"/>
      <c r="E312" s="978"/>
      <c r="F312" s="978"/>
      <c r="G312" s="978"/>
      <c r="H312" s="978"/>
      <c r="I312" s="978"/>
    </row>
    <row r="313">
      <c r="A313" s="975"/>
      <c r="B313" s="983"/>
      <c r="C313" s="983"/>
      <c r="D313" s="983"/>
      <c r="E313" s="983"/>
      <c r="F313" s="983"/>
      <c r="G313" s="983"/>
      <c r="H313" s="983"/>
      <c r="I313" s="983"/>
    </row>
    <row r="314">
      <c r="A314" s="974"/>
      <c r="B314" s="978"/>
      <c r="C314" s="978"/>
      <c r="D314" s="978"/>
      <c r="E314" s="978"/>
      <c r="F314" s="978"/>
      <c r="G314" s="978"/>
      <c r="H314" s="978"/>
      <c r="I314" s="978"/>
    </row>
    <row r="315">
      <c r="A315" s="975"/>
      <c r="B315" s="983"/>
      <c r="C315" s="983"/>
      <c r="D315" s="983"/>
      <c r="E315" s="983"/>
      <c r="F315" s="983"/>
      <c r="G315" s="983"/>
      <c r="H315" s="983"/>
      <c r="I315" s="983"/>
    </row>
    <row r="316">
      <c r="A316" s="974"/>
      <c r="B316" s="978"/>
      <c r="C316" s="978"/>
      <c r="D316" s="978"/>
      <c r="E316" s="978"/>
      <c r="F316" s="978"/>
      <c r="G316" s="978"/>
      <c r="H316" s="978"/>
      <c r="I316" s="978"/>
    </row>
    <row r="317">
      <c r="A317" s="975"/>
      <c r="B317" s="983"/>
      <c r="C317" s="983"/>
      <c r="D317" s="983"/>
      <c r="E317" s="983"/>
      <c r="F317" s="983"/>
      <c r="G317" s="983"/>
      <c r="H317" s="983"/>
      <c r="I317" s="983"/>
    </row>
    <row r="318">
      <c r="A318" s="974"/>
      <c r="B318" s="978"/>
      <c r="C318" s="978"/>
      <c r="D318" s="978"/>
      <c r="E318" s="978"/>
      <c r="F318" s="978"/>
      <c r="G318" s="978"/>
      <c r="H318" s="978"/>
      <c r="I318" s="978"/>
    </row>
    <row r="319">
      <c r="A319" s="975"/>
      <c r="B319" s="983"/>
      <c r="C319" s="983"/>
      <c r="D319" s="983"/>
      <c r="E319" s="983"/>
      <c r="F319" s="983"/>
      <c r="G319" s="983"/>
      <c r="H319" s="983"/>
      <c r="I319" s="983"/>
    </row>
    <row r="320">
      <c r="A320" s="974"/>
      <c r="B320" s="978"/>
      <c r="C320" s="978"/>
      <c r="D320" s="978"/>
      <c r="E320" s="978"/>
      <c r="F320" s="978"/>
      <c r="G320" s="978"/>
      <c r="H320" s="978"/>
      <c r="I320" s="978"/>
    </row>
    <row r="321">
      <c r="A321" s="975"/>
      <c r="B321" s="983"/>
      <c r="C321" s="983"/>
      <c r="D321" s="983"/>
      <c r="E321" s="983"/>
      <c r="F321" s="983"/>
      <c r="G321" s="983"/>
      <c r="H321" s="983"/>
      <c r="I321" s="983"/>
    </row>
    <row r="322">
      <c r="A322" s="974"/>
      <c r="B322" s="978"/>
      <c r="C322" s="978"/>
      <c r="D322" s="978"/>
      <c r="E322" s="978"/>
      <c r="F322" s="978"/>
      <c r="G322" s="978"/>
      <c r="H322" s="978"/>
      <c r="I322" s="978"/>
    </row>
    <row r="323">
      <c r="A323" s="975"/>
      <c r="B323" s="983"/>
      <c r="C323" s="983"/>
      <c r="D323" s="983"/>
      <c r="E323" s="983"/>
      <c r="F323" s="983"/>
      <c r="G323" s="983"/>
      <c r="H323" s="983"/>
      <c r="I323" s="983"/>
    </row>
    <row r="324">
      <c r="A324" s="974"/>
      <c r="B324" s="978"/>
      <c r="C324" s="978"/>
      <c r="D324" s="978"/>
      <c r="E324" s="978"/>
      <c r="F324" s="978"/>
      <c r="G324" s="978"/>
      <c r="H324" s="978"/>
      <c r="I324" s="978"/>
    </row>
    <row r="325">
      <c r="A325" s="975"/>
      <c r="B325" s="983"/>
      <c r="C325" s="983"/>
      <c r="D325" s="983"/>
      <c r="E325" s="983"/>
      <c r="F325" s="983"/>
      <c r="G325" s="983"/>
      <c r="H325" s="983"/>
      <c r="I325" s="983"/>
    </row>
    <row r="326">
      <c r="A326" s="974"/>
      <c r="B326" s="978"/>
      <c r="C326" s="978"/>
      <c r="D326" s="978"/>
      <c r="E326" s="978"/>
      <c r="F326" s="978"/>
      <c r="G326" s="978"/>
      <c r="H326" s="978"/>
      <c r="I326" s="978"/>
    </row>
    <row r="327">
      <c r="A327" s="975"/>
      <c r="B327" s="983"/>
      <c r="C327" s="983"/>
      <c r="D327" s="983"/>
      <c r="E327" s="983"/>
      <c r="F327" s="983"/>
      <c r="G327" s="983"/>
      <c r="H327" s="983"/>
      <c r="I327" s="983"/>
    </row>
    <row r="328">
      <c r="A328" s="974"/>
      <c r="B328" s="978"/>
      <c r="C328" s="978"/>
      <c r="D328" s="978"/>
      <c r="E328" s="978"/>
      <c r="F328" s="978"/>
      <c r="G328" s="978"/>
      <c r="H328" s="978"/>
      <c r="I328" s="978"/>
    </row>
    <row r="329">
      <c r="A329" s="975"/>
      <c r="B329" s="983"/>
      <c r="C329" s="983"/>
      <c r="D329" s="983"/>
      <c r="E329" s="983"/>
      <c r="F329" s="983"/>
      <c r="G329" s="983"/>
      <c r="H329" s="983"/>
      <c r="I329" s="983"/>
    </row>
    <row r="330">
      <c r="A330" s="974"/>
      <c r="B330" s="978"/>
      <c r="C330" s="978"/>
      <c r="D330" s="978"/>
      <c r="E330" s="978"/>
      <c r="F330" s="978"/>
      <c r="G330" s="978"/>
      <c r="H330" s="978"/>
      <c r="I330" s="978"/>
    </row>
    <row r="331">
      <c r="A331" s="975"/>
      <c r="B331" s="983"/>
      <c r="C331" s="983"/>
      <c r="D331" s="983"/>
      <c r="E331" s="983"/>
      <c r="F331" s="983"/>
      <c r="G331" s="983"/>
      <c r="H331" s="983"/>
      <c r="I331" s="983"/>
    </row>
    <row r="332">
      <c r="A332" s="974"/>
      <c r="B332" s="978"/>
      <c r="C332" s="978"/>
      <c r="D332" s="978"/>
      <c r="E332" s="978"/>
      <c r="F332" s="978"/>
      <c r="G332" s="978"/>
      <c r="H332" s="978"/>
      <c r="I332" s="978"/>
    </row>
    <row r="333">
      <c r="A333" s="975"/>
      <c r="B333" s="983"/>
      <c r="C333" s="983"/>
      <c r="D333" s="983"/>
      <c r="E333" s="983"/>
      <c r="F333" s="983"/>
      <c r="G333" s="983"/>
      <c r="H333" s="983"/>
      <c r="I333" s="983"/>
    </row>
    <row r="334">
      <c r="A334" s="974"/>
      <c r="B334" s="978"/>
      <c r="C334" s="978"/>
      <c r="D334" s="978"/>
      <c r="E334" s="978"/>
      <c r="F334" s="978"/>
      <c r="G334" s="978"/>
      <c r="H334" s="978"/>
      <c r="I334" s="978"/>
    </row>
    <row r="335">
      <c r="A335" s="975"/>
      <c r="B335" s="983"/>
      <c r="C335" s="983"/>
      <c r="D335" s="983"/>
      <c r="E335" s="983"/>
      <c r="F335" s="983"/>
      <c r="G335" s="983"/>
      <c r="H335" s="983"/>
      <c r="I335" s="983"/>
    </row>
    <row r="336">
      <c r="A336" s="974"/>
      <c r="B336" s="978"/>
      <c r="C336" s="978"/>
      <c r="D336" s="978"/>
      <c r="E336" s="978"/>
      <c r="F336" s="978"/>
      <c r="G336" s="978"/>
      <c r="H336" s="978"/>
      <c r="I336" s="978"/>
    </row>
    <row r="337">
      <c r="A337" s="975"/>
      <c r="B337" s="983"/>
      <c r="C337" s="983"/>
      <c r="D337" s="983"/>
      <c r="E337" s="983"/>
      <c r="F337" s="983"/>
      <c r="G337" s="983"/>
      <c r="H337" s="983"/>
      <c r="I337" s="983"/>
    </row>
    <row r="338">
      <c r="A338" s="974"/>
      <c r="B338" s="978"/>
      <c r="C338" s="978"/>
      <c r="D338" s="978"/>
      <c r="E338" s="978"/>
      <c r="F338" s="978"/>
      <c r="G338" s="978"/>
      <c r="H338" s="978"/>
      <c r="I338" s="978"/>
    </row>
    <row r="339">
      <c r="A339" s="975"/>
      <c r="B339" s="983"/>
      <c r="C339" s="983"/>
      <c r="D339" s="983"/>
      <c r="E339" s="983"/>
      <c r="F339" s="983"/>
      <c r="G339" s="983"/>
      <c r="H339" s="983"/>
      <c r="I339" s="983"/>
    </row>
    <row r="340">
      <c r="A340" s="974"/>
      <c r="B340" s="978"/>
      <c r="C340" s="978"/>
      <c r="D340" s="978"/>
      <c r="E340" s="978"/>
      <c r="F340" s="978"/>
      <c r="G340" s="978"/>
      <c r="H340" s="978"/>
      <c r="I340" s="978"/>
    </row>
    <row r="341">
      <c r="A341" s="975"/>
      <c r="B341" s="983"/>
      <c r="C341" s="983"/>
      <c r="D341" s="983"/>
      <c r="E341" s="983"/>
      <c r="F341" s="983"/>
      <c r="G341" s="983"/>
      <c r="H341" s="983"/>
      <c r="I341" s="983"/>
    </row>
    <row r="342">
      <c r="A342" s="974"/>
      <c r="B342" s="978"/>
      <c r="C342" s="978"/>
      <c r="D342" s="978"/>
      <c r="E342" s="978"/>
      <c r="F342" s="978"/>
      <c r="G342" s="978"/>
      <c r="H342" s="978"/>
      <c r="I342" s="978"/>
    </row>
    <row r="343">
      <c r="A343" s="975"/>
      <c r="B343" s="983"/>
      <c r="C343" s="983"/>
      <c r="D343" s="983"/>
      <c r="E343" s="983"/>
      <c r="F343" s="983"/>
      <c r="G343" s="983"/>
      <c r="H343" s="983"/>
      <c r="I343" s="983"/>
    </row>
    <row r="344">
      <c r="A344" s="974"/>
      <c r="B344" s="978"/>
      <c r="C344" s="978"/>
      <c r="D344" s="978"/>
      <c r="E344" s="978"/>
      <c r="F344" s="978"/>
      <c r="G344" s="978"/>
      <c r="H344" s="978"/>
      <c r="I344" s="978"/>
    </row>
    <row r="345">
      <c r="A345" s="975"/>
      <c r="B345" s="983"/>
      <c r="C345" s="983"/>
      <c r="D345" s="983"/>
      <c r="E345" s="983"/>
      <c r="F345" s="983"/>
      <c r="G345" s="983"/>
      <c r="H345" s="983"/>
      <c r="I345" s="983"/>
    </row>
    <row r="346">
      <c r="A346" s="974"/>
      <c r="B346" s="978"/>
      <c r="C346" s="978"/>
      <c r="D346" s="978"/>
      <c r="E346" s="978"/>
      <c r="F346" s="978"/>
      <c r="G346" s="978"/>
      <c r="H346" s="978"/>
      <c r="I346" s="978"/>
    </row>
    <row r="347">
      <c r="A347" s="975"/>
      <c r="B347" s="983"/>
      <c r="C347" s="983"/>
      <c r="D347" s="983"/>
      <c r="E347" s="983"/>
      <c r="F347" s="983"/>
      <c r="G347" s="983"/>
      <c r="H347" s="983"/>
      <c r="I347" s="983"/>
    </row>
    <row r="348">
      <c r="A348" s="974"/>
      <c r="B348" s="978"/>
      <c r="C348" s="978"/>
      <c r="D348" s="978"/>
      <c r="E348" s="978"/>
      <c r="F348" s="978"/>
      <c r="G348" s="978"/>
      <c r="H348" s="978"/>
      <c r="I348" s="978"/>
    </row>
    <row r="349">
      <c r="A349" s="975"/>
      <c r="B349" s="983"/>
      <c r="C349" s="983"/>
      <c r="D349" s="983"/>
      <c r="E349" s="983"/>
      <c r="F349" s="983"/>
      <c r="G349" s="983"/>
      <c r="H349" s="983"/>
      <c r="I349" s="983"/>
    </row>
    <row r="350">
      <c r="A350" s="974"/>
      <c r="B350" s="978"/>
      <c r="C350" s="978"/>
      <c r="D350" s="978"/>
      <c r="E350" s="978"/>
      <c r="F350" s="978"/>
      <c r="G350" s="978"/>
      <c r="H350" s="978"/>
      <c r="I350" s="978"/>
    </row>
    <row r="351">
      <c r="A351" s="975"/>
      <c r="B351" s="983"/>
      <c r="C351" s="983"/>
      <c r="D351" s="983"/>
      <c r="E351" s="983"/>
      <c r="F351" s="983"/>
      <c r="G351" s="983"/>
      <c r="H351" s="983"/>
      <c r="I351" s="983"/>
    </row>
    <row r="352">
      <c r="A352" s="974"/>
      <c r="B352" s="978"/>
      <c r="C352" s="978"/>
      <c r="D352" s="978"/>
      <c r="E352" s="978"/>
      <c r="F352" s="978"/>
      <c r="G352" s="978"/>
      <c r="H352" s="978"/>
      <c r="I352" s="978"/>
    </row>
    <row r="353">
      <c r="A353" s="975"/>
      <c r="B353" s="983"/>
      <c r="C353" s="983"/>
      <c r="D353" s="983"/>
      <c r="E353" s="983"/>
      <c r="F353" s="983"/>
      <c r="G353" s="983"/>
      <c r="H353" s="983"/>
      <c r="I353" s="983"/>
    </row>
    <row r="354">
      <c r="A354" s="974"/>
      <c r="B354" s="978"/>
      <c r="C354" s="978"/>
      <c r="D354" s="978"/>
      <c r="E354" s="978"/>
      <c r="F354" s="978"/>
      <c r="G354" s="978"/>
      <c r="H354" s="978"/>
      <c r="I354" s="978"/>
    </row>
    <row r="355">
      <c r="A355" s="975"/>
      <c r="B355" s="983"/>
      <c r="C355" s="983"/>
      <c r="D355" s="983"/>
      <c r="E355" s="983"/>
      <c r="F355" s="983"/>
      <c r="G355" s="983"/>
      <c r="H355" s="983"/>
      <c r="I355" s="983"/>
    </row>
    <row r="356">
      <c r="A356" s="974"/>
      <c r="B356" s="978"/>
      <c r="C356" s="978"/>
      <c r="D356" s="978"/>
      <c r="E356" s="978"/>
      <c r="F356" s="978"/>
      <c r="G356" s="978"/>
      <c r="H356" s="978"/>
      <c r="I356" s="978"/>
    </row>
    <row r="357">
      <c r="A357" s="975"/>
      <c r="B357" s="983"/>
      <c r="C357" s="983"/>
      <c r="D357" s="983"/>
      <c r="E357" s="983"/>
      <c r="F357" s="983"/>
      <c r="G357" s="983"/>
      <c r="H357" s="983"/>
      <c r="I357" s="983"/>
    </row>
    <row r="358">
      <c r="A358" s="974"/>
      <c r="B358" s="978"/>
      <c r="C358" s="978"/>
      <c r="D358" s="978"/>
      <c r="E358" s="978"/>
      <c r="F358" s="978"/>
      <c r="G358" s="978"/>
      <c r="H358" s="978"/>
      <c r="I358" s="978"/>
    </row>
    <row r="359">
      <c r="A359" s="975"/>
      <c r="B359" s="983"/>
      <c r="C359" s="983"/>
      <c r="D359" s="983"/>
      <c r="E359" s="983"/>
      <c r="F359" s="983"/>
      <c r="G359" s="983"/>
      <c r="H359" s="983"/>
      <c r="I359" s="983"/>
    </row>
    <row r="360">
      <c r="A360" s="974"/>
      <c r="B360" s="978"/>
      <c r="C360" s="978"/>
      <c r="D360" s="978"/>
      <c r="E360" s="978"/>
      <c r="F360" s="978"/>
      <c r="G360" s="978"/>
      <c r="H360" s="978"/>
      <c r="I360" s="978"/>
    </row>
    <row r="361">
      <c r="A361" s="975"/>
      <c r="B361" s="983"/>
      <c r="C361" s="983"/>
      <c r="D361" s="983"/>
      <c r="E361" s="983"/>
      <c r="F361" s="983"/>
      <c r="G361" s="983"/>
      <c r="H361" s="983"/>
      <c r="I361" s="983"/>
    </row>
    <row r="362">
      <c r="A362" s="974"/>
      <c r="B362" s="978"/>
      <c r="C362" s="978"/>
      <c r="D362" s="978"/>
      <c r="E362" s="978"/>
      <c r="F362" s="978"/>
      <c r="G362" s="978"/>
      <c r="H362" s="978"/>
      <c r="I362" s="978"/>
    </row>
    <row r="363">
      <c r="A363" s="975"/>
      <c r="B363" s="983"/>
      <c r="C363" s="983"/>
      <c r="D363" s="983"/>
      <c r="E363" s="983"/>
      <c r="F363" s="983"/>
      <c r="G363" s="983"/>
      <c r="H363" s="983"/>
      <c r="I363" s="983"/>
    </row>
    <row r="364">
      <c r="A364" s="974"/>
      <c r="B364" s="978"/>
      <c r="C364" s="978"/>
      <c r="D364" s="978"/>
      <c r="E364" s="978"/>
      <c r="F364" s="978"/>
      <c r="G364" s="978"/>
      <c r="H364" s="978"/>
      <c r="I364" s="978"/>
    </row>
    <row r="365">
      <c r="A365" s="975"/>
      <c r="B365" s="983"/>
      <c r="C365" s="983"/>
      <c r="D365" s="983"/>
      <c r="E365" s="983"/>
      <c r="F365" s="983"/>
      <c r="G365" s="983"/>
      <c r="H365" s="983"/>
      <c r="I365" s="983"/>
    </row>
    <row r="366">
      <c r="A366" s="974"/>
      <c r="B366" s="978"/>
      <c r="C366" s="978"/>
      <c r="D366" s="978"/>
      <c r="E366" s="978"/>
      <c r="F366" s="978"/>
      <c r="G366" s="978"/>
      <c r="H366" s="978"/>
      <c r="I366" s="978"/>
    </row>
    <row r="367">
      <c r="A367" s="975"/>
      <c r="B367" s="983"/>
      <c r="C367" s="983"/>
      <c r="D367" s="983"/>
      <c r="E367" s="983"/>
      <c r="F367" s="983"/>
      <c r="G367" s="983"/>
      <c r="H367" s="983"/>
      <c r="I367" s="983"/>
    </row>
    <row r="368">
      <c r="A368" s="974"/>
      <c r="B368" s="978"/>
      <c r="C368" s="978"/>
      <c r="D368" s="978"/>
      <c r="E368" s="978"/>
      <c r="F368" s="978"/>
      <c r="G368" s="978"/>
      <c r="H368" s="978"/>
      <c r="I368" s="978"/>
    </row>
    <row r="369">
      <c r="A369" s="975"/>
      <c r="B369" s="983"/>
      <c r="C369" s="983"/>
      <c r="D369" s="983"/>
      <c r="E369" s="983"/>
      <c r="F369" s="983"/>
      <c r="G369" s="983"/>
      <c r="H369" s="983"/>
      <c r="I369" s="983"/>
    </row>
    <row r="370">
      <c r="A370" s="974"/>
      <c r="B370" s="978"/>
      <c r="C370" s="978"/>
      <c r="D370" s="978"/>
      <c r="E370" s="978"/>
      <c r="F370" s="978"/>
      <c r="G370" s="978"/>
      <c r="H370" s="978"/>
      <c r="I370" s="978"/>
    </row>
    <row r="371">
      <c r="A371" s="975"/>
      <c r="B371" s="983"/>
      <c r="C371" s="983"/>
      <c r="D371" s="983"/>
      <c r="E371" s="983"/>
      <c r="F371" s="983"/>
      <c r="G371" s="983"/>
      <c r="H371" s="983"/>
      <c r="I371" s="983"/>
    </row>
    <row r="372">
      <c r="A372" s="974"/>
      <c r="B372" s="978"/>
      <c r="C372" s="978"/>
      <c r="D372" s="978"/>
      <c r="E372" s="978"/>
      <c r="F372" s="978"/>
      <c r="G372" s="978"/>
      <c r="H372" s="978"/>
      <c r="I372" s="978"/>
    </row>
    <row r="373">
      <c r="A373" s="975"/>
      <c r="B373" s="983"/>
      <c r="C373" s="983"/>
      <c r="D373" s="983"/>
      <c r="E373" s="983"/>
      <c r="F373" s="983"/>
      <c r="G373" s="983"/>
      <c r="H373" s="983"/>
      <c r="I373" s="983"/>
    </row>
    <row r="374">
      <c r="A374" s="974"/>
      <c r="B374" s="978"/>
      <c r="C374" s="978"/>
      <c r="D374" s="978"/>
      <c r="E374" s="978"/>
      <c r="F374" s="978"/>
      <c r="G374" s="978"/>
      <c r="H374" s="978"/>
      <c r="I374" s="978"/>
    </row>
    <row r="375">
      <c r="A375" s="975"/>
      <c r="B375" s="983"/>
      <c r="C375" s="983"/>
      <c r="D375" s="983"/>
      <c r="E375" s="983"/>
      <c r="F375" s="983"/>
      <c r="G375" s="983"/>
      <c r="H375" s="983"/>
      <c r="I375" s="983"/>
    </row>
    <row r="376">
      <c r="A376" s="974"/>
      <c r="B376" s="978"/>
      <c r="C376" s="978"/>
      <c r="D376" s="978"/>
      <c r="E376" s="978"/>
      <c r="F376" s="978"/>
      <c r="G376" s="978"/>
      <c r="H376" s="978"/>
      <c r="I376" s="978"/>
    </row>
    <row r="377">
      <c r="A377" s="975"/>
      <c r="B377" s="983"/>
      <c r="C377" s="983"/>
      <c r="D377" s="983"/>
      <c r="E377" s="983"/>
      <c r="F377" s="983"/>
      <c r="G377" s="983"/>
      <c r="H377" s="983"/>
      <c r="I377" s="983"/>
    </row>
    <row r="378">
      <c r="A378" s="974"/>
      <c r="B378" s="978"/>
      <c r="C378" s="978"/>
      <c r="D378" s="978"/>
      <c r="E378" s="978"/>
      <c r="F378" s="978"/>
      <c r="G378" s="978"/>
      <c r="H378" s="978"/>
      <c r="I378" s="978"/>
    </row>
    <row r="379">
      <c r="A379" s="975"/>
      <c r="B379" s="983"/>
      <c r="C379" s="983"/>
      <c r="D379" s="983"/>
      <c r="E379" s="983"/>
      <c r="F379" s="983"/>
      <c r="G379" s="983"/>
      <c r="H379" s="983"/>
      <c r="I379" s="983"/>
    </row>
    <row r="380">
      <c r="A380" s="974"/>
      <c r="B380" s="978"/>
      <c r="C380" s="978"/>
      <c r="D380" s="978"/>
      <c r="E380" s="978"/>
      <c r="F380" s="978"/>
      <c r="G380" s="978"/>
      <c r="H380" s="978"/>
      <c r="I380" s="978"/>
    </row>
    <row r="381">
      <c r="A381" s="975"/>
      <c r="B381" s="983"/>
      <c r="C381" s="983"/>
      <c r="D381" s="983"/>
      <c r="E381" s="983"/>
      <c r="F381" s="983"/>
      <c r="G381" s="983"/>
      <c r="H381" s="983"/>
      <c r="I381" s="983"/>
    </row>
    <row r="382">
      <c r="A382" s="974"/>
      <c r="B382" s="978"/>
      <c r="C382" s="978"/>
      <c r="D382" s="978"/>
      <c r="E382" s="978"/>
      <c r="F382" s="978"/>
      <c r="G382" s="978"/>
      <c r="H382" s="978"/>
      <c r="I382" s="978"/>
    </row>
    <row r="383">
      <c r="A383" s="975"/>
      <c r="B383" s="983"/>
      <c r="C383" s="983"/>
      <c r="D383" s="983"/>
      <c r="E383" s="983"/>
      <c r="F383" s="983"/>
      <c r="G383" s="983"/>
      <c r="H383" s="983"/>
      <c r="I383" s="983"/>
    </row>
    <row r="384">
      <c r="A384" s="974"/>
      <c r="B384" s="978"/>
      <c r="C384" s="978"/>
      <c r="D384" s="978"/>
      <c r="E384" s="978"/>
      <c r="F384" s="978"/>
      <c r="G384" s="978"/>
      <c r="H384" s="978"/>
      <c r="I384" s="978"/>
    </row>
    <row r="385">
      <c r="A385" s="975"/>
      <c r="B385" s="983"/>
      <c r="C385" s="983"/>
      <c r="D385" s="983"/>
      <c r="E385" s="983"/>
      <c r="F385" s="983"/>
      <c r="G385" s="983"/>
      <c r="H385" s="983"/>
      <c r="I385" s="983"/>
    </row>
    <row r="386">
      <c r="A386" s="974"/>
      <c r="B386" s="978"/>
      <c r="C386" s="978"/>
      <c r="D386" s="978"/>
      <c r="E386" s="978"/>
      <c r="F386" s="978"/>
      <c r="G386" s="978"/>
      <c r="H386" s="978"/>
      <c r="I386" s="978"/>
    </row>
    <row r="387">
      <c r="A387" s="975"/>
      <c r="B387" s="983"/>
      <c r="C387" s="983"/>
      <c r="D387" s="983"/>
      <c r="E387" s="983"/>
      <c r="F387" s="983"/>
      <c r="G387" s="983"/>
      <c r="H387" s="983"/>
      <c r="I387" s="983"/>
    </row>
    <row r="388">
      <c r="A388" s="974"/>
      <c r="B388" s="978"/>
      <c r="C388" s="978"/>
      <c r="D388" s="978"/>
      <c r="E388" s="978"/>
      <c r="F388" s="978"/>
      <c r="G388" s="978"/>
      <c r="H388" s="978"/>
      <c r="I388" s="978"/>
    </row>
    <row r="389">
      <c r="A389" s="975"/>
      <c r="B389" s="983"/>
      <c r="C389" s="983"/>
      <c r="D389" s="983"/>
      <c r="E389" s="983"/>
      <c r="F389" s="983"/>
      <c r="G389" s="983"/>
      <c r="H389" s="983"/>
      <c r="I389" s="983"/>
    </row>
    <row r="390">
      <c r="A390" s="974"/>
      <c r="B390" s="978"/>
      <c r="C390" s="978"/>
      <c r="D390" s="978"/>
      <c r="E390" s="978"/>
      <c r="F390" s="978"/>
      <c r="G390" s="978"/>
      <c r="H390" s="978"/>
      <c r="I390" s="978"/>
    </row>
    <row r="391">
      <c r="A391" s="975"/>
      <c r="B391" s="983"/>
      <c r="C391" s="983"/>
      <c r="D391" s="983"/>
      <c r="E391" s="983"/>
      <c r="F391" s="983"/>
      <c r="G391" s="983"/>
      <c r="H391" s="983"/>
      <c r="I391" s="983"/>
    </row>
    <row r="392">
      <c r="A392" s="974"/>
      <c r="B392" s="978"/>
      <c r="C392" s="978"/>
      <c r="D392" s="978"/>
      <c r="E392" s="978"/>
      <c r="F392" s="978"/>
      <c r="G392" s="978"/>
      <c r="H392" s="978"/>
      <c r="I392" s="978"/>
    </row>
    <row r="393">
      <c r="A393" s="975"/>
      <c r="B393" s="983"/>
      <c r="C393" s="983"/>
      <c r="D393" s="983"/>
      <c r="E393" s="983"/>
      <c r="F393" s="983"/>
      <c r="G393" s="983"/>
      <c r="H393" s="983"/>
      <c r="I393" s="983"/>
    </row>
    <row r="394">
      <c r="A394" s="974"/>
      <c r="B394" s="978"/>
      <c r="C394" s="978"/>
      <c r="D394" s="978"/>
      <c r="E394" s="978"/>
      <c r="F394" s="978"/>
      <c r="G394" s="978"/>
      <c r="H394" s="978"/>
      <c r="I394" s="978"/>
    </row>
    <row r="395">
      <c r="A395" s="975"/>
      <c r="B395" s="983"/>
      <c r="C395" s="983"/>
      <c r="D395" s="983"/>
      <c r="E395" s="983"/>
      <c r="F395" s="983"/>
      <c r="G395" s="983"/>
      <c r="H395" s="983"/>
      <c r="I395" s="983"/>
    </row>
    <row r="396">
      <c r="A396" s="974"/>
      <c r="B396" s="978"/>
      <c r="C396" s="978"/>
      <c r="D396" s="978"/>
      <c r="E396" s="978"/>
      <c r="F396" s="978"/>
      <c r="G396" s="978"/>
      <c r="H396" s="978"/>
      <c r="I396" s="978"/>
    </row>
    <row r="397">
      <c r="A397" s="975"/>
      <c r="B397" s="983"/>
      <c r="C397" s="983"/>
      <c r="D397" s="983"/>
      <c r="E397" s="983"/>
      <c r="F397" s="983"/>
      <c r="G397" s="983"/>
      <c r="H397" s="983"/>
      <c r="I397" s="983"/>
    </row>
    <row r="398">
      <c r="A398" s="974"/>
      <c r="B398" s="978"/>
      <c r="C398" s="978"/>
      <c r="D398" s="978"/>
      <c r="E398" s="978"/>
      <c r="F398" s="978"/>
      <c r="G398" s="978"/>
      <c r="H398" s="978"/>
      <c r="I398" s="978"/>
    </row>
    <row r="399">
      <c r="A399" s="975"/>
      <c r="B399" s="983"/>
      <c r="C399" s="983"/>
      <c r="D399" s="983"/>
      <c r="E399" s="983"/>
      <c r="F399" s="983"/>
      <c r="G399" s="983"/>
      <c r="H399" s="983"/>
      <c r="I399" s="983"/>
    </row>
    <row r="400">
      <c r="A400" s="974"/>
      <c r="B400" s="978"/>
      <c r="C400" s="978"/>
      <c r="D400" s="978"/>
      <c r="E400" s="978"/>
      <c r="F400" s="978"/>
      <c r="G400" s="978"/>
      <c r="H400" s="978"/>
      <c r="I400" s="978"/>
    </row>
    <row r="401">
      <c r="A401" s="975"/>
      <c r="B401" s="983"/>
      <c r="C401" s="983"/>
      <c r="D401" s="983"/>
      <c r="E401" s="983"/>
      <c r="F401" s="983"/>
      <c r="G401" s="983"/>
      <c r="H401" s="983"/>
      <c r="I401" s="983"/>
    </row>
    <row r="402">
      <c r="A402" s="974"/>
      <c r="B402" s="978"/>
      <c r="C402" s="978"/>
      <c r="D402" s="978"/>
      <c r="E402" s="978"/>
      <c r="F402" s="978"/>
      <c r="G402" s="978"/>
      <c r="H402" s="978"/>
      <c r="I402" s="978"/>
    </row>
    <row r="403">
      <c r="A403" s="975"/>
      <c r="B403" s="983"/>
      <c r="C403" s="983"/>
      <c r="D403" s="983"/>
      <c r="E403" s="983"/>
      <c r="F403" s="983"/>
      <c r="G403" s="983"/>
      <c r="H403" s="983"/>
      <c r="I403" s="983"/>
    </row>
    <row r="404">
      <c r="A404" s="974"/>
      <c r="B404" s="978"/>
      <c r="C404" s="978"/>
      <c r="D404" s="978"/>
      <c r="E404" s="978"/>
      <c r="F404" s="978"/>
      <c r="G404" s="978"/>
      <c r="H404" s="978"/>
      <c r="I404" s="978"/>
    </row>
    <row r="405">
      <c r="A405" s="975"/>
      <c r="B405" s="983"/>
      <c r="C405" s="983"/>
      <c r="D405" s="983"/>
      <c r="E405" s="983"/>
      <c r="F405" s="983"/>
      <c r="G405" s="983"/>
      <c r="H405" s="983"/>
      <c r="I405" s="983"/>
    </row>
    <row r="406">
      <c r="A406" s="974"/>
      <c r="B406" s="978"/>
      <c r="C406" s="978"/>
      <c r="D406" s="978"/>
      <c r="E406" s="978"/>
      <c r="F406" s="978"/>
      <c r="G406" s="978"/>
      <c r="H406" s="978"/>
      <c r="I406" s="978"/>
    </row>
    <row r="407">
      <c r="A407" s="975"/>
      <c r="B407" s="983"/>
      <c r="C407" s="983"/>
      <c r="D407" s="983"/>
      <c r="E407" s="983"/>
      <c r="F407" s="983"/>
      <c r="G407" s="983"/>
      <c r="H407" s="983"/>
      <c r="I407" s="983"/>
    </row>
    <row r="408">
      <c r="A408" s="974"/>
      <c r="B408" s="978"/>
      <c r="C408" s="978"/>
      <c r="D408" s="978"/>
      <c r="E408" s="978"/>
      <c r="F408" s="978"/>
      <c r="G408" s="978"/>
      <c r="H408" s="978"/>
      <c r="I408" s="978"/>
    </row>
    <row r="409">
      <c r="A409" s="975"/>
      <c r="B409" s="983"/>
      <c r="C409" s="983"/>
      <c r="D409" s="983"/>
      <c r="E409" s="983"/>
      <c r="F409" s="983"/>
      <c r="G409" s="983"/>
      <c r="H409" s="983"/>
      <c r="I409" s="983"/>
    </row>
    <row r="410">
      <c r="A410" s="974"/>
      <c r="B410" s="978"/>
      <c r="C410" s="978"/>
      <c r="D410" s="978"/>
      <c r="E410" s="978"/>
      <c r="F410" s="978"/>
      <c r="G410" s="978"/>
      <c r="H410" s="978"/>
      <c r="I410" s="978"/>
    </row>
    <row r="411">
      <c r="A411" s="975"/>
      <c r="B411" s="983"/>
      <c r="C411" s="983"/>
      <c r="D411" s="983"/>
      <c r="E411" s="983"/>
      <c r="F411" s="983"/>
      <c r="G411" s="983"/>
      <c r="H411" s="983"/>
      <c r="I411" s="983"/>
    </row>
    <row r="412">
      <c r="A412" s="974"/>
      <c r="B412" s="978"/>
      <c r="C412" s="978"/>
      <c r="D412" s="978"/>
      <c r="E412" s="978"/>
      <c r="F412" s="978"/>
      <c r="G412" s="978"/>
      <c r="H412" s="978"/>
      <c r="I412" s="978"/>
    </row>
    <row r="413">
      <c r="A413" s="975"/>
      <c r="B413" s="983"/>
      <c r="C413" s="983"/>
      <c r="D413" s="983"/>
      <c r="E413" s="983"/>
      <c r="F413" s="983"/>
      <c r="G413" s="983"/>
      <c r="H413" s="983"/>
      <c r="I413" s="983"/>
    </row>
    <row r="414">
      <c r="A414" s="974"/>
      <c r="B414" s="978"/>
      <c r="C414" s="978"/>
      <c r="D414" s="978"/>
      <c r="E414" s="978"/>
      <c r="F414" s="978"/>
      <c r="G414" s="978"/>
      <c r="H414" s="978"/>
      <c r="I414" s="978"/>
    </row>
    <row r="415">
      <c r="A415" s="975"/>
      <c r="B415" s="983"/>
      <c r="C415" s="983"/>
      <c r="D415" s="983"/>
      <c r="E415" s="983"/>
      <c r="F415" s="983"/>
      <c r="G415" s="983"/>
      <c r="H415" s="983"/>
      <c r="I415" s="983"/>
    </row>
    <row r="416">
      <c r="A416" s="974"/>
      <c r="B416" s="978"/>
      <c r="C416" s="978"/>
      <c r="D416" s="978"/>
      <c r="E416" s="978"/>
      <c r="F416" s="978"/>
      <c r="G416" s="978"/>
      <c r="H416" s="978"/>
      <c r="I416" s="978"/>
    </row>
    <row r="417">
      <c r="A417" s="975"/>
      <c r="B417" s="983"/>
      <c r="C417" s="983"/>
      <c r="D417" s="983"/>
      <c r="E417" s="983"/>
      <c r="F417" s="983"/>
      <c r="G417" s="983"/>
      <c r="H417" s="983"/>
      <c r="I417" s="983"/>
    </row>
    <row r="418">
      <c r="A418" s="974"/>
      <c r="B418" s="978"/>
      <c r="C418" s="978"/>
      <c r="D418" s="978"/>
      <c r="E418" s="978"/>
      <c r="F418" s="978"/>
      <c r="G418" s="978"/>
      <c r="H418" s="978"/>
      <c r="I418" s="978"/>
    </row>
    <row r="419">
      <c r="A419" s="975"/>
      <c r="B419" s="983"/>
      <c r="C419" s="983"/>
      <c r="D419" s="983"/>
      <c r="E419" s="983"/>
      <c r="F419" s="983"/>
      <c r="G419" s="983"/>
      <c r="H419" s="983"/>
      <c r="I419" s="983"/>
    </row>
    <row r="420">
      <c r="A420" s="974"/>
      <c r="B420" s="978"/>
      <c r="C420" s="978"/>
      <c r="D420" s="978"/>
      <c r="E420" s="978"/>
      <c r="F420" s="978"/>
      <c r="G420" s="978"/>
      <c r="H420" s="978"/>
      <c r="I420" s="978"/>
    </row>
    <row r="421">
      <c r="A421" s="975"/>
      <c r="B421" s="983"/>
      <c r="C421" s="983"/>
      <c r="D421" s="983"/>
      <c r="E421" s="983"/>
      <c r="F421" s="983"/>
      <c r="G421" s="983"/>
      <c r="H421" s="983"/>
      <c r="I421" s="983"/>
    </row>
    <row r="422">
      <c r="A422" s="974"/>
      <c r="B422" s="978"/>
      <c r="C422" s="978"/>
      <c r="D422" s="978"/>
      <c r="E422" s="978"/>
      <c r="F422" s="978"/>
      <c r="G422" s="978"/>
      <c r="H422" s="978"/>
      <c r="I422" s="978"/>
    </row>
    <row r="423">
      <c r="A423" s="975"/>
      <c r="B423" s="983"/>
      <c r="C423" s="983"/>
      <c r="D423" s="983"/>
      <c r="E423" s="983"/>
      <c r="F423" s="983"/>
      <c r="G423" s="983"/>
      <c r="H423" s="983"/>
      <c r="I423" s="983"/>
    </row>
    <row r="424">
      <c r="A424" s="974"/>
      <c r="B424" s="978"/>
      <c r="C424" s="978"/>
      <c r="D424" s="978"/>
      <c r="E424" s="978"/>
      <c r="F424" s="978"/>
      <c r="G424" s="978"/>
      <c r="H424" s="978"/>
      <c r="I424" s="978"/>
    </row>
    <row r="425">
      <c r="A425" s="975"/>
      <c r="B425" s="983"/>
      <c r="C425" s="983"/>
      <c r="D425" s="983"/>
      <c r="E425" s="983"/>
      <c r="F425" s="983"/>
      <c r="G425" s="983"/>
      <c r="H425" s="983"/>
      <c r="I425" s="983"/>
    </row>
    <row r="426">
      <c r="A426" s="974"/>
      <c r="B426" s="978"/>
      <c r="C426" s="978"/>
      <c r="D426" s="978"/>
      <c r="E426" s="978"/>
      <c r="F426" s="978"/>
      <c r="G426" s="978"/>
      <c r="H426" s="978"/>
      <c r="I426" s="978"/>
    </row>
    <row r="427">
      <c r="A427" s="975"/>
      <c r="B427" s="983"/>
      <c r="C427" s="983"/>
      <c r="D427" s="983"/>
      <c r="E427" s="983"/>
      <c r="F427" s="983"/>
      <c r="G427" s="983"/>
      <c r="H427" s="983"/>
      <c r="I427" s="983"/>
    </row>
    <row r="428">
      <c r="A428" s="974"/>
      <c r="B428" s="978"/>
      <c r="C428" s="978"/>
      <c r="D428" s="978"/>
      <c r="E428" s="978"/>
      <c r="F428" s="978"/>
      <c r="G428" s="978"/>
      <c r="H428" s="978"/>
      <c r="I428" s="978"/>
    </row>
    <row r="429">
      <c r="A429" s="975"/>
      <c r="B429" s="983"/>
      <c r="C429" s="983"/>
      <c r="D429" s="983"/>
      <c r="E429" s="983"/>
      <c r="F429" s="983"/>
      <c r="G429" s="983"/>
      <c r="H429" s="983"/>
      <c r="I429" s="983"/>
    </row>
    <row r="430">
      <c r="A430" s="974"/>
      <c r="B430" s="978"/>
      <c r="C430" s="978"/>
      <c r="D430" s="978"/>
      <c r="E430" s="978"/>
      <c r="F430" s="978"/>
      <c r="G430" s="978"/>
      <c r="H430" s="978"/>
      <c r="I430" s="978"/>
    </row>
    <row r="431">
      <c r="A431" s="975"/>
      <c r="B431" s="983"/>
      <c r="C431" s="983"/>
      <c r="D431" s="983"/>
      <c r="E431" s="983"/>
      <c r="F431" s="983"/>
      <c r="G431" s="983"/>
      <c r="H431" s="983"/>
      <c r="I431" s="983"/>
    </row>
    <row r="432">
      <c r="A432" s="974"/>
      <c r="B432" s="978"/>
      <c r="C432" s="978"/>
      <c r="D432" s="978"/>
      <c r="E432" s="978"/>
      <c r="F432" s="978"/>
      <c r="G432" s="978"/>
      <c r="H432" s="978"/>
      <c r="I432" s="978"/>
    </row>
    <row r="433">
      <c r="A433" s="975"/>
      <c r="B433" s="983"/>
      <c r="C433" s="983"/>
      <c r="D433" s="983"/>
      <c r="E433" s="983"/>
      <c r="F433" s="983"/>
      <c r="G433" s="983"/>
      <c r="H433" s="983"/>
      <c r="I433" s="983"/>
    </row>
    <row r="434">
      <c r="A434" s="974"/>
      <c r="B434" s="978"/>
      <c r="C434" s="978"/>
      <c r="D434" s="978"/>
      <c r="E434" s="978"/>
      <c r="F434" s="978"/>
      <c r="G434" s="978"/>
      <c r="H434" s="978"/>
      <c r="I434" s="978"/>
    </row>
    <row r="435">
      <c r="A435" s="975"/>
      <c r="B435" s="983"/>
      <c r="C435" s="983"/>
      <c r="D435" s="983"/>
      <c r="E435" s="983"/>
      <c r="F435" s="983"/>
      <c r="G435" s="983"/>
      <c r="H435" s="983"/>
      <c r="I435" s="983"/>
    </row>
    <row r="436">
      <c r="A436" s="974"/>
      <c r="B436" s="978"/>
      <c r="C436" s="978"/>
      <c r="D436" s="978"/>
      <c r="E436" s="978"/>
      <c r="F436" s="978"/>
      <c r="G436" s="978"/>
      <c r="H436" s="978"/>
      <c r="I436" s="978"/>
    </row>
    <row r="437">
      <c r="A437" s="975"/>
      <c r="B437" s="983"/>
      <c r="C437" s="983"/>
      <c r="D437" s="983"/>
      <c r="E437" s="983"/>
      <c r="F437" s="983"/>
      <c r="G437" s="983"/>
      <c r="H437" s="983"/>
      <c r="I437" s="983"/>
    </row>
    <row r="438">
      <c r="A438" s="974"/>
      <c r="B438" s="978"/>
      <c r="C438" s="978"/>
      <c r="D438" s="978"/>
      <c r="E438" s="978"/>
      <c r="F438" s="978"/>
      <c r="G438" s="978"/>
      <c r="H438" s="978"/>
      <c r="I438" s="978"/>
    </row>
    <row r="439">
      <c r="A439" s="975"/>
      <c r="B439" s="983"/>
      <c r="C439" s="983"/>
      <c r="D439" s="983"/>
      <c r="E439" s="983"/>
      <c r="F439" s="983"/>
      <c r="G439" s="983"/>
      <c r="H439" s="983"/>
      <c r="I439" s="983"/>
    </row>
    <row r="440">
      <c r="A440" s="974"/>
      <c r="B440" s="978"/>
      <c r="C440" s="978"/>
      <c r="D440" s="978"/>
      <c r="E440" s="978"/>
      <c r="F440" s="978"/>
      <c r="G440" s="978"/>
      <c r="H440" s="978"/>
      <c r="I440" s="978"/>
    </row>
    <row r="441">
      <c r="A441" s="975"/>
      <c r="B441" s="983"/>
      <c r="C441" s="983"/>
      <c r="D441" s="983"/>
      <c r="E441" s="983"/>
      <c r="F441" s="983"/>
      <c r="G441" s="983"/>
      <c r="H441" s="983"/>
      <c r="I441" s="983"/>
    </row>
    <row r="442">
      <c r="A442" s="974"/>
      <c r="B442" s="978"/>
      <c r="C442" s="978"/>
      <c r="D442" s="978"/>
      <c r="E442" s="978"/>
      <c r="F442" s="978"/>
      <c r="G442" s="978"/>
      <c r="H442" s="978"/>
      <c r="I442" s="978"/>
    </row>
    <row r="443">
      <c r="A443" s="975"/>
      <c r="B443" s="983"/>
      <c r="C443" s="983"/>
      <c r="D443" s="983"/>
      <c r="E443" s="983"/>
      <c r="F443" s="983"/>
      <c r="G443" s="983"/>
      <c r="H443" s="983"/>
      <c r="I443" s="983"/>
    </row>
    <row r="444">
      <c r="A444" s="974"/>
      <c r="B444" s="978"/>
      <c r="C444" s="978"/>
      <c r="D444" s="978"/>
      <c r="E444" s="978"/>
      <c r="F444" s="978"/>
      <c r="G444" s="978"/>
      <c r="H444" s="978"/>
      <c r="I444" s="978"/>
    </row>
    <row r="445">
      <c r="A445" s="975"/>
      <c r="B445" s="983"/>
      <c r="C445" s="983"/>
      <c r="D445" s="983"/>
      <c r="E445" s="983"/>
      <c r="F445" s="983"/>
      <c r="G445" s="983"/>
      <c r="H445" s="983"/>
      <c r="I445" s="983"/>
    </row>
    <row r="446">
      <c r="A446" s="974"/>
      <c r="B446" s="978"/>
      <c r="C446" s="978"/>
      <c r="D446" s="978"/>
      <c r="E446" s="978"/>
      <c r="F446" s="978"/>
      <c r="G446" s="978"/>
      <c r="H446" s="978"/>
      <c r="I446" s="978"/>
    </row>
    <row r="447">
      <c r="A447" s="975"/>
      <c r="B447" s="983"/>
      <c r="C447" s="983"/>
      <c r="D447" s="983"/>
      <c r="E447" s="983"/>
      <c r="F447" s="983"/>
      <c r="G447" s="983"/>
      <c r="H447" s="983"/>
      <c r="I447" s="983"/>
    </row>
    <row r="448">
      <c r="A448" s="974"/>
      <c r="B448" s="978"/>
      <c r="C448" s="978"/>
      <c r="D448" s="978"/>
      <c r="E448" s="978"/>
      <c r="F448" s="978"/>
      <c r="G448" s="978"/>
      <c r="H448" s="978"/>
      <c r="I448" s="978"/>
    </row>
    <row r="449">
      <c r="A449" s="975"/>
      <c r="B449" s="983"/>
      <c r="C449" s="983"/>
      <c r="D449" s="983"/>
      <c r="E449" s="983"/>
      <c r="F449" s="983"/>
      <c r="G449" s="983"/>
      <c r="H449" s="983"/>
      <c r="I449" s="983"/>
    </row>
    <row r="450">
      <c r="A450" s="974"/>
      <c r="B450" s="978"/>
      <c r="C450" s="978"/>
      <c r="D450" s="978"/>
      <c r="E450" s="978"/>
      <c r="F450" s="978"/>
      <c r="G450" s="978"/>
      <c r="H450" s="978"/>
      <c r="I450" s="978"/>
    </row>
    <row r="451">
      <c r="A451" s="975"/>
      <c r="B451" s="983"/>
      <c r="C451" s="983"/>
      <c r="D451" s="983"/>
      <c r="E451" s="983"/>
      <c r="F451" s="983"/>
      <c r="G451" s="983"/>
      <c r="H451" s="983"/>
      <c r="I451" s="983"/>
    </row>
    <row r="452">
      <c r="A452" s="974"/>
      <c r="B452" s="978"/>
      <c r="C452" s="978"/>
      <c r="D452" s="978"/>
      <c r="E452" s="978"/>
      <c r="F452" s="978"/>
      <c r="G452" s="978"/>
      <c r="H452" s="978"/>
      <c r="I452" s="978"/>
    </row>
    <row r="453">
      <c r="A453" s="975"/>
      <c r="B453" s="983"/>
      <c r="C453" s="983"/>
      <c r="D453" s="983"/>
      <c r="E453" s="983"/>
      <c r="F453" s="983"/>
      <c r="G453" s="983"/>
      <c r="H453" s="983"/>
      <c r="I453" s="983"/>
    </row>
    <row r="454">
      <c r="A454" s="974"/>
      <c r="B454" s="978"/>
      <c r="C454" s="978"/>
      <c r="D454" s="978"/>
      <c r="E454" s="978"/>
      <c r="F454" s="978"/>
      <c r="G454" s="978"/>
      <c r="H454" s="978"/>
      <c r="I454" s="978"/>
    </row>
    <row r="455">
      <c r="A455" s="975"/>
      <c r="B455" s="983"/>
      <c r="C455" s="983"/>
      <c r="D455" s="983"/>
      <c r="E455" s="983"/>
      <c r="F455" s="983"/>
      <c r="G455" s="983"/>
      <c r="H455" s="983"/>
      <c r="I455" s="983"/>
    </row>
    <row r="456">
      <c r="A456" s="974"/>
      <c r="B456" s="978"/>
      <c r="C456" s="978"/>
      <c r="D456" s="978"/>
      <c r="E456" s="978"/>
      <c r="F456" s="978"/>
      <c r="G456" s="978"/>
      <c r="H456" s="978"/>
      <c r="I456" s="978"/>
    </row>
    <row r="457">
      <c r="A457" s="975"/>
      <c r="B457" s="983"/>
      <c r="C457" s="983"/>
      <c r="D457" s="983"/>
      <c r="E457" s="983"/>
      <c r="F457" s="983"/>
      <c r="G457" s="983"/>
      <c r="H457" s="983"/>
      <c r="I457" s="983"/>
    </row>
    <row r="458">
      <c r="A458" s="974"/>
      <c r="B458" s="978"/>
      <c r="C458" s="978"/>
      <c r="D458" s="978"/>
      <c r="E458" s="978"/>
      <c r="F458" s="978"/>
      <c r="G458" s="978"/>
      <c r="H458" s="978"/>
      <c r="I458" s="978"/>
    </row>
    <row r="459">
      <c r="A459" s="975"/>
      <c r="B459" s="983"/>
      <c r="C459" s="983"/>
      <c r="D459" s="983"/>
      <c r="E459" s="983"/>
      <c r="F459" s="983"/>
      <c r="G459" s="983"/>
      <c r="H459" s="983"/>
      <c r="I459" s="983"/>
    </row>
    <row r="460">
      <c r="A460" s="974"/>
      <c r="B460" s="978"/>
      <c r="C460" s="978"/>
      <c r="D460" s="978"/>
      <c r="E460" s="978"/>
      <c r="F460" s="978"/>
      <c r="G460" s="978"/>
      <c r="H460" s="978"/>
      <c r="I460" s="978"/>
    </row>
    <row r="461">
      <c r="A461" s="975"/>
      <c r="B461" s="983"/>
      <c r="C461" s="983"/>
      <c r="D461" s="983"/>
      <c r="E461" s="983"/>
      <c r="F461" s="983"/>
      <c r="G461" s="983"/>
      <c r="H461" s="983"/>
      <c r="I461" s="983"/>
    </row>
    <row r="462">
      <c r="A462" s="974"/>
      <c r="B462" s="978"/>
      <c r="C462" s="978"/>
      <c r="D462" s="978"/>
      <c r="E462" s="978"/>
      <c r="F462" s="978"/>
      <c r="G462" s="978"/>
      <c r="H462" s="978"/>
      <c r="I462" s="978"/>
    </row>
    <row r="463">
      <c r="A463" s="975"/>
      <c r="B463" s="983"/>
      <c r="C463" s="983"/>
      <c r="D463" s="983"/>
      <c r="E463" s="983"/>
      <c r="F463" s="983"/>
      <c r="G463" s="983"/>
      <c r="H463" s="983"/>
      <c r="I463" s="983"/>
    </row>
    <row r="464">
      <c r="A464" s="974"/>
      <c r="B464" s="978"/>
      <c r="C464" s="978"/>
      <c r="D464" s="978"/>
      <c r="E464" s="978"/>
      <c r="F464" s="978"/>
      <c r="G464" s="978"/>
      <c r="H464" s="978"/>
      <c r="I464" s="978"/>
    </row>
    <row r="465">
      <c r="A465" s="975"/>
      <c r="B465" s="983"/>
      <c r="C465" s="983"/>
      <c r="D465" s="983"/>
      <c r="E465" s="983"/>
      <c r="F465" s="983"/>
      <c r="G465" s="983"/>
      <c r="H465" s="983"/>
      <c r="I465" s="983"/>
    </row>
    <row r="466">
      <c r="A466" s="974"/>
      <c r="B466" s="978"/>
      <c r="C466" s="978"/>
      <c r="D466" s="978"/>
      <c r="E466" s="978"/>
      <c r="F466" s="978"/>
      <c r="G466" s="978"/>
      <c r="H466" s="978"/>
      <c r="I466" s="978"/>
    </row>
    <row r="467">
      <c r="A467" s="975"/>
      <c r="B467" s="983"/>
      <c r="C467" s="983"/>
      <c r="D467" s="983"/>
      <c r="E467" s="983"/>
      <c r="F467" s="983"/>
      <c r="G467" s="983"/>
      <c r="H467" s="983"/>
      <c r="I467" s="983"/>
    </row>
    <row r="468">
      <c r="A468" s="974"/>
      <c r="B468" s="978"/>
      <c r="C468" s="978"/>
      <c r="D468" s="978"/>
      <c r="E468" s="978"/>
      <c r="F468" s="978"/>
      <c r="G468" s="978"/>
      <c r="H468" s="978"/>
      <c r="I468" s="978"/>
    </row>
    <row r="469">
      <c r="A469" s="975"/>
      <c r="B469" s="983"/>
      <c r="C469" s="983"/>
      <c r="D469" s="983"/>
      <c r="E469" s="983"/>
      <c r="F469" s="983"/>
      <c r="G469" s="983"/>
      <c r="H469" s="983"/>
      <c r="I469" s="983"/>
    </row>
    <row r="470">
      <c r="A470" s="974"/>
      <c r="B470" s="978"/>
      <c r="C470" s="978"/>
      <c r="D470" s="978"/>
      <c r="E470" s="978"/>
      <c r="F470" s="978"/>
      <c r="G470" s="978"/>
      <c r="H470" s="978"/>
      <c r="I470" s="978"/>
    </row>
    <row r="471">
      <c r="A471" s="975"/>
      <c r="B471" s="983"/>
      <c r="C471" s="983"/>
      <c r="D471" s="983"/>
      <c r="E471" s="983"/>
      <c r="F471" s="983"/>
      <c r="G471" s="983"/>
      <c r="H471" s="983"/>
      <c r="I471" s="983"/>
    </row>
    <row r="472">
      <c r="A472" s="974"/>
      <c r="B472" s="978"/>
      <c r="C472" s="978"/>
      <c r="D472" s="978"/>
      <c r="E472" s="978"/>
      <c r="F472" s="978"/>
      <c r="G472" s="978"/>
      <c r="H472" s="978"/>
      <c r="I472" s="978"/>
    </row>
    <row r="473">
      <c r="A473" s="975"/>
      <c r="B473" s="983"/>
      <c r="C473" s="983"/>
      <c r="D473" s="983"/>
      <c r="E473" s="983"/>
      <c r="F473" s="983"/>
      <c r="G473" s="983"/>
      <c r="H473" s="983"/>
      <c r="I473" s="983"/>
    </row>
    <row r="474">
      <c r="A474" s="974"/>
      <c r="B474" s="978"/>
      <c r="C474" s="978"/>
      <c r="D474" s="978"/>
      <c r="E474" s="978"/>
      <c r="F474" s="978"/>
      <c r="G474" s="978"/>
      <c r="H474" s="978"/>
      <c r="I474" s="978"/>
    </row>
    <row r="475">
      <c r="A475" s="975"/>
      <c r="B475" s="983"/>
      <c r="C475" s="983"/>
      <c r="D475" s="983"/>
      <c r="E475" s="983"/>
      <c r="F475" s="983"/>
      <c r="G475" s="983"/>
      <c r="H475" s="983"/>
      <c r="I475" s="983"/>
    </row>
    <row r="476">
      <c r="A476" s="974"/>
      <c r="B476" s="978"/>
      <c r="C476" s="978"/>
      <c r="D476" s="978"/>
      <c r="E476" s="978"/>
      <c r="F476" s="978"/>
      <c r="G476" s="978"/>
      <c r="H476" s="978"/>
      <c r="I476" s="978"/>
    </row>
    <row r="477">
      <c r="A477" s="975"/>
      <c r="B477" s="983"/>
      <c r="C477" s="983"/>
      <c r="D477" s="983"/>
      <c r="E477" s="983"/>
      <c r="F477" s="983"/>
      <c r="G477" s="983"/>
      <c r="H477" s="983"/>
      <c r="I477" s="983"/>
    </row>
    <row r="478">
      <c r="A478" s="974"/>
      <c r="B478" s="978"/>
      <c r="C478" s="978"/>
      <c r="D478" s="978"/>
      <c r="E478" s="978"/>
      <c r="F478" s="978"/>
      <c r="G478" s="978"/>
      <c r="H478" s="978"/>
      <c r="I478" s="978"/>
    </row>
    <row r="479">
      <c r="A479" s="975"/>
      <c r="B479" s="983"/>
      <c r="C479" s="983"/>
      <c r="D479" s="983"/>
      <c r="E479" s="983"/>
      <c r="F479" s="983"/>
      <c r="G479" s="983"/>
      <c r="H479" s="983"/>
      <c r="I479" s="983"/>
    </row>
    <row r="480">
      <c r="A480" s="974"/>
      <c r="B480" s="978"/>
      <c r="C480" s="978"/>
      <c r="D480" s="978"/>
      <c r="E480" s="978"/>
      <c r="F480" s="978"/>
      <c r="G480" s="978"/>
      <c r="H480" s="978"/>
      <c r="I480" s="978"/>
    </row>
    <row r="481">
      <c r="A481" s="975"/>
      <c r="B481" s="983"/>
      <c r="C481" s="983"/>
      <c r="D481" s="983"/>
      <c r="E481" s="983"/>
      <c r="F481" s="983"/>
      <c r="G481" s="983"/>
      <c r="H481" s="983"/>
      <c r="I481" s="983"/>
    </row>
    <row r="482">
      <c r="A482" s="974"/>
      <c r="B482" s="978"/>
      <c r="C482" s="978"/>
      <c r="D482" s="978"/>
      <c r="E482" s="978"/>
      <c r="F482" s="978"/>
      <c r="G482" s="978"/>
      <c r="H482" s="978"/>
      <c r="I482" s="978"/>
    </row>
    <row r="483">
      <c r="A483" s="975"/>
      <c r="B483" s="983"/>
      <c r="C483" s="983"/>
      <c r="D483" s="983"/>
      <c r="E483" s="983"/>
      <c r="F483" s="983"/>
      <c r="G483" s="983"/>
      <c r="H483" s="983"/>
      <c r="I483" s="983"/>
    </row>
    <row r="484">
      <c r="A484" s="974"/>
      <c r="B484" s="978"/>
      <c r="C484" s="978"/>
      <c r="D484" s="978"/>
      <c r="E484" s="978"/>
      <c r="F484" s="978"/>
      <c r="G484" s="978"/>
      <c r="H484" s="978"/>
      <c r="I484" s="978"/>
    </row>
    <row r="485">
      <c r="A485" s="975"/>
      <c r="B485" s="983"/>
      <c r="C485" s="983"/>
      <c r="D485" s="983"/>
      <c r="E485" s="983"/>
      <c r="F485" s="983"/>
      <c r="G485" s="983"/>
      <c r="H485" s="983"/>
      <c r="I485" s="983"/>
    </row>
    <row r="486">
      <c r="A486" s="974"/>
      <c r="B486" s="978"/>
      <c r="C486" s="978"/>
      <c r="D486" s="978"/>
      <c r="E486" s="978"/>
      <c r="F486" s="978"/>
      <c r="G486" s="978"/>
      <c r="H486" s="978"/>
      <c r="I486" s="978"/>
    </row>
    <row r="487">
      <c r="A487" s="975"/>
      <c r="B487" s="983"/>
      <c r="C487" s="983"/>
      <c r="D487" s="983"/>
      <c r="E487" s="983"/>
      <c r="F487" s="983"/>
      <c r="G487" s="983"/>
      <c r="H487" s="983"/>
      <c r="I487" s="983"/>
    </row>
    <row r="488">
      <c r="A488" s="974"/>
      <c r="B488" s="978"/>
      <c r="C488" s="978"/>
      <c r="D488" s="978"/>
      <c r="E488" s="978"/>
      <c r="F488" s="978"/>
      <c r="G488" s="978"/>
      <c r="H488" s="978"/>
      <c r="I488" s="978"/>
    </row>
    <row r="489">
      <c r="A489" s="975"/>
      <c r="B489" s="983"/>
      <c r="C489" s="983"/>
      <c r="D489" s="983"/>
      <c r="E489" s="983"/>
      <c r="F489" s="983"/>
      <c r="G489" s="983"/>
      <c r="H489" s="983"/>
      <c r="I489" s="983"/>
    </row>
    <row r="490">
      <c r="A490" s="974"/>
      <c r="B490" s="978"/>
      <c r="C490" s="978"/>
      <c r="D490" s="978"/>
      <c r="E490" s="978"/>
      <c r="F490" s="978"/>
      <c r="G490" s="978"/>
      <c r="H490" s="978"/>
      <c r="I490" s="978"/>
    </row>
    <row r="491">
      <c r="A491" s="975"/>
      <c r="B491" s="983"/>
      <c r="C491" s="983"/>
      <c r="D491" s="983"/>
      <c r="E491" s="983"/>
      <c r="F491" s="983"/>
      <c r="G491" s="983"/>
      <c r="H491" s="983"/>
      <c r="I491" s="983"/>
    </row>
    <row r="492">
      <c r="A492" s="974"/>
      <c r="B492" s="978"/>
      <c r="C492" s="978"/>
      <c r="D492" s="978"/>
      <c r="E492" s="978"/>
      <c r="F492" s="978"/>
      <c r="G492" s="978"/>
      <c r="H492" s="978"/>
      <c r="I492" s="978"/>
    </row>
    <row r="493">
      <c r="A493" s="975"/>
      <c r="B493" s="983"/>
      <c r="C493" s="983"/>
      <c r="D493" s="983"/>
      <c r="E493" s="983"/>
      <c r="F493" s="983"/>
      <c r="G493" s="983"/>
      <c r="H493" s="983"/>
      <c r="I493" s="983"/>
    </row>
    <row r="494">
      <c r="A494" s="974"/>
      <c r="B494" s="978"/>
      <c r="C494" s="978"/>
      <c r="D494" s="978"/>
      <c r="E494" s="978"/>
      <c r="F494" s="978"/>
      <c r="G494" s="978"/>
      <c r="H494" s="978"/>
      <c r="I494" s="978"/>
    </row>
    <row r="495">
      <c r="A495" s="975"/>
      <c r="B495" s="983"/>
      <c r="C495" s="983"/>
      <c r="D495" s="983"/>
      <c r="E495" s="983"/>
      <c r="F495" s="983"/>
      <c r="G495" s="983"/>
      <c r="H495" s="983"/>
      <c r="I495" s="983"/>
    </row>
    <row r="496">
      <c r="A496" s="974"/>
      <c r="B496" s="978"/>
      <c r="C496" s="978"/>
      <c r="D496" s="978"/>
      <c r="E496" s="978"/>
      <c r="F496" s="978"/>
      <c r="G496" s="978"/>
      <c r="H496" s="978"/>
      <c r="I496" s="978"/>
    </row>
    <row r="497">
      <c r="A497" s="975"/>
      <c r="B497" s="983"/>
      <c r="C497" s="983"/>
      <c r="D497" s="983"/>
      <c r="E497" s="983"/>
      <c r="F497" s="983"/>
      <c r="G497" s="983"/>
      <c r="H497" s="983"/>
      <c r="I497" s="983"/>
    </row>
    <row r="498">
      <c r="A498" s="974"/>
      <c r="B498" s="978"/>
      <c r="C498" s="978"/>
      <c r="D498" s="978"/>
      <c r="E498" s="978"/>
      <c r="F498" s="978"/>
      <c r="G498" s="978"/>
      <c r="H498" s="978"/>
      <c r="I498" s="978"/>
    </row>
    <row r="499">
      <c r="A499" s="975"/>
      <c r="B499" s="983"/>
      <c r="C499" s="983"/>
      <c r="D499" s="983"/>
      <c r="E499" s="983"/>
      <c r="F499" s="983"/>
      <c r="G499" s="983"/>
      <c r="H499" s="983"/>
      <c r="I499" s="983"/>
    </row>
    <row r="500">
      <c r="A500" s="974"/>
      <c r="B500" s="978"/>
      <c r="C500" s="978"/>
      <c r="D500" s="978"/>
      <c r="E500" s="978"/>
      <c r="F500" s="978"/>
      <c r="G500" s="978"/>
      <c r="H500" s="978"/>
      <c r="I500" s="978"/>
    </row>
    <row r="501">
      <c r="A501" s="975"/>
      <c r="B501" s="983"/>
      <c r="C501" s="983"/>
      <c r="D501" s="983"/>
      <c r="E501" s="983"/>
      <c r="F501" s="983"/>
      <c r="G501" s="983"/>
      <c r="H501" s="983"/>
      <c r="I501" s="983"/>
    </row>
    <row r="502">
      <c r="A502" s="974"/>
      <c r="B502" s="978"/>
      <c r="C502" s="978"/>
      <c r="D502" s="978"/>
      <c r="E502" s="978"/>
      <c r="F502" s="978"/>
      <c r="G502" s="978"/>
      <c r="H502" s="978"/>
      <c r="I502" s="978"/>
    </row>
    <row r="503">
      <c r="A503" s="975"/>
      <c r="B503" s="983"/>
      <c r="C503" s="983"/>
      <c r="D503" s="983"/>
      <c r="E503" s="983"/>
      <c r="F503" s="983"/>
      <c r="G503" s="983"/>
      <c r="H503" s="983"/>
      <c r="I503" s="983"/>
    </row>
    <row r="504">
      <c r="A504" s="974"/>
      <c r="B504" s="978"/>
      <c r="C504" s="978"/>
      <c r="D504" s="978"/>
      <c r="E504" s="978"/>
      <c r="F504" s="978"/>
      <c r="G504" s="978"/>
      <c r="H504" s="978"/>
      <c r="I504" s="978"/>
    </row>
    <row r="505">
      <c r="A505" s="975"/>
      <c r="B505" s="983"/>
      <c r="C505" s="983"/>
      <c r="D505" s="983"/>
      <c r="E505" s="983"/>
      <c r="F505" s="983"/>
      <c r="G505" s="983"/>
      <c r="H505" s="983"/>
      <c r="I505" s="983"/>
    </row>
    <row r="506">
      <c r="A506" s="974"/>
      <c r="B506" s="978"/>
      <c r="C506" s="978"/>
      <c r="D506" s="978"/>
      <c r="E506" s="978"/>
      <c r="F506" s="978"/>
      <c r="G506" s="978"/>
      <c r="H506" s="978"/>
      <c r="I506" s="978"/>
    </row>
    <row r="507">
      <c r="A507" s="975"/>
      <c r="B507" s="983"/>
      <c r="C507" s="983"/>
      <c r="D507" s="983"/>
      <c r="E507" s="983"/>
      <c r="F507" s="983"/>
      <c r="G507" s="983"/>
      <c r="H507" s="983"/>
      <c r="I507" s="983"/>
    </row>
    <row r="508">
      <c r="A508" s="974"/>
      <c r="B508" s="978"/>
      <c r="C508" s="978"/>
      <c r="D508" s="978"/>
      <c r="E508" s="978"/>
      <c r="F508" s="978"/>
      <c r="G508" s="978"/>
      <c r="H508" s="978"/>
      <c r="I508" s="978"/>
    </row>
    <row r="509">
      <c r="A509" s="975"/>
      <c r="B509" s="983"/>
      <c r="C509" s="983"/>
      <c r="D509" s="983"/>
      <c r="E509" s="983"/>
      <c r="F509" s="983"/>
      <c r="G509" s="983"/>
      <c r="H509" s="983"/>
      <c r="I509" s="983"/>
    </row>
    <row r="510">
      <c r="A510" s="974"/>
      <c r="B510" s="978"/>
      <c r="C510" s="978"/>
      <c r="D510" s="978"/>
      <c r="E510" s="978"/>
      <c r="F510" s="978"/>
      <c r="G510" s="978"/>
      <c r="H510" s="978"/>
      <c r="I510" s="978"/>
    </row>
    <row r="511">
      <c r="A511" s="975"/>
      <c r="B511" s="983"/>
      <c r="C511" s="983"/>
      <c r="D511" s="983"/>
      <c r="E511" s="983"/>
      <c r="F511" s="983"/>
      <c r="G511" s="983"/>
      <c r="H511" s="983"/>
      <c r="I511" s="983"/>
    </row>
    <row r="512">
      <c r="A512" s="974"/>
      <c r="B512" s="978"/>
      <c r="C512" s="978"/>
      <c r="D512" s="978"/>
      <c r="E512" s="978"/>
      <c r="F512" s="978"/>
      <c r="G512" s="978"/>
      <c r="H512" s="978"/>
      <c r="I512" s="978"/>
    </row>
    <row r="513">
      <c r="A513" s="975"/>
      <c r="B513" s="983"/>
      <c r="C513" s="983"/>
      <c r="D513" s="983"/>
      <c r="E513" s="983"/>
      <c r="F513" s="983"/>
      <c r="G513" s="983"/>
      <c r="H513" s="983"/>
      <c r="I513" s="983"/>
    </row>
    <row r="514">
      <c r="A514" s="974"/>
      <c r="B514" s="978"/>
      <c r="C514" s="978"/>
      <c r="D514" s="978"/>
      <c r="E514" s="978"/>
      <c r="F514" s="978"/>
      <c r="G514" s="978"/>
      <c r="H514" s="978"/>
      <c r="I514" s="978"/>
    </row>
    <row r="515">
      <c r="A515" s="975"/>
      <c r="B515" s="983"/>
      <c r="C515" s="983"/>
      <c r="D515" s="983"/>
      <c r="E515" s="983"/>
      <c r="F515" s="983"/>
      <c r="G515" s="983"/>
      <c r="H515" s="983"/>
      <c r="I515" s="983"/>
    </row>
    <row r="516">
      <c r="A516" s="974"/>
      <c r="B516" s="978"/>
      <c r="C516" s="978"/>
      <c r="D516" s="978"/>
      <c r="E516" s="978"/>
      <c r="F516" s="978"/>
      <c r="G516" s="978"/>
      <c r="H516" s="978"/>
      <c r="I516" s="978"/>
    </row>
    <row r="517">
      <c r="A517" s="975"/>
      <c r="B517" s="983"/>
      <c r="C517" s="983"/>
      <c r="D517" s="983"/>
      <c r="E517" s="983"/>
      <c r="F517" s="983"/>
      <c r="G517" s="983"/>
      <c r="H517" s="983"/>
      <c r="I517" s="983"/>
    </row>
    <row r="518">
      <c r="A518" s="974"/>
      <c r="B518" s="978"/>
      <c r="C518" s="978"/>
      <c r="D518" s="978"/>
      <c r="E518" s="978"/>
      <c r="F518" s="978"/>
      <c r="G518" s="978"/>
      <c r="H518" s="978"/>
      <c r="I518" s="978"/>
    </row>
    <row r="519">
      <c r="A519" s="975"/>
      <c r="B519" s="983"/>
      <c r="C519" s="983"/>
      <c r="D519" s="983"/>
      <c r="E519" s="983"/>
      <c r="F519" s="983"/>
      <c r="G519" s="983"/>
      <c r="H519" s="983"/>
      <c r="I519" s="983"/>
    </row>
    <row r="520">
      <c r="A520" s="974"/>
      <c r="B520" s="978"/>
      <c r="C520" s="978"/>
      <c r="D520" s="978"/>
      <c r="E520" s="978"/>
      <c r="F520" s="978"/>
      <c r="G520" s="978"/>
      <c r="H520" s="978"/>
      <c r="I520" s="978"/>
    </row>
    <row r="521">
      <c r="A521" s="975"/>
      <c r="B521" s="983"/>
      <c r="C521" s="983"/>
      <c r="D521" s="983"/>
      <c r="E521" s="983"/>
      <c r="F521" s="983"/>
      <c r="G521" s="983"/>
      <c r="H521" s="983"/>
      <c r="I521" s="983"/>
    </row>
    <row r="522">
      <c r="A522" s="974"/>
      <c r="B522" s="978"/>
      <c r="C522" s="978"/>
      <c r="D522" s="978"/>
      <c r="E522" s="978"/>
      <c r="F522" s="978"/>
      <c r="G522" s="978"/>
      <c r="H522" s="978"/>
      <c r="I522" s="978"/>
    </row>
    <row r="523">
      <c r="A523" s="975"/>
      <c r="B523" s="983"/>
      <c r="C523" s="983"/>
      <c r="D523" s="983"/>
      <c r="E523" s="983"/>
      <c r="F523" s="983"/>
      <c r="G523" s="983"/>
      <c r="H523" s="983"/>
      <c r="I523" s="983"/>
    </row>
    <row r="524">
      <c r="A524" s="974"/>
      <c r="B524" s="978"/>
      <c r="C524" s="978"/>
      <c r="D524" s="978"/>
      <c r="E524" s="978"/>
      <c r="F524" s="978"/>
      <c r="G524" s="978"/>
      <c r="H524" s="978"/>
      <c r="I524" s="978"/>
    </row>
    <row r="525">
      <c r="A525" s="975"/>
      <c r="B525" s="983"/>
      <c r="C525" s="983"/>
      <c r="D525" s="983"/>
      <c r="E525" s="983"/>
      <c r="F525" s="983"/>
      <c r="G525" s="983"/>
      <c r="H525" s="983"/>
      <c r="I525" s="983"/>
    </row>
    <row r="526">
      <c r="A526" s="974"/>
      <c r="B526" s="978"/>
      <c r="C526" s="978"/>
      <c r="D526" s="978"/>
      <c r="E526" s="978"/>
      <c r="F526" s="978"/>
      <c r="G526" s="978"/>
      <c r="H526" s="978"/>
      <c r="I526" s="978"/>
    </row>
    <row r="527">
      <c r="A527" s="975"/>
      <c r="B527" s="983"/>
      <c r="C527" s="983"/>
      <c r="D527" s="983"/>
      <c r="E527" s="983"/>
      <c r="F527" s="983"/>
      <c r="G527" s="983"/>
      <c r="H527" s="983"/>
      <c r="I527" s="983"/>
    </row>
    <row r="528">
      <c r="A528" s="974"/>
      <c r="B528" s="978"/>
      <c r="C528" s="978"/>
      <c r="D528" s="978"/>
      <c r="E528" s="978"/>
      <c r="F528" s="978"/>
      <c r="G528" s="978"/>
      <c r="H528" s="978"/>
      <c r="I528" s="978"/>
    </row>
    <row r="529">
      <c r="A529" s="975"/>
      <c r="B529" s="983"/>
      <c r="C529" s="983"/>
      <c r="D529" s="983"/>
      <c r="E529" s="983"/>
      <c r="F529" s="983"/>
      <c r="G529" s="983"/>
      <c r="H529" s="983"/>
      <c r="I529" s="983"/>
    </row>
    <row r="530">
      <c r="A530" s="974"/>
      <c r="B530" s="978"/>
      <c r="C530" s="978"/>
      <c r="D530" s="978"/>
      <c r="E530" s="978"/>
      <c r="F530" s="978"/>
      <c r="G530" s="978"/>
      <c r="H530" s="978"/>
      <c r="I530" s="978"/>
    </row>
    <row r="531">
      <c r="A531" s="975"/>
      <c r="B531" s="983"/>
      <c r="C531" s="983"/>
      <c r="D531" s="983"/>
      <c r="E531" s="983"/>
      <c r="F531" s="983"/>
      <c r="G531" s="983"/>
      <c r="H531" s="983"/>
      <c r="I531" s="983"/>
    </row>
    <row r="532">
      <c r="A532" s="974"/>
      <c r="B532" s="978"/>
      <c r="C532" s="978"/>
      <c r="D532" s="978"/>
      <c r="E532" s="978"/>
      <c r="F532" s="978"/>
      <c r="G532" s="978"/>
      <c r="H532" s="978"/>
      <c r="I532" s="978"/>
    </row>
    <row r="533">
      <c r="A533" s="975"/>
      <c r="B533" s="983"/>
      <c r="C533" s="983"/>
      <c r="D533" s="983"/>
      <c r="E533" s="983"/>
      <c r="F533" s="983"/>
      <c r="G533" s="983"/>
      <c r="H533" s="983"/>
      <c r="I533" s="983"/>
    </row>
    <row r="534">
      <c r="A534" s="974"/>
      <c r="B534" s="978"/>
      <c r="C534" s="978"/>
      <c r="D534" s="978"/>
      <c r="E534" s="978"/>
      <c r="F534" s="978"/>
      <c r="G534" s="978"/>
      <c r="H534" s="978"/>
      <c r="I534" s="978"/>
    </row>
    <row r="535">
      <c r="A535" s="975"/>
      <c r="B535" s="983"/>
      <c r="C535" s="983"/>
      <c r="D535" s="983"/>
      <c r="E535" s="983"/>
      <c r="F535" s="983"/>
      <c r="G535" s="983"/>
      <c r="H535" s="983"/>
      <c r="I535" s="983"/>
    </row>
    <row r="536">
      <c r="A536" s="974"/>
      <c r="B536" s="978"/>
      <c r="C536" s="978"/>
      <c r="D536" s="978"/>
      <c r="E536" s="978"/>
      <c r="F536" s="978"/>
      <c r="G536" s="978"/>
      <c r="H536" s="978"/>
      <c r="I536" s="978"/>
    </row>
    <row r="537">
      <c r="A537" s="975"/>
      <c r="B537" s="983"/>
      <c r="C537" s="983"/>
      <c r="D537" s="983"/>
      <c r="E537" s="983"/>
      <c r="F537" s="983"/>
      <c r="G537" s="983"/>
      <c r="H537" s="983"/>
      <c r="I537" s="983"/>
    </row>
    <row r="538">
      <c r="A538" s="974"/>
      <c r="B538" s="978"/>
      <c r="C538" s="978"/>
      <c r="D538" s="978"/>
      <c r="E538" s="978"/>
      <c r="F538" s="978"/>
      <c r="G538" s="978"/>
      <c r="H538" s="978"/>
      <c r="I538" s="978"/>
    </row>
    <row r="539">
      <c r="A539" s="975"/>
      <c r="B539" s="983"/>
      <c r="C539" s="983"/>
      <c r="D539" s="983"/>
      <c r="E539" s="983"/>
      <c r="F539" s="983"/>
      <c r="G539" s="983"/>
      <c r="H539" s="983"/>
      <c r="I539" s="983"/>
    </row>
    <row r="540">
      <c r="A540" s="974"/>
      <c r="B540" s="978"/>
      <c r="C540" s="978"/>
      <c r="D540" s="978"/>
      <c r="E540" s="978"/>
      <c r="F540" s="978"/>
      <c r="G540" s="978"/>
      <c r="H540" s="978"/>
      <c r="I540" s="978"/>
    </row>
    <row r="541">
      <c r="A541" s="975"/>
      <c r="B541" s="983"/>
      <c r="C541" s="983"/>
      <c r="D541" s="983"/>
      <c r="E541" s="983"/>
      <c r="F541" s="983"/>
      <c r="G541" s="983"/>
      <c r="H541" s="983"/>
      <c r="I541" s="983"/>
    </row>
    <row r="542">
      <c r="A542" s="974"/>
      <c r="B542" s="978"/>
      <c r="C542" s="978"/>
      <c r="D542" s="978"/>
      <c r="E542" s="978"/>
      <c r="F542" s="978"/>
      <c r="G542" s="978"/>
      <c r="H542" s="978"/>
      <c r="I542" s="978"/>
    </row>
    <row r="543">
      <c r="A543" s="975"/>
      <c r="B543" s="983"/>
      <c r="C543" s="983"/>
      <c r="D543" s="983"/>
      <c r="E543" s="983"/>
      <c r="F543" s="983"/>
      <c r="G543" s="983"/>
      <c r="H543" s="983"/>
      <c r="I543" s="983"/>
    </row>
    <row r="544">
      <c r="A544" s="974"/>
      <c r="B544" s="978"/>
      <c r="C544" s="978"/>
      <c r="D544" s="978"/>
      <c r="E544" s="978"/>
      <c r="F544" s="978"/>
      <c r="G544" s="978"/>
      <c r="H544" s="978"/>
      <c r="I544" s="978"/>
    </row>
    <row r="545">
      <c r="A545" s="975"/>
      <c r="B545" s="983"/>
      <c r="C545" s="983"/>
      <c r="D545" s="983"/>
      <c r="E545" s="983"/>
      <c r="F545" s="983"/>
      <c r="G545" s="983"/>
      <c r="H545" s="983"/>
      <c r="I545" s="983"/>
    </row>
    <row r="546">
      <c r="A546" s="974"/>
      <c r="B546" s="978"/>
      <c r="C546" s="978"/>
      <c r="D546" s="978"/>
      <c r="E546" s="978"/>
      <c r="F546" s="978"/>
      <c r="G546" s="978"/>
      <c r="H546" s="978"/>
      <c r="I546" s="978"/>
    </row>
    <row r="547">
      <c r="A547" s="975"/>
      <c r="B547" s="983"/>
      <c r="C547" s="983"/>
      <c r="D547" s="983"/>
      <c r="E547" s="983"/>
      <c r="F547" s="983"/>
      <c r="G547" s="983"/>
      <c r="H547" s="983"/>
      <c r="I547" s="983"/>
    </row>
    <row r="548">
      <c r="A548" s="974"/>
      <c r="B548" s="978"/>
      <c r="C548" s="978"/>
      <c r="D548" s="978"/>
      <c r="E548" s="978"/>
      <c r="F548" s="978"/>
      <c r="G548" s="978"/>
      <c r="H548" s="978"/>
      <c r="I548" s="978"/>
    </row>
    <row r="549">
      <c r="A549" s="975"/>
      <c r="B549" s="983"/>
      <c r="C549" s="983"/>
      <c r="D549" s="983"/>
      <c r="E549" s="983"/>
      <c r="F549" s="983"/>
      <c r="G549" s="983"/>
      <c r="H549" s="983"/>
      <c r="I549" s="983"/>
    </row>
    <row r="550">
      <c r="A550" s="974"/>
      <c r="B550" s="978"/>
      <c r="C550" s="978"/>
      <c r="D550" s="978"/>
      <c r="E550" s="978"/>
      <c r="F550" s="978"/>
      <c r="G550" s="978"/>
      <c r="H550" s="978"/>
      <c r="I550" s="978"/>
    </row>
    <row r="551">
      <c r="A551" s="975"/>
      <c r="B551" s="983"/>
      <c r="C551" s="983"/>
      <c r="D551" s="983"/>
      <c r="E551" s="983"/>
      <c r="F551" s="983"/>
      <c r="G551" s="983"/>
      <c r="H551" s="983"/>
      <c r="I551" s="983"/>
    </row>
    <row r="552">
      <c r="A552" s="974"/>
      <c r="B552" s="978"/>
      <c r="C552" s="978"/>
      <c r="D552" s="978"/>
      <c r="E552" s="978"/>
      <c r="F552" s="978"/>
      <c r="G552" s="978"/>
      <c r="H552" s="978"/>
      <c r="I552" s="978"/>
    </row>
    <row r="553">
      <c r="A553" s="975"/>
      <c r="B553" s="983"/>
      <c r="C553" s="983"/>
      <c r="D553" s="983"/>
      <c r="E553" s="983"/>
      <c r="F553" s="983"/>
      <c r="G553" s="983"/>
      <c r="H553" s="983"/>
      <c r="I553" s="983"/>
    </row>
    <row r="554">
      <c r="A554" s="974"/>
      <c r="B554" s="978"/>
      <c r="C554" s="978"/>
      <c r="D554" s="978"/>
      <c r="E554" s="978"/>
      <c r="F554" s="978"/>
      <c r="G554" s="978"/>
      <c r="H554" s="978"/>
      <c r="I554" s="978"/>
    </row>
    <row r="555">
      <c r="A555" s="975"/>
      <c r="B555" s="983"/>
      <c r="C555" s="983"/>
      <c r="D555" s="983"/>
      <c r="E555" s="983"/>
      <c r="F555" s="983"/>
      <c r="G555" s="983"/>
      <c r="H555" s="983"/>
      <c r="I555" s="983"/>
    </row>
    <row r="556">
      <c r="A556" s="974"/>
      <c r="B556" s="978"/>
      <c r="C556" s="978"/>
      <c r="D556" s="978"/>
      <c r="E556" s="978"/>
      <c r="F556" s="978"/>
      <c r="G556" s="978"/>
      <c r="H556" s="978"/>
      <c r="I556" s="978"/>
    </row>
    <row r="557">
      <c r="A557" s="975"/>
      <c r="B557" s="983"/>
      <c r="C557" s="983"/>
      <c r="D557" s="983"/>
      <c r="E557" s="983"/>
      <c r="F557" s="983"/>
      <c r="G557" s="983"/>
      <c r="H557" s="983"/>
      <c r="I557" s="983"/>
    </row>
    <row r="558">
      <c r="A558" s="974"/>
      <c r="B558" s="978"/>
      <c r="C558" s="978"/>
      <c r="D558" s="978"/>
      <c r="E558" s="978"/>
      <c r="F558" s="978"/>
      <c r="G558" s="978"/>
      <c r="H558" s="978"/>
      <c r="I558" s="978"/>
    </row>
    <row r="559">
      <c r="A559" s="975"/>
      <c r="B559" s="983"/>
      <c r="C559" s="983"/>
      <c r="D559" s="983"/>
      <c r="E559" s="983"/>
      <c r="F559" s="983"/>
      <c r="G559" s="983"/>
      <c r="H559" s="983"/>
      <c r="I559" s="983"/>
    </row>
    <row r="560">
      <c r="A560" s="974"/>
      <c r="B560" s="978"/>
      <c r="C560" s="978"/>
      <c r="D560" s="978"/>
      <c r="E560" s="978"/>
      <c r="F560" s="978"/>
      <c r="G560" s="978"/>
      <c r="H560" s="978"/>
      <c r="I560" s="978"/>
    </row>
    <row r="561">
      <c r="A561" s="975"/>
      <c r="B561" s="983"/>
      <c r="C561" s="983"/>
      <c r="D561" s="983"/>
      <c r="E561" s="983"/>
      <c r="F561" s="983"/>
      <c r="G561" s="983"/>
      <c r="H561" s="983"/>
      <c r="I561" s="983"/>
    </row>
    <row r="562">
      <c r="A562" s="974"/>
      <c r="B562" s="978"/>
      <c r="C562" s="978"/>
      <c r="D562" s="978"/>
      <c r="E562" s="978"/>
      <c r="F562" s="978"/>
      <c r="G562" s="978"/>
      <c r="H562" s="978"/>
      <c r="I562" s="978"/>
    </row>
    <row r="563">
      <c r="A563" s="975"/>
      <c r="B563" s="983"/>
      <c r="C563" s="983"/>
      <c r="D563" s="983"/>
      <c r="E563" s="983"/>
      <c r="F563" s="983"/>
      <c r="G563" s="983"/>
      <c r="H563" s="983"/>
      <c r="I563" s="983"/>
    </row>
    <row r="564">
      <c r="A564" s="974"/>
      <c r="B564" s="978"/>
      <c r="C564" s="978"/>
      <c r="D564" s="978"/>
      <c r="E564" s="978"/>
      <c r="F564" s="978"/>
      <c r="G564" s="978"/>
      <c r="H564" s="978"/>
      <c r="I564" s="978"/>
    </row>
    <row r="565">
      <c r="A565" s="975"/>
      <c r="B565" s="983"/>
      <c r="C565" s="983"/>
      <c r="D565" s="983"/>
      <c r="E565" s="983"/>
      <c r="F565" s="983"/>
      <c r="G565" s="983"/>
      <c r="H565" s="983"/>
      <c r="I565" s="983"/>
    </row>
    <row r="566">
      <c r="A566" s="974"/>
      <c r="B566" s="978"/>
      <c r="C566" s="978"/>
      <c r="D566" s="978"/>
      <c r="E566" s="978"/>
      <c r="F566" s="978"/>
      <c r="G566" s="978"/>
      <c r="H566" s="978"/>
      <c r="I566" s="978"/>
    </row>
    <row r="567">
      <c r="A567" s="975"/>
      <c r="B567" s="983"/>
      <c r="C567" s="983"/>
      <c r="D567" s="983"/>
      <c r="E567" s="983"/>
      <c r="F567" s="983"/>
      <c r="G567" s="983"/>
      <c r="H567" s="983"/>
      <c r="I567" s="983"/>
    </row>
    <row r="568">
      <c r="A568" s="974"/>
      <c r="B568" s="978"/>
      <c r="C568" s="978"/>
      <c r="D568" s="978"/>
      <c r="E568" s="978"/>
      <c r="F568" s="978"/>
      <c r="G568" s="978"/>
      <c r="H568" s="978"/>
      <c r="I568" s="978"/>
    </row>
    <row r="569">
      <c r="A569" s="975"/>
      <c r="B569" s="983"/>
      <c r="C569" s="983"/>
      <c r="D569" s="983"/>
      <c r="E569" s="983"/>
      <c r="F569" s="983"/>
      <c r="G569" s="983"/>
      <c r="H569" s="983"/>
      <c r="I569" s="983"/>
    </row>
    <row r="570">
      <c r="A570" s="974"/>
      <c r="B570" s="978"/>
      <c r="C570" s="978"/>
      <c r="D570" s="978"/>
      <c r="E570" s="978"/>
      <c r="F570" s="978"/>
      <c r="G570" s="978"/>
      <c r="H570" s="978"/>
      <c r="I570" s="978"/>
    </row>
    <row r="571">
      <c r="A571" s="975"/>
      <c r="B571" s="983"/>
      <c r="C571" s="983"/>
      <c r="D571" s="983"/>
      <c r="E571" s="983"/>
      <c r="F571" s="983"/>
      <c r="G571" s="983"/>
      <c r="H571" s="983"/>
      <c r="I571" s="983"/>
    </row>
    <row r="572">
      <c r="A572" s="974"/>
      <c r="B572" s="978"/>
      <c r="C572" s="978"/>
      <c r="D572" s="978"/>
      <c r="E572" s="978"/>
      <c r="F572" s="978"/>
      <c r="G572" s="978"/>
      <c r="H572" s="978"/>
      <c r="I572" s="978"/>
    </row>
    <row r="573">
      <c r="A573" s="975"/>
      <c r="B573" s="983"/>
      <c r="C573" s="983"/>
      <c r="D573" s="983"/>
      <c r="E573" s="983"/>
      <c r="F573" s="983"/>
      <c r="G573" s="983"/>
      <c r="H573" s="983"/>
      <c r="I573" s="983"/>
    </row>
    <row r="574">
      <c r="A574" s="974"/>
      <c r="B574" s="978"/>
      <c r="C574" s="978"/>
      <c r="D574" s="978"/>
      <c r="E574" s="978"/>
      <c r="F574" s="978"/>
      <c r="G574" s="978"/>
      <c r="H574" s="978"/>
      <c r="I574" s="978"/>
    </row>
    <row r="575">
      <c r="A575" s="975"/>
      <c r="B575" s="983"/>
      <c r="C575" s="983"/>
      <c r="D575" s="983"/>
      <c r="E575" s="983"/>
      <c r="F575" s="983"/>
      <c r="G575" s="983"/>
      <c r="H575" s="983"/>
      <c r="I575" s="983"/>
    </row>
    <row r="576">
      <c r="A576" s="974"/>
      <c r="B576" s="978"/>
      <c r="C576" s="978"/>
      <c r="D576" s="978"/>
      <c r="E576" s="978"/>
      <c r="F576" s="978"/>
      <c r="G576" s="978"/>
      <c r="H576" s="978"/>
      <c r="I576" s="978"/>
    </row>
    <row r="577">
      <c r="A577" s="975"/>
      <c r="B577" s="983"/>
      <c r="C577" s="983"/>
      <c r="D577" s="983"/>
      <c r="E577" s="983"/>
      <c r="F577" s="983"/>
      <c r="G577" s="983"/>
      <c r="H577" s="983"/>
      <c r="I577" s="983"/>
    </row>
    <row r="578">
      <c r="A578" s="974"/>
      <c r="B578" s="978"/>
      <c r="C578" s="978"/>
      <c r="D578" s="978"/>
      <c r="E578" s="978"/>
      <c r="F578" s="978"/>
      <c r="G578" s="978"/>
      <c r="H578" s="978"/>
      <c r="I578" s="978"/>
    </row>
    <row r="579">
      <c r="A579" s="975"/>
      <c r="B579" s="983"/>
      <c r="C579" s="983"/>
      <c r="D579" s="983"/>
      <c r="E579" s="983"/>
      <c r="F579" s="983"/>
      <c r="G579" s="983"/>
      <c r="H579" s="983"/>
      <c r="I579" s="983"/>
    </row>
    <row r="580">
      <c r="A580" s="974"/>
      <c r="B580" s="978"/>
      <c r="C580" s="978"/>
      <c r="D580" s="978"/>
      <c r="E580" s="978"/>
      <c r="F580" s="978"/>
      <c r="G580" s="978"/>
      <c r="H580" s="978"/>
      <c r="I580" s="978"/>
    </row>
    <row r="581">
      <c r="A581" s="975"/>
      <c r="B581" s="983"/>
      <c r="C581" s="983"/>
      <c r="D581" s="983"/>
      <c r="E581" s="983"/>
      <c r="F581" s="983"/>
      <c r="G581" s="983"/>
      <c r="H581" s="983"/>
      <c r="I581" s="983"/>
    </row>
    <row r="582">
      <c r="A582" s="974"/>
      <c r="B582" s="978"/>
      <c r="C582" s="978"/>
      <c r="D582" s="978"/>
      <c r="E582" s="978"/>
      <c r="F582" s="978"/>
      <c r="G582" s="978"/>
      <c r="H582" s="978"/>
      <c r="I582" s="978"/>
    </row>
    <row r="583">
      <c r="A583" s="975"/>
      <c r="B583" s="983"/>
      <c r="C583" s="983"/>
      <c r="D583" s="983"/>
      <c r="E583" s="983"/>
      <c r="F583" s="983"/>
      <c r="G583" s="983"/>
      <c r="H583" s="983"/>
      <c r="I583" s="983"/>
    </row>
    <row r="584">
      <c r="A584" s="974"/>
      <c r="B584" s="978"/>
      <c r="C584" s="978"/>
      <c r="D584" s="978"/>
      <c r="E584" s="978"/>
      <c r="F584" s="978"/>
      <c r="G584" s="978"/>
      <c r="H584" s="978"/>
      <c r="I584" s="978"/>
    </row>
    <row r="585">
      <c r="A585" s="975"/>
      <c r="B585" s="983"/>
      <c r="C585" s="983"/>
      <c r="D585" s="983"/>
      <c r="E585" s="983"/>
      <c r="F585" s="983"/>
      <c r="G585" s="983"/>
      <c r="H585" s="983"/>
      <c r="I585" s="983"/>
    </row>
    <row r="586">
      <c r="A586" s="974"/>
      <c r="B586" s="978"/>
      <c r="C586" s="978"/>
      <c r="D586" s="978"/>
      <c r="E586" s="978"/>
      <c r="F586" s="978"/>
      <c r="G586" s="978"/>
      <c r="H586" s="978"/>
      <c r="I586" s="978"/>
    </row>
    <row r="587">
      <c r="A587" s="975"/>
      <c r="B587" s="983"/>
      <c r="C587" s="983"/>
      <c r="D587" s="983"/>
      <c r="E587" s="983"/>
      <c r="F587" s="983"/>
      <c r="G587" s="983"/>
      <c r="H587" s="983"/>
      <c r="I587" s="983"/>
    </row>
    <row r="588">
      <c r="A588" s="974"/>
      <c r="B588" s="978"/>
      <c r="C588" s="978"/>
      <c r="D588" s="978"/>
      <c r="E588" s="978"/>
      <c r="F588" s="978"/>
      <c r="G588" s="978"/>
      <c r="H588" s="978"/>
      <c r="I588" s="978"/>
    </row>
    <row r="589">
      <c r="A589" s="975"/>
      <c r="B589" s="983"/>
      <c r="C589" s="983"/>
      <c r="D589" s="983"/>
      <c r="E589" s="983"/>
      <c r="F589" s="983"/>
      <c r="G589" s="983"/>
      <c r="H589" s="983"/>
      <c r="I589" s="983"/>
    </row>
    <row r="590">
      <c r="A590" s="974"/>
      <c r="B590" s="978"/>
      <c r="C590" s="978"/>
      <c r="D590" s="978"/>
      <c r="E590" s="978"/>
      <c r="F590" s="978"/>
      <c r="G590" s="978"/>
      <c r="H590" s="978"/>
      <c r="I590" s="978"/>
    </row>
    <row r="591">
      <c r="A591" s="975"/>
      <c r="B591" s="983"/>
      <c r="C591" s="983"/>
      <c r="D591" s="983"/>
      <c r="E591" s="983"/>
      <c r="F591" s="983"/>
      <c r="G591" s="983"/>
      <c r="H591" s="983"/>
      <c r="I591" s="983"/>
    </row>
    <row r="592">
      <c r="A592" s="974"/>
      <c r="B592" s="978"/>
      <c r="C592" s="978"/>
      <c r="D592" s="978"/>
      <c r="E592" s="978"/>
      <c r="F592" s="978"/>
      <c r="G592" s="978"/>
      <c r="H592" s="978"/>
      <c r="I592" s="978"/>
    </row>
    <row r="593">
      <c r="A593" s="975"/>
      <c r="B593" s="983"/>
      <c r="C593" s="983"/>
      <c r="D593" s="983"/>
      <c r="E593" s="983"/>
      <c r="F593" s="983"/>
      <c r="G593" s="983"/>
      <c r="H593" s="983"/>
      <c r="I593" s="983"/>
    </row>
    <row r="594">
      <c r="A594" s="974"/>
      <c r="B594" s="978"/>
      <c r="C594" s="978"/>
      <c r="D594" s="978"/>
      <c r="E594" s="978"/>
      <c r="F594" s="978"/>
      <c r="G594" s="978"/>
      <c r="H594" s="978"/>
      <c r="I594" s="978"/>
    </row>
    <row r="595">
      <c r="A595" s="975"/>
      <c r="B595" s="983"/>
      <c r="C595" s="983"/>
      <c r="D595" s="983"/>
      <c r="E595" s="983"/>
      <c r="F595" s="983"/>
      <c r="G595" s="983"/>
      <c r="H595" s="983"/>
      <c r="I595" s="983"/>
    </row>
    <row r="596">
      <c r="A596" s="974"/>
      <c r="B596" s="978"/>
      <c r="C596" s="978"/>
      <c r="D596" s="978"/>
      <c r="E596" s="978"/>
      <c r="F596" s="978"/>
      <c r="G596" s="978"/>
      <c r="H596" s="978"/>
      <c r="I596" s="978"/>
    </row>
    <row r="597">
      <c r="A597" s="975"/>
      <c r="B597" s="983"/>
      <c r="C597" s="983"/>
      <c r="D597" s="983"/>
      <c r="E597" s="983"/>
      <c r="F597" s="983"/>
      <c r="G597" s="983"/>
      <c r="H597" s="983"/>
      <c r="I597" s="983"/>
    </row>
    <row r="598">
      <c r="A598" s="974"/>
      <c r="B598" s="978"/>
      <c r="C598" s="978"/>
      <c r="D598" s="978"/>
      <c r="E598" s="978"/>
      <c r="F598" s="978"/>
      <c r="G598" s="978"/>
      <c r="H598" s="978"/>
      <c r="I598" s="978"/>
    </row>
    <row r="599">
      <c r="A599" s="975"/>
      <c r="B599" s="983"/>
      <c r="C599" s="983"/>
      <c r="D599" s="983"/>
      <c r="E599" s="983"/>
      <c r="F599" s="983"/>
      <c r="G599" s="983"/>
      <c r="H599" s="983"/>
      <c r="I599" s="983"/>
    </row>
    <row r="600">
      <c r="A600" s="974"/>
      <c r="B600" s="978"/>
      <c r="C600" s="978"/>
      <c r="D600" s="978"/>
      <c r="E600" s="978"/>
      <c r="F600" s="978"/>
      <c r="G600" s="978"/>
      <c r="H600" s="978"/>
      <c r="I600" s="978"/>
    </row>
    <row r="601">
      <c r="A601" s="975"/>
      <c r="B601" s="983"/>
      <c r="C601" s="983"/>
      <c r="D601" s="983"/>
      <c r="E601" s="983"/>
      <c r="F601" s="983"/>
      <c r="G601" s="983"/>
      <c r="H601" s="983"/>
      <c r="I601" s="983"/>
    </row>
    <row r="602">
      <c r="A602" s="974"/>
      <c r="B602" s="978"/>
      <c r="C602" s="978"/>
      <c r="D602" s="978"/>
      <c r="E602" s="978"/>
      <c r="F602" s="978"/>
      <c r="G602" s="978"/>
      <c r="H602" s="978"/>
      <c r="I602" s="978"/>
    </row>
    <row r="603">
      <c r="A603" s="975"/>
      <c r="B603" s="983"/>
      <c r="C603" s="983"/>
      <c r="D603" s="983"/>
      <c r="E603" s="983"/>
      <c r="F603" s="983"/>
      <c r="G603" s="983"/>
      <c r="H603" s="983"/>
      <c r="I603" s="983"/>
    </row>
    <row r="604">
      <c r="A604" s="974"/>
      <c r="B604" s="978"/>
      <c r="C604" s="978"/>
      <c r="D604" s="978"/>
      <c r="E604" s="978"/>
      <c r="F604" s="978"/>
      <c r="G604" s="978"/>
      <c r="H604" s="978"/>
      <c r="I604" s="978"/>
    </row>
    <row r="605">
      <c r="A605" s="975"/>
      <c r="B605" s="983"/>
      <c r="C605" s="983"/>
      <c r="D605" s="983"/>
      <c r="E605" s="983"/>
      <c r="F605" s="983"/>
      <c r="G605" s="983"/>
      <c r="H605" s="983"/>
      <c r="I605" s="983"/>
    </row>
    <row r="606">
      <c r="A606" s="974"/>
      <c r="B606" s="978"/>
      <c r="C606" s="978"/>
      <c r="D606" s="978"/>
      <c r="E606" s="978"/>
      <c r="F606" s="978"/>
      <c r="G606" s="978"/>
      <c r="H606" s="978"/>
      <c r="I606" s="978"/>
    </row>
    <row r="607">
      <c r="A607" s="975"/>
      <c r="B607" s="983"/>
      <c r="C607" s="983"/>
      <c r="D607" s="983"/>
      <c r="E607" s="983"/>
      <c r="F607" s="983"/>
      <c r="G607" s="983"/>
      <c r="H607" s="983"/>
      <c r="I607" s="983"/>
    </row>
    <row r="608">
      <c r="A608" s="974"/>
      <c r="B608" s="978"/>
      <c r="C608" s="978"/>
      <c r="D608" s="978"/>
      <c r="E608" s="978"/>
      <c r="F608" s="978"/>
      <c r="G608" s="978"/>
      <c r="H608" s="978"/>
      <c r="I608" s="978"/>
    </row>
    <row r="609">
      <c r="A609" s="975"/>
      <c r="B609" s="983"/>
      <c r="C609" s="983"/>
      <c r="D609" s="983"/>
      <c r="E609" s="983"/>
      <c r="F609" s="983"/>
      <c r="G609" s="983"/>
      <c r="H609" s="983"/>
      <c r="I609" s="983"/>
    </row>
    <row r="610">
      <c r="A610" s="974"/>
      <c r="B610" s="978"/>
      <c r="C610" s="978"/>
      <c r="D610" s="978"/>
      <c r="E610" s="978"/>
      <c r="F610" s="978"/>
      <c r="G610" s="978"/>
      <c r="H610" s="978"/>
      <c r="I610" s="978"/>
    </row>
    <row r="611">
      <c r="A611" s="975"/>
      <c r="B611" s="983"/>
      <c r="C611" s="983"/>
      <c r="D611" s="983"/>
      <c r="E611" s="983"/>
      <c r="F611" s="983"/>
      <c r="G611" s="983"/>
      <c r="H611" s="983"/>
      <c r="I611" s="983"/>
    </row>
    <row r="612">
      <c r="A612" s="974"/>
      <c r="B612" s="978"/>
      <c r="C612" s="978"/>
      <c r="D612" s="978"/>
      <c r="E612" s="978"/>
      <c r="F612" s="978"/>
      <c r="G612" s="978"/>
      <c r="H612" s="978"/>
      <c r="I612" s="978"/>
    </row>
    <row r="613">
      <c r="A613" s="975"/>
      <c r="B613" s="983"/>
      <c r="C613" s="983"/>
      <c r="D613" s="983"/>
      <c r="E613" s="983"/>
      <c r="F613" s="983"/>
      <c r="G613" s="983"/>
      <c r="H613" s="983"/>
      <c r="I613" s="983"/>
    </row>
    <row r="614">
      <c r="A614" s="974"/>
      <c r="B614" s="978"/>
      <c r="C614" s="978"/>
      <c r="D614" s="978"/>
      <c r="E614" s="978"/>
      <c r="F614" s="978"/>
      <c r="G614" s="978"/>
      <c r="H614" s="978"/>
      <c r="I614" s="978"/>
    </row>
    <row r="615">
      <c r="A615" s="975"/>
      <c r="B615" s="983"/>
      <c r="C615" s="983"/>
      <c r="D615" s="983"/>
      <c r="E615" s="983"/>
      <c r="F615" s="983"/>
      <c r="G615" s="983"/>
      <c r="H615" s="983"/>
      <c r="I615" s="983"/>
    </row>
    <row r="616">
      <c r="A616" s="974"/>
      <c r="B616" s="978"/>
      <c r="C616" s="978"/>
      <c r="D616" s="978"/>
      <c r="E616" s="978"/>
      <c r="F616" s="978"/>
      <c r="G616" s="978"/>
      <c r="H616" s="978"/>
      <c r="I616" s="978"/>
    </row>
    <row r="617">
      <c r="A617" s="975"/>
      <c r="B617" s="983"/>
      <c r="C617" s="983"/>
      <c r="D617" s="983"/>
      <c r="E617" s="983"/>
      <c r="F617" s="983"/>
      <c r="G617" s="983"/>
      <c r="H617" s="983"/>
      <c r="I617" s="983"/>
    </row>
    <row r="618">
      <c r="A618" s="974"/>
      <c r="B618" s="978"/>
      <c r="C618" s="978"/>
      <c r="D618" s="978"/>
      <c r="E618" s="978"/>
      <c r="F618" s="978"/>
      <c r="G618" s="978"/>
      <c r="H618" s="978"/>
      <c r="I618" s="978"/>
    </row>
    <row r="619">
      <c r="A619" s="975"/>
      <c r="B619" s="983"/>
      <c r="C619" s="983"/>
      <c r="D619" s="983"/>
      <c r="E619" s="983"/>
      <c r="F619" s="983"/>
      <c r="G619" s="983"/>
      <c r="H619" s="983"/>
      <c r="I619" s="983"/>
    </row>
    <row r="620">
      <c r="A620" s="974"/>
      <c r="B620" s="978"/>
      <c r="C620" s="978"/>
      <c r="D620" s="978"/>
      <c r="E620" s="978"/>
      <c r="F620" s="978"/>
      <c r="G620" s="978"/>
      <c r="H620" s="978"/>
      <c r="I620" s="978"/>
    </row>
    <row r="621">
      <c r="A621" s="975"/>
      <c r="B621" s="983"/>
      <c r="C621" s="983"/>
      <c r="D621" s="983"/>
      <c r="E621" s="983"/>
      <c r="F621" s="983"/>
      <c r="G621" s="983"/>
      <c r="H621" s="983"/>
      <c r="I621" s="983"/>
    </row>
    <row r="622">
      <c r="A622" s="974"/>
      <c r="B622" s="978"/>
      <c r="C622" s="978"/>
      <c r="D622" s="978"/>
      <c r="E622" s="978"/>
      <c r="F622" s="978"/>
      <c r="G622" s="978"/>
      <c r="H622" s="978"/>
      <c r="I622" s="978"/>
    </row>
    <row r="623">
      <c r="A623" s="975"/>
      <c r="B623" s="983"/>
      <c r="C623" s="983"/>
      <c r="D623" s="983"/>
      <c r="E623" s="983"/>
      <c r="F623" s="983"/>
      <c r="G623" s="983"/>
      <c r="H623" s="983"/>
      <c r="I623" s="983"/>
    </row>
    <row r="624">
      <c r="A624" s="974"/>
      <c r="B624" s="978"/>
      <c r="C624" s="978"/>
      <c r="D624" s="978"/>
      <c r="E624" s="978"/>
      <c r="F624" s="978"/>
      <c r="G624" s="978"/>
      <c r="H624" s="978"/>
      <c r="I624" s="978"/>
    </row>
    <row r="625">
      <c r="A625" s="975"/>
      <c r="B625" s="983"/>
      <c r="C625" s="983"/>
      <c r="D625" s="983"/>
      <c r="E625" s="983"/>
      <c r="F625" s="983"/>
      <c r="G625" s="983"/>
      <c r="H625" s="983"/>
      <c r="I625" s="983"/>
    </row>
    <row r="626">
      <c r="A626" s="974"/>
      <c r="B626" s="978"/>
      <c r="C626" s="978"/>
      <c r="D626" s="978"/>
      <c r="E626" s="978"/>
      <c r="F626" s="978"/>
      <c r="G626" s="978"/>
      <c r="H626" s="978"/>
      <c r="I626" s="978"/>
    </row>
    <row r="627">
      <c r="A627" s="975"/>
      <c r="B627" s="983"/>
      <c r="C627" s="983"/>
      <c r="D627" s="983"/>
      <c r="E627" s="983"/>
      <c r="F627" s="983"/>
      <c r="G627" s="983"/>
      <c r="H627" s="983"/>
      <c r="I627" s="983"/>
    </row>
    <row r="628">
      <c r="A628" s="974"/>
      <c r="B628" s="978"/>
      <c r="C628" s="978"/>
      <c r="D628" s="978"/>
      <c r="E628" s="978"/>
      <c r="F628" s="978"/>
      <c r="G628" s="978"/>
      <c r="H628" s="978"/>
      <c r="I628" s="978"/>
    </row>
    <row r="629">
      <c r="A629" s="975"/>
      <c r="B629" s="983"/>
      <c r="C629" s="983"/>
      <c r="D629" s="983"/>
      <c r="E629" s="983"/>
      <c r="F629" s="983"/>
      <c r="G629" s="983"/>
      <c r="H629" s="983"/>
      <c r="I629" s="983"/>
    </row>
    <row r="630">
      <c r="A630" s="974"/>
      <c r="B630" s="978"/>
      <c r="C630" s="978"/>
      <c r="D630" s="978"/>
      <c r="E630" s="978"/>
      <c r="F630" s="978"/>
      <c r="G630" s="978"/>
      <c r="H630" s="978"/>
      <c r="I630" s="978"/>
    </row>
    <row r="631">
      <c r="A631" s="975"/>
      <c r="B631" s="983"/>
      <c r="C631" s="983"/>
      <c r="D631" s="983"/>
      <c r="E631" s="983"/>
      <c r="F631" s="983"/>
      <c r="G631" s="983"/>
      <c r="H631" s="983"/>
      <c r="I631" s="983"/>
    </row>
    <row r="632">
      <c r="A632" s="974"/>
      <c r="B632" s="978"/>
      <c r="C632" s="978"/>
      <c r="D632" s="978"/>
      <c r="E632" s="978"/>
      <c r="F632" s="978"/>
      <c r="G632" s="978"/>
      <c r="H632" s="978"/>
      <c r="I632" s="978"/>
    </row>
    <row r="633">
      <c r="A633" s="975"/>
      <c r="B633" s="983"/>
      <c r="C633" s="983"/>
      <c r="D633" s="983"/>
      <c r="E633" s="983"/>
      <c r="F633" s="983"/>
      <c r="G633" s="983"/>
      <c r="H633" s="983"/>
      <c r="I633" s="983"/>
    </row>
    <row r="634">
      <c r="A634" s="974"/>
      <c r="B634" s="978"/>
      <c r="C634" s="978"/>
      <c r="D634" s="978"/>
      <c r="E634" s="978"/>
      <c r="F634" s="978"/>
      <c r="G634" s="978"/>
      <c r="H634" s="978"/>
      <c r="I634" s="978"/>
    </row>
    <row r="635">
      <c r="A635" s="975"/>
      <c r="B635" s="983"/>
      <c r="C635" s="983"/>
      <c r="D635" s="983"/>
      <c r="E635" s="983"/>
      <c r="F635" s="983"/>
      <c r="G635" s="983"/>
      <c r="H635" s="983"/>
      <c r="I635" s="983"/>
    </row>
    <row r="636">
      <c r="A636" s="974"/>
      <c r="B636" s="978"/>
      <c r="C636" s="978"/>
      <c r="D636" s="978"/>
      <c r="E636" s="978"/>
      <c r="F636" s="978"/>
      <c r="G636" s="978"/>
      <c r="H636" s="978"/>
      <c r="I636" s="978"/>
    </row>
    <row r="637">
      <c r="A637" s="975"/>
      <c r="B637" s="983"/>
      <c r="C637" s="983"/>
      <c r="D637" s="983"/>
      <c r="E637" s="983"/>
      <c r="F637" s="983"/>
      <c r="G637" s="983"/>
      <c r="H637" s="983"/>
      <c r="I637" s="983"/>
    </row>
    <row r="638">
      <c r="A638" s="974"/>
      <c r="B638" s="978"/>
      <c r="C638" s="978"/>
      <c r="D638" s="978"/>
      <c r="E638" s="978"/>
      <c r="F638" s="978"/>
      <c r="G638" s="978"/>
      <c r="H638" s="978"/>
      <c r="I638" s="978"/>
    </row>
    <row r="639">
      <c r="A639" s="975"/>
      <c r="B639" s="983"/>
      <c r="C639" s="983"/>
      <c r="D639" s="983"/>
      <c r="E639" s="983"/>
      <c r="F639" s="983"/>
      <c r="G639" s="983"/>
      <c r="H639" s="983"/>
      <c r="I639" s="983"/>
    </row>
    <row r="640">
      <c r="A640" s="974"/>
      <c r="B640" s="978"/>
      <c r="C640" s="978"/>
      <c r="D640" s="978"/>
      <c r="E640" s="978"/>
      <c r="F640" s="978"/>
      <c r="G640" s="978"/>
      <c r="H640" s="978"/>
      <c r="I640" s="978"/>
    </row>
    <row r="641">
      <c r="A641" s="975"/>
      <c r="B641" s="983"/>
      <c r="C641" s="983"/>
      <c r="D641" s="983"/>
      <c r="E641" s="983"/>
      <c r="F641" s="983"/>
      <c r="G641" s="983"/>
      <c r="H641" s="983"/>
      <c r="I641" s="983"/>
    </row>
    <row r="642">
      <c r="A642" s="974"/>
      <c r="B642" s="978"/>
      <c r="C642" s="978"/>
      <c r="D642" s="978"/>
      <c r="E642" s="978"/>
      <c r="F642" s="978"/>
      <c r="G642" s="978"/>
      <c r="H642" s="978"/>
      <c r="I642" s="978"/>
    </row>
    <row r="643">
      <c r="A643" s="975"/>
      <c r="B643" s="983"/>
      <c r="C643" s="983"/>
      <c r="D643" s="983"/>
      <c r="E643" s="983"/>
      <c r="F643" s="983"/>
      <c r="G643" s="983"/>
      <c r="H643" s="983"/>
      <c r="I643" s="983"/>
    </row>
    <row r="644">
      <c r="A644" s="974"/>
      <c r="B644" s="978"/>
      <c r="C644" s="978"/>
      <c r="D644" s="978"/>
      <c r="E644" s="978"/>
      <c r="F644" s="978"/>
      <c r="G644" s="978"/>
      <c r="H644" s="978"/>
      <c r="I644" s="978"/>
    </row>
    <row r="645">
      <c r="A645" s="975"/>
      <c r="B645" s="983"/>
      <c r="C645" s="983"/>
      <c r="D645" s="983"/>
      <c r="E645" s="983"/>
      <c r="F645" s="983"/>
      <c r="G645" s="983"/>
      <c r="H645" s="983"/>
      <c r="I645" s="983"/>
    </row>
    <row r="646">
      <c r="A646" s="974"/>
      <c r="B646" s="978"/>
      <c r="C646" s="978"/>
      <c r="D646" s="978"/>
      <c r="E646" s="978"/>
      <c r="F646" s="978"/>
      <c r="G646" s="978"/>
      <c r="H646" s="978"/>
      <c r="I646" s="978"/>
    </row>
    <row r="647">
      <c r="A647" s="975"/>
      <c r="B647" s="983"/>
      <c r="C647" s="983"/>
      <c r="D647" s="983"/>
      <c r="E647" s="983"/>
      <c r="F647" s="983"/>
      <c r="G647" s="983"/>
      <c r="H647" s="983"/>
      <c r="I647" s="983"/>
    </row>
    <row r="648">
      <c r="A648" s="974"/>
      <c r="B648" s="978"/>
      <c r="C648" s="978"/>
      <c r="D648" s="978"/>
      <c r="E648" s="978"/>
      <c r="F648" s="978"/>
      <c r="G648" s="978"/>
      <c r="H648" s="978"/>
      <c r="I648" s="978"/>
    </row>
    <row r="649">
      <c r="A649" s="975"/>
      <c r="B649" s="983"/>
      <c r="C649" s="983"/>
      <c r="D649" s="983"/>
      <c r="E649" s="983"/>
      <c r="F649" s="983"/>
      <c r="G649" s="983"/>
      <c r="H649" s="983"/>
      <c r="I649" s="983"/>
    </row>
    <row r="650">
      <c r="A650" s="974"/>
      <c r="B650" s="978"/>
      <c r="C650" s="978"/>
      <c r="D650" s="978"/>
      <c r="E650" s="978"/>
      <c r="F650" s="978"/>
      <c r="G650" s="978"/>
      <c r="H650" s="978"/>
      <c r="I650" s="978"/>
    </row>
    <row r="651">
      <c r="A651" s="975"/>
      <c r="B651" s="983"/>
      <c r="C651" s="983"/>
      <c r="D651" s="983"/>
      <c r="E651" s="983"/>
      <c r="F651" s="983"/>
      <c r="G651" s="983"/>
      <c r="H651" s="983"/>
      <c r="I651" s="983"/>
    </row>
    <row r="652">
      <c r="A652" s="974"/>
      <c r="B652" s="978"/>
      <c r="C652" s="978"/>
      <c r="D652" s="978"/>
      <c r="E652" s="978"/>
      <c r="F652" s="978"/>
      <c r="G652" s="978"/>
      <c r="H652" s="978"/>
      <c r="I652" s="978"/>
    </row>
    <row r="653">
      <c r="A653" s="975"/>
      <c r="B653" s="983"/>
      <c r="C653" s="983"/>
      <c r="D653" s="983"/>
      <c r="E653" s="983"/>
      <c r="F653" s="983"/>
      <c r="G653" s="983"/>
      <c r="H653" s="983"/>
      <c r="I653" s="983"/>
    </row>
    <row r="654">
      <c r="A654" s="974"/>
      <c r="B654" s="978"/>
      <c r="C654" s="978"/>
      <c r="D654" s="978"/>
      <c r="E654" s="978"/>
      <c r="F654" s="978"/>
      <c r="G654" s="978"/>
      <c r="H654" s="978"/>
      <c r="I654" s="978"/>
    </row>
    <row r="655">
      <c r="A655" s="975"/>
      <c r="B655" s="983"/>
      <c r="C655" s="983"/>
      <c r="D655" s="983"/>
      <c r="E655" s="983"/>
      <c r="F655" s="983"/>
      <c r="G655" s="983"/>
      <c r="H655" s="983"/>
      <c r="I655" s="983"/>
    </row>
    <row r="656">
      <c r="A656" s="974"/>
      <c r="B656" s="978"/>
      <c r="C656" s="978"/>
      <c r="D656" s="978"/>
      <c r="E656" s="978"/>
      <c r="F656" s="978"/>
      <c r="G656" s="978"/>
      <c r="H656" s="978"/>
      <c r="I656" s="978"/>
    </row>
    <row r="657">
      <c r="A657" s="975"/>
      <c r="B657" s="983"/>
      <c r="C657" s="983"/>
      <c r="D657" s="983"/>
      <c r="E657" s="983"/>
      <c r="F657" s="983"/>
      <c r="G657" s="983"/>
      <c r="H657" s="983"/>
      <c r="I657" s="983"/>
    </row>
    <row r="658">
      <c r="A658" s="974"/>
      <c r="B658" s="978"/>
      <c r="C658" s="978"/>
      <c r="D658" s="978"/>
      <c r="E658" s="978"/>
      <c r="F658" s="978"/>
      <c r="G658" s="978"/>
      <c r="H658" s="978"/>
      <c r="I658" s="978"/>
    </row>
    <row r="659">
      <c r="A659" s="975"/>
      <c r="B659" s="983"/>
      <c r="C659" s="983"/>
      <c r="D659" s="983"/>
      <c r="E659" s="983"/>
      <c r="F659" s="983"/>
      <c r="G659" s="983"/>
      <c r="H659" s="983"/>
      <c r="I659" s="983"/>
    </row>
    <row r="660">
      <c r="A660" s="974"/>
      <c r="B660" s="978"/>
      <c r="C660" s="978"/>
      <c r="D660" s="978"/>
      <c r="E660" s="978"/>
      <c r="F660" s="978"/>
      <c r="G660" s="978"/>
      <c r="H660" s="978"/>
      <c r="I660" s="978"/>
    </row>
    <row r="661">
      <c r="A661" s="975"/>
      <c r="B661" s="983"/>
      <c r="C661" s="983"/>
      <c r="D661" s="983"/>
      <c r="E661" s="983"/>
      <c r="F661" s="983"/>
      <c r="G661" s="983"/>
      <c r="H661" s="983"/>
      <c r="I661" s="983"/>
    </row>
    <row r="662">
      <c r="A662" s="974"/>
      <c r="B662" s="978"/>
      <c r="C662" s="978"/>
      <c r="D662" s="978"/>
      <c r="E662" s="978"/>
      <c r="F662" s="978"/>
      <c r="G662" s="978"/>
      <c r="H662" s="978"/>
      <c r="I662" s="978"/>
    </row>
    <row r="663">
      <c r="A663" s="975"/>
      <c r="B663" s="983"/>
      <c r="C663" s="983"/>
      <c r="D663" s="983"/>
      <c r="E663" s="983"/>
      <c r="F663" s="983"/>
      <c r="G663" s="983"/>
      <c r="H663" s="983"/>
      <c r="I663" s="983"/>
    </row>
    <row r="664">
      <c r="A664" s="974"/>
      <c r="B664" s="978"/>
      <c r="C664" s="978"/>
      <c r="D664" s="978"/>
      <c r="E664" s="978"/>
      <c r="F664" s="978"/>
      <c r="G664" s="978"/>
      <c r="H664" s="978"/>
      <c r="I664" s="978"/>
    </row>
    <row r="665">
      <c r="A665" s="975"/>
      <c r="B665" s="983"/>
      <c r="C665" s="983"/>
      <c r="D665" s="983"/>
      <c r="E665" s="983"/>
      <c r="F665" s="983"/>
      <c r="G665" s="983"/>
      <c r="H665" s="983"/>
      <c r="I665" s="983"/>
    </row>
    <row r="666">
      <c r="A666" s="974"/>
      <c r="B666" s="978"/>
      <c r="C666" s="978"/>
      <c r="D666" s="978"/>
      <c r="E666" s="978"/>
      <c r="F666" s="978"/>
      <c r="G666" s="978"/>
      <c r="H666" s="978"/>
      <c r="I666" s="978"/>
    </row>
    <row r="667">
      <c r="A667" s="975"/>
      <c r="B667" s="983"/>
      <c r="C667" s="983"/>
      <c r="D667" s="983"/>
      <c r="E667" s="983"/>
      <c r="F667" s="983"/>
      <c r="G667" s="983"/>
      <c r="H667" s="983"/>
      <c r="I667" s="983"/>
    </row>
    <row r="668">
      <c r="A668" s="974"/>
      <c r="B668" s="978"/>
      <c r="C668" s="978"/>
      <c r="D668" s="978"/>
      <c r="E668" s="978"/>
      <c r="F668" s="978"/>
      <c r="G668" s="978"/>
      <c r="H668" s="978"/>
      <c r="I668" s="978"/>
    </row>
    <row r="669">
      <c r="A669" s="975"/>
      <c r="B669" s="983"/>
      <c r="C669" s="983"/>
      <c r="D669" s="983"/>
      <c r="E669" s="983"/>
      <c r="F669" s="983"/>
      <c r="G669" s="983"/>
      <c r="H669" s="983"/>
      <c r="I669" s="983"/>
    </row>
    <row r="670">
      <c r="A670" s="974"/>
      <c r="B670" s="978"/>
      <c r="C670" s="978"/>
      <c r="D670" s="978"/>
      <c r="E670" s="978"/>
      <c r="F670" s="978"/>
      <c r="G670" s="978"/>
      <c r="H670" s="978"/>
      <c r="I670" s="978"/>
    </row>
    <row r="671">
      <c r="A671" s="975"/>
      <c r="B671" s="983"/>
      <c r="C671" s="983"/>
      <c r="D671" s="983"/>
      <c r="E671" s="983"/>
      <c r="F671" s="983"/>
      <c r="G671" s="983"/>
      <c r="H671" s="983"/>
      <c r="I671" s="983"/>
    </row>
    <row r="672">
      <c r="A672" s="974"/>
      <c r="B672" s="978"/>
      <c r="C672" s="978"/>
      <c r="D672" s="978"/>
      <c r="E672" s="978"/>
      <c r="F672" s="978"/>
      <c r="G672" s="978"/>
      <c r="H672" s="978"/>
      <c r="I672" s="978"/>
    </row>
    <row r="673">
      <c r="A673" s="975"/>
      <c r="B673" s="983"/>
      <c r="C673" s="983"/>
      <c r="D673" s="983"/>
      <c r="E673" s="983"/>
      <c r="F673" s="983"/>
      <c r="G673" s="983"/>
      <c r="H673" s="983"/>
      <c r="I673" s="983"/>
    </row>
    <row r="674">
      <c r="A674" s="974"/>
      <c r="B674" s="978"/>
      <c r="C674" s="978"/>
      <c r="D674" s="978"/>
      <c r="E674" s="978"/>
      <c r="F674" s="978"/>
      <c r="G674" s="978"/>
      <c r="H674" s="978"/>
      <c r="I674" s="978"/>
    </row>
    <row r="675">
      <c r="A675" s="975"/>
      <c r="B675" s="983"/>
      <c r="C675" s="983"/>
      <c r="D675" s="983"/>
      <c r="E675" s="983"/>
      <c r="F675" s="983"/>
      <c r="G675" s="983"/>
      <c r="H675" s="983"/>
      <c r="I675" s="983"/>
    </row>
    <row r="676">
      <c r="A676" s="974"/>
      <c r="B676" s="978"/>
      <c r="C676" s="978"/>
      <c r="D676" s="978"/>
      <c r="E676" s="978"/>
      <c r="F676" s="978"/>
      <c r="G676" s="978"/>
      <c r="H676" s="978"/>
      <c r="I676" s="978"/>
    </row>
    <row r="677">
      <c r="A677" s="975"/>
      <c r="B677" s="983"/>
      <c r="C677" s="983"/>
      <c r="D677" s="983"/>
      <c r="E677" s="983"/>
      <c r="F677" s="983"/>
      <c r="G677" s="983"/>
      <c r="H677" s="983"/>
      <c r="I677" s="983"/>
    </row>
    <row r="678">
      <c r="A678" s="974"/>
      <c r="B678" s="978"/>
      <c r="C678" s="978"/>
      <c r="D678" s="978"/>
      <c r="E678" s="978"/>
      <c r="F678" s="978"/>
      <c r="G678" s="978"/>
      <c r="H678" s="978"/>
      <c r="I678" s="978"/>
    </row>
    <row r="679">
      <c r="A679" s="975"/>
      <c r="B679" s="983"/>
      <c r="C679" s="983"/>
      <c r="D679" s="983"/>
      <c r="E679" s="983"/>
      <c r="F679" s="983"/>
      <c r="G679" s="983"/>
      <c r="H679" s="983"/>
      <c r="I679" s="983"/>
    </row>
    <row r="680">
      <c r="A680" s="974"/>
      <c r="B680" s="978"/>
      <c r="C680" s="978"/>
      <c r="D680" s="978"/>
      <c r="E680" s="978"/>
      <c r="F680" s="978"/>
      <c r="G680" s="978"/>
      <c r="H680" s="978"/>
      <c r="I680" s="978"/>
    </row>
    <row r="681">
      <c r="A681" s="975"/>
      <c r="B681" s="983"/>
      <c r="C681" s="983"/>
      <c r="D681" s="983"/>
      <c r="E681" s="983"/>
      <c r="F681" s="983"/>
      <c r="G681" s="983"/>
      <c r="H681" s="983"/>
      <c r="I681" s="983"/>
    </row>
    <row r="682">
      <c r="A682" s="974"/>
      <c r="B682" s="978"/>
      <c r="C682" s="978"/>
      <c r="D682" s="978"/>
      <c r="E682" s="978"/>
      <c r="F682" s="978"/>
      <c r="G682" s="978"/>
      <c r="H682" s="978"/>
      <c r="I682" s="978"/>
    </row>
    <row r="683">
      <c r="A683" s="975"/>
      <c r="B683" s="983"/>
      <c r="C683" s="983"/>
      <c r="D683" s="983"/>
      <c r="E683" s="983"/>
      <c r="F683" s="983"/>
      <c r="G683" s="983"/>
      <c r="H683" s="983"/>
      <c r="I683" s="983"/>
    </row>
    <row r="684">
      <c r="A684" s="974"/>
      <c r="B684" s="978"/>
      <c r="C684" s="978"/>
      <c r="D684" s="978"/>
      <c r="E684" s="978"/>
      <c r="F684" s="978"/>
      <c r="G684" s="978"/>
      <c r="H684" s="978"/>
      <c r="I684" s="978"/>
    </row>
    <row r="685">
      <c r="A685" s="975"/>
      <c r="B685" s="983"/>
      <c r="C685" s="983"/>
      <c r="D685" s="983"/>
      <c r="E685" s="983"/>
      <c r="F685" s="983"/>
      <c r="G685" s="983"/>
      <c r="H685" s="983"/>
      <c r="I685" s="983"/>
    </row>
    <row r="686">
      <c r="A686" s="974"/>
      <c r="B686" s="978"/>
      <c r="C686" s="978"/>
      <c r="D686" s="978"/>
      <c r="E686" s="978"/>
      <c r="F686" s="978"/>
      <c r="G686" s="978"/>
      <c r="H686" s="978"/>
      <c r="I686" s="978"/>
    </row>
    <row r="687">
      <c r="A687" s="975"/>
      <c r="B687" s="983"/>
      <c r="C687" s="983"/>
      <c r="D687" s="983"/>
      <c r="E687" s="983"/>
      <c r="F687" s="983"/>
      <c r="G687" s="983"/>
      <c r="H687" s="983"/>
      <c r="I687" s="983"/>
    </row>
    <row r="688">
      <c r="A688" s="974"/>
      <c r="B688" s="978"/>
      <c r="C688" s="978"/>
      <c r="D688" s="978"/>
      <c r="E688" s="978"/>
      <c r="F688" s="978"/>
      <c r="G688" s="978"/>
      <c r="H688" s="978"/>
      <c r="I688" s="978"/>
    </row>
    <row r="689">
      <c r="A689" s="975"/>
      <c r="B689" s="983"/>
      <c r="C689" s="983"/>
      <c r="D689" s="983"/>
      <c r="E689" s="983"/>
      <c r="F689" s="983"/>
      <c r="G689" s="983"/>
      <c r="H689" s="983"/>
      <c r="I689" s="983"/>
    </row>
    <row r="690">
      <c r="A690" s="974"/>
      <c r="B690" s="978"/>
      <c r="C690" s="978"/>
      <c r="D690" s="978"/>
      <c r="E690" s="978"/>
      <c r="F690" s="978"/>
      <c r="G690" s="978"/>
      <c r="H690" s="978"/>
      <c r="I690" s="978"/>
    </row>
    <row r="691">
      <c r="A691" s="975"/>
      <c r="B691" s="983"/>
      <c r="C691" s="983"/>
      <c r="D691" s="983"/>
      <c r="E691" s="983"/>
      <c r="F691" s="983"/>
      <c r="G691" s="983"/>
      <c r="H691" s="983"/>
      <c r="I691" s="983"/>
    </row>
    <row r="692">
      <c r="A692" s="974"/>
      <c r="B692" s="978"/>
      <c r="C692" s="978"/>
      <c r="D692" s="978"/>
      <c r="E692" s="978"/>
      <c r="F692" s="978"/>
      <c r="G692" s="978"/>
      <c r="H692" s="978"/>
      <c r="I692" s="978"/>
    </row>
    <row r="693">
      <c r="A693" s="975"/>
      <c r="B693" s="983"/>
      <c r="C693" s="983"/>
      <c r="D693" s="983"/>
      <c r="E693" s="983"/>
      <c r="F693" s="983"/>
      <c r="G693" s="983"/>
      <c r="H693" s="983"/>
      <c r="I693" s="983"/>
    </row>
    <row r="694">
      <c r="A694" s="974"/>
      <c r="B694" s="978"/>
      <c r="C694" s="978"/>
      <c r="D694" s="978"/>
      <c r="E694" s="978"/>
      <c r="F694" s="978"/>
      <c r="G694" s="978"/>
      <c r="H694" s="978"/>
      <c r="I694" s="978"/>
    </row>
    <row r="695">
      <c r="A695" s="975"/>
      <c r="B695" s="983"/>
      <c r="C695" s="983"/>
      <c r="D695" s="983"/>
      <c r="E695" s="983"/>
      <c r="F695" s="983"/>
      <c r="G695" s="983"/>
      <c r="H695" s="983"/>
      <c r="I695" s="983"/>
    </row>
    <row r="696">
      <c r="A696" s="974"/>
      <c r="B696" s="978"/>
      <c r="C696" s="978"/>
      <c r="D696" s="978"/>
      <c r="E696" s="978"/>
      <c r="F696" s="978"/>
      <c r="G696" s="978"/>
      <c r="H696" s="978"/>
      <c r="I696" s="978"/>
    </row>
    <row r="697">
      <c r="A697" s="975"/>
      <c r="B697" s="983"/>
      <c r="C697" s="983"/>
      <c r="D697" s="983"/>
      <c r="E697" s="983"/>
      <c r="F697" s="983"/>
      <c r="G697" s="983"/>
      <c r="H697" s="983"/>
      <c r="I697" s="983"/>
    </row>
    <row r="698">
      <c r="A698" s="974"/>
      <c r="B698" s="978"/>
      <c r="C698" s="978"/>
      <c r="D698" s="978"/>
      <c r="E698" s="978"/>
      <c r="F698" s="978"/>
      <c r="G698" s="978"/>
      <c r="H698" s="978"/>
      <c r="I698" s="978"/>
    </row>
    <row r="699">
      <c r="A699" s="975"/>
      <c r="B699" s="983"/>
      <c r="C699" s="983"/>
      <c r="D699" s="983"/>
      <c r="E699" s="983"/>
      <c r="F699" s="983"/>
      <c r="G699" s="983"/>
      <c r="H699" s="983"/>
      <c r="I699" s="983"/>
    </row>
    <row r="700">
      <c r="A700" s="974"/>
      <c r="B700" s="978"/>
      <c r="C700" s="978"/>
      <c r="D700" s="978"/>
      <c r="E700" s="978"/>
      <c r="F700" s="978"/>
      <c r="G700" s="978"/>
      <c r="H700" s="978"/>
      <c r="I700" s="978"/>
    </row>
    <row r="701">
      <c r="A701" s="975"/>
      <c r="B701" s="983"/>
      <c r="C701" s="983"/>
      <c r="D701" s="983"/>
      <c r="E701" s="983"/>
      <c r="F701" s="983"/>
      <c r="G701" s="983"/>
      <c r="H701" s="983"/>
      <c r="I701" s="983"/>
    </row>
    <row r="702">
      <c r="A702" s="974"/>
      <c r="B702" s="978"/>
      <c r="C702" s="978"/>
      <c r="D702" s="978"/>
      <c r="E702" s="978"/>
      <c r="F702" s="978"/>
      <c r="G702" s="978"/>
      <c r="H702" s="978"/>
      <c r="I702" s="978"/>
    </row>
    <row r="703">
      <c r="A703" s="975"/>
      <c r="B703" s="983"/>
      <c r="C703" s="983"/>
      <c r="D703" s="983"/>
      <c r="E703" s="983"/>
      <c r="F703" s="983"/>
      <c r="G703" s="983"/>
      <c r="H703" s="983"/>
      <c r="I703" s="983"/>
    </row>
    <row r="704">
      <c r="A704" s="974"/>
      <c r="B704" s="978"/>
      <c r="C704" s="978"/>
      <c r="D704" s="978"/>
      <c r="E704" s="978"/>
      <c r="F704" s="978"/>
      <c r="G704" s="978"/>
      <c r="H704" s="978"/>
      <c r="I704" s="978"/>
    </row>
    <row r="705">
      <c r="A705" s="975"/>
      <c r="B705" s="983"/>
      <c r="C705" s="983"/>
      <c r="D705" s="983"/>
      <c r="E705" s="983"/>
      <c r="F705" s="983"/>
      <c r="G705" s="983"/>
      <c r="H705" s="983"/>
      <c r="I705" s="983"/>
    </row>
    <row r="706">
      <c r="A706" s="974"/>
      <c r="B706" s="978"/>
      <c r="C706" s="978"/>
      <c r="D706" s="978"/>
      <c r="E706" s="978"/>
      <c r="F706" s="978"/>
      <c r="G706" s="978"/>
      <c r="H706" s="978"/>
      <c r="I706" s="978"/>
    </row>
    <row r="707">
      <c r="A707" s="975"/>
      <c r="B707" s="983"/>
      <c r="C707" s="983"/>
      <c r="D707" s="983"/>
      <c r="E707" s="983"/>
      <c r="F707" s="983"/>
      <c r="G707" s="983"/>
      <c r="H707" s="983"/>
      <c r="I707" s="983"/>
    </row>
    <row r="708">
      <c r="A708" s="974"/>
      <c r="B708" s="978"/>
      <c r="C708" s="978"/>
      <c r="D708" s="978"/>
      <c r="E708" s="978"/>
      <c r="F708" s="978"/>
      <c r="G708" s="978"/>
      <c r="H708" s="978"/>
      <c r="I708" s="978"/>
    </row>
    <row r="709">
      <c r="A709" s="975"/>
      <c r="B709" s="983"/>
      <c r="C709" s="983"/>
      <c r="D709" s="983"/>
      <c r="E709" s="983"/>
      <c r="F709" s="983"/>
      <c r="G709" s="983"/>
      <c r="H709" s="983"/>
      <c r="I709" s="983"/>
    </row>
    <row r="710">
      <c r="A710" s="974"/>
      <c r="B710" s="978"/>
      <c r="C710" s="978"/>
      <c r="D710" s="978"/>
      <c r="E710" s="978"/>
      <c r="F710" s="978"/>
      <c r="G710" s="978"/>
      <c r="H710" s="978"/>
      <c r="I710" s="978"/>
    </row>
    <row r="711">
      <c r="A711" s="975"/>
      <c r="B711" s="983"/>
      <c r="C711" s="983"/>
      <c r="D711" s="983"/>
      <c r="E711" s="983"/>
      <c r="F711" s="983"/>
      <c r="G711" s="983"/>
      <c r="H711" s="983"/>
      <c r="I711" s="983"/>
    </row>
    <row r="712">
      <c r="A712" s="974"/>
      <c r="B712" s="978"/>
      <c r="C712" s="978"/>
      <c r="D712" s="978"/>
      <c r="E712" s="978"/>
      <c r="F712" s="978"/>
      <c r="G712" s="978"/>
      <c r="H712" s="978"/>
      <c r="I712" s="978"/>
    </row>
    <row r="713">
      <c r="A713" s="975"/>
      <c r="B713" s="983"/>
      <c r="C713" s="983"/>
      <c r="D713" s="983"/>
      <c r="E713" s="983"/>
      <c r="F713" s="983"/>
      <c r="G713" s="983"/>
      <c r="H713" s="983"/>
      <c r="I713" s="983"/>
    </row>
    <row r="714">
      <c r="A714" s="974"/>
      <c r="B714" s="978"/>
      <c r="C714" s="978"/>
      <c r="D714" s="978"/>
      <c r="E714" s="978"/>
      <c r="F714" s="978"/>
      <c r="G714" s="978"/>
      <c r="H714" s="978"/>
      <c r="I714" s="978"/>
    </row>
    <row r="715">
      <c r="A715" s="975"/>
      <c r="B715" s="983"/>
      <c r="C715" s="983"/>
      <c r="D715" s="983"/>
      <c r="E715" s="983"/>
      <c r="F715" s="983"/>
      <c r="G715" s="983"/>
      <c r="H715" s="983"/>
      <c r="I715" s="983"/>
    </row>
    <row r="716">
      <c r="A716" s="974"/>
      <c r="B716" s="978"/>
      <c r="C716" s="978"/>
      <c r="D716" s="978"/>
      <c r="E716" s="978"/>
      <c r="F716" s="978"/>
      <c r="G716" s="978"/>
      <c r="H716" s="978"/>
      <c r="I716" s="978"/>
    </row>
    <row r="717">
      <c r="A717" s="975"/>
      <c r="B717" s="983"/>
      <c r="C717" s="983"/>
      <c r="D717" s="983"/>
      <c r="E717" s="983"/>
      <c r="F717" s="983"/>
      <c r="G717" s="983"/>
      <c r="H717" s="983"/>
      <c r="I717" s="983"/>
    </row>
    <row r="718">
      <c r="A718" s="974"/>
      <c r="B718" s="978"/>
      <c r="C718" s="978"/>
      <c r="D718" s="978"/>
      <c r="E718" s="978"/>
      <c r="F718" s="978"/>
      <c r="G718" s="978"/>
      <c r="H718" s="978"/>
      <c r="I718" s="978"/>
    </row>
    <row r="719">
      <c r="A719" s="975"/>
      <c r="B719" s="983"/>
      <c r="C719" s="983"/>
      <c r="D719" s="983"/>
      <c r="E719" s="983"/>
      <c r="F719" s="983"/>
      <c r="G719" s="983"/>
      <c r="H719" s="983"/>
      <c r="I719" s="983"/>
    </row>
    <row r="720">
      <c r="A720" s="974"/>
      <c r="B720" s="978"/>
      <c r="C720" s="978"/>
      <c r="D720" s="978"/>
      <c r="E720" s="978"/>
      <c r="F720" s="978"/>
      <c r="G720" s="978"/>
      <c r="H720" s="978"/>
      <c r="I720" s="978"/>
    </row>
    <row r="721">
      <c r="A721" s="975"/>
      <c r="B721" s="983"/>
      <c r="C721" s="983"/>
      <c r="D721" s="983"/>
      <c r="E721" s="983"/>
      <c r="F721" s="983"/>
      <c r="G721" s="983"/>
      <c r="H721" s="983"/>
      <c r="I721" s="983"/>
    </row>
    <row r="722">
      <c r="A722" s="974"/>
      <c r="B722" s="978"/>
      <c r="C722" s="978"/>
      <c r="D722" s="978"/>
      <c r="E722" s="978"/>
      <c r="F722" s="978"/>
      <c r="G722" s="978"/>
      <c r="H722" s="978"/>
      <c r="I722" s="978"/>
    </row>
    <row r="723">
      <c r="A723" s="975"/>
      <c r="B723" s="983"/>
      <c r="C723" s="983"/>
      <c r="D723" s="983"/>
      <c r="E723" s="983"/>
      <c r="F723" s="983"/>
      <c r="G723" s="983"/>
      <c r="H723" s="983"/>
      <c r="I723" s="983"/>
    </row>
    <row r="724">
      <c r="A724" s="974"/>
      <c r="B724" s="978"/>
      <c r="C724" s="978"/>
      <c r="D724" s="978"/>
      <c r="E724" s="978"/>
      <c r="F724" s="978"/>
      <c r="G724" s="978"/>
      <c r="H724" s="978"/>
      <c r="I724" s="978"/>
    </row>
    <row r="725">
      <c r="A725" s="975"/>
      <c r="B725" s="983"/>
      <c r="C725" s="983"/>
      <c r="D725" s="983"/>
      <c r="E725" s="983"/>
      <c r="F725" s="983"/>
      <c r="G725" s="983"/>
      <c r="H725" s="983"/>
      <c r="I725" s="983"/>
    </row>
    <row r="726">
      <c r="A726" s="974"/>
      <c r="B726" s="978"/>
      <c r="C726" s="978"/>
      <c r="D726" s="978"/>
      <c r="E726" s="978"/>
      <c r="F726" s="978"/>
      <c r="G726" s="978"/>
      <c r="H726" s="978"/>
      <c r="I726" s="978"/>
    </row>
    <row r="727">
      <c r="A727" s="975"/>
      <c r="B727" s="983"/>
      <c r="C727" s="983"/>
      <c r="D727" s="983"/>
      <c r="E727" s="983"/>
      <c r="F727" s="983"/>
      <c r="G727" s="983"/>
      <c r="H727" s="983"/>
      <c r="I727" s="983"/>
    </row>
    <row r="728">
      <c r="A728" s="974"/>
      <c r="B728" s="978"/>
      <c r="C728" s="978"/>
      <c r="D728" s="978"/>
      <c r="E728" s="978"/>
      <c r="F728" s="978"/>
      <c r="G728" s="978"/>
      <c r="H728" s="978"/>
      <c r="I728" s="978"/>
    </row>
    <row r="729">
      <c r="A729" s="975"/>
      <c r="B729" s="983"/>
      <c r="C729" s="983"/>
      <c r="D729" s="983"/>
      <c r="E729" s="983"/>
      <c r="F729" s="983"/>
      <c r="G729" s="983"/>
      <c r="H729" s="983"/>
      <c r="I729" s="983"/>
    </row>
    <row r="730">
      <c r="A730" s="974"/>
      <c r="B730" s="978"/>
      <c r="C730" s="978"/>
      <c r="D730" s="978"/>
      <c r="E730" s="978"/>
      <c r="F730" s="978"/>
      <c r="G730" s="978"/>
      <c r="H730" s="978"/>
      <c r="I730" s="978"/>
    </row>
    <row r="731">
      <c r="A731" s="975"/>
      <c r="B731" s="983"/>
      <c r="C731" s="983"/>
      <c r="D731" s="983"/>
      <c r="E731" s="983"/>
      <c r="F731" s="983"/>
      <c r="G731" s="983"/>
      <c r="H731" s="983"/>
      <c r="I731" s="983"/>
    </row>
    <row r="732">
      <c r="A732" s="974"/>
      <c r="B732" s="978"/>
      <c r="C732" s="978"/>
      <c r="D732" s="978"/>
      <c r="E732" s="978"/>
      <c r="F732" s="978"/>
      <c r="G732" s="978"/>
      <c r="H732" s="978"/>
      <c r="I732" s="978"/>
    </row>
    <row r="733">
      <c r="A733" s="975"/>
      <c r="B733" s="983"/>
      <c r="C733" s="983"/>
      <c r="D733" s="983"/>
      <c r="E733" s="983"/>
      <c r="F733" s="983"/>
      <c r="G733" s="983"/>
      <c r="H733" s="983"/>
      <c r="I733" s="983"/>
    </row>
    <row r="734">
      <c r="A734" s="974"/>
      <c r="B734" s="978"/>
      <c r="C734" s="978"/>
      <c r="D734" s="978"/>
      <c r="E734" s="978"/>
      <c r="F734" s="978"/>
      <c r="G734" s="978"/>
      <c r="H734" s="978"/>
      <c r="I734" s="978"/>
    </row>
    <row r="735">
      <c r="A735" s="975"/>
      <c r="B735" s="983"/>
      <c r="C735" s="983"/>
      <c r="D735" s="983"/>
      <c r="E735" s="983"/>
      <c r="F735" s="983"/>
      <c r="G735" s="983"/>
      <c r="H735" s="983"/>
      <c r="I735" s="983"/>
    </row>
    <row r="736">
      <c r="A736" s="974"/>
      <c r="B736" s="978"/>
      <c r="C736" s="978"/>
      <c r="D736" s="978"/>
      <c r="E736" s="978"/>
      <c r="F736" s="978"/>
      <c r="G736" s="978"/>
      <c r="H736" s="978"/>
      <c r="I736" s="978"/>
    </row>
    <row r="737">
      <c r="A737" s="975"/>
      <c r="B737" s="983"/>
      <c r="C737" s="983"/>
      <c r="D737" s="983"/>
      <c r="E737" s="983"/>
      <c r="F737" s="983"/>
      <c r="G737" s="983"/>
      <c r="H737" s="983"/>
      <c r="I737" s="983"/>
    </row>
    <row r="738">
      <c r="A738" s="974"/>
      <c r="B738" s="978"/>
      <c r="C738" s="978"/>
      <c r="D738" s="978"/>
      <c r="E738" s="978"/>
      <c r="F738" s="978"/>
      <c r="G738" s="978"/>
      <c r="H738" s="978"/>
      <c r="I738" s="978"/>
    </row>
    <row r="739">
      <c r="A739" s="975"/>
      <c r="B739" s="983"/>
      <c r="C739" s="983"/>
      <c r="D739" s="983"/>
      <c r="E739" s="983"/>
      <c r="F739" s="983"/>
      <c r="G739" s="983"/>
      <c r="H739" s="983"/>
      <c r="I739" s="983"/>
    </row>
    <row r="740">
      <c r="A740" s="974"/>
      <c r="B740" s="978"/>
      <c r="C740" s="978"/>
      <c r="D740" s="978"/>
      <c r="E740" s="978"/>
      <c r="F740" s="978"/>
      <c r="G740" s="978"/>
      <c r="H740" s="978"/>
      <c r="I740" s="978"/>
    </row>
    <row r="741">
      <c r="A741" s="975"/>
      <c r="B741" s="983"/>
      <c r="C741" s="983"/>
      <c r="D741" s="983"/>
      <c r="E741" s="983"/>
      <c r="F741" s="983"/>
      <c r="G741" s="983"/>
      <c r="H741" s="983"/>
      <c r="I741" s="983"/>
    </row>
    <row r="742">
      <c r="A742" s="974"/>
      <c r="B742" s="978"/>
      <c r="C742" s="978"/>
      <c r="D742" s="978"/>
      <c r="E742" s="978"/>
      <c r="F742" s="978"/>
      <c r="G742" s="978"/>
      <c r="H742" s="978"/>
      <c r="I742" s="978"/>
    </row>
    <row r="743">
      <c r="A743" s="975"/>
      <c r="B743" s="983"/>
      <c r="C743" s="983"/>
      <c r="D743" s="983"/>
      <c r="E743" s="983"/>
      <c r="F743" s="983"/>
      <c r="G743" s="983"/>
      <c r="H743" s="983"/>
      <c r="I743" s="983"/>
    </row>
    <row r="744">
      <c r="A744" s="974"/>
      <c r="B744" s="978"/>
      <c r="C744" s="978"/>
      <c r="D744" s="978"/>
      <c r="E744" s="978"/>
      <c r="F744" s="978"/>
      <c r="G744" s="978"/>
      <c r="H744" s="978"/>
      <c r="I744" s="978"/>
    </row>
    <row r="745">
      <c r="A745" s="975"/>
      <c r="B745" s="983"/>
      <c r="C745" s="983"/>
      <c r="D745" s="983"/>
      <c r="E745" s="983"/>
      <c r="F745" s="983"/>
      <c r="G745" s="983"/>
      <c r="H745" s="983"/>
      <c r="I745" s="983"/>
    </row>
    <row r="746">
      <c r="A746" s="974"/>
      <c r="B746" s="978"/>
      <c r="C746" s="978"/>
      <c r="D746" s="978"/>
      <c r="E746" s="978"/>
      <c r="F746" s="978"/>
      <c r="G746" s="978"/>
      <c r="H746" s="978"/>
      <c r="I746" s="978"/>
    </row>
    <row r="747">
      <c r="A747" s="975"/>
      <c r="B747" s="983"/>
      <c r="C747" s="983"/>
      <c r="D747" s="983"/>
      <c r="E747" s="983"/>
      <c r="F747" s="983"/>
      <c r="G747" s="983"/>
      <c r="H747" s="983"/>
      <c r="I747" s="983"/>
    </row>
    <row r="748">
      <c r="A748" s="974"/>
      <c r="B748" s="978"/>
      <c r="C748" s="978"/>
      <c r="D748" s="978"/>
      <c r="E748" s="978"/>
      <c r="F748" s="978"/>
      <c r="G748" s="978"/>
      <c r="H748" s="978"/>
      <c r="I748" s="978"/>
    </row>
    <row r="749">
      <c r="A749" s="975"/>
      <c r="B749" s="983"/>
      <c r="C749" s="983"/>
      <c r="D749" s="983"/>
      <c r="E749" s="983"/>
      <c r="F749" s="983"/>
      <c r="G749" s="983"/>
      <c r="H749" s="983"/>
      <c r="I749" s="983"/>
    </row>
    <row r="750">
      <c r="A750" s="974"/>
      <c r="B750" s="978"/>
      <c r="C750" s="978"/>
      <c r="D750" s="978"/>
      <c r="E750" s="978"/>
      <c r="F750" s="978"/>
      <c r="G750" s="978"/>
      <c r="H750" s="978"/>
      <c r="I750" s="978"/>
    </row>
    <row r="751">
      <c r="A751" s="975"/>
      <c r="B751" s="983"/>
      <c r="C751" s="983"/>
      <c r="D751" s="983"/>
      <c r="E751" s="983"/>
      <c r="F751" s="983"/>
      <c r="G751" s="983"/>
      <c r="H751" s="983"/>
      <c r="I751" s="983"/>
    </row>
    <row r="752">
      <c r="A752" s="974"/>
      <c r="B752" s="978"/>
      <c r="C752" s="978"/>
      <c r="D752" s="978"/>
      <c r="E752" s="978"/>
      <c r="F752" s="978"/>
      <c r="G752" s="978"/>
      <c r="H752" s="978"/>
      <c r="I752" s="978"/>
    </row>
    <row r="753">
      <c r="A753" s="975"/>
      <c r="B753" s="983"/>
      <c r="C753" s="983"/>
      <c r="D753" s="983"/>
      <c r="E753" s="983"/>
      <c r="F753" s="983"/>
      <c r="G753" s="983"/>
      <c r="H753" s="983"/>
      <c r="I753" s="983"/>
    </row>
    <row r="754">
      <c r="A754" s="974"/>
      <c r="B754" s="978"/>
      <c r="C754" s="978"/>
      <c r="D754" s="978"/>
      <c r="E754" s="978"/>
      <c r="F754" s="978"/>
      <c r="G754" s="978"/>
      <c r="H754" s="978"/>
      <c r="I754" s="978"/>
    </row>
    <row r="755">
      <c r="A755" s="975"/>
      <c r="B755" s="983"/>
      <c r="C755" s="983"/>
      <c r="D755" s="983"/>
      <c r="E755" s="983"/>
      <c r="F755" s="983"/>
      <c r="G755" s="983"/>
      <c r="H755" s="983"/>
      <c r="I755" s="983"/>
    </row>
    <row r="756">
      <c r="A756" s="974"/>
      <c r="B756" s="978"/>
      <c r="C756" s="978"/>
      <c r="D756" s="978"/>
      <c r="E756" s="978"/>
      <c r="F756" s="978"/>
      <c r="G756" s="978"/>
      <c r="H756" s="978"/>
      <c r="I756" s="978"/>
    </row>
    <row r="757">
      <c r="A757" s="975"/>
      <c r="B757" s="983"/>
      <c r="C757" s="983"/>
      <c r="D757" s="983"/>
      <c r="E757" s="983"/>
      <c r="F757" s="983"/>
      <c r="G757" s="983"/>
      <c r="H757" s="983"/>
      <c r="I757" s="983"/>
    </row>
    <row r="758">
      <c r="A758" s="974"/>
      <c r="B758" s="978"/>
      <c r="C758" s="978"/>
      <c r="D758" s="978"/>
      <c r="E758" s="978"/>
      <c r="F758" s="978"/>
      <c r="G758" s="978"/>
      <c r="H758" s="978"/>
      <c r="I758" s="978"/>
    </row>
    <row r="759">
      <c r="A759" s="975"/>
      <c r="B759" s="983"/>
      <c r="C759" s="983"/>
      <c r="D759" s="983"/>
      <c r="E759" s="983"/>
      <c r="F759" s="983"/>
      <c r="G759" s="983"/>
      <c r="H759" s="983"/>
      <c r="I759" s="983"/>
    </row>
    <row r="760">
      <c r="A760" s="974"/>
      <c r="B760" s="978"/>
      <c r="C760" s="978"/>
      <c r="D760" s="978"/>
      <c r="E760" s="978"/>
      <c r="F760" s="978"/>
      <c r="G760" s="978"/>
      <c r="H760" s="978"/>
      <c r="I760" s="978"/>
    </row>
    <row r="761">
      <c r="A761" s="975"/>
      <c r="B761" s="983"/>
      <c r="C761" s="983"/>
      <c r="D761" s="983"/>
      <c r="E761" s="983"/>
      <c r="F761" s="983"/>
      <c r="G761" s="983"/>
      <c r="H761" s="983"/>
      <c r="I761" s="983"/>
    </row>
    <row r="762">
      <c r="A762" s="974"/>
      <c r="B762" s="978"/>
      <c r="C762" s="978"/>
      <c r="D762" s="978"/>
      <c r="E762" s="978"/>
      <c r="F762" s="978"/>
      <c r="G762" s="978"/>
      <c r="H762" s="978"/>
      <c r="I762" s="978"/>
    </row>
    <row r="763">
      <c r="A763" s="975"/>
      <c r="B763" s="983"/>
      <c r="C763" s="983"/>
      <c r="D763" s="983"/>
      <c r="E763" s="983"/>
      <c r="F763" s="983"/>
      <c r="G763" s="983"/>
      <c r="H763" s="983"/>
      <c r="I763" s="983"/>
    </row>
    <row r="764">
      <c r="A764" s="974"/>
      <c r="B764" s="978"/>
      <c r="C764" s="978"/>
      <c r="D764" s="978"/>
      <c r="E764" s="978"/>
      <c r="F764" s="978"/>
      <c r="G764" s="978"/>
      <c r="H764" s="978"/>
      <c r="I764" s="978"/>
    </row>
    <row r="765">
      <c r="A765" s="975"/>
      <c r="B765" s="983"/>
      <c r="C765" s="983"/>
      <c r="D765" s="983"/>
      <c r="E765" s="983"/>
      <c r="F765" s="983"/>
      <c r="G765" s="983"/>
      <c r="H765" s="983"/>
      <c r="I765" s="983"/>
    </row>
    <row r="766">
      <c r="A766" s="974"/>
      <c r="B766" s="978"/>
      <c r="C766" s="978"/>
      <c r="D766" s="978"/>
      <c r="E766" s="978"/>
      <c r="F766" s="978"/>
      <c r="G766" s="978"/>
      <c r="H766" s="978"/>
      <c r="I766" s="978"/>
    </row>
    <row r="767">
      <c r="A767" s="975"/>
      <c r="B767" s="983"/>
      <c r="C767" s="983"/>
      <c r="D767" s="983"/>
      <c r="E767" s="983"/>
      <c r="F767" s="983"/>
      <c r="G767" s="983"/>
      <c r="H767" s="983"/>
      <c r="I767" s="983"/>
    </row>
    <row r="768">
      <c r="A768" s="974"/>
      <c r="B768" s="978"/>
      <c r="C768" s="978"/>
      <c r="D768" s="978"/>
      <c r="E768" s="978"/>
      <c r="F768" s="978"/>
      <c r="G768" s="978"/>
      <c r="H768" s="978"/>
      <c r="I768" s="978"/>
    </row>
    <row r="769">
      <c r="A769" s="975"/>
      <c r="B769" s="983"/>
      <c r="C769" s="983"/>
      <c r="D769" s="983"/>
      <c r="E769" s="983"/>
      <c r="F769" s="983"/>
      <c r="G769" s="983"/>
      <c r="H769" s="983"/>
      <c r="I769" s="983"/>
    </row>
    <row r="770">
      <c r="A770" s="974"/>
      <c r="B770" s="978"/>
      <c r="C770" s="978"/>
      <c r="D770" s="978"/>
      <c r="E770" s="978"/>
      <c r="F770" s="978"/>
      <c r="G770" s="978"/>
      <c r="H770" s="978"/>
      <c r="I770" s="978"/>
    </row>
    <row r="771">
      <c r="A771" s="975"/>
      <c r="B771" s="983"/>
      <c r="C771" s="983"/>
      <c r="D771" s="983"/>
      <c r="E771" s="983"/>
      <c r="F771" s="983"/>
      <c r="G771" s="983"/>
      <c r="H771" s="983"/>
      <c r="I771" s="983"/>
    </row>
    <row r="772">
      <c r="A772" s="974"/>
      <c r="B772" s="978"/>
      <c r="C772" s="978"/>
      <c r="D772" s="978"/>
      <c r="E772" s="978"/>
      <c r="F772" s="978"/>
      <c r="G772" s="978"/>
      <c r="H772" s="978"/>
      <c r="I772" s="978"/>
    </row>
    <row r="773">
      <c r="A773" s="975"/>
      <c r="B773" s="983"/>
      <c r="C773" s="983"/>
      <c r="D773" s="983"/>
      <c r="E773" s="983"/>
      <c r="F773" s="983"/>
      <c r="G773" s="983"/>
      <c r="H773" s="983"/>
      <c r="I773" s="983"/>
    </row>
    <row r="774">
      <c r="A774" s="974"/>
      <c r="B774" s="978"/>
      <c r="C774" s="978"/>
      <c r="D774" s="978"/>
      <c r="E774" s="978"/>
      <c r="F774" s="978"/>
      <c r="G774" s="978"/>
      <c r="H774" s="978"/>
      <c r="I774" s="978"/>
    </row>
    <row r="775">
      <c r="A775" s="975"/>
      <c r="B775" s="983"/>
      <c r="C775" s="983"/>
      <c r="D775" s="983"/>
      <c r="E775" s="983"/>
      <c r="F775" s="983"/>
      <c r="G775" s="983"/>
      <c r="H775" s="983"/>
      <c r="I775" s="983"/>
    </row>
    <row r="776">
      <c r="A776" s="974"/>
      <c r="B776" s="978"/>
      <c r="C776" s="978"/>
      <c r="D776" s="978"/>
      <c r="E776" s="978"/>
      <c r="F776" s="978"/>
      <c r="G776" s="978"/>
      <c r="H776" s="978"/>
      <c r="I776" s="978"/>
    </row>
    <row r="777">
      <c r="A777" s="975"/>
      <c r="B777" s="983"/>
      <c r="C777" s="983"/>
      <c r="D777" s="983"/>
      <c r="E777" s="983"/>
      <c r="F777" s="983"/>
      <c r="G777" s="983"/>
      <c r="H777" s="983"/>
      <c r="I777" s="983"/>
    </row>
    <row r="778">
      <c r="A778" s="974"/>
      <c r="B778" s="978"/>
      <c r="C778" s="978"/>
      <c r="D778" s="978"/>
      <c r="E778" s="978"/>
      <c r="F778" s="978"/>
      <c r="G778" s="978"/>
      <c r="H778" s="978"/>
      <c r="I778" s="978"/>
    </row>
    <row r="779">
      <c r="A779" s="975"/>
      <c r="B779" s="983"/>
      <c r="C779" s="983"/>
      <c r="D779" s="983"/>
      <c r="E779" s="983"/>
      <c r="F779" s="983"/>
      <c r="G779" s="983"/>
      <c r="H779" s="983"/>
      <c r="I779" s="983"/>
    </row>
    <row r="780">
      <c r="A780" s="974"/>
      <c r="B780" s="978"/>
      <c r="C780" s="978"/>
      <c r="D780" s="978"/>
      <c r="E780" s="978"/>
      <c r="F780" s="978"/>
      <c r="G780" s="978"/>
      <c r="H780" s="978"/>
      <c r="I780" s="978"/>
    </row>
    <row r="781">
      <c r="A781" s="975"/>
      <c r="B781" s="983"/>
      <c r="C781" s="983"/>
      <c r="D781" s="983"/>
      <c r="E781" s="983"/>
      <c r="F781" s="983"/>
      <c r="G781" s="983"/>
      <c r="H781" s="983"/>
      <c r="I781" s="983"/>
    </row>
    <row r="782">
      <c r="A782" s="974"/>
      <c r="B782" s="978"/>
      <c r="C782" s="978"/>
      <c r="D782" s="978"/>
      <c r="E782" s="978"/>
      <c r="F782" s="978"/>
      <c r="G782" s="978"/>
      <c r="H782" s="978"/>
      <c r="I782" s="978"/>
    </row>
    <row r="783">
      <c r="A783" s="975"/>
      <c r="B783" s="983"/>
      <c r="C783" s="983"/>
      <c r="D783" s="983"/>
      <c r="E783" s="983"/>
      <c r="F783" s="983"/>
      <c r="G783" s="983"/>
      <c r="H783" s="983"/>
      <c r="I783" s="983"/>
    </row>
    <row r="784">
      <c r="A784" s="974"/>
      <c r="B784" s="978"/>
      <c r="C784" s="978"/>
      <c r="D784" s="978"/>
      <c r="E784" s="978"/>
      <c r="F784" s="978"/>
      <c r="G784" s="978"/>
      <c r="H784" s="978"/>
      <c r="I784" s="978"/>
    </row>
    <row r="785">
      <c r="A785" s="975"/>
      <c r="B785" s="983"/>
      <c r="C785" s="983"/>
      <c r="D785" s="983"/>
      <c r="E785" s="983"/>
      <c r="F785" s="983"/>
      <c r="G785" s="983"/>
      <c r="H785" s="983"/>
      <c r="I785" s="983"/>
    </row>
    <row r="786">
      <c r="A786" s="974"/>
      <c r="B786" s="978"/>
      <c r="C786" s="978"/>
      <c r="D786" s="978"/>
      <c r="E786" s="978"/>
      <c r="F786" s="978"/>
      <c r="G786" s="978"/>
      <c r="H786" s="978"/>
      <c r="I786" s="978"/>
    </row>
    <row r="787">
      <c r="A787" s="975"/>
      <c r="B787" s="983"/>
      <c r="C787" s="983"/>
      <c r="D787" s="983"/>
      <c r="E787" s="983"/>
      <c r="F787" s="983"/>
      <c r="G787" s="983"/>
      <c r="H787" s="983"/>
      <c r="I787" s="983"/>
    </row>
    <row r="788">
      <c r="A788" s="974"/>
      <c r="B788" s="978"/>
      <c r="C788" s="978"/>
      <c r="D788" s="978"/>
      <c r="E788" s="978"/>
      <c r="F788" s="978"/>
      <c r="G788" s="978"/>
      <c r="H788" s="978"/>
      <c r="I788" s="978"/>
    </row>
    <row r="789">
      <c r="A789" s="975"/>
      <c r="B789" s="983"/>
      <c r="C789" s="983"/>
      <c r="D789" s="983"/>
      <c r="E789" s="983"/>
      <c r="F789" s="983"/>
      <c r="G789" s="983"/>
      <c r="H789" s="983"/>
      <c r="I789" s="983"/>
    </row>
    <row r="790">
      <c r="A790" s="974"/>
      <c r="B790" s="978"/>
      <c r="C790" s="978"/>
      <c r="D790" s="978"/>
      <c r="E790" s="978"/>
      <c r="F790" s="978"/>
      <c r="G790" s="978"/>
      <c r="H790" s="978"/>
      <c r="I790" s="978"/>
    </row>
    <row r="791">
      <c r="A791" s="975"/>
      <c r="B791" s="983"/>
      <c r="C791" s="983"/>
      <c r="D791" s="983"/>
      <c r="E791" s="983"/>
      <c r="F791" s="983"/>
      <c r="G791" s="983"/>
      <c r="H791" s="983"/>
      <c r="I791" s="983"/>
    </row>
    <row r="792">
      <c r="A792" s="974"/>
      <c r="B792" s="978"/>
      <c r="C792" s="978"/>
      <c r="D792" s="978"/>
      <c r="E792" s="978"/>
      <c r="F792" s="978"/>
      <c r="G792" s="978"/>
      <c r="H792" s="978"/>
      <c r="I792" s="978"/>
    </row>
    <row r="793">
      <c r="A793" s="975"/>
      <c r="B793" s="983"/>
      <c r="C793" s="983"/>
      <c r="D793" s="983"/>
      <c r="E793" s="983"/>
      <c r="F793" s="983"/>
      <c r="G793" s="983"/>
      <c r="H793" s="983"/>
      <c r="I793" s="983"/>
    </row>
    <row r="794">
      <c r="A794" s="974"/>
      <c r="B794" s="978"/>
      <c r="C794" s="978"/>
      <c r="D794" s="978"/>
      <c r="E794" s="978"/>
      <c r="F794" s="978"/>
      <c r="G794" s="978"/>
      <c r="H794" s="978"/>
      <c r="I794" s="978"/>
    </row>
    <row r="795">
      <c r="A795" s="975"/>
      <c r="B795" s="983"/>
      <c r="C795" s="983"/>
      <c r="D795" s="983"/>
      <c r="E795" s="983"/>
      <c r="F795" s="983"/>
      <c r="G795" s="983"/>
      <c r="H795" s="983"/>
      <c r="I795" s="983"/>
    </row>
    <row r="796">
      <c r="A796" s="974"/>
      <c r="B796" s="978"/>
      <c r="C796" s="978"/>
      <c r="D796" s="978"/>
      <c r="E796" s="978"/>
      <c r="F796" s="978"/>
      <c r="G796" s="978"/>
      <c r="H796" s="978"/>
      <c r="I796" s="978"/>
    </row>
    <row r="797">
      <c r="A797" s="975"/>
      <c r="B797" s="983"/>
      <c r="C797" s="983"/>
      <c r="D797" s="983"/>
      <c r="E797" s="983"/>
      <c r="F797" s="983"/>
      <c r="G797" s="983"/>
      <c r="H797" s="983"/>
      <c r="I797" s="983"/>
    </row>
    <row r="798">
      <c r="A798" s="974"/>
      <c r="B798" s="978"/>
      <c r="C798" s="978"/>
      <c r="D798" s="978"/>
      <c r="E798" s="978"/>
      <c r="F798" s="978"/>
      <c r="G798" s="978"/>
      <c r="H798" s="978"/>
      <c r="I798" s="978"/>
    </row>
    <row r="799">
      <c r="A799" s="975"/>
      <c r="B799" s="983"/>
      <c r="C799" s="983"/>
      <c r="D799" s="983"/>
      <c r="E799" s="983"/>
      <c r="F799" s="983"/>
      <c r="G799" s="983"/>
      <c r="H799" s="983"/>
      <c r="I799" s="983"/>
    </row>
    <row r="800">
      <c r="A800" s="974"/>
      <c r="B800" s="978"/>
      <c r="C800" s="978"/>
      <c r="D800" s="978"/>
      <c r="E800" s="978"/>
      <c r="F800" s="978"/>
      <c r="G800" s="978"/>
      <c r="H800" s="978"/>
      <c r="I800" s="978"/>
    </row>
    <row r="801">
      <c r="A801" s="975"/>
      <c r="B801" s="983"/>
      <c r="C801" s="983"/>
      <c r="D801" s="983"/>
      <c r="E801" s="983"/>
      <c r="F801" s="983"/>
      <c r="G801" s="983"/>
      <c r="H801" s="983"/>
      <c r="I801" s="983"/>
    </row>
    <row r="802">
      <c r="A802" s="974"/>
      <c r="B802" s="978"/>
      <c r="C802" s="978"/>
      <c r="D802" s="978"/>
      <c r="E802" s="978"/>
      <c r="F802" s="978"/>
      <c r="G802" s="978"/>
      <c r="H802" s="978"/>
      <c r="I802" s="978"/>
    </row>
    <row r="803">
      <c r="A803" s="975"/>
      <c r="B803" s="983"/>
      <c r="C803" s="983"/>
      <c r="D803" s="983"/>
      <c r="E803" s="983"/>
      <c r="F803" s="983"/>
      <c r="G803" s="983"/>
      <c r="H803" s="983"/>
      <c r="I803" s="983"/>
    </row>
    <row r="804">
      <c r="A804" s="974"/>
      <c r="B804" s="978"/>
      <c r="C804" s="978"/>
      <c r="D804" s="978"/>
      <c r="E804" s="978"/>
      <c r="F804" s="978"/>
      <c r="G804" s="978"/>
      <c r="H804" s="978"/>
      <c r="I804" s="978"/>
    </row>
    <row r="805">
      <c r="A805" s="975"/>
      <c r="B805" s="983"/>
      <c r="C805" s="983"/>
      <c r="D805" s="983"/>
      <c r="E805" s="983"/>
      <c r="F805" s="983"/>
      <c r="G805" s="983"/>
      <c r="H805" s="983"/>
      <c r="I805" s="983"/>
    </row>
    <row r="806">
      <c r="A806" s="974"/>
      <c r="B806" s="978"/>
      <c r="C806" s="978"/>
      <c r="D806" s="978"/>
      <c r="E806" s="978"/>
      <c r="F806" s="978"/>
      <c r="G806" s="978"/>
      <c r="H806" s="978"/>
      <c r="I806" s="978"/>
    </row>
    <row r="807">
      <c r="A807" s="975"/>
      <c r="B807" s="983"/>
      <c r="C807" s="983"/>
      <c r="D807" s="983"/>
      <c r="E807" s="983"/>
      <c r="F807" s="983"/>
      <c r="G807" s="983"/>
      <c r="H807" s="983"/>
      <c r="I807" s="983"/>
    </row>
    <row r="808">
      <c r="A808" s="974"/>
      <c r="B808" s="978"/>
      <c r="C808" s="978"/>
      <c r="D808" s="978"/>
      <c r="E808" s="978"/>
      <c r="F808" s="978"/>
      <c r="G808" s="978"/>
      <c r="H808" s="978"/>
      <c r="I808" s="978"/>
    </row>
    <row r="809">
      <c r="A809" s="975"/>
      <c r="B809" s="983"/>
      <c r="C809" s="983"/>
      <c r="D809" s="983"/>
      <c r="E809" s="983"/>
      <c r="F809" s="983"/>
      <c r="G809" s="983"/>
      <c r="H809" s="983"/>
      <c r="I809" s="983"/>
    </row>
    <row r="810">
      <c r="A810" s="974"/>
      <c r="B810" s="978"/>
      <c r="C810" s="978"/>
      <c r="D810" s="978"/>
      <c r="E810" s="978"/>
      <c r="F810" s="978"/>
      <c r="G810" s="978"/>
      <c r="H810" s="978"/>
      <c r="I810" s="978"/>
    </row>
    <row r="811">
      <c r="A811" s="975"/>
      <c r="B811" s="983"/>
      <c r="C811" s="983"/>
      <c r="D811" s="983"/>
      <c r="E811" s="983"/>
      <c r="F811" s="983"/>
      <c r="G811" s="983"/>
      <c r="H811" s="983"/>
      <c r="I811" s="983"/>
    </row>
    <row r="812">
      <c r="A812" s="974"/>
      <c r="B812" s="978"/>
      <c r="C812" s="978"/>
      <c r="D812" s="978"/>
      <c r="E812" s="978"/>
      <c r="F812" s="978"/>
      <c r="G812" s="978"/>
      <c r="H812" s="978"/>
      <c r="I812" s="978"/>
    </row>
    <row r="813">
      <c r="A813" s="975"/>
      <c r="B813" s="983"/>
      <c r="C813" s="983"/>
      <c r="D813" s="983"/>
      <c r="E813" s="983"/>
      <c r="F813" s="983"/>
      <c r="G813" s="983"/>
      <c r="H813" s="983"/>
      <c r="I813" s="983"/>
    </row>
    <row r="814">
      <c r="A814" s="974"/>
      <c r="B814" s="978"/>
      <c r="C814" s="978"/>
      <c r="D814" s="978"/>
      <c r="E814" s="978"/>
      <c r="F814" s="978"/>
      <c r="G814" s="978"/>
      <c r="H814" s="978"/>
      <c r="I814" s="978"/>
    </row>
    <row r="815">
      <c r="A815" s="975"/>
      <c r="B815" s="983"/>
      <c r="C815" s="983"/>
      <c r="D815" s="983"/>
      <c r="E815" s="983"/>
      <c r="F815" s="983"/>
      <c r="G815" s="983"/>
      <c r="H815" s="983"/>
      <c r="I815" s="983"/>
    </row>
    <row r="816">
      <c r="A816" s="974"/>
      <c r="B816" s="978"/>
      <c r="C816" s="978"/>
      <c r="D816" s="978"/>
      <c r="E816" s="978"/>
      <c r="F816" s="978"/>
      <c r="G816" s="978"/>
      <c r="H816" s="978"/>
      <c r="I816" s="978"/>
    </row>
    <row r="817">
      <c r="A817" s="975"/>
      <c r="B817" s="983"/>
      <c r="C817" s="983"/>
      <c r="D817" s="983"/>
      <c r="E817" s="983"/>
      <c r="F817" s="983"/>
      <c r="G817" s="983"/>
      <c r="H817" s="983"/>
      <c r="I817" s="983"/>
    </row>
    <row r="818">
      <c r="A818" s="974"/>
      <c r="B818" s="978"/>
      <c r="C818" s="978"/>
      <c r="D818" s="978"/>
      <c r="E818" s="978"/>
      <c r="F818" s="978"/>
      <c r="G818" s="978"/>
      <c r="H818" s="978"/>
      <c r="I818" s="978"/>
    </row>
    <row r="819">
      <c r="A819" s="975"/>
      <c r="B819" s="983"/>
      <c r="C819" s="983"/>
      <c r="D819" s="983"/>
      <c r="E819" s="983"/>
      <c r="F819" s="983"/>
      <c r="G819" s="983"/>
      <c r="H819" s="983"/>
      <c r="I819" s="983"/>
    </row>
    <row r="820">
      <c r="A820" s="974"/>
      <c r="B820" s="978"/>
      <c r="C820" s="978"/>
      <c r="D820" s="978"/>
      <c r="E820" s="978"/>
      <c r="F820" s="978"/>
      <c r="G820" s="978"/>
      <c r="H820" s="978"/>
      <c r="I820" s="978"/>
    </row>
    <row r="821">
      <c r="A821" s="975"/>
      <c r="B821" s="983"/>
      <c r="C821" s="983"/>
      <c r="D821" s="983"/>
      <c r="E821" s="983"/>
      <c r="F821" s="983"/>
      <c r="G821" s="983"/>
      <c r="H821" s="983"/>
      <c r="I821" s="983"/>
    </row>
    <row r="822">
      <c r="A822" s="974"/>
      <c r="B822" s="978"/>
      <c r="C822" s="978"/>
      <c r="D822" s="978"/>
      <c r="E822" s="978"/>
      <c r="F822" s="978"/>
      <c r="G822" s="978"/>
      <c r="H822" s="978"/>
      <c r="I822" s="978"/>
    </row>
    <row r="823">
      <c r="A823" s="975"/>
      <c r="B823" s="983"/>
      <c r="C823" s="983"/>
      <c r="D823" s="983"/>
      <c r="E823" s="983"/>
      <c r="F823" s="983"/>
      <c r="G823" s="983"/>
      <c r="H823" s="983"/>
      <c r="I823" s="983"/>
    </row>
    <row r="824">
      <c r="A824" s="974"/>
      <c r="B824" s="978"/>
      <c r="C824" s="978"/>
      <c r="D824" s="978"/>
      <c r="E824" s="978"/>
      <c r="F824" s="978"/>
      <c r="G824" s="978"/>
      <c r="H824" s="978"/>
      <c r="I824" s="978"/>
    </row>
    <row r="825">
      <c r="A825" s="975"/>
      <c r="B825" s="983"/>
      <c r="C825" s="983"/>
      <c r="D825" s="983"/>
      <c r="E825" s="983"/>
      <c r="F825" s="983"/>
      <c r="G825" s="983"/>
      <c r="H825" s="983"/>
      <c r="I825" s="983"/>
    </row>
    <row r="826">
      <c r="A826" s="974"/>
      <c r="B826" s="978"/>
      <c r="C826" s="978"/>
      <c r="D826" s="978"/>
      <c r="E826" s="978"/>
      <c r="F826" s="978"/>
      <c r="G826" s="978"/>
      <c r="H826" s="978"/>
      <c r="I826" s="978"/>
    </row>
    <row r="827">
      <c r="A827" s="975"/>
      <c r="B827" s="983"/>
      <c r="C827" s="983"/>
      <c r="D827" s="983"/>
      <c r="E827" s="983"/>
      <c r="F827" s="983"/>
      <c r="G827" s="983"/>
      <c r="H827" s="983"/>
      <c r="I827" s="983"/>
    </row>
    <row r="828">
      <c r="A828" s="974"/>
      <c r="B828" s="978"/>
      <c r="C828" s="978"/>
      <c r="D828" s="978"/>
      <c r="E828" s="978"/>
      <c r="F828" s="978"/>
      <c r="G828" s="978"/>
      <c r="H828" s="978"/>
      <c r="I828" s="978"/>
    </row>
    <row r="829">
      <c r="A829" s="975"/>
      <c r="B829" s="983"/>
      <c r="C829" s="983"/>
      <c r="D829" s="983"/>
      <c r="E829" s="983"/>
      <c r="F829" s="983"/>
      <c r="G829" s="983"/>
      <c r="H829" s="983"/>
      <c r="I829" s="983"/>
    </row>
    <row r="830">
      <c r="A830" s="974"/>
      <c r="B830" s="978"/>
      <c r="C830" s="978"/>
      <c r="D830" s="978"/>
      <c r="E830" s="978"/>
      <c r="F830" s="978"/>
      <c r="G830" s="978"/>
      <c r="H830" s="978"/>
      <c r="I830" s="978"/>
    </row>
    <row r="831">
      <c r="A831" s="975"/>
      <c r="B831" s="983"/>
      <c r="C831" s="983"/>
      <c r="D831" s="983"/>
      <c r="E831" s="983"/>
      <c r="F831" s="983"/>
      <c r="G831" s="983"/>
      <c r="H831" s="983"/>
      <c r="I831" s="983"/>
    </row>
    <row r="832">
      <c r="A832" s="974"/>
      <c r="B832" s="978"/>
      <c r="C832" s="978"/>
      <c r="D832" s="978"/>
      <c r="E832" s="978"/>
      <c r="F832" s="978"/>
      <c r="G832" s="978"/>
      <c r="H832" s="978"/>
      <c r="I832" s="978"/>
    </row>
    <row r="833">
      <c r="A833" s="975"/>
      <c r="B833" s="983"/>
      <c r="C833" s="983"/>
      <c r="D833" s="983"/>
      <c r="E833" s="983"/>
      <c r="F833" s="983"/>
      <c r="G833" s="983"/>
      <c r="H833" s="983"/>
      <c r="I833" s="983"/>
    </row>
    <row r="834">
      <c r="A834" s="974"/>
      <c r="B834" s="978"/>
      <c r="C834" s="978"/>
      <c r="D834" s="978"/>
      <c r="E834" s="978"/>
      <c r="F834" s="978"/>
      <c r="G834" s="978"/>
      <c r="H834" s="978"/>
      <c r="I834" s="978"/>
    </row>
    <row r="835">
      <c r="A835" s="975"/>
      <c r="B835" s="983"/>
      <c r="C835" s="983"/>
      <c r="D835" s="983"/>
      <c r="E835" s="983"/>
      <c r="F835" s="983"/>
      <c r="G835" s="983"/>
      <c r="H835" s="983"/>
      <c r="I835" s="983"/>
    </row>
    <row r="836">
      <c r="A836" s="974"/>
      <c r="B836" s="978"/>
      <c r="C836" s="978"/>
      <c r="D836" s="978"/>
      <c r="E836" s="978"/>
      <c r="F836" s="978"/>
      <c r="G836" s="978"/>
      <c r="H836" s="978"/>
      <c r="I836" s="978"/>
    </row>
    <row r="837">
      <c r="A837" s="975"/>
      <c r="B837" s="983"/>
      <c r="C837" s="983"/>
      <c r="D837" s="983"/>
      <c r="E837" s="983"/>
      <c r="F837" s="983"/>
      <c r="G837" s="983"/>
      <c r="H837" s="983"/>
      <c r="I837" s="983"/>
    </row>
    <row r="838">
      <c r="A838" s="974"/>
      <c r="B838" s="978"/>
      <c r="C838" s="978"/>
      <c r="D838" s="978"/>
      <c r="E838" s="978"/>
      <c r="F838" s="978"/>
      <c r="G838" s="978"/>
      <c r="H838" s="978"/>
      <c r="I838" s="978"/>
    </row>
    <row r="839">
      <c r="A839" s="975"/>
      <c r="B839" s="983"/>
      <c r="C839" s="983"/>
      <c r="D839" s="983"/>
      <c r="E839" s="983"/>
      <c r="F839" s="983"/>
      <c r="G839" s="983"/>
      <c r="H839" s="983"/>
      <c r="I839" s="983"/>
    </row>
    <row r="840">
      <c r="A840" s="974"/>
      <c r="B840" s="978"/>
      <c r="C840" s="978"/>
      <c r="D840" s="978"/>
      <c r="E840" s="978"/>
      <c r="F840" s="978"/>
      <c r="G840" s="978"/>
      <c r="H840" s="978"/>
      <c r="I840" s="978"/>
    </row>
    <row r="841">
      <c r="A841" s="975"/>
      <c r="B841" s="983"/>
      <c r="C841" s="983"/>
      <c r="D841" s="983"/>
      <c r="E841" s="983"/>
      <c r="F841" s="983"/>
      <c r="G841" s="983"/>
      <c r="H841" s="983"/>
      <c r="I841" s="983"/>
    </row>
    <row r="842">
      <c r="A842" s="974"/>
      <c r="B842" s="978"/>
      <c r="C842" s="978"/>
      <c r="D842" s="978"/>
      <c r="E842" s="978"/>
      <c r="F842" s="978"/>
      <c r="G842" s="978"/>
      <c r="H842" s="978"/>
      <c r="I842" s="978"/>
    </row>
    <row r="843">
      <c r="A843" s="975"/>
      <c r="B843" s="983"/>
      <c r="C843" s="983"/>
      <c r="D843" s="983"/>
      <c r="E843" s="983"/>
      <c r="F843" s="983"/>
      <c r="G843" s="983"/>
      <c r="H843" s="983"/>
      <c r="I843" s="983"/>
    </row>
    <row r="844">
      <c r="A844" s="974"/>
      <c r="B844" s="978"/>
      <c r="C844" s="978"/>
      <c r="D844" s="978"/>
      <c r="E844" s="978"/>
      <c r="F844" s="978"/>
      <c r="G844" s="978"/>
      <c r="H844" s="978"/>
      <c r="I844" s="978"/>
    </row>
    <row r="845">
      <c r="A845" s="975"/>
      <c r="B845" s="983"/>
      <c r="C845" s="983"/>
      <c r="D845" s="983"/>
      <c r="E845" s="983"/>
      <c r="F845" s="983"/>
      <c r="G845" s="983"/>
      <c r="H845" s="983"/>
      <c r="I845" s="983"/>
    </row>
    <row r="846">
      <c r="A846" s="974"/>
      <c r="B846" s="978"/>
      <c r="C846" s="978"/>
      <c r="D846" s="978"/>
      <c r="E846" s="978"/>
      <c r="F846" s="978"/>
      <c r="G846" s="978"/>
      <c r="H846" s="978"/>
      <c r="I846" s="978"/>
    </row>
    <row r="847">
      <c r="A847" s="975"/>
      <c r="B847" s="983"/>
      <c r="C847" s="983"/>
      <c r="D847" s="983"/>
      <c r="E847" s="983"/>
      <c r="F847" s="983"/>
      <c r="G847" s="983"/>
      <c r="H847" s="983"/>
      <c r="I847" s="983"/>
    </row>
    <row r="848">
      <c r="A848" s="974"/>
      <c r="B848" s="978"/>
      <c r="C848" s="978"/>
      <c r="D848" s="978"/>
      <c r="E848" s="978"/>
      <c r="F848" s="978"/>
      <c r="G848" s="978"/>
      <c r="H848" s="978"/>
      <c r="I848" s="978"/>
    </row>
    <row r="849">
      <c r="A849" s="975"/>
      <c r="B849" s="983"/>
      <c r="C849" s="983"/>
      <c r="D849" s="983"/>
      <c r="E849" s="983"/>
      <c r="F849" s="983"/>
      <c r="G849" s="983"/>
      <c r="H849" s="983"/>
      <c r="I849" s="983"/>
    </row>
    <row r="850">
      <c r="A850" s="974"/>
      <c r="B850" s="978"/>
      <c r="C850" s="978"/>
      <c r="D850" s="978"/>
      <c r="E850" s="978"/>
      <c r="F850" s="978"/>
      <c r="G850" s="978"/>
      <c r="H850" s="978"/>
      <c r="I850" s="978"/>
    </row>
    <row r="851">
      <c r="A851" s="975"/>
      <c r="B851" s="983"/>
      <c r="C851" s="983"/>
      <c r="D851" s="983"/>
      <c r="E851" s="983"/>
      <c r="F851" s="983"/>
      <c r="G851" s="983"/>
      <c r="H851" s="983"/>
      <c r="I851" s="983"/>
    </row>
    <row r="852">
      <c r="A852" s="974"/>
      <c r="B852" s="978"/>
      <c r="C852" s="978"/>
      <c r="D852" s="978"/>
      <c r="E852" s="978"/>
      <c r="F852" s="978"/>
      <c r="G852" s="978"/>
      <c r="H852" s="978"/>
      <c r="I852" s="978"/>
    </row>
    <row r="853">
      <c r="A853" s="975"/>
      <c r="B853" s="983"/>
      <c r="C853" s="983"/>
      <c r="D853" s="983"/>
      <c r="E853" s="983"/>
      <c r="F853" s="983"/>
      <c r="G853" s="983"/>
      <c r="H853" s="983"/>
      <c r="I853" s="983"/>
    </row>
    <row r="854">
      <c r="A854" s="974"/>
      <c r="B854" s="978"/>
      <c r="C854" s="978"/>
      <c r="D854" s="978"/>
      <c r="E854" s="978"/>
      <c r="F854" s="978"/>
      <c r="G854" s="978"/>
      <c r="H854" s="978"/>
      <c r="I854" s="978"/>
    </row>
    <row r="855">
      <c r="A855" s="975"/>
      <c r="B855" s="983"/>
      <c r="C855" s="983"/>
      <c r="D855" s="983"/>
      <c r="E855" s="983"/>
      <c r="F855" s="983"/>
      <c r="G855" s="983"/>
      <c r="H855" s="983"/>
      <c r="I855" s="983"/>
    </row>
    <row r="856">
      <c r="A856" s="974"/>
      <c r="B856" s="978"/>
      <c r="C856" s="978"/>
      <c r="D856" s="978"/>
      <c r="E856" s="978"/>
      <c r="F856" s="978"/>
      <c r="G856" s="978"/>
      <c r="H856" s="978"/>
      <c r="I856" s="978"/>
    </row>
    <row r="857">
      <c r="A857" s="975"/>
      <c r="B857" s="983"/>
      <c r="C857" s="983"/>
      <c r="D857" s="983"/>
      <c r="E857" s="983"/>
      <c r="F857" s="983"/>
      <c r="G857" s="983"/>
      <c r="H857" s="983"/>
      <c r="I857" s="983"/>
    </row>
    <row r="858">
      <c r="A858" s="974"/>
      <c r="B858" s="978"/>
      <c r="C858" s="978"/>
      <c r="D858" s="978"/>
      <c r="E858" s="978"/>
      <c r="F858" s="978"/>
      <c r="G858" s="978"/>
      <c r="H858" s="978"/>
      <c r="I858" s="978"/>
    </row>
    <row r="859">
      <c r="A859" s="975"/>
      <c r="B859" s="983"/>
      <c r="C859" s="983"/>
      <c r="D859" s="983"/>
      <c r="E859" s="983"/>
      <c r="F859" s="983"/>
      <c r="G859" s="983"/>
      <c r="H859" s="983"/>
      <c r="I859" s="983"/>
    </row>
    <row r="860">
      <c r="A860" s="974"/>
      <c r="B860" s="978"/>
      <c r="C860" s="978"/>
      <c r="D860" s="978"/>
      <c r="E860" s="978"/>
      <c r="F860" s="978"/>
      <c r="G860" s="978"/>
      <c r="H860" s="978"/>
      <c r="I860" s="978"/>
    </row>
    <row r="861">
      <c r="A861" s="975"/>
      <c r="B861" s="983"/>
      <c r="C861" s="983"/>
      <c r="D861" s="983"/>
      <c r="E861" s="983"/>
      <c r="F861" s="983"/>
      <c r="G861" s="983"/>
      <c r="H861" s="983"/>
      <c r="I861" s="983"/>
    </row>
    <row r="862">
      <c r="A862" s="974"/>
      <c r="B862" s="978"/>
      <c r="C862" s="978"/>
      <c r="D862" s="978"/>
      <c r="E862" s="978"/>
      <c r="F862" s="978"/>
      <c r="G862" s="978"/>
      <c r="H862" s="978"/>
      <c r="I862" s="978"/>
    </row>
    <row r="863">
      <c r="A863" s="975"/>
      <c r="B863" s="983"/>
      <c r="C863" s="983"/>
      <c r="D863" s="983"/>
      <c r="E863" s="983"/>
      <c r="F863" s="983"/>
      <c r="G863" s="983"/>
      <c r="H863" s="983"/>
      <c r="I863" s="983"/>
    </row>
    <row r="864">
      <c r="A864" s="974"/>
      <c r="B864" s="978"/>
      <c r="C864" s="978"/>
      <c r="D864" s="978"/>
      <c r="E864" s="978"/>
      <c r="F864" s="978"/>
      <c r="G864" s="978"/>
      <c r="H864" s="978"/>
      <c r="I864" s="978"/>
    </row>
    <row r="865">
      <c r="A865" s="975"/>
      <c r="B865" s="983"/>
      <c r="C865" s="983"/>
      <c r="D865" s="983"/>
      <c r="E865" s="983"/>
      <c r="F865" s="983"/>
      <c r="G865" s="983"/>
      <c r="H865" s="983"/>
      <c r="I865" s="983"/>
    </row>
    <row r="866">
      <c r="A866" s="974"/>
      <c r="B866" s="978"/>
      <c r="C866" s="978"/>
      <c r="D866" s="978"/>
      <c r="E866" s="978"/>
      <c r="F866" s="978"/>
      <c r="G866" s="978"/>
      <c r="H866" s="978"/>
      <c r="I866" s="978"/>
    </row>
    <row r="867">
      <c r="A867" s="975"/>
      <c r="B867" s="983"/>
      <c r="C867" s="983"/>
      <c r="D867" s="983"/>
      <c r="E867" s="983"/>
      <c r="F867" s="983"/>
      <c r="G867" s="983"/>
      <c r="H867" s="983"/>
      <c r="I867" s="983"/>
    </row>
    <row r="868">
      <c r="A868" s="974"/>
      <c r="B868" s="978"/>
      <c r="C868" s="978"/>
      <c r="D868" s="978"/>
      <c r="E868" s="978"/>
      <c r="F868" s="978"/>
      <c r="G868" s="978"/>
      <c r="H868" s="978"/>
      <c r="I868" s="978"/>
    </row>
    <row r="869">
      <c r="A869" s="975"/>
      <c r="B869" s="983"/>
      <c r="C869" s="983"/>
      <c r="D869" s="983"/>
      <c r="E869" s="983"/>
      <c r="F869" s="983"/>
      <c r="G869" s="983"/>
      <c r="H869" s="983"/>
      <c r="I869" s="983"/>
    </row>
    <row r="870">
      <c r="A870" s="974"/>
      <c r="B870" s="978"/>
      <c r="C870" s="978"/>
      <c r="D870" s="978"/>
      <c r="E870" s="978"/>
      <c r="F870" s="978"/>
      <c r="G870" s="978"/>
      <c r="H870" s="978"/>
      <c r="I870" s="978"/>
    </row>
    <row r="871">
      <c r="A871" s="975"/>
      <c r="B871" s="983"/>
      <c r="C871" s="983"/>
      <c r="D871" s="983"/>
      <c r="E871" s="983"/>
      <c r="F871" s="983"/>
      <c r="G871" s="983"/>
      <c r="H871" s="983"/>
      <c r="I871" s="983"/>
    </row>
    <row r="872">
      <c r="A872" s="974"/>
      <c r="B872" s="978"/>
      <c r="C872" s="978"/>
      <c r="D872" s="978"/>
      <c r="E872" s="978"/>
      <c r="F872" s="978"/>
      <c r="G872" s="978"/>
      <c r="H872" s="978"/>
      <c r="I872" s="978"/>
    </row>
    <row r="873">
      <c r="A873" s="975"/>
      <c r="B873" s="983"/>
      <c r="C873" s="983"/>
      <c r="D873" s="983"/>
      <c r="E873" s="983"/>
      <c r="F873" s="983"/>
      <c r="G873" s="983"/>
      <c r="H873" s="983"/>
      <c r="I873" s="983"/>
    </row>
    <row r="874">
      <c r="A874" s="974"/>
      <c r="B874" s="978"/>
      <c r="C874" s="978"/>
      <c r="D874" s="978"/>
      <c r="E874" s="978"/>
      <c r="F874" s="978"/>
      <c r="G874" s="978"/>
      <c r="H874" s="978"/>
      <c r="I874" s="978"/>
    </row>
    <row r="875">
      <c r="A875" s="975"/>
      <c r="B875" s="983"/>
      <c r="C875" s="983"/>
      <c r="D875" s="983"/>
      <c r="E875" s="983"/>
      <c r="F875" s="983"/>
      <c r="G875" s="983"/>
      <c r="H875" s="983"/>
      <c r="I875" s="983"/>
    </row>
    <row r="876">
      <c r="A876" s="974"/>
      <c r="B876" s="978"/>
      <c r="C876" s="978"/>
      <c r="D876" s="978"/>
      <c r="E876" s="978"/>
      <c r="F876" s="978"/>
      <c r="G876" s="978"/>
      <c r="H876" s="978"/>
      <c r="I876" s="978"/>
    </row>
    <row r="877">
      <c r="A877" s="975"/>
      <c r="B877" s="983"/>
      <c r="C877" s="983"/>
      <c r="D877" s="983"/>
      <c r="E877" s="983"/>
      <c r="F877" s="983"/>
      <c r="G877" s="983"/>
      <c r="H877" s="983"/>
      <c r="I877" s="983"/>
    </row>
    <row r="878">
      <c r="A878" s="974"/>
      <c r="B878" s="978"/>
      <c r="C878" s="978"/>
      <c r="D878" s="978"/>
      <c r="E878" s="978"/>
      <c r="F878" s="978"/>
      <c r="G878" s="978"/>
      <c r="H878" s="978"/>
      <c r="I878" s="978"/>
    </row>
    <row r="879">
      <c r="A879" s="975"/>
      <c r="B879" s="983"/>
      <c r="C879" s="983"/>
      <c r="D879" s="983"/>
      <c r="E879" s="983"/>
      <c r="F879" s="983"/>
      <c r="G879" s="983"/>
      <c r="H879" s="983"/>
      <c r="I879" s="983"/>
    </row>
    <row r="880">
      <c r="A880" s="974"/>
      <c r="B880" s="978"/>
      <c r="C880" s="978"/>
      <c r="D880" s="978"/>
      <c r="E880" s="978"/>
      <c r="F880" s="978"/>
      <c r="G880" s="978"/>
      <c r="H880" s="978"/>
      <c r="I880" s="978"/>
    </row>
    <row r="881">
      <c r="A881" s="975"/>
      <c r="B881" s="983"/>
      <c r="C881" s="983"/>
      <c r="D881" s="983"/>
      <c r="E881" s="983"/>
      <c r="F881" s="983"/>
      <c r="G881" s="983"/>
      <c r="H881" s="983"/>
      <c r="I881" s="983"/>
    </row>
    <row r="882">
      <c r="A882" s="974"/>
      <c r="B882" s="978"/>
      <c r="C882" s="978"/>
      <c r="D882" s="978"/>
      <c r="E882" s="978"/>
      <c r="F882" s="978"/>
      <c r="G882" s="978"/>
      <c r="H882" s="978"/>
      <c r="I882" s="978"/>
    </row>
    <row r="883">
      <c r="A883" s="975"/>
      <c r="B883" s="983"/>
      <c r="C883" s="983"/>
      <c r="D883" s="983"/>
      <c r="E883" s="983"/>
      <c r="F883" s="983"/>
      <c r="G883" s="983"/>
      <c r="H883" s="983"/>
      <c r="I883" s="983"/>
    </row>
    <row r="884">
      <c r="A884" s="974"/>
      <c r="B884" s="978"/>
      <c r="C884" s="978"/>
      <c r="D884" s="978"/>
      <c r="E884" s="978"/>
      <c r="F884" s="978"/>
      <c r="G884" s="978"/>
      <c r="H884" s="978"/>
      <c r="I884" s="978"/>
    </row>
    <row r="885">
      <c r="A885" s="975"/>
      <c r="B885" s="983"/>
      <c r="C885" s="983"/>
      <c r="D885" s="983"/>
      <c r="E885" s="983"/>
      <c r="F885" s="983"/>
      <c r="G885" s="983"/>
      <c r="H885" s="983"/>
      <c r="I885" s="983"/>
    </row>
    <row r="886">
      <c r="A886" s="974"/>
      <c r="B886" s="978"/>
      <c r="C886" s="978"/>
      <c r="D886" s="978"/>
      <c r="E886" s="978"/>
      <c r="F886" s="978"/>
      <c r="G886" s="978"/>
      <c r="H886" s="978"/>
      <c r="I886" s="978"/>
    </row>
    <row r="887">
      <c r="A887" s="975"/>
      <c r="B887" s="983"/>
      <c r="C887" s="983"/>
      <c r="D887" s="983"/>
      <c r="E887" s="983"/>
      <c r="F887" s="983"/>
      <c r="G887" s="983"/>
      <c r="H887" s="983"/>
      <c r="I887" s="983"/>
    </row>
    <row r="888">
      <c r="A888" s="974"/>
      <c r="B888" s="978"/>
      <c r="C888" s="978"/>
      <c r="D888" s="978"/>
      <c r="E888" s="978"/>
      <c r="F888" s="978"/>
      <c r="G888" s="978"/>
      <c r="H888" s="978"/>
      <c r="I888" s="978"/>
    </row>
    <row r="889">
      <c r="A889" s="975"/>
      <c r="B889" s="983"/>
      <c r="C889" s="983"/>
      <c r="D889" s="983"/>
      <c r="E889" s="983"/>
      <c r="F889" s="983"/>
      <c r="G889" s="983"/>
      <c r="H889" s="983"/>
      <c r="I889" s="983"/>
    </row>
    <row r="890">
      <c r="A890" s="974"/>
      <c r="B890" s="978"/>
      <c r="C890" s="978"/>
      <c r="D890" s="978"/>
      <c r="E890" s="978"/>
      <c r="F890" s="978"/>
      <c r="G890" s="978"/>
      <c r="H890" s="978"/>
      <c r="I890" s="978"/>
    </row>
    <row r="891">
      <c r="A891" s="975"/>
      <c r="B891" s="983"/>
      <c r="C891" s="983"/>
      <c r="D891" s="983"/>
      <c r="E891" s="983"/>
      <c r="F891" s="983"/>
      <c r="G891" s="983"/>
      <c r="H891" s="983"/>
      <c r="I891" s="983"/>
    </row>
    <row r="892">
      <c r="A892" s="974"/>
      <c r="B892" s="978"/>
      <c r="C892" s="978"/>
      <c r="D892" s="978"/>
      <c r="E892" s="978"/>
      <c r="F892" s="978"/>
      <c r="G892" s="978"/>
      <c r="H892" s="978"/>
      <c r="I892" s="978"/>
    </row>
    <row r="893">
      <c r="A893" s="975"/>
      <c r="B893" s="983"/>
      <c r="C893" s="983"/>
      <c r="D893" s="983"/>
      <c r="E893" s="983"/>
      <c r="F893" s="983"/>
      <c r="G893" s="983"/>
      <c r="H893" s="983"/>
      <c r="I893" s="983"/>
    </row>
    <row r="894">
      <c r="A894" s="974"/>
      <c r="B894" s="978"/>
      <c r="C894" s="978"/>
      <c r="D894" s="978"/>
      <c r="E894" s="978"/>
      <c r="F894" s="978"/>
      <c r="G894" s="978"/>
      <c r="H894" s="978"/>
      <c r="I894" s="978"/>
    </row>
    <row r="895">
      <c r="A895" s="975"/>
      <c r="B895" s="983"/>
      <c r="C895" s="983"/>
      <c r="D895" s="983"/>
      <c r="E895" s="983"/>
      <c r="F895" s="983"/>
      <c r="G895" s="983"/>
      <c r="H895" s="983"/>
      <c r="I895" s="983"/>
    </row>
    <row r="896">
      <c r="A896" s="974"/>
      <c r="B896" s="978"/>
      <c r="C896" s="978"/>
      <c r="D896" s="978"/>
      <c r="E896" s="978"/>
      <c r="F896" s="978"/>
      <c r="G896" s="978"/>
      <c r="H896" s="978"/>
      <c r="I896" s="978"/>
    </row>
    <row r="897">
      <c r="A897" s="975"/>
      <c r="B897" s="983"/>
      <c r="C897" s="983"/>
      <c r="D897" s="983"/>
      <c r="E897" s="983"/>
      <c r="F897" s="983"/>
      <c r="G897" s="983"/>
      <c r="H897" s="983"/>
      <c r="I897" s="983"/>
    </row>
    <row r="898">
      <c r="A898" s="974"/>
      <c r="B898" s="978"/>
      <c r="C898" s="978"/>
      <c r="D898" s="978"/>
      <c r="E898" s="978"/>
      <c r="F898" s="978"/>
      <c r="G898" s="978"/>
      <c r="H898" s="978"/>
      <c r="I898" s="978"/>
    </row>
    <row r="899">
      <c r="A899" s="975"/>
      <c r="B899" s="983"/>
      <c r="C899" s="983"/>
      <c r="D899" s="983"/>
      <c r="E899" s="983"/>
      <c r="F899" s="983"/>
      <c r="G899" s="983"/>
      <c r="H899" s="983"/>
      <c r="I899" s="983"/>
    </row>
    <row r="900">
      <c r="A900" s="974"/>
      <c r="B900" s="978"/>
      <c r="C900" s="978"/>
      <c r="D900" s="978"/>
      <c r="E900" s="978"/>
      <c r="F900" s="978"/>
      <c r="G900" s="978"/>
      <c r="H900" s="978"/>
      <c r="I900" s="978"/>
    </row>
    <row r="901">
      <c r="A901" s="975"/>
      <c r="B901" s="983"/>
      <c r="C901" s="983"/>
      <c r="D901" s="983"/>
      <c r="E901" s="983"/>
      <c r="F901" s="983"/>
      <c r="G901" s="983"/>
      <c r="H901" s="983"/>
      <c r="I901" s="983"/>
    </row>
    <row r="902">
      <c r="A902" s="974"/>
      <c r="B902" s="978"/>
      <c r="C902" s="978"/>
      <c r="D902" s="978"/>
      <c r="E902" s="978"/>
      <c r="F902" s="978"/>
      <c r="G902" s="978"/>
      <c r="H902" s="978"/>
      <c r="I902" s="978"/>
    </row>
    <row r="903">
      <c r="A903" s="975"/>
      <c r="B903" s="983"/>
      <c r="C903" s="983"/>
      <c r="D903" s="983"/>
      <c r="E903" s="983"/>
      <c r="F903" s="983"/>
      <c r="G903" s="983"/>
      <c r="H903" s="983"/>
      <c r="I903" s="983"/>
    </row>
    <row r="904">
      <c r="A904" s="974"/>
      <c r="B904" s="978"/>
      <c r="C904" s="978"/>
      <c r="D904" s="978"/>
      <c r="E904" s="978"/>
      <c r="F904" s="978"/>
      <c r="G904" s="978"/>
      <c r="H904" s="978"/>
      <c r="I904" s="978"/>
    </row>
    <row r="905">
      <c r="A905" s="975"/>
      <c r="B905" s="983"/>
      <c r="C905" s="983"/>
      <c r="D905" s="983"/>
      <c r="E905" s="983"/>
      <c r="F905" s="983"/>
      <c r="G905" s="983"/>
      <c r="H905" s="983"/>
      <c r="I905" s="983"/>
    </row>
    <row r="906">
      <c r="A906" s="974"/>
      <c r="B906" s="978"/>
      <c r="C906" s="978"/>
      <c r="D906" s="978"/>
      <c r="E906" s="978"/>
      <c r="F906" s="978"/>
      <c r="G906" s="978"/>
      <c r="H906" s="978"/>
      <c r="I906" s="978"/>
    </row>
    <row r="907">
      <c r="A907" s="975"/>
      <c r="B907" s="983"/>
      <c r="C907" s="983"/>
      <c r="D907" s="983"/>
      <c r="E907" s="983"/>
      <c r="F907" s="983"/>
      <c r="G907" s="983"/>
      <c r="H907" s="983"/>
      <c r="I907" s="983"/>
    </row>
    <row r="908">
      <c r="A908" s="974"/>
      <c r="B908" s="978"/>
      <c r="C908" s="978"/>
      <c r="D908" s="978"/>
      <c r="E908" s="978"/>
      <c r="F908" s="978"/>
      <c r="G908" s="978"/>
      <c r="H908" s="978"/>
      <c r="I908" s="978"/>
    </row>
    <row r="909">
      <c r="A909" s="975"/>
      <c r="B909" s="983"/>
      <c r="C909" s="983"/>
      <c r="D909" s="983"/>
      <c r="E909" s="983"/>
      <c r="F909" s="983"/>
      <c r="G909" s="983"/>
      <c r="H909" s="983"/>
      <c r="I909" s="983"/>
    </row>
    <row r="910">
      <c r="A910" s="974"/>
      <c r="B910" s="978"/>
      <c r="C910" s="978"/>
      <c r="D910" s="978"/>
      <c r="E910" s="978"/>
      <c r="F910" s="978"/>
      <c r="G910" s="978"/>
      <c r="H910" s="978"/>
      <c r="I910" s="978"/>
    </row>
    <row r="911">
      <c r="A911" s="975"/>
      <c r="B911" s="983"/>
      <c r="C911" s="983"/>
      <c r="D911" s="983"/>
      <c r="E911" s="983"/>
      <c r="F911" s="983"/>
      <c r="G911" s="983"/>
      <c r="H911" s="983"/>
      <c r="I911" s="983"/>
    </row>
    <row r="912">
      <c r="A912" s="974"/>
      <c r="B912" s="978"/>
      <c r="C912" s="978"/>
      <c r="D912" s="978"/>
      <c r="E912" s="978"/>
      <c r="F912" s="978"/>
      <c r="G912" s="978"/>
      <c r="H912" s="978"/>
      <c r="I912" s="978"/>
    </row>
    <row r="913">
      <c r="A913" s="975"/>
      <c r="B913" s="983"/>
      <c r="C913" s="983"/>
      <c r="D913" s="983"/>
      <c r="E913" s="983"/>
      <c r="F913" s="983"/>
      <c r="G913" s="983"/>
      <c r="H913" s="983"/>
      <c r="I913" s="983"/>
    </row>
    <row r="914">
      <c r="A914" s="974"/>
      <c r="B914" s="978"/>
      <c r="C914" s="978"/>
      <c r="D914" s="978"/>
      <c r="E914" s="978"/>
      <c r="F914" s="978"/>
      <c r="G914" s="978"/>
      <c r="H914" s="978"/>
      <c r="I914" s="978"/>
    </row>
    <row r="915">
      <c r="A915" s="975"/>
      <c r="B915" s="983"/>
      <c r="C915" s="983"/>
      <c r="D915" s="983"/>
      <c r="E915" s="983"/>
      <c r="F915" s="983"/>
      <c r="G915" s="983"/>
      <c r="H915" s="983"/>
      <c r="I915" s="983"/>
    </row>
    <row r="916">
      <c r="A916" s="974"/>
      <c r="B916" s="978"/>
      <c r="C916" s="978"/>
      <c r="D916" s="978"/>
      <c r="E916" s="978"/>
      <c r="F916" s="978"/>
      <c r="G916" s="978"/>
      <c r="H916" s="978"/>
      <c r="I916" s="978"/>
    </row>
    <row r="917">
      <c r="A917" s="975"/>
      <c r="B917" s="983"/>
      <c r="C917" s="983"/>
      <c r="D917" s="983"/>
      <c r="E917" s="983"/>
      <c r="F917" s="983"/>
      <c r="G917" s="983"/>
      <c r="H917" s="983"/>
      <c r="I917" s="983"/>
    </row>
    <row r="918">
      <c r="A918" s="974"/>
      <c r="B918" s="978"/>
      <c r="C918" s="978"/>
      <c r="D918" s="978"/>
      <c r="E918" s="978"/>
      <c r="F918" s="978"/>
      <c r="G918" s="978"/>
      <c r="H918" s="978"/>
      <c r="I918" s="978"/>
    </row>
    <row r="919">
      <c r="A919" s="975"/>
      <c r="B919" s="983"/>
      <c r="C919" s="983"/>
      <c r="D919" s="983"/>
      <c r="E919" s="983"/>
      <c r="F919" s="983"/>
      <c r="G919" s="983"/>
      <c r="H919" s="983"/>
      <c r="I919" s="983"/>
    </row>
    <row r="920">
      <c r="A920" s="974"/>
      <c r="B920" s="978"/>
      <c r="C920" s="978"/>
      <c r="D920" s="978"/>
      <c r="E920" s="978"/>
      <c r="F920" s="978"/>
      <c r="G920" s="978"/>
      <c r="H920" s="978"/>
      <c r="I920" s="978"/>
    </row>
    <row r="921">
      <c r="A921" s="975"/>
      <c r="B921" s="983"/>
      <c r="C921" s="983"/>
      <c r="D921" s="983"/>
      <c r="E921" s="983"/>
      <c r="F921" s="983"/>
      <c r="G921" s="983"/>
      <c r="H921" s="983"/>
      <c r="I921" s="983"/>
    </row>
    <row r="922">
      <c r="A922" s="974"/>
      <c r="B922" s="978"/>
      <c r="C922" s="978"/>
      <c r="D922" s="978"/>
      <c r="E922" s="978"/>
      <c r="F922" s="978"/>
      <c r="G922" s="978"/>
      <c r="H922" s="978"/>
      <c r="I922" s="978"/>
    </row>
    <row r="923">
      <c r="A923" s="975"/>
      <c r="B923" s="983"/>
      <c r="C923" s="983"/>
      <c r="D923" s="983"/>
      <c r="E923" s="983"/>
      <c r="F923" s="983"/>
      <c r="G923" s="983"/>
      <c r="H923" s="983"/>
      <c r="I923" s="983"/>
    </row>
    <row r="924">
      <c r="A924" s="974"/>
      <c r="B924" s="978"/>
      <c r="C924" s="978"/>
      <c r="D924" s="978"/>
      <c r="E924" s="978"/>
      <c r="F924" s="978"/>
      <c r="G924" s="978"/>
      <c r="H924" s="978"/>
      <c r="I924" s="978"/>
    </row>
    <row r="925">
      <c r="A925" s="975"/>
      <c r="B925" s="983"/>
      <c r="C925" s="983"/>
      <c r="D925" s="983"/>
      <c r="E925" s="983"/>
      <c r="F925" s="983"/>
      <c r="G925" s="983"/>
      <c r="H925" s="983"/>
      <c r="I925" s="983"/>
    </row>
    <row r="926">
      <c r="A926" s="974"/>
      <c r="B926" s="978"/>
      <c r="C926" s="978"/>
      <c r="D926" s="978"/>
      <c r="E926" s="978"/>
      <c r="F926" s="978"/>
      <c r="G926" s="978"/>
      <c r="H926" s="978"/>
      <c r="I926" s="978"/>
    </row>
    <row r="927">
      <c r="A927" s="975"/>
      <c r="B927" s="983"/>
      <c r="C927" s="983"/>
      <c r="D927" s="983"/>
      <c r="E927" s="983"/>
      <c r="F927" s="983"/>
      <c r="G927" s="983"/>
      <c r="H927" s="983"/>
      <c r="I927" s="983"/>
    </row>
    <row r="928">
      <c r="A928" s="974"/>
      <c r="B928" s="978"/>
      <c r="C928" s="978"/>
      <c r="D928" s="978"/>
      <c r="E928" s="978"/>
      <c r="F928" s="978"/>
      <c r="G928" s="978"/>
      <c r="H928" s="978"/>
      <c r="I928" s="978"/>
    </row>
    <row r="929">
      <c r="A929" s="975"/>
      <c r="B929" s="983"/>
      <c r="C929" s="983"/>
      <c r="D929" s="983"/>
      <c r="E929" s="983"/>
      <c r="F929" s="983"/>
      <c r="G929" s="983"/>
      <c r="H929" s="983"/>
      <c r="I929" s="983"/>
    </row>
    <row r="930">
      <c r="A930" s="974"/>
      <c r="B930" s="978"/>
      <c r="C930" s="978"/>
      <c r="D930" s="978"/>
      <c r="E930" s="978"/>
      <c r="F930" s="978"/>
      <c r="G930" s="978"/>
      <c r="H930" s="978"/>
      <c r="I930" s="978"/>
    </row>
    <row r="931">
      <c r="A931" s="975"/>
      <c r="B931" s="983"/>
      <c r="C931" s="983"/>
      <c r="D931" s="983"/>
      <c r="E931" s="983"/>
      <c r="F931" s="983"/>
      <c r="G931" s="983"/>
      <c r="H931" s="983"/>
      <c r="I931" s="983"/>
    </row>
    <row r="932">
      <c r="A932" s="974"/>
      <c r="B932" s="978"/>
      <c r="C932" s="978"/>
      <c r="D932" s="978"/>
      <c r="E932" s="978"/>
      <c r="F932" s="978"/>
      <c r="G932" s="978"/>
      <c r="H932" s="978"/>
      <c r="I932" s="978"/>
    </row>
    <row r="933">
      <c r="A933" s="975"/>
      <c r="B933" s="983"/>
      <c r="C933" s="983"/>
      <c r="D933" s="983"/>
      <c r="E933" s="983"/>
      <c r="F933" s="983"/>
      <c r="G933" s="983"/>
      <c r="H933" s="983"/>
      <c r="I933" s="983"/>
    </row>
    <row r="934">
      <c r="A934" s="974"/>
      <c r="B934" s="978"/>
      <c r="C934" s="978"/>
      <c r="D934" s="978"/>
      <c r="E934" s="978"/>
      <c r="F934" s="978"/>
      <c r="G934" s="978"/>
      <c r="H934" s="978"/>
      <c r="I934" s="978"/>
    </row>
    <row r="935">
      <c r="A935" s="975"/>
      <c r="B935" s="983"/>
      <c r="C935" s="983"/>
      <c r="D935" s="983"/>
      <c r="E935" s="983"/>
      <c r="F935" s="983"/>
      <c r="G935" s="983"/>
      <c r="H935" s="983"/>
      <c r="I935" s="983"/>
    </row>
    <row r="936">
      <c r="A936" s="974"/>
      <c r="B936" s="978"/>
      <c r="C936" s="978"/>
      <c r="D936" s="978"/>
      <c r="E936" s="978"/>
      <c r="F936" s="978"/>
      <c r="G936" s="978"/>
      <c r="H936" s="978"/>
      <c r="I936" s="978"/>
    </row>
    <row r="937">
      <c r="A937" s="975"/>
      <c r="B937" s="983"/>
      <c r="C937" s="983"/>
      <c r="D937" s="983"/>
      <c r="E937" s="983"/>
      <c r="F937" s="983"/>
      <c r="G937" s="983"/>
      <c r="H937" s="983"/>
      <c r="I937" s="983"/>
    </row>
    <row r="938">
      <c r="A938" s="974"/>
      <c r="B938" s="978"/>
      <c r="C938" s="978"/>
      <c r="D938" s="978"/>
      <c r="E938" s="978"/>
      <c r="F938" s="978"/>
      <c r="G938" s="978"/>
      <c r="H938" s="978"/>
      <c r="I938" s="978"/>
    </row>
    <row r="939">
      <c r="A939" s="975"/>
      <c r="B939" s="983"/>
      <c r="C939" s="983"/>
      <c r="D939" s="983"/>
      <c r="E939" s="983"/>
      <c r="F939" s="983"/>
      <c r="G939" s="983"/>
      <c r="H939" s="983"/>
      <c r="I939" s="983"/>
    </row>
    <row r="940">
      <c r="A940" s="974"/>
      <c r="B940" s="978"/>
      <c r="C940" s="978"/>
      <c r="D940" s="978"/>
      <c r="E940" s="978"/>
      <c r="F940" s="978"/>
      <c r="G940" s="978"/>
      <c r="H940" s="978"/>
      <c r="I940" s="978"/>
    </row>
    <row r="941">
      <c r="A941" s="975"/>
      <c r="B941" s="983"/>
      <c r="C941" s="983"/>
      <c r="D941" s="983"/>
      <c r="E941" s="983"/>
      <c r="F941" s="983"/>
      <c r="G941" s="983"/>
      <c r="H941" s="983"/>
      <c r="I941" s="983"/>
    </row>
    <row r="942">
      <c r="A942" s="974"/>
      <c r="B942" s="978"/>
      <c r="C942" s="978"/>
      <c r="D942" s="978"/>
      <c r="E942" s="978"/>
      <c r="F942" s="978"/>
      <c r="G942" s="978"/>
      <c r="H942" s="978"/>
      <c r="I942" s="978"/>
    </row>
    <row r="943">
      <c r="A943" s="975"/>
      <c r="B943" s="983"/>
      <c r="C943" s="983"/>
      <c r="D943" s="983"/>
      <c r="E943" s="983"/>
      <c r="F943" s="983"/>
      <c r="G943" s="983"/>
      <c r="H943" s="983"/>
      <c r="I943" s="983"/>
    </row>
    <row r="944">
      <c r="A944" s="974"/>
      <c r="B944" s="978"/>
      <c r="C944" s="978"/>
      <c r="D944" s="978"/>
      <c r="E944" s="978"/>
      <c r="F944" s="978"/>
      <c r="G944" s="978"/>
      <c r="H944" s="978"/>
      <c r="I944" s="978"/>
    </row>
    <row r="945">
      <c r="A945" s="975"/>
      <c r="B945" s="983"/>
      <c r="C945" s="983"/>
      <c r="D945" s="983"/>
      <c r="E945" s="983"/>
      <c r="F945" s="983"/>
      <c r="G945" s="983"/>
      <c r="H945" s="983"/>
      <c r="I945" s="983"/>
    </row>
    <row r="946">
      <c r="A946" s="974"/>
      <c r="B946" s="978"/>
      <c r="C946" s="978"/>
      <c r="D946" s="978"/>
      <c r="E946" s="978"/>
      <c r="F946" s="978"/>
      <c r="G946" s="978"/>
      <c r="H946" s="978"/>
      <c r="I946" s="978"/>
    </row>
    <row r="947">
      <c r="A947" s="975"/>
      <c r="B947" s="983"/>
      <c r="C947" s="983"/>
      <c r="D947" s="983"/>
      <c r="E947" s="983"/>
      <c r="F947" s="983"/>
      <c r="G947" s="983"/>
      <c r="H947" s="983"/>
      <c r="I947" s="983"/>
    </row>
    <row r="948">
      <c r="A948" s="974"/>
      <c r="B948" s="978"/>
      <c r="C948" s="978"/>
      <c r="D948" s="978"/>
      <c r="E948" s="978"/>
      <c r="F948" s="978"/>
      <c r="G948" s="978"/>
      <c r="H948" s="978"/>
      <c r="I948" s="978"/>
    </row>
    <row r="949">
      <c r="A949" s="975"/>
      <c r="B949" s="983"/>
      <c r="C949" s="983"/>
      <c r="D949" s="983"/>
      <c r="E949" s="983"/>
      <c r="F949" s="983"/>
      <c r="G949" s="983"/>
      <c r="H949" s="983"/>
      <c r="I949" s="983"/>
    </row>
    <row r="950">
      <c r="A950" s="974"/>
      <c r="B950" s="978"/>
      <c r="C950" s="978"/>
      <c r="D950" s="978"/>
      <c r="E950" s="978"/>
      <c r="F950" s="978"/>
      <c r="G950" s="978"/>
      <c r="H950" s="978"/>
      <c r="I950" s="978"/>
    </row>
    <row r="951">
      <c r="A951" s="975"/>
      <c r="B951" s="983"/>
      <c r="C951" s="983"/>
      <c r="D951" s="983"/>
      <c r="E951" s="983"/>
      <c r="F951" s="983"/>
      <c r="G951" s="983"/>
      <c r="H951" s="983"/>
      <c r="I951" s="983"/>
    </row>
    <row r="952">
      <c r="A952" s="974"/>
      <c r="B952" s="978"/>
      <c r="C952" s="978"/>
      <c r="D952" s="978"/>
      <c r="E952" s="978"/>
      <c r="F952" s="978"/>
      <c r="G952" s="978"/>
      <c r="H952" s="978"/>
      <c r="I952" s="978"/>
    </row>
    <row r="953">
      <c r="A953" s="975"/>
      <c r="B953" s="983"/>
      <c r="C953" s="983"/>
      <c r="D953" s="983"/>
      <c r="E953" s="983"/>
      <c r="F953" s="983"/>
      <c r="G953" s="983"/>
      <c r="H953" s="983"/>
      <c r="I953" s="983"/>
    </row>
    <row r="954">
      <c r="A954" s="974"/>
      <c r="B954" s="978"/>
      <c r="C954" s="978"/>
      <c r="D954" s="978"/>
      <c r="E954" s="978"/>
      <c r="F954" s="978"/>
      <c r="G954" s="978"/>
      <c r="H954" s="978"/>
      <c r="I954" s="978"/>
    </row>
    <row r="955">
      <c r="A955" s="975"/>
      <c r="B955" s="983"/>
      <c r="C955" s="983"/>
      <c r="D955" s="983"/>
      <c r="E955" s="983"/>
      <c r="F955" s="983"/>
      <c r="G955" s="983"/>
      <c r="H955" s="983"/>
      <c r="I955" s="983"/>
    </row>
    <row r="956">
      <c r="A956" s="974"/>
      <c r="B956" s="978"/>
      <c r="C956" s="978"/>
      <c r="D956" s="978"/>
      <c r="E956" s="978"/>
      <c r="F956" s="978"/>
      <c r="G956" s="978"/>
      <c r="H956" s="978"/>
      <c r="I956" s="978"/>
    </row>
    <row r="957">
      <c r="A957" s="975"/>
      <c r="B957" s="983"/>
      <c r="C957" s="983"/>
      <c r="D957" s="983"/>
      <c r="E957" s="983"/>
      <c r="F957" s="983"/>
      <c r="G957" s="983"/>
      <c r="H957" s="983"/>
      <c r="I957" s="983"/>
    </row>
    <row r="958">
      <c r="A958" s="974"/>
      <c r="B958" s="978"/>
      <c r="C958" s="978"/>
      <c r="D958" s="978"/>
      <c r="E958" s="978"/>
      <c r="F958" s="978"/>
      <c r="G958" s="978"/>
      <c r="H958" s="978"/>
      <c r="I958" s="978"/>
    </row>
    <row r="959">
      <c r="A959" s="975"/>
      <c r="B959" s="983"/>
      <c r="C959" s="983"/>
      <c r="D959" s="983"/>
      <c r="E959" s="983"/>
      <c r="F959" s="983"/>
      <c r="G959" s="983"/>
      <c r="H959" s="983"/>
      <c r="I959" s="983"/>
    </row>
    <row r="960">
      <c r="A960" s="974"/>
      <c r="B960" s="978"/>
      <c r="C960" s="978"/>
      <c r="D960" s="978"/>
      <c r="E960" s="978"/>
      <c r="F960" s="978"/>
      <c r="G960" s="978"/>
      <c r="H960" s="978"/>
      <c r="I960" s="978"/>
    </row>
    <row r="961">
      <c r="A961" s="975"/>
      <c r="B961" s="983"/>
      <c r="C961" s="983"/>
      <c r="D961" s="983"/>
      <c r="E961" s="983"/>
      <c r="F961" s="983"/>
      <c r="G961" s="983"/>
      <c r="H961" s="983"/>
      <c r="I961" s="983"/>
    </row>
    <row r="962">
      <c r="A962" s="974"/>
      <c r="B962" s="978"/>
      <c r="C962" s="978"/>
      <c r="D962" s="978"/>
      <c r="E962" s="978"/>
      <c r="F962" s="978"/>
      <c r="G962" s="978"/>
      <c r="H962" s="978"/>
      <c r="I962" s="978"/>
    </row>
    <row r="963">
      <c r="A963" s="975"/>
      <c r="B963" s="983"/>
      <c r="C963" s="983"/>
      <c r="D963" s="983"/>
      <c r="E963" s="983"/>
      <c r="F963" s="983"/>
      <c r="G963" s="983"/>
      <c r="H963" s="983"/>
      <c r="I963" s="983"/>
    </row>
    <row r="964">
      <c r="A964" s="974"/>
      <c r="B964" s="978"/>
      <c r="C964" s="978"/>
      <c r="D964" s="978"/>
      <c r="E964" s="978"/>
      <c r="F964" s="978"/>
      <c r="G964" s="978"/>
      <c r="H964" s="978"/>
      <c r="I964" s="978"/>
    </row>
    <row r="965">
      <c r="A965" s="975"/>
      <c r="B965" s="983"/>
      <c r="C965" s="983"/>
      <c r="D965" s="983"/>
      <c r="E965" s="983"/>
      <c r="F965" s="983"/>
      <c r="G965" s="983"/>
      <c r="H965" s="983"/>
      <c r="I965" s="983"/>
    </row>
    <row r="966">
      <c r="A966" s="974"/>
      <c r="B966" s="978"/>
      <c r="C966" s="978"/>
      <c r="D966" s="978"/>
      <c r="E966" s="978"/>
      <c r="F966" s="978"/>
      <c r="G966" s="978"/>
      <c r="H966" s="978"/>
      <c r="I966" s="978"/>
    </row>
    <row r="967">
      <c r="A967" s="975"/>
      <c r="B967" s="983"/>
      <c r="C967" s="983"/>
      <c r="D967" s="983"/>
      <c r="E967" s="983"/>
      <c r="F967" s="983"/>
      <c r="G967" s="983"/>
      <c r="H967" s="983"/>
      <c r="I967" s="983"/>
    </row>
    <row r="968">
      <c r="A968" s="974"/>
      <c r="B968" s="978"/>
      <c r="C968" s="978"/>
      <c r="D968" s="978"/>
      <c r="E968" s="978"/>
      <c r="F968" s="978"/>
      <c r="G968" s="978"/>
      <c r="H968" s="978"/>
      <c r="I968" s="978"/>
    </row>
    <row r="969">
      <c r="A969" s="975"/>
      <c r="B969" s="983"/>
      <c r="C969" s="983"/>
      <c r="D969" s="983"/>
      <c r="E969" s="983"/>
      <c r="F969" s="983"/>
      <c r="G969" s="983"/>
      <c r="H969" s="983"/>
      <c r="I969" s="983"/>
    </row>
    <row r="970">
      <c r="A970" s="974"/>
      <c r="B970" s="978"/>
      <c r="C970" s="978"/>
      <c r="D970" s="978"/>
      <c r="E970" s="978"/>
      <c r="F970" s="978"/>
      <c r="G970" s="978"/>
      <c r="H970" s="978"/>
      <c r="I970" s="978"/>
    </row>
    <row r="971">
      <c r="A971" s="975"/>
      <c r="B971" s="983"/>
      <c r="C971" s="983"/>
      <c r="D971" s="983"/>
      <c r="E971" s="983"/>
      <c r="F971" s="983"/>
      <c r="G971" s="983"/>
      <c r="H971" s="983"/>
      <c r="I971" s="983"/>
    </row>
    <row r="972">
      <c r="A972" s="974"/>
      <c r="B972" s="978"/>
      <c r="C972" s="978"/>
      <c r="D972" s="978"/>
      <c r="E972" s="978"/>
      <c r="F972" s="978"/>
      <c r="G972" s="978"/>
      <c r="H972" s="978"/>
      <c r="I972" s="978"/>
    </row>
    <row r="973">
      <c r="A973" s="975"/>
      <c r="B973" s="983"/>
      <c r="C973" s="983"/>
      <c r="D973" s="983"/>
      <c r="E973" s="983"/>
      <c r="F973" s="983"/>
      <c r="G973" s="983"/>
      <c r="H973" s="983"/>
      <c r="I973" s="983"/>
    </row>
    <row r="974">
      <c r="A974" s="974"/>
      <c r="B974" s="978"/>
      <c r="C974" s="978"/>
      <c r="D974" s="978"/>
      <c r="E974" s="978"/>
      <c r="F974" s="978"/>
      <c r="G974" s="978"/>
      <c r="H974" s="978"/>
      <c r="I974" s="978"/>
    </row>
    <row r="975">
      <c r="A975" s="975"/>
      <c r="B975" s="983"/>
      <c r="C975" s="983"/>
      <c r="D975" s="983"/>
      <c r="E975" s="983"/>
      <c r="F975" s="983"/>
      <c r="G975" s="983"/>
      <c r="H975" s="983"/>
      <c r="I975" s="983"/>
    </row>
    <row r="976">
      <c r="A976" s="974"/>
      <c r="B976" s="978"/>
      <c r="C976" s="978"/>
      <c r="D976" s="978"/>
      <c r="E976" s="978"/>
      <c r="F976" s="978"/>
      <c r="G976" s="978"/>
      <c r="H976" s="978"/>
      <c r="I976" s="978"/>
    </row>
    <row r="977">
      <c r="A977" s="975"/>
      <c r="B977" s="983"/>
      <c r="C977" s="983"/>
      <c r="D977" s="983"/>
      <c r="E977" s="983"/>
      <c r="F977" s="983"/>
      <c r="G977" s="983"/>
      <c r="H977" s="983"/>
      <c r="I977" s="983"/>
    </row>
    <row r="978">
      <c r="A978" s="974"/>
      <c r="B978" s="978"/>
      <c r="C978" s="978"/>
      <c r="D978" s="978"/>
      <c r="E978" s="978"/>
      <c r="F978" s="978"/>
      <c r="G978" s="978"/>
      <c r="H978" s="978"/>
      <c r="I978" s="978"/>
    </row>
    <row r="979">
      <c r="A979" s="975"/>
      <c r="B979" s="983"/>
      <c r="C979" s="983"/>
      <c r="D979" s="983"/>
      <c r="E979" s="983"/>
      <c r="F979" s="983"/>
      <c r="G979" s="983"/>
      <c r="H979" s="983"/>
      <c r="I979" s="983"/>
    </row>
    <row r="980">
      <c r="A980" s="974"/>
      <c r="B980" s="978"/>
      <c r="C980" s="978"/>
      <c r="D980" s="978"/>
      <c r="E980" s="978"/>
      <c r="F980" s="978"/>
      <c r="G980" s="978"/>
      <c r="H980" s="978"/>
      <c r="I980" s="978"/>
    </row>
    <row r="981">
      <c r="A981" s="975"/>
      <c r="B981" s="983"/>
      <c r="C981" s="983"/>
      <c r="D981" s="983"/>
      <c r="E981" s="983"/>
      <c r="F981" s="983"/>
      <c r="G981" s="983"/>
      <c r="H981" s="983"/>
      <c r="I981" s="983"/>
    </row>
    <row r="982">
      <c r="A982" s="974"/>
      <c r="B982" s="978"/>
      <c r="C982" s="978"/>
      <c r="D982" s="978"/>
      <c r="E982" s="978"/>
      <c r="F982" s="978"/>
      <c r="G982" s="978"/>
      <c r="H982" s="978"/>
      <c r="I982" s="978"/>
    </row>
    <row r="983">
      <c r="A983" s="975"/>
      <c r="B983" s="983"/>
      <c r="C983" s="983"/>
      <c r="D983" s="983"/>
      <c r="E983" s="983"/>
      <c r="F983" s="983"/>
      <c r="G983" s="983"/>
      <c r="H983" s="983"/>
      <c r="I983" s="983"/>
    </row>
    <row r="984">
      <c r="A984" s="974"/>
      <c r="B984" s="978"/>
      <c r="C984" s="978"/>
      <c r="D984" s="978"/>
      <c r="E984" s="978"/>
      <c r="F984" s="978"/>
      <c r="G984" s="978"/>
      <c r="H984" s="978"/>
      <c r="I984" s="978"/>
    </row>
    <row r="985">
      <c r="A985" s="975"/>
      <c r="B985" s="983"/>
      <c r="C985" s="983"/>
      <c r="D985" s="983"/>
      <c r="E985" s="983"/>
      <c r="F985" s="983"/>
      <c r="G985" s="983"/>
      <c r="H985" s="983"/>
      <c r="I985" s="983"/>
    </row>
    <row r="986">
      <c r="A986" s="974"/>
      <c r="B986" s="978"/>
      <c r="C986" s="978"/>
      <c r="D986" s="978"/>
      <c r="E986" s="978"/>
      <c r="F986" s="978"/>
      <c r="G986" s="978"/>
      <c r="H986" s="978"/>
      <c r="I986" s="978"/>
    </row>
    <row r="987">
      <c r="A987" s="975"/>
      <c r="B987" s="983"/>
      <c r="C987" s="983"/>
      <c r="D987" s="983"/>
      <c r="E987" s="983"/>
      <c r="F987" s="983"/>
      <c r="G987" s="983"/>
      <c r="H987" s="983"/>
      <c r="I987" s="983"/>
    </row>
    <row r="988">
      <c r="A988" s="974"/>
      <c r="B988" s="978"/>
      <c r="C988" s="978"/>
      <c r="D988" s="978"/>
      <c r="E988" s="978"/>
      <c r="F988" s="978"/>
      <c r="G988" s="978"/>
      <c r="H988" s="978"/>
      <c r="I988" s="978"/>
    </row>
    <row r="989">
      <c r="A989" s="975"/>
      <c r="B989" s="983"/>
      <c r="C989" s="983"/>
      <c r="D989" s="983"/>
      <c r="E989" s="983"/>
      <c r="F989" s="983"/>
      <c r="G989" s="983"/>
      <c r="H989" s="983"/>
      <c r="I989" s="983"/>
    </row>
    <row r="990">
      <c r="A990" s="974"/>
      <c r="B990" s="978"/>
      <c r="C990" s="978"/>
      <c r="D990" s="978"/>
      <c r="E990" s="978"/>
      <c r="F990" s="978"/>
      <c r="G990" s="978"/>
      <c r="H990" s="978"/>
      <c r="I990" s="978"/>
    </row>
    <row r="991">
      <c r="A991" s="975"/>
      <c r="B991" s="983"/>
      <c r="C991" s="983"/>
      <c r="D991" s="983"/>
      <c r="E991" s="983"/>
      <c r="F991" s="983"/>
      <c r="G991" s="983"/>
      <c r="H991" s="983"/>
      <c r="I991" s="983"/>
    </row>
    <row r="992">
      <c r="A992" s="974"/>
      <c r="B992" s="978"/>
      <c r="C992" s="978"/>
      <c r="D992" s="978"/>
      <c r="E992" s="978"/>
      <c r="F992" s="978"/>
      <c r="G992" s="978"/>
      <c r="H992" s="978"/>
      <c r="I992" s="978"/>
    </row>
    <row r="993">
      <c r="A993" s="975"/>
      <c r="B993" s="983"/>
      <c r="C993" s="983"/>
      <c r="D993" s="983"/>
      <c r="E993" s="983"/>
      <c r="F993" s="983"/>
      <c r="G993" s="983"/>
      <c r="H993" s="983"/>
      <c r="I993" s="983"/>
    </row>
    <row r="994">
      <c r="A994" s="974"/>
      <c r="B994" s="978"/>
      <c r="C994" s="978"/>
      <c r="D994" s="978"/>
      <c r="E994" s="978"/>
      <c r="F994" s="978"/>
      <c r="G994" s="978"/>
      <c r="H994" s="978"/>
      <c r="I994" s="978"/>
    </row>
    <row r="995">
      <c r="A995" s="975"/>
      <c r="B995" s="983"/>
      <c r="C995" s="983"/>
      <c r="D995" s="983"/>
      <c r="E995" s="983"/>
      <c r="F995" s="983"/>
      <c r="G995" s="983"/>
      <c r="H995" s="983"/>
      <c r="I995" s="983"/>
    </row>
    <row r="996">
      <c r="A996" s="974"/>
      <c r="B996" s="978"/>
      <c r="C996" s="978"/>
      <c r="D996" s="978"/>
      <c r="E996" s="978"/>
      <c r="F996" s="978"/>
      <c r="G996" s="978"/>
      <c r="H996" s="978"/>
      <c r="I996" s="978"/>
    </row>
    <row r="997">
      <c r="A997" s="975"/>
      <c r="B997" s="983"/>
      <c r="C997" s="983"/>
      <c r="D997" s="983"/>
      <c r="E997" s="983"/>
      <c r="F997" s="983"/>
      <c r="G997" s="983"/>
      <c r="H997" s="983"/>
      <c r="I997" s="983"/>
    </row>
    <row r="998">
      <c r="A998" s="974"/>
      <c r="B998" s="978"/>
      <c r="C998" s="978"/>
      <c r="D998" s="978"/>
      <c r="E998" s="978"/>
      <c r="F998" s="978"/>
      <c r="G998" s="978"/>
      <c r="H998" s="978"/>
      <c r="I998" s="978"/>
    </row>
    <row r="999">
      <c r="A999" s="975"/>
      <c r="B999" s="983"/>
      <c r="C999" s="983"/>
      <c r="D999" s="983"/>
      <c r="E999" s="983"/>
      <c r="F999" s="983"/>
      <c r="G999" s="983"/>
      <c r="H999" s="983"/>
      <c r="I999" s="983"/>
    </row>
    <row r="1000">
      <c r="A1000" s="974"/>
      <c r="B1000" s="978"/>
      <c r="C1000" s="978"/>
      <c r="D1000" s="978"/>
      <c r="E1000" s="978"/>
      <c r="F1000" s="978"/>
      <c r="G1000" s="978"/>
      <c r="H1000" s="978"/>
      <c r="I1000" s="978"/>
    </row>
    <row r="1001">
      <c r="A1001" s="975"/>
      <c r="B1001" s="983"/>
      <c r="C1001" s="983"/>
      <c r="D1001" s="983"/>
      <c r="E1001" s="983"/>
      <c r="F1001" s="983"/>
      <c r="G1001" s="983"/>
      <c r="H1001" s="983"/>
      <c r="I1001" s="983"/>
    </row>
    <row r="1002">
      <c r="A1002" s="974"/>
      <c r="B1002" s="978"/>
      <c r="C1002" s="978"/>
      <c r="D1002" s="978"/>
      <c r="E1002" s="978"/>
      <c r="F1002" s="978"/>
      <c r="G1002" s="978"/>
      <c r="H1002" s="978"/>
      <c r="I1002" s="978"/>
    </row>
    <row r="1003">
      <c r="A1003" s="975"/>
      <c r="B1003" s="983"/>
      <c r="C1003" s="983"/>
      <c r="D1003" s="983"/>
      <c r="E1003" s="983"/>
      <c r="F1003" s="983"/>
      <c r="G1003" s="983"/>
      <c r="H1003" s="983"/>
      <c r="I1003" s="983"/>
    </row>
    <row r="1004">
      <c r="A1004" s="974"/>
      <c r="B1004" s="978"/>
      <c r="C1004" s="978"/>
      <c r="D1004" s="978"/>
      <c r="E1004" s="978"/>
      <c r="F1004" s="978"/>
      <c r="G1004" s="978"/>
      <c r="H1004" s="978"/>
      <c r="I1004" s="978"/>
    </row>
    <row r="1005">
      <c r="A1005" s="975"/>
      <c r="B1005" s="983"/>
      <c r="C1005" s="983"/>
      <c r="D1005" s="983"/>
      <c r="E1005" s="983"/>
      <c r="F1005" s="983"/>
      <c r="G1005" s="983"/>
      <c r="H1005" s="983"/>
      <c r="I1005" s="983"/>
    </row>
    <row r="1006">
      <c r="A1006" s="974"/>
      <c r="B1006" s="978"/>
      <c r="C1006" s="978"/>
      <c r="D1006" s="978"/>
      <c r="E1006" s="978"/>
      <c r="F1006" s="978"/>
      <c r="G1006" s="978"/>
      <c r="H1006" s="978"/>
      <c r="I1006" s="978"/>
    </row>
    <row r="1007">
      <c r="A1007" s="975"/>
      <c r="B1007" s="983"/>
      <c r="C1007" s="983"/>
      <c r="D1007" s="983"/>
      <c r="E1007" s="983"/>
      <c r="F1007" s="983"/>
      <c r="G1007" s="983"/>
      <c r="H1007" s="983"/>
      <c r="I1007" s="983"/>
    </row>
    <row r="1008">
      <c r="A1008" s="974"/>
      <c r="B1008" s="978"/>
      <c r="C1008" s="978"/>
      <c r="D1008" s="978"/>
      <c r="E1008" s="978"/>
      <c r="F1008" s="978"/>
      <c r="G1008" s="978"/>
      <c r="H1008" s="978"/>
      <c r="I1008" s="978"/>
    </row>
    <row r="1009">
      <c r="A1009" s="975"/>
      <c r="B1009" s="983"/>
      <c r="C1009" s="983"/>
      <c r="D1009" s="983"/>
      <c r="E1009" s="983"/>
      <c r="F1009" s="983"/>
      <c r="G1009" s="983"/>
      <c r="H1009" s="983"/>
      <c r="I1009" s="983"/>
    </row>
    <row r="1010">
      <c r="A1010" s="974"/>
      <c r="B1010" s="978"/>
      <c r="C1010" s="978"/>
      <c r="D1010" s="978"/>
      <c r="E1010" s="978"/>
      <c r="F1010" s="978"/>
      <c r="G1010" s="978"/>
      <c r="H1010" s="978"/>
      <c r="I1010" s="978"/>
    </row>
    <row r="1011">
      <c r="A1011" s="975"/>
      <c r="B1011" s="983"/>
      <c r="C1011" s="983"/>
      <c r="D1011" s="983"/>
      <c r="E1011" s="983"/>
      <c r="F1011" s="983"/>
      <c r="G1011" s="983"/>
      <c r="H1011" s="983"/>
      <c r="I1011" s="983"/>
    </row>
    <row r="1012">
      <c r="A1012" s="974"/>
      <c r="B1012" s="978"/>
      <c r="C1012" s="978"/>
      <c r="D1012" s="978"/>
      <c r="E1012" s="978"/>
      <c r="F1012" s="978"/>
      <c r="G1012" s="978"/>
      <c r="H1012" s="978"/>
      <c r="I1012" s="978"/>
    </row>
    <row r="1013">
      <c r="A1013" s="975"/>
      <c r="B1013" s="983"/>
      <c r="C1013" s="983"/>
      <c r="D1013" s="983"/>
      <c r="E1013" s="983"/>
      <c r="F1013" s="983"/>
      <c r="G1013" s="983"/>
      <c r="H1013" s="983"/>
      <c r="I1013" s="983"/>
    </row>
    <row r="1014">
      <c r="A1014" s="974"/>
      <c r="B1014" s="978"/>
      <c r="C1014" s="978"/>
      <c r="D1014" s="978"/>
      <c r="E1014" s="978"/>
      <c r="F1014" s="978"/>
      <c r="G1014" s="978"/>
      <c r="H1014" s="978"/>
      <c r="I1014" s="978"/>
    </row>
    <row r="1015">
      <c r="A1015" s="975"/>
      <c r="B1015" s="983"/>
      <c r="C1015" s="983"/>
      <c r="D1015" s="983"/>
      <c r="E1015" s="983"/>
      <c r="F1015" s="983"/>
      <c r="G1015" s="983"/>
      <c r="H1015" s="983"/>
      <c r="I1015" s="983"/>
    </row>
  </sheetData>
  <mergeCells count="2">
    <mergeCell ref="C1:E1"/>
    <mergeCell ref="G1:H1"/>
  </mergeCells>
  <dataValidations>
    <dataValidation type="list" allowBlank="1" showDropDown="1" sqref="I2:I1015">
      <formula1>'索引資料'!$L$41:$L$65</formula1>
    </dataValidation>
    <dataValidation type="list" allowBlank="1" showDropDown="1" sqref="G2:H1015">
      <formula1>"運動,特技動作,巧手,隱匿,奧秘,歷史,調查,自然,宗教,動物馴服,察言觀色,醫藥,察覺,求生,欺瞞,威嚇,表演,說服"</formula1>
    </dataValidation>
    <dataValidation type="list" allowBlank="1" showDropDown="1" sqref="C2:E1015">
      <formula1>"力量,敏捷,體魄,智力,感知,魅力,自定義"</formula1>
    </dataValidation>
    <dataValidation type="list" allowBlank="1" showDropDown="1" sqref="F2:F1015">
      <formula1>'專長'!$A$2:$A$65</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14"/>
    <col customWidth="1" min="2" max="2" width="57.29"/>
  </cols>
  <sheetData>
    <row r="1">
      <c r="A1" s="984" t="s">
        <v>1160</v>
      </c>
      <c r="B1" s="905" t="s">
        <v>1161</v>
      </c>
    </row>
    <row r="2">
      <c r="A2" s="985" t="s">
        <v>1072</v>
      </c>
      <c r="B2" s="985" t="s">
        <v>1162</v>
      </c>
    </row>
    <row r="3">
      <c r="A3" s="985" t="s">
        <v>1067</v>
      </c>
      <c r="B3" s="985" t="s">
        <v>1163</v>
      </c>
    </row>
    <row r="4">
      <c r="A4" s="985" t="s">
        <v>1084</v>
      </c>
      <c r="B4" s="985" t="s">
        <v>1164</v>
      </c>
    </row>
    <row r="5">
      <c r="A5" s="985" t="s">
        <v>712</v>
      </c>
      <c r="B5" s="985" t="s">
        <v>1165</v>
      </c>
    </row>
    <row r="6">
      <c r="A6" s="985" t="s">
        <v>1087</v>
      </c>
      <c r="B6" s="985" t="s">
        <v>1166</v>
      </c>
    </row>
    <row r="7">
      <c r="A7" s="985" t="s">
        <v>1065</v>
      </c>
      <c r="B7" s="985" t="s">
        <v>1167</v>
      </c>
    </row>
    <row r="8">
      <c r="A8" s="985" t="s">
        <v>1082</v>
      </c>
      <c r="B8" s="985" t="s">
        <v>1168</v>
      </c>
    </row>
    <row r="9">
      <c r="A9" s="985" t="s">
        <v>1074</v>
      </c>
      <c r="B9" s="985" t="s">
        <v>1169</v>
      </c>
    </row>
    <row r="10">
      <c r="A10" s="985" t="s">
        <v>1092</v>
      </c>
      <c r="B10" s="985" t="s">
        <v>1170</v>
      </c>
    </row>
    <row r="11">
      <c r="A11" s="985" t="s">
        <v>1070</v>
      </c>
      <c r="B11" s="985" t="s">
        <v>1171</v>
      </c>
    </row>
    <row r="12">
      <c r="A12" s="985" t="s">
        <v>1089</v>
      </c>
      <c r="B12" s="985" t="s">
        <v>1172</v>
      </c>
    </row>
    <row r="13">
      <c r="A13" s="985" t="s">
        <v>1077</v>
      </c>
      <c r="B13" s="985" t="s">
        <v>1173</v>
      </c>
    </row>
    <row r="14">
      <c r="A14" s="986" t="str">
        <f>if('請先閱讀'!$F$31=true,"拜龍教新晉者 Cult of the Dragon Initiate","")</f>
        <v>拜龍教新晉者 Cult of the Dragon Initiate</v>
      </c>
      <c r="B14" s="986" t="str">
        <f>if('請先閱讀'!$F$31=true,"無盡血戰之恩惠 Boon of Bloodshed","")</f>
        <v>無盡血戰之恩惠 Boon of Bloodshed</v>
      </c>
    </row>
    <row r="15">
      <c r="A15" s="987" t="str">
        <f>if('請先閱讀'!$F$31=true,"翠綠閑庭雛鳥 Emerald Enclave Fledgling","")</f>
        <v>翠綠閑庭雛鳥 Emerald Enclave Fledgling</v>
      </c>
      <c r="B15" s="987" t="str">
        <f>if('請先閱讀'!$F$31=true,"豐碩生機之恩惠 Boon of Bountiful Health","")</f>
        <v>豐碩生機之恩惠 Boon of Bountiful Health</v>
      </c>
    </row>
    <row r="16">
      <c r="A16" s="986" t="str">
        <f>if('請先閱讀'!$F$31=true,"豎琴手特工 Harper Agent","")</f>
        <v>豎琴手特工 Harper Agent</v>
      </c>
      <c r="B16" s="986" t="str">
        <f>if('請先閱讀'!$F$31=true,"萬語通曉之恩惠 Boon of Communication","")</f>
        <v>萬語通曉之恩惠 Boon of Communication</v>
      </c>
    </row>
    <row r="17">
      <c r="A17" s="987" t="str">
        <f>if('請先閱讀'!$F$31=true,"領主聯盟特工 Lords' Alliance Agent","")</f>
        <v>領主聯盟特工 Lords' Alliance Agent</v>
      </c>
      <c r="B17" s="987" t="str">
        <f>if('請先閱讀'!$F$31=true,"絕境韌性之恩惠 Boon of Desperate Resilience","")</f>
        <v>絕境韌性之恩惠 Boon of Desperate Resilience</v>
      </c>
    </row>
    <row r="18">
      <c r="A18" s="986" t="str">
        <f>if('請先閱讀'!$F$31=true,"紫龍堡壘 Purple Dragon Rook","")</f>
        <v>紫龍堡壘 Purple Dragon Rook</v>
      </c>
      <c r="B18" s="986" t="str">
        <f>if('請先閱讀'!$F$31=true,"至高光輝之恩惠 Boon of Exquisite Radiance","")</f>
        <v>至高光輝之恩惠 Boon of Exquisite Radiance</v>
      </c>
    </row>
    <row r="19">
      <c r="A19" s="987" t="str">
        <f>if('請先閱讀'!$F$31=true,"咒火火花 Spellfire Spark","")</f>
        <v>咒火火花 Spellfire Spark</v>
      </c>
      <c r="B19" s="987" t="str">
        <f>if('請先閱讀'!$F$31=true,"變幻無常之恩惠 Boon of Fluid Forms","")</f>
        <v>變幻無常之恩惠 Boon of Fluid Forms</v>
      </c>
    </row>
    <row r="20">
      <c r="A20" s="986" t="str">
        <f>if('請先閱讀'!$F$31=true,"鐵腕新手 Tyro of the Gauntlet","")</f>
        <v>鐵腕新手 Tyro of the Gauntlet</v>
      </c>
      <c r="B20" s="986" t="str">
        <f>if('請先閱讀'!$F$31=true,"命運賞賜之恩惠 Boon of Fortune's Favor","")</f>
        <v>命運賞賜之恩惠 Boon of Fortune's Favor</v>
      </c>
    </row>
    <row r="21">
      <c r="A21" s="987" t="str">
        <f>if('請先閱讀'!$F$31=true,"散塔林暴徒 Zhentarim Ruffian","")</f>
        <v>散塔林暴徒 Zhentarim Ruffian</v>
      </c>
      <c r="B21" s="987" t="str">
        <f>if('請先閱讀'!$F$31=true,"劇毒專精之恩惠 Boon of Poison Mastery","")</f>
        <v>劇毒專精之恩惠 Boon of Poison Mastery</v>
      </c>
    </row>
    <row r="22">
      <c r="A22" s="988" t="str">
        <f>if('請先閱讀'!F32=true,"太陽之子 Child of the Sun","")</f>
        <v>太陽之子 Child of the Sun</v>
      </c>
      <c r="B22" s="986" t="str">
        <f>if('請先閱讀'!$F$31=true,"歌頌狂歡之恩惠 Boon of Revelry","")</f>
        <v>歌頌狂歡之恩惠 Boon of Revelry</v>
      </c>
    </row>
    <row r="23">
      <c r="A23" s="989" t="str">
        <f>if('請先閱讀'!F32=true,"闇影荒原咒術師 Shadowmoor Hexer","")</f>
        <v>闇影荒原咒術師 Shadowmoor Hexer</v>
      </c>
      <c r="B23" s="987" t="str">
        <f>if('請先閱讀'!$F$31=true,"驚駭顫慄之恩惠 Boon of Terror","")</f>
        <v>驚駭顫慄之恩惠 Boon of Terror</v>
      </c>
    </row>
    <row r="24">
      <c r="A24" s="990" t="str">
        <f>if('請先閱讀'!$F$33=true,"不倦狂歡 Tireless Reveler","")</f>
        <v>不倦狂歡 Tireless Reveler</v>
      </c>
      <c r="B24" s="986" t="str">
        <f>if('請先閱讀'!$F$31=true,"耀光旭日之恩惠 Boon of the Bright Sun","")</f>
        <v>耀光旭日之恩惠 Boon of the Bright Sun</v>
      </c>
    </row>
    <row r="25">
      <c r="A25" s="991" t="str">
        <f>if('請先閱讀'!$F$33=true,"吸血鬼獵者 Vampire Hunter","")</f>
        <v>吸血鬼獵者 Vampire Hunter</v>
      </c>
      <c r="B25" s="987" t="str">
        <f>if('請先閱讀'!$F$31=true,"風暴雷霆之恩惠 Boon of the Furious Storm","")</f>
        <v>風暴雷霆之恩惠 Boon of the Furious Storm</v>
      </c>
    </row>
    <row r="26">
      <c r="A26" s="990" t="str">
        <f>if('請先閱讀'!$F$33=true,"吸血鬼玩物 Vampire's Plaything","")</f>
        <v>吸血鬼玩物 Vampire's Plaything</v>
      </c>
      <c r="B26" s="991" t="str">
        <f>if('請先閱讀'!$F$33=true,"熾烈黎明之恩惠 Boon of Blazing Dawn","")</f>
        <v>熾烈黎明之恩惠 Boon of Blazing Dawn</v>
      </c>
    </row>
    <row r="27">
      <c r="A27" s="992" t="str">
        <f>if('請先閱讀'!$F$34=true,"異族龍紋 Aberrant Dragonmark","")</f>
        <v>異族龍紋 Aberrant Dragonmark</v>
      </c>
      <c r="B27" s="990" t="str">
        <f>if('請先閱讀'!$F$33=true,"潛伏陰影之恩惠 Boon of Looming Shadows","")</f>
        <v>潛伏陰影之恩惠 Boon of Looming Shadows</v>
      </c>
    </row>
    <row r="28">
      <c r="A28" s="993" t="str">
        <f>if('請先閱讀'!$F$34=true,"偵測龍紋 Mark of Detection","")</f>
        <v>偵測龍紋 Mark of Detection</v>
      </c>
      <c r="B28" s="991" t="str">
        <f>if('請先閱讀'!$F$33=true,"迷霧脫身之恩惠 Boon of Misty Escape","")</f>
        <v>迷霧脫身之恩惠 Boon of Misty Escape</v>
      </c>
    </row>
    <row r="29">
      <c r="A29" s="992" t="str">
        <f>if('請先閱讀'!$F$34=true,"探索龍紋 Mark of Finding","")</f>
        <v>探索龍紋 Mark of Finding</v>
      </c>
      <c r="B29" s="993" t="str">
        <f>if('請先閱讀'!$F$34=true,"西伯瑞斯之恩惠 Boon of Siberys","")</f>
        <v>西伯瑞斯之恩惠 Boon of Siberys</v>
      </c>
    </row>
    <row r="30">
      <c r="A30" s="993" t="str">
        <f>if('請先閱讀'!$F$34=true,"畜牧龍紋 Mark of Handling","")</f>
        <v>畜牧龍紋 Mark of Handling</v>
      </c>
      <c r="B30" s="994" t="str">
        <f>IF('請先閱讀'!$O$31=true,"魔法抗性之恩惠 Boon of Magic Resistance","")</f>
        <v/>
      </c>
    </row>
    <row r="31">
      <c r="A31" s="992" t="str">
        <f>if('請先閱讀'!$F$34=true,"醫療龍紋 Mark of Healing","")</f>
        <v>醫療龍紋 Mark of Healing</v>
      </c>
      <c r="B31" s="995" t="str">
        <f>IF('請先閱讀'!$O$31=true,"馭天飛行之恩惠 Boon of Perfect Flight","")</f>
        <v/>
      </c>
    </row>
    <row r="32">
      <c r="A32" s="993" t="str">
        <f>if('請先閱讀'!$F$34=true,"招待龍紋 Mark of Hospitality","")</f>
        <v>招待龍紋 Mark of Hospitality</v>
      </c>
      <c r="B32" s="994" t="str">
        <f>IF('請先閱讀'!$O$31=true,"影鋼專精之恩惠 Boon of Shadowsteel Mastery","")</f>
        <v/>
      </c>
    </row>
    <row r="33">
      <c r="A33" s="992" t="str">
        <f>if('請先閱讀'!$F$34=true,"創造龍紋 Mark of Making","")</f>
        <v>創造龍紋 Mark of Making</v>
      </c>
      <c r="B33" s="995" t="str">
        <f>IF('請先閱讀'!$O$31=true,"至尊巫妖之恩惠 Boon of the Archlich","")</f>
        <v/>
      </c>
    </row>
    <row r="34">
      <c r="A34" s="993" t="str">
        <f>if('請先閱讀'!$F$34=true,"通行龍紋 Mark of Passage","")</f>
        <v>通行龍紋 Mark of Passage</v>
      </c>
      <c r="B34" s="994" t="str">
        <f>IF('請先閱讀'!$O$31=true,"飛昇血族之恩惠 Boon of the Ascended Vampire","")</f>
        <v/>
      </c>
    </row>
    <row r="35">
      <c r="A35" s="992" t="str">
        <f>if('請先閱讀'!$F$34=true,"抄錄龍紋 Mark of Scribing","")</f>
        <v>抄錄龍紋 Mark of Scribing</v>
      </c>
      <c r="B35" s="995" t="str">
        <f>IF('請先閱讀'!$O$31=true,"塵世羈絆之恩惠 Boon of the Earthly Tether","")</f>
        <v/>
      </c>
    </row>
    <row r="36">
      <c r="A36" s="993" t="str">
        <f>if('請先閱讀'!$F$34=true,"守護龍紋 Mark of Sentinel","")</f>
        <v>守護龍紋 Mark of Sentinel</v>
      </c>
      <c r="B36" s="994" t="str">
        <f>IF('請先閱讀'!$O$31=true,"上古妖精之恩惠 Boon of the Elder Fey","")</f>
        <v/>
      </c>
    </row>
    <row r="37">
      <c r="A37" s="992" t="str">
        <f>if('請先閱讀'!$F$34=true,"陰影龍紋 Mark of Shadow","")</f>
        <v>陰影龍紋 Mark of Shadow</v>
      </c>
      <c r="B37" s="995" t="str">
        <f>IF('請先閱讀'!$O$31=true,"上古邪魔之恩惠 Boon of the Elder Fiend","")</f>
        <v/>
      </c>
    </row>
    <row r="38">
      <c r="A38" s="993" t="str">
        <f>if('請先閱讀'!$F$34=true,"暴風龍紋 Mark of Storm","")</f>
        <v>暴風龍紋 Mark of Storm</v>
      </c>
      <c r="B38" s="994" t="str">
        <f>IF('請先閱讀'!$O$31=true,"上古駭物之恩惠 Boon of the Elder Horror","")</f>
        <v/>
      </c>
    </row>
    <row r="39">
      <c r="A39" s="992" t="str">
        <f>if('請先閱讀'!$F$34=true,"警戒龍紋 Mark of Warding","")</f>
        <v>警戒龍紋 Mark of Warding</v>
      </c>
      <c r="B39" s="995" t="str">
        <f>IF('請先閱讀'!$O$31=true,"元素調和之恩惠 Boon of the Elemental Temperance","")</f>
        <v/>
      </c>
    </row>
    <row r="40">
      <c r="A40" s="996" t="str">
        <f>IF('請先閱讀'!$O$27=true,"異變 Altered","")</f>
        <v/>
      </c>
      <c r="B40" s="994" t="str">
        <f>IF('請先閱讀'!$O$31=true,"至高天使之恩惠 Boon of the High Seraph","")</f>
        <v/>
      </c>
    </row>
    <row r="41">
      <c r="A41" s="997" t="str">
        <f>IF('請先閱讀'!$O$27=true,"護符編織者 Charm Twister","")</f>
        <v/>
      </c>
      <c r="B41" s="995" t="str">
        <f>IF('請先閱讀'!$O$31=true,"狂野獸性之恩惠 Boon of the Wilds","")</f>
        <v/>
      </c>
    </row>
    <row r="42">
      <c r="A42" s="996" t="str">
        <f>IF('請先閱讀'!$O$27=true,"猩紅祭儀師 Crimson Ritualist","")</f>
        <v/>
      </c>
    </row>
    <row r="43">
      <c r="A43" s="997" t="str">
        <f>IF('請先閱讀'!$O$27=true,"教團新晉者 Cult Initiate","")</f>
        <v/>
      </c>
    </row>
    <row r="44">
      <c r="A44" s="996" t="str">
        <f>IF('請先閱讀'!$O$27=true,"恐懼密言 Dread Speech","")</f>
        <v/>
      </c>
    </row>
    <row r="45">
      <c r="A45" s="997" t="str">
        <f>IF('請先閱讀'!$O$27=true,"命運賭徒 Fate Gambler","")</f>
        <v/>
      </c>
    </row>
    <row r="46">
      <c r="A46" s="996" t="str">
        <f>IF('請先閱讀'!$O$27=true,"幽燈靈媒 Ghostlight Medium","")</f>
        <v/>
      </c>
    </row>
    <row r="47">
      <c r="A47" s="997" t="str">
        <f>IF('請先閱讀'!$O$27=true,"守墓人 Grave Keeper","")</f>
        <v/>
      </c>
    </row>
    <row r="48">
      <c r="A48" s="996" t="str">
        <f>IF('請先閱讀'!$O$27=true,"獵狩獵手 Hunter of Hunters","")</f>
        <v/>
      </c>
    </row>
    <row r="49">
      <c r="A49" s="997" t="str">
        <f>IF('請先閱讀'!$O$27=true,"記憶飢渴 Memory Starved","")</f>
        <v/>
      </c>
    </row>
    <row r="50">
      <c r="A50" s="996" t="str">
        <f>IF('請先閱讀'!$O$27=true,"狂歡愚者 Reveling Fool","")</f>
        <v/>
      </c>
    </row>
    <row r="51">
      <c r="A51" s="997" t="str">
        <f>IF('請先閱讀'!$O$27=true,"無反射 Unreflected","")</f>
        <v/>
      </c>
    </row>
    <row r="52">
      <c r="A52" s="998" t="str">
        <f>IF('請先閱讀'!$O$30=true,"我曾戰後歸來 I Fought, I Lived","")</f>
        <v/>
      </c>
    </row>
    <row r="53">
      <c r="A53" s="999" t="str">
        <f>IF('請先閱讀'!$O$30=true,"我曾躲過懼佈 I Hid from the Terror","")</f>
        <v/>
      </c>
    </row>
    <row r="54">
      <c r="A54" s="998" t="str">
        <f>IF('請先閱讀'!$O$30=true,"我曾擊破幻象 I Pierced the Illusion","")</f>
        <v/>
      </c>
    </row>
    <row r="55">
      <c r="A55" s="999" t="str">
        <f>IF('請先閱讀'!$O$30=true,"我曾開啟門扉 I Opened the Gate","")</f>
        <v/>
      </c>
    </row>
    <row r="56">
      <c r="A56" s="998" t="str">
        <f>IF('請先閱讀'!$O$30=true,"我曾倖存而述 I Survived to Tell the Tale","")</f>
        <v/>
      </c>
    </row>
    <row r="57">
      <c r="A57" s="994" t="str">
        <f>IF('請先閱讀'!$O$31=true,"尋血犬 Blood Hound","")</f>
        <v/>
      </c>
    </row>
    <row r="58">
      <c r="A58" s="995" t="str">
        <f>IF('請先閱讀'!$O$31=true,"威信審判官 Convincing Inquisitor","")</f>
        <v/>
      </c>
    </row>
    <row r="59">
      <c r="A59" s="994" t="str">
        <f>IF('請先閱讀'!$O$31=true,"與死亡為伍 Deathbound","")</f>
        <v/>
      </c>
    </row>
    <row r="60">
      <c r="A60" s="995" t="str">
        <f>IF('請先閱讀'!$O$31=true,"奇術師機運 Fortune of the Thaumaturge","")</f>
        <v/>
      </c>
    </row>
    <row r="61">
      <c r="A61" s="994" t="str">
        <f>IF('請先閱讀'!$O$31=true,"自由劍傭兵的意志 Free Sword Mercenary's Will","")</f>
        <v/>
      </c>
    </row>
    <row r="62">
      <c r="A62" s="995" t="str">
        <f>IF('請先閱讀'!$O$31=true,"慧眼收藏家 Insightful Collector","")</f>
        <v/>
      </c>
    </row>
    <row r="63">
      <c r="A63" s="994" t="str">
        <f>IF('請先閱讀'!$O$31=true,"幫派決心 Resolution of the Syndicate","")</f>
        <v/>
      </c>
    </row>
    <row r="64">
      <c r="A64" s="995" t="str">
        <f>IF('請先閱讀'!$O$31=true,"倖存者 Survivor","")</f>
        <v/>
      </c>
    </row>
    <row r="65">
      <c r="A65" s="994" t="str">
        <f>IF('請先閱讀'!$O$31=true,"急救專家 Triage Expert","")</f>
        <v/>
      </c>
    </row>
    <row r="66">
      <c r="A66" s="993" t="str">
        <f>IF('請先閱讀'!$O$33=true,"艾瑞尼專家 Aereni Expertise","")</f>
        <v/>
      </c>
    </row>
    <row r="67">
      <c r="A67" s="992" t="str">
        <f>IF('請先閱讀'!$O$33=true,"海洋適應 Aquatic Adaptation","")</f>
        <v/>
      </c>
    </row>
    <row r="68">
      <c r="A68" s="993" t="str">
        <f>IF('請先閱讀'!$O$33=true,"整合工具 Envoy Specialist","")</f>
        <v/>
      </c>
    </row>
    <row r="69">
      <c r="A69" s="992" t="str">
        <f>IF('請先閱讀'!$O$33=true,"焦點自我 Focused Personas","")</f>
        <v/>
      </c>
    </row>
    <row r="70">
      <c r="A70" s="993" t="str">
        <f>IF('請先閱讀'!$O$33=true,"禁聲訓練 Khesh'dar Training","")</f>
        <v/>
      </c>
    </row>
    <row r="71">
      <c r="A71" s="992" t="str">
        <f>IF('請先閱讀'!$O$33=true,"思維歌手 Thoughtsinger","")</f>
        <v/>
      </c>
    </row>
    <row r="72">
      <c r="A72" s="993" t="str">
        <f>IF('請先閱讀'!$O$33=true,"達坎夢境 Uul Dhakaan","")</f>
        <v/>
      </c>
    </row>
    <row r="73">
      <c r="A73" s="1000" t="str">
        <f>if('請先閱讀'!$F$36=true,"~~~~位面契約專長 PlanarPact Feat~~~~","")</f>
        <v/>
      </c>
    </row>
    <row r="74">
      <c r="A74" s="1001" t="str">
        <f>if('請先閱讀'!$F$36=true,"妖精契約 Fey Pact","")</f>
        <v/>
      </c>
    </row>
    <row r="75">
      <c r="A75" s="1002" t="str">
        <f>if('請先閱讀'!$F$36=true,"地獄契約 Infernal Pact","")</f>
        <v/>
      </c>
    </row>
    <row r="76">
      <c r="A76" s="1003" t="s">
        <v>1174</v>
      </c>
    </row>
    <row r="77">
      <c r="A77" s="985" t="s">
        <v>1175</v>
      </c>
    </row>
    <row r="78">
      <c r="A78" s="985" t="s">
        <v>1176</v>
      </c>
    </row>
    <row r="79">
      <c r="A79" s="985" t="s">
        <v>1177</v>
      </c>
    </row>
    <row r="80">
      <c r="A80" s="985" t="s">
        <v>1178</v>
      </c>
    </row>
    <row r="81">
      <c r="A81" s="985" t="s">
        <v>1179</v>
      </c>
    </row>
    <row r="82">
      <c r="A82" s="985" t="s">
        <v>1180</v>
      </c>
      <c r="B82" s="985"/>
    </row>
    <row r="83">
      <c r="A83" s="985" t="s">
        <v>1181</v>
      </c>
      <c r="B83" s="985"/>
    </row>
    <row r="84">
      <c r="A84" s="985" t="s">
        <v>1182</v>
      </c>
      <c r="B84" s="985"/>
    </row>
    <row r="85">
      <c r="A85" s="985" t="s">
        <v>1183</v>
      </c>
      <c r="B85" s="985"/>
    </row>
    <row r="86">
      <c r="A86" s="985" t="s">
        <v>1184</v>
      </c>
      <c r="B86" s="985"/>
    </row>
    <row r="87">
      <c r="A87" s="985" t="s">
        <v>1185</v>
      </c>
      <c r="B87" s="985"/>
    </row>
    <row r="88">
      <c r="A88" s="985" t="s">
        <v>1186</v>
      </c>
      <c r="B88" s="985"/>
    </row>
    <row r="89">
      <c r="A89" s="985" t="s">
        <v>1187</v>
      </c>
      <c r="B89" s="985"/>
    </row>
    <row r="90">
      <c r="A90" s="985" t="s">
        <v>1188</v>
      </c>
      <c r="B90" s="985"/>
    </row>
    <row r="91">
      <c r="A91" s="985" t="s">
        <v>1189</v>
      </c>
      <c r="B91" s="985"/>
    </row>
    <row r="92">
      <c r="A92" s="985" t="s">
        <v>1190</v>
      </c>
      <c r="B92" s="985"/>
    </row>
    <row r="93">
      <c r="A93" s="985" t="s">
        <v>1191</v>
      </c>
      <c r="B93" s="985"/>
    </row>
    <row r="94">
      <c r="A94" s="985" t="s">
        <v>1192</v>
      </c>
      <c r="B94" s="985"/>
    </row>
    <row r="95">
      <c r="A95" s="985" t="s">
        <v>1193</v>
      </c>
      <c r="B95" s="985"/>
    </row>
    <row r="96">
      <c r="A96" s="985" t="s">
        <v>1194</v>
      </c>
      <c r="B96" s="985"/>
    </row>
    <row r="97">
      <c r="A97" s="985" t="s">
        <v>1195</v>
      </c>
      <c r="B97" s="985"/>
    </row>
    <row r="98">
      <c r="A98" s="985" t="s">
        <v>1196</v>
      </c>
      <c r="B98" s="985"/>
    </row>
    <row r="99">
      <c r="A99" s="985" t="s">
        <v>1197</v>
      </c>
      <c r="B99" s="985"/>
    </row>
    <row r="100">
      <c r="A100" s="985" t="s">
        <v>1198</v>
      </c>
      <c r="B100" s="985"/>
    </row>
    <row r="101">
      <c r="A101" s="985" t="s">
        <v>1199</v>
      </c>
      <c r="B101" s="985"/>
    </row>
    <row r="102">
      <c r="A102" s="985" t="s">
        <v>1200</v>
      </c>
      <c r="B102" s="985"/>
    </row>
    <row r="103">
      <c r="A103" s="985" t="s">
        <v>1201</v>
      </c>
      <c r="B103" s="985"/>
    </row>
    <row r="104">
      <c r="A104" s="985" t="s">
        <v>1202</v>
      </c>
      <c r="B104" s="985"/>
    </row>
    <row r="105">
      <c r="A105" s="985" t="s">
        <v>1203</v>
      </c>
      <c r="B105" s="985"/>
    </row>
    <row r="106">
      <c r="A106" s="985" t="s">
        <v>1204</v>
      </c>
      <c r="B106" s="985"/>
    </row>
    <row r="107">
      <c r="A107" s="985" t="s">
        <v>1205</v>
      </c>
      <c r="B107" s="985"/>
    </row>
    <row r="108">
      <c r="A108" s="985" t="s">
        <v>1206</v>
      </c>
      <c r="B108" s="985"/>
    </row>
    <row r="109">
      <c r="A109" s="985" t="s">
        <v>1207</v>
      </c>
      <c r="B109" s="985"/>
    </row>
    <row r="110">
      <c r="A110" s="985" t="s">
        <v>1208</v>
      </c>
      <c r="B110" s="985"/>
    </row>
    <row r="111">
      <c r="A111" s="985" t="s">
        <v>1209</v>
      </c>
      <c r="B111" s="985"/>
    </row>
    <row r="112">
      <c r="A112" s="985" t="s">
        <v>1210</v>
      </c>
      <c r="B112" s="985"/>
    </row>
    <row r="113">
      <c r="A113" s="985" t="s">
        <v>1211</v>
      </c>
      <c r="B113" s="985"/>
    </row>
    <row r="114">
      <c r="A114" s="985" t="s">
        <v>1212</v>
      </c>
      <c r="B114" s="985"/>
    </row>
    <row r="115">
      <c r="A115" s="985" t="s">
        <v>1213</v>
      </c>
      <c r="B115" s="985"/>
    </row>
    <row r="116">
      <c r="A116" s="985" t="s">
        <v>1214</v>
      </c>
      <c r="B116" s="985"/>
    </row>
    <row r="117">
      <c r="A117" s="985" t="s">
        <v>1215</v>
      </c>
      <c r="B117" s="985"/>
    </row>
    <row r="118">
      <c r="A118" s="985" t="s">
        <v>1216</v>
      </c>
      <c r="B118" s="985"/>
    </row>
    <row r="119">
      <c r="A119" s="985" t="s">
        <v>1217</v>
      </c>
      <c r="B119" s="1004"/>
    </row>
    <row r="120">
      <c r="A120" s="986" t="str">
        <f>if('請先閱讀'!$F$31=true,"寒冰施法者 Cold Caster","")</f>
        <v>寒冰施法者 Cold Caster</v>
      </c>
      <c r="B120" s="1004"/>
    </row>
    <row r="121">
      <c r="A121" s="987" t="str">
        <f>if('請先閱讀'!$F$31=true,"龍痕 Dragonscarred","")</f>
        <v>龍痕 Dragonscarred</v>
      </c>
      <c r="B121" s="1004"/>
    </row>
    <row r="122">
      <c r="A122" s="986" t="str">
        <f>if('請先閱讀'!$F$31=true,"閑庭魔法 Enclave Magic","")</f>
        <v>閑庭魔法 Enclave Magic</v>
      </c>
      <c r="B122" s="1004"/>
    </row>
    <row r="123">
      <c r="A123" s="987" t="str">
        <f>if('請先閱讀'!$F$31=true,"妖精魔術師 Fairy Trickster","")</f>
        <v>妖精魔術師 Fairy Trickster</v>
      </c>
      <c r="B123" s="1004"/>
    </row>
    <row r="124">
      <c r="A124" s="986" t="str">
        <f>if('請先閱讀'!$F$31=true,"巨靈魔法 Genie Magic","")</f>
        <v>巨靈魔法 Genie Magic</v>
      </c>
      <c r="B124" s="1004"/>
    </row>
    <row r="125">
      <c r="A125" s="987" t="str">
        <f>if('請先閱讀'!$F$31=true,"豎琴手團隊戰術 Harper Teamwork","")</f>
        <v>豎琴手團隊戰術 Harper Teamwork</v>
      </c>
      <c r="B125" s="1004"/>
    </row>
    <row r="126">
      <c r="A126" s="986" t="str">
        <f>if('請先閱讀'!$F$31=true,"尊主決心 Lordly Resolve","")</f>
        <v>尊主決心 Lordly Resolve</v>
      </c>
      <c r="B126" s="1004"/>
    </row>
    <row r="127">
      <c r="A127" s="987" t="str">
        <f>if('請先閱讀'!$F$31=true,"祕法觸碰 Mythal Touched","")</f>
        <v>祕法觸碰 Mythal Touched</v>
      </c>
      <c r="B127" s="1004"/>
    </row>
    <row r="128">
      <c r="A128" s="986" t="str">
        <f>if('請先閱讀'!$F$31=true,"教團韌性 Order's Resilience","")</f>
        <v>教團韌性 Order's Resilience</v>
      </c>
      <c r="B128" s="1004"/>
    </row>
    <row r="129">
      <c r="A129" s="987" t="str">
        <f>if('請先閱讀'!$F$31=true,"紫龍指揮官 Purple Dragon Commandant","")</f>
        <v>紫龍指揮官 Purple Dragon Commandant</v>
      </c>
      <c r="B129" s="1004"/>
    </row>
    <row r="130">
      <c r="A130" s="986" t="str">
        <f>if('請先閱讀'!$F$31=true,"咒火行家 Spellfire Adept","")</f>
        <v>咒火行家 Spellfire Adept</v>
      </c>
      <c r="B130" s="1004"/>
    </row>
    <row r="131">
      <c r="A131" s="987" t="str">
        <f>if('請先閱讀'!$F$31=true,"街頭正義 Street Justice","")</f>
        <v>街頭正義 Street Justice</v>
      </c>
      <c r="B131" s="1004"/>
    </row>
    <row r="132">
      <c r="A132" s="986" t="str">
        <f>if('請先閱讀'!$F$31=true,"散塔林戰術 Zhentarim Tactics","")</f>
        <v>散塔林戰術 Zhentarim Tactics</v>
      </c>
      <c r="B132" s="1004"/>
    </row>
    <row r="133">
      <c r="A133" s="991" t="str">
        <f>if('請先閱讀'!$F$33=true,"渴血 Bloodlust","")</f>
        <v>渴血 Bloodlust</v>
      </c>
      <c r="B133" s="1004"/>
    </row>
    <row r="134">
      <c r="A134" s="990" t="str">
        <f>if('請先閱讀'!$F$33=true,"炸彈手 Bomber","")</f>
        <v>炸彈手 Bomber</v>
      </c>
      <c r="B134" s="1004"/>
    </row>
    <row r="135">
      <c r="A135" s="991" t="str">
        <f>if('請先閱讀'!$F$33=true,"黏滯迷霧 Cloying Mists","")</f>
        <v>黏滯迷霧 Cloying Mists</v>
      </c>
      <c r="B135" s="1004"/>
    </row>
    <row r="136">
      <c r="A136" s="990" t="str">
        <f>if('請先閱讀'!$F$33=true,"甘美痛楚 Delicious Pain","")</f>
        <v>甘美痛楚 Delicious Pain</v>
      </c>
      <c r="B136" s="1004"/>
    </row>
    <row r="137">
      <c r="A137" s="991" t="str">
        <f>if('請先閱讀'!$F$33=true,"光之使者 Light Bringer","")</f>
        <v>光之使者 Light Bringer</v>
      </c>
      <c r="B137" s="1004"/>
    </row>
    <row r="138">
      <c r="A138" s="990" t="str">
        <f>if('請先閱讀'!$F$33=true,"曖昧之吻 Love Bites","")</f>
        <v>曖昧之吻 Love Bites</v>
      </c>
      <c r="B138" s="1004"/>
    </row>
    <row r="139">
      <c r="A139" s="991" t="str">
        <f>if('請先閱讀'!$F$33=true,"腐敗 Putrefy","")</f>
        <v>腐敗 Putrefy</v>
      </c>
      <c r="B139" s="1004"/>
    </row>
    <row r="140">
      <c r="A140" s="990" t="str">
        <f>if('請先閱讀'!$F$33=true,"斥罪 Rebuke","")</f>
        <v>斥罪 Rebuke</v>
      </c>
      <c r="B140" s="1004"/>
    </row>
    <row r="141">
      <c r="A141" s="991" t="str">
        <f>if('請先閱讀'!$F$33=true,"詭詐誘惑 Treacherous Allure","")</f>
        <v>詭詐誘惑 Treacherous Allure</v>
      </c>
      <c r="B141" s="1004"/>
    </row>
    <row r="142">
      <c r="A142" s="990" t="str">
        <f>if('請先閱讀'!$F$33=true,"吸血鬼觸碰 Vampire Touched","")</f>
        <v>吸血鬼觸碰 Vampire Touched</v>
      </c>
      <c r="B142" s="1004"/>
    </row>
    <row r="143">
      <c r="A143" s="992" t="str">
        <f>if('請先閱讀'!$F$34=true,"高級異族龍紋 Greater Aberrant Dragonmark","")</f>
        <v>高級異族龍紋 Greater Aberrant Dragonmark</v>
      </c>
      <c r="B143" s="1004"/>
    </row>
    <row r="144">
      <c r="A144" s="993" t="str">
        <f>if('請先閱讀'!$F$34=true,"高等偵測龍紋 Greater Mark of Detection","")</f>
        <v>高等偵測龍紋 Greater Mark of Detection</v>
      </c>
      <c r="B144" s="1004"/>
    </row>
    <row r="145">
      <c r="A145" s="992" t="str">
        <f>if('請先閱讀'!$F$34=true,"高等探索龍紋 Greater Mark of Finding","")</f>
        <v>高等探索龍紋 Greater Mark of Finding</v>
      </c>
      <c r="B145" s="1004"/>
    </row>
    <row r="146">
      <c r="A146" s="993" t="str">
        <f>if('請先閱讀'!$F$34=true,"高等畜牧龍紋 Greater Mark of Handling","")</f>
        <v>高等畜牧龍紋 Greater Mark of Handling</v>
      </c>
      <c r="B146" s="1004"/>
    </row>
    <row r="147">
      <c r="A147" s="992" t="str">
        <f>if('請先閱讀'!$F$34=true,"高等醫療龍紋 Greater Mark of Healing","")</f>
        <v>高等醫療龍紋 Greater Mark of Healing</v>
      </c>
      <c r="B147" s="1004"/>
    </row>
    <row r="148">
      <c r="A148" s="993" t="str">
        <f>if('請先閱讀'!$F$34=true,"高等招待龍紋 Greater Mark of Hospitality","")</f>
        <v>高等招待龍紋 Greater Mark of Hospitality</v>
      </c>
      <c r="B148" s="1004"/>
    </row>
    <row r="149">
      <c r="A149" s="992" t="str">
        <f>if('請先閱讀'!$F$34=true,"高等創造龍紋 Greater Mark of Making","")</f>
        <v>高等創造龍紋 Greater Mark of Making</v>
      </c>
      <c r="B149" s="1004"/>
    </row>
    <row r="150">
      <c r="A150" s="993" t="str">
        <f>if('請先閱讀'!$F$34=true,"高等通行龍紋 Greater Mark of Passage","")</f>
        <v>高等通行龍紋 Greater Mark of Passage</v>
      </c>
      <c r="B150" s="1004"/>
    </row>
    <row r="151">
      <c r="A151" s="992" t="str">
        <f>if('請先閱讀'!$F$34=true,"高等抄錄龍紋 Greater Mark of Scribing","")</f>
        <v>高等抄錄龍紋 Greater Mark of Scribing</v>
      </c>
      <c r="B151" s="1004"/>
    </row>
    <row r="152">
      <c r="A152" s="993" t="str">
        <f>if('請先閱讀'!$F$34=true,"高等守護龍紋 Greater Mark of Sentinel","")</f>
        <v>高等守護龍紋 Greater Mark of Sentinel</v>
      </c>
      <c r="B152" s="1004"/>
    </row>
    <row r="153">
      <c r="A153" s="992" t="str">
        <f>if('請先閱讀'!$F$34=true,"高等陰影龍紋 Greater Mark of Shadow","")</f>
        <v>高等陰影龍紋 Greater Mark of Shadow</v>
      </c>
      <c r="B153" s="1004"/>
    </row>
    <row r="154">
      <c r="A154" s="993" t="str">
        <f>if('請先閱讀'!$F$34=true,"高等暴風龍紋 Greater Mark of Storm","")</f>
        <v>高等暴風龍紋 Greater Mark of Storm</v>
      </c>
      <c r="B154" s="1004"/>
    </row>
    <row r="155">
      <c r="A155" s="992" t="str">
        <f>if('請先閱讀'!$F$34=true,"高等警戒龍紋 Greater Mark of Warding","")</f>
        <v>高等警戒龍紋 Greater Mark of Warding</v>
      </c>
      <c r="B155" s="1004"/>
    </row>
    <row r="156">
      <c r="A156" s="993" t="str">
        <f>if('請先閱讀'!$F$34=true,"強效龍紋 Potent Dragonmark","")</f>
        <v>強效龍紋 Potent Dragonmark</v>
      </c>
      <c r="B156" s="1004"/>
    </row>
    <row r="157">
      <c r="A157" s="1002" t="str">
        <f>if('請先閱讀'!$F$36=true,"妖精哨兵 Fey Sentinel","")</f>
        <v/>
      </c>
      <c r="B157" s="1004"/>
    </row>
    <row r="158">
      <c r="A158" s="1001" t="str">
        <f>if('請先閱讀'!$F$36=true,"地獄守衛 Infernal Bulwark","")</f>
        <v/>
      </c>
      <c r="B158" s="1004"/>
    </row>
    <row r="159">
      <c r="A159" s="1002" t="str">
        <f>if('請先閱讀'!$F$36=true,"地獄騎兵 Infernal Dragoon","")</f>
        <v/>
      </c>
      <c r="B159" s="1004"/>
    </row>
    <row r="160">
      <c r="A160" s="997" t="str">
        <f>IF('請先閱讀'!$O$27=true,"拒絕死亡 Death Defier","")</f>
        <v/>
      </c>
      <c r="B160" s="1004"/>
    </row>
    <row r="161">
      <c r="A161" s="996" t="str">
        <f>IF('請先閱讀'!$O$27=true,"迅捷巫術 Swift Witchcraft","")</f>
        <v/>
      </c>
      <c r="B161" s="1004"/>
    </row>
    <row r="162">
      <c r="A162" s="1005" t="str">
        <f>IF('請先閱讀'!O$29=true,"槍手吉運 Marksman's Luck","")</f>
        <v/>
      </c>
      <c r="B162" s="1004"/>
    </row>
    <row r="163">
      <c r="A163" s="1006" t="str">
        <f>IF('請先閱讀'!O$29=true,"魔銃行家 Gun-Mage Adept","")</f>
        <v/>
      </c>
      <c r="B163" s="1004"/>
    </row>
    <row r="164">
      <c r="A164" s="1005" t="str">
        <f>IF('請先閱讀'!O$29=true,"鐵血英雄 Iron Hero","")</f>
        <v/>
      </c>
      <c r="B164" s="1004"/>
    </row>
    <row r="165">
      <c r="A165" s="1007" t="str">
        <f>IF('請先閱讀'!O28=true,"蠻力抓握 Brutal Grip","")</f>
        <v/>
      </c>
      <c r="B165" s="1004"/>
    </row>
    <row r="166">
      <c r="A166" s="1008" t="str">
        <f>IF('請先閱讀'!O28=true,"沙場指揮官 Field Commander","")</f>
        <v/>
      </c>
      <c r="B166" s="1004"/>
    </row>
    <row r="167">
      <c r="A167" s="1007" t="str">
        <f>IF('請先閱讀'!O28=true,"專注重擊 Focused Critical","")</f>
        <v/>
      </c>
      <c r="B167" s="1004"/>
    </row>
    <row r="168">
      <c r="A168" s="1008" t="str">
        <f>IF('請先閱讀'!O28=true,"鐵血英雄 Iron Hero","")</f>
        <v/>
      </c>
      <c r="B168" s="1004"/>
    </row>
    <row r="169">
      <c r="A169" s="995" t="str">
        <f>IF('請先閱讀'!$O$31=true,"黑火藥手銃專家 Blackpowder Pistol Expert","")</f>
        <v/>
      </c>
      <c r="B169" s="1004"/>
    </row>
    <row r="170">
      <c r="A170" s="994" t="str">
        <f>IF('請先閱讀'!$O$31=true,"拓展抓握 Expanded Grip","")</f>
        <v/>
      </c>
      <c r="B170" s="1004"/>
    </row>
    <row r="171">
      <c r="A171" s="995" t="str">
        <f>IF('請先閱讀'!$O$31=true,"魁武體格 Hulking Figure","")</f>
        <v/>
      </c>
      <c r="B171" s="1004"/>
    </row>
    <row r="172">
      <c r="A172" s="994" t="str">
        <f>IF('請先閱讀'!$O$31=true,"鐵胃 Iron Gut","")</f>
        <v/>
      </c>
      <c r="B172" s="1004"/>
    </row>
    <row r="173">
      <c r="A173" s="995" t="str">
        <f>IF('請先閱讀'!$O$31=true,"急速施法者 Lightning Caster","")</f>
        <v/>
      </c>
      <c r="B173" s="1004"/>
    </row>
    <row r="174">
      <c r="A174" s="994" t="str">
        <f>IF('請先閱讀'!$O$31=true,"莫爾布斯醫師 Medician of the Morbus Doctore","")</f>
        <v/>
      </c>
      <c r="B174" s="1004"/>
    </row>
    <row r="175">
      <c r="A175" s="995" t="str">
        <f>IF('請先閱讀'!$O$31=true,"矯健身手 Nimble Physique","")</f>
        <v/>
      </c>
      <c r="B175" s="1004"/>
    </row>
    <row r="176">
      <c r="A176" s="994" t="str">
        <f>IF('請先閱讀'!$O$31=true,"操血學徒 Sangromantic Initiate","")</f>
        <v/>
      </c>
      <c r="B176" s="1004"/>
    </row>
    <row r="177">
      <c r="A177" s="995" t="str">
        <f>IF('請先閱讀'!$O$31=true,"影鋼使者 Shadowsteel Adept","")</f>
        <v/>
      </c>
      <c r="B177" s="1004"/>
    </row>
    <row r="178">
      <c r="A178" s="994" t="str">
        <f>IF('請先閱讀'!$O$31=true,"影鋼大師 Shadowsteel Master","")</f>
        <v/>
      </c>
      <c r="B178" s="1004"/>
    </row>
    <row r="179">
      <c r="A179" s="995" t="str">
        <f>IF('請先閱讀'!$O$31=true,"幫派間諜 Syndicate Spy","")</f>
        <v/>
      </c>
      <c r="B179" s="1004"/>
    </row>
    <row r="180">
      <c r="A180" s="994" t="str">
        <f>IF('請先閱讀'!$O$31=true,"投擲武器大師 Thrown Weapon Master","")</f>
        <v/>
      </c>
      <c r="B180" s="1004"/>
    </row>
    <row r="181">
      <c r="A181" s="995" t="str">
        <f>IF('請先閱讀'!$O$31=true,"獵巫人 Witch Hunter","")</f>
        <v/>
      </c>
      <c r="B181" s="1004"/>
    </row>
    <row r="182">
      <c r="A182" s="992" t="str">
        <f>IF('請先閱讀'!$O$33=true,"艾瑞尼近不朽者 Aereni Half-Life","")</f>
        <v/>
      </c>
      <c r="B182" s="1004"/>
    </row>
    <row r="183">
      <c r="A183" s="993" t="str">
        <f>IF('請先閱讀'!$O$33=true,"幻身靈蛻變 Changeling Metamorphosis","")</f>
        <v/>
      </c>
      <c r="B183" s="1004"/>
    </row>
    <row r="184">
      <c r="A184" s="992" t="str">
        <f>IF('請先閱讀'!$O$33=true,"主宰護甲 Juggernaut Plating","")</f>
        <v/>
      </c>
      <c r="B184" s="1004"/>
    </row>
    <row r="185">
      <c r="A185" s="993" t="str">
        <f>IF('請先閱讀'!$O$33=true,"魘夢連結 Quori Bond","")</f>
        <v/>
      </c>
      <c r="B185" s="1004"/>
    </row>
    <row r="186">
      <c r="A186" s="992" t="str">
        <f>IF('請先閱讀'!$O$33=true,"上等化形 Superior Shifting","")</f>
        <v/>
      </c>
      <c r="B186" s="1004"/>
    </row>
    <row r="187">
      <c r="A187" s="1009" t="s">
        <v>1218</v>
      </c>
      <c r="B187" s="1004"/>
    </row>
    <row r="188">
      <c r="A188" s="985" t="s">
        <v>1219</v>
      </c>
      <c r="B188" s="1004"/>
    </row>
    <row r="189">
      <c r="A189" s="985" t="s">
        <v>1220</v>
      </c>
      <c r="B189" s="1004"/>
    </row>
    <row r="190">
      <c r="A190" s="985" t="s">
        <v>1221</v>
      </c>
      <c r="B190" s="1004"/>
    </row>
    <row r="191">
      <c r="A191" s="985" t="s">
        <v>1222</v>
      </c>
      <c r="B191" s="1004"/>
    </row>
    <row r="192">
      <c r="A192" s="985" t="s">
        <v>1223</v>
      </c>
      <c r="B192" s="1004"/>
    </row>
    <row r="193">
      <c r="A193" s="985" t="s">
        <v>1224</v>
      </c>
      <c r="B193" s="1004"/>
    </row>
    <row r="194">
      <c r="A194" s="985" t="s">
        <v>1225</v>
      </c>
      <c r="B194" s="1004"/>
    </row>
    <row r="195">
      <c r="A195" s="985" t="s">
        <v>1226</v>
      </c>
      <c r="B195" s="1004"/>
    </row>
    <row r="196">
      <c r="A196" s="985" t="s">
        <v>1227</v>
      </c>
      <c r="B196" s="1004"/>
    </row>
    <row r="197">
      <c r="A197" s="985" t="s">
        <v>1228</v>
      </c>
      <c r="B197" s="1004"/>
    </row>
    <row r="198">
      <c r="A198" s="985" t="s">
        <v>1229</v>
      </c>
      <c r="B198" s="1004"/>
    </row>
    <row r="199">
      <c r="A199" s="985" t="s">
        <v>1230</v>
      </c>
      <c r="B199" s="1004"/>
    </row>
    <row r="200">
      <c r="A200" s="995" t="str">
        <f>IF('請先閱讀'!$O$31=true,"戰鬥風格：進階武器熟練 Advanced Weapon Proficiency","")</f>
        <v/>
      </c>
      <c r="B200" s="1004"/>
    </row>
    <row r="201">
      <c r="A201" s="994" t="str">
        <f>IF('請先閱讀'!$O$31=true,"戰鬥風格：近戰砲手 Close Combat Artillerist","")</f>
        <v/>
      </c>
      <c r="B201" s="1004"/>
    </row>
    <row r="202">
      <c r="A202" s="995" t="str">
        <f>IF('請先閱讀'!$O$31=true,"戰鬥風格：雙重射擊 Dual Shot","")</f>
        <v/>
      </c>
      <c r="B202" s="1004"/>
    </row>
    <row r="203">
      <c r="A203" s="994" t="str">
        <f>IF('請先閱讀'!$O$31=true,"戰鬥風格：連擊 Flurry","")</f>
        <v/>
      </c>
      <c r="B203" s="1004"/>
    </row>
    <row r="204">
      <c r="A204" s="995" t="str">
        <f>IF('請先閱讀'!$O$31=true,"戰鬥風格：游擊戰士 Mobile Combatant","")</f>
        <v/>
      </c>
      <c r="B204" s="1004"/>
    </row>
    <row r="205">
      <c r="A205" s="994" t="str">
        <f>IF('請先閱讀'!$O$31=true,"戰鬥風格：伺機而動 Opportunist","")</f>
        <v/>
      </c>
      <c r="B205" s="1004"/>
    </row>
    <row r="206">
      <c r="A206" s="995" t="str">
        <f>IF('請先閱讀'!$O$31=true,"戰鬥風格：伏地防禦 Prone Defense","")</f>
        <v/>
      </c>
      <c r="B206" s="1004"/>
    </row>
    <row r="207">
      <c r="B207" s="1004"/>
    </row>
    <row r="208">
      <c r="B208" s="1004"/>
    </row>
    <row r="209">
      <c r="B209" s="1004"/>
    </row>
    <row r="210">
      <c r="B210" s="1004"/>
    </row>
    <row r="211">
      <c r="B211" s="1004"/>
    </row>
    <row r="212">
      <c r="B212" s="1004"/>
    </row>
    <row r="213">
      <c r="B213" s="1004"/>
    </row>
    <row r="214">
      <c r="B214" s="1004"/>
    </row>
    <row r="215">
      <c r="B215" s="1004"/>
    </row>
    <row r="216">
      <c r="B216" s="1004"/>
    </row>
    <row r="217">
      <c r="B217" s="1004"/>
    </row>
    <row r="218">
      <c r="B218" s="1004"/>
    </row>
    <row r="219">
      <c r="B219" s="1004"/>
    </row>
    <row r="220">
      <c r="B220" s="1004"/>
    </row>
    <row r="221">
      <c r="A221" s="1004"/>
      <c r="B221" s="1004"/>
    </row>
    <row r="222">
      <c r="A222" s="1004"/>
      <c r="B222" s="1004"/>
    </row>
    <row r="223">
      <c r="A223" s="1004"/>
      <c r="B223" s="1004"/>
    </row>
    <row r="224">
      <c r="A224" s="1004"/>
      <c r="B224" s="1004"/>
    </row>
    <row r="225">
      <c r="A225" s="1004"/>
      <c r="B225" s="1004"/>
    </row>
    <row r="226">
      <c r="A226" s="1004"/>
      <c r="B226" s="1004"/>
    </row>
    <row r="227">
      <c r="A227" s="1004"/>
      <c r="B227" s="1004"/>
    </row>
    <row r="228">
      <c r="A228" s="1004"/>
      <c r="B228" s="1004"/>
    </row>
    <row r="229">
      <c r="A229" s="1004"/>
      <c r="B229" s="1004"/>
    </row>
    <row r="230">
      <c r="A230" s="1004"/>
      <c r="B230" s="1004"/>
    </row>
    <row r="231">
      <c r="A231" s="1004"/>
      <c r="B231" s="1004"/>
    </row>
    <row r="232">
      <c r="A232" s="1004"/>
      <c r="B232" s="1004"/>
    </row>
    <row r="233">
      <c r="A233" s="1004"/>
      <c r="B233" s="1004"/>
    </row>
    <row r="234">
      <c r="A234" s="1004"/>
      <c r="B234" s="1004"/>
    </row>
    <row r="235">
      <c r="A235" s="1004"/>
      <c r="B235" s="1004"/>
    </row>
    <row r="236">
      <c r="A236" s="1004"/>
      <c r="B236" s="1004"/>
    </row>
    <row r="237">
      <c r="A237" s="1004"/>
      <c r="B237" s="1004"/>
    </row>
    <row r="238">
      <c r="A238" s="1004"/>
      <c r="B238" s="1004"/>
    </row>
    <row r="239">
      <c r="A239" s="1004"/>
      <c r="B239" s="1004"/>
    </row>
    <row r="240">
      <c r="A240" s="1004"/>
      <c r="B240" s="1004"/>
    </row>
    <row r="241">
      <c r="A241" s="1004"/>
      <c r="B241" s="1004"/>
    </row>
    <row r="242">
      <c r="A242" s="1004"/>
      <c r="B242" s="1004"/>
    </row>
    <row r="243">
      <c r="A243" s="1004"/>
      <c r="B243" s="1004"/>
    </row>
    <row r="244">
      <c r="A244" s="1004"/>
      <c r="B244" s="1004"/>
    </row>
    <row r="245">
      <c r="A245" s="1004"/>
      <c r="B245" s="1004"/>
    </row>
    <row r="246">
      <c r="A246" s="1004"/>
      <c r="B246" s="1004"/>
    </row>
    <row r="247">
      <c r="A247" s="1004"/>
      <c r="B247" s="1004"/>
    </row>
    <row r="248">
      <c r="A248" s="1004"/>
      <c r="B248" s="1004"/>
    </row>
    <row r="249">
      <c r="A249" s="1004"/>
      <c r="B249" s="1004"/>
    </row>
    <row r="250">
      <c r="A250" s="1004"/>
      <c r="B250" s="1004"/>
    </row>
    <row r="251">
      <c r="A251" s="1004"/>
      <c r="B251" s="1004"/>
    </row>
    <row r="252">
      <c r="A252" s="1004"/>
      <c r="B252" s="1004"/>
    </row>
    <row r="253">
      <c r="A253" s="1004"/>
      <c r="B253" s="1004"/>
    </row>
    <row r="254">
      <c r="A254" s="1004"/>
      <c r="B254" s="1004"/>
    </row>
    <row r="255">
      <c r="A255" s="1004"/>
      <c r="B255" s="1004"/>
    </row>
    <row r="256">
      <c r="A256" s="1004"/>
      <c r="B256" s="1004"/>
    </row>
    <row r="257">
      <c r="A257" s="1004"/>
      <c r="B257" s="1004"/>
    </row>
    <row r="258">
      <c r="A258" s="1004"/>
      <c r="B258" s="1004"/>
    </row>
    <row r="259">
      <c r="A259" s="1004"/>
      <c r="B259" s="1004"/>
    </row>
    <row r="260">
      <c r="A260" s="1004"/>
      <c r="B260" s="1004"/>
    </row>
    <row r="261">
      <c r="A261" s="1004"/>
      <c r="B261" s="1004"/>
    </row>
    <row r="262">
      <c r="A262" s="1004"/>
      <c r="B262" s="1004"/>
    </row>
    <row r="263">
      <c r="A263" s="1004"/>
      <c r="B263" s="1004"/>
    </row>
    <row r="264">
      <c r="A264" s="1004"/>
      <c r="B264" s="1004"/>
    </row>
    <row r="265">
      <c r="A265" s="1004"/>
      <c r="B265" s="1004"/>
    </row>
    <row r="266">
      <c r="A266" s="1004"/>
      <c r="B266" s="1004"/>
    </row>
    <row r="267">
      <c r="A267" s="1004"/>
      <c r="B267" s="1004"/>
    </row>
    <row r="268">
      <c r="A268" s="1004"/>
      <c r="B268" s="1004"/>
    </row>
    <row r="269">
      <c r="A269" s="1004"/>
      <c r="B269" s="1004"/>
    </row>
    <row r="270">
      <c r="A270" s="1004"/>
      <c r="B270" s="1004"/>
    </row>
    <row r="271">
      <c r="A271" s="1004"/>
      <c r="B271" s="1004"/>
    </row>
    <row r="272">
      <c r="A272" s="1004"/>
      <c r="B272" s="1004"/>
    </row>
    <row r="273">
      <c r="A273" s="1004"/>
      <c r="B273" s="1004"/>
    </row>
    <row r="274">
      <c r="A274" s="1004"/>
      <c r="B274" s="1004"/>
    </row>
    <row r="275">
      <c r="A275" s="1004"/>
      <c r="B275" s="1004"/>
    </row>
    <row r="276">
      <c r="A276" s="1004"/>
      <c r="B276" s="1004"/>
    </row>
    <row r="277">
      <c r="A277" s="1004"/>
      <c r="B277" s="1004"/>
    </row>
    <row r="278">
      <c r="A278" s="1004"/>
      <c r="B278" s="1004"/>
    </row>
    <row r="279">
      <c r="A279" s="1004"/>
      <c r="B279" s="1004"/>
    </row>
    <row r="280">
      <c r="A280" s="1004"/>
      <c r="B280" s="1004"/>
    </row>
    <row r="281">
      <c r="A281" s="1004"/>
      <c r="B281" s="1004"/>
    </row>
    <row r="282">
      <c r="A282" s="1004"/>
      <c r="B282" s="1004"/>
    </row>
    <row r="283">
      <c r="A283" s="1004"/>
      <c r="B283" s="1004"/>
    </row>
    <row r="284">
      <c r="A284" s="1004"/>
      <c r="B284" s="1004"/>
    </row>
    <row r="285">
      <c r="A285" s="1004"/>
      <c r="B285" s="1004"/>
    </row>
    <row r="286">
      <c r="A286" s="1004"/>
      <c r="B286" s="1004"/>
    </row>
    <row r="287">
      <c r="A287" s="1004"/>
      <c r="B287" s="1004"/>
    </row>
    <row r="288">
      <c r="A288" s="1004"/>
      <c r="B288" s="1004"/>
    </row>
    <row r="289">
      <c r="A289" s="1004"/>
      <c r="B289" s="1004"/>
    </row>
    <row r="290">
      <c r="A290" s="1004"/>
      <c r="B290" s="1004"/>
    </row>
    <row r="291">
      <c r="A291" s="1004"/>
      <c r="B291" s="1004"/>
    </row>
    <row r="292">
      <c r="A292" s="1004"/>
      <c r="B292" s="1004"/>
    </row>
    <row r="293">
      <c r="A293" s="1004"/>
      <c r="B293" s="1004"/>
    </row>
    <row r="294">
      <c r="A294" s="1004"/>
      <c r="B294" s="1004"/>
    </row>
    <row r="295">
      <c r="A295" s="1004"/>
      <c r="B295" s="1004"/>
    </row>
    <row r="296">
      <c r="A296" s="1004"/>
      <c r="B296" s="1004"/>
    </row>
    <row r="297">
      <c r="A297" s="1004"/>
      <c r="B297" s="1004"/>
    </row>
    <row r="298">
      <c r="A298" s="1004"/>
      <c r="B298" s="1004"/>
    </row>
    <row r="299">
      <c r="A299" s="1004"/>
      <c r="B299" s="1004"/>
    </row>
    <row r="300">
      <c r="A300" s="1004"/>
      <c r="B300" s="1004"/>
    </row>
    <row r="301">
      <c r="A301" s="1004"/>
      <c r="B301" s="1004"/>
    </row>
    <row r="302">
      <c r="A302" s="1004"/>
      <c r="B302" s="1004"/>
    </row>
    <row r="303">
      <c r="A303" s="1004"/>
      <c r="B303" s="1004"/>
    </row>
    <row r="304">
      <c r="A304" s="1004"/>
      <c r="B304" s="1004"/>
    </row>
    <row r="305">
      <c r="A305" s="1004"/>
      <c r="B305" s="1004"/>
    </row>
    <row r="306">
      <c r="A306" s="1004"/>
      <c r="B306" s="1004"/>
    </row>
    <row r="307">
      <c r="A307" s="1004"/>
      <c r="B307" s="1004"/>
    </row>
    <row r="308">
      <c r="A308" s="1004"/>
      <c r="B308" s="1004"/>
    </row>
    <row r="309">
      <c r="A309" s="1004"/>
      <c r="B309" s="1004"/>
    </row>
    <row r="310">
      <c r="A310" s="1004"/>
      <c r="B310" s="1004"/>
    </row>
    <row r="311">
      <c r="A311" s="1004"/>
      <c r="B311" s="1004"/>
    </row>
    <row r="312">
      <c r="A312" s="1004"/>
      <c r="B312" s="1004"/>
    </row>
    <row r="313">
      <c r="A313" s="1004"/>
      <c r="B313" s="1004"/>
    </row>
    <row r="314">
      <c r="A314" s="1004"/>
      <c r="B314" s="1004"/>
    </row>
    <row r="315">
      <c r="A315" s="1004"/>
      <c r="B315" s="1004"/>
    </row>
    <row r="316">
      <c r="A316" s="1004"/>
      <c r="B316" s="1004"/>
    </row>
    <row r="317">
      <c r="A317" s="1004"/>
      <c r="B317" s="1004"/>
    </row>
    <row r="318">
      <c r="A318" s="1004"/>
      <c r="B318" s="1004"/>
    </row>
    <row r="319">
      <c r="A319" s="1004"/>
      <c r="B319" s="1004"/>
    </row>
    <row r="320">
      <c r="A320" s="1004"/>
      <c r="B320" s="1004"/>
    </row>
    <row r="321">
      <c r="A321" s="1004"/>
      <c r="B321" s="1004"/>
    </row>
    <row r="322">
      <c r="A322" s="1004"/>
      <c r="B322" s="1004"/>
    </row>
    <row r="323">
      <c r="A323" s="1004"/>
      <c r="B323" s="1004"/>
    </row>
    <row r="324">
      <c r="A324" s="1004"/>
      <c r="B324" s="1004"/>
    </row>
    <row r="325">
      <c r="A325" s="1004"/>
      <c r="B325" s="1004"/>
    </row>
    <row r="326">
      <c r="A326" s="1004"/>
      <c r="B326" s="1004"/>
    </row>
    <row r="327">
      <c r="A327" s="1004"/>
      <c r="B327" s="1004"/>
    </row>
    <row r="328">
      <c r="A328" s="1004"/>
      <c r="B328" s="1004"/>
    </row>
    <row r="329">
      <c r="A329" s="1004"/>
      <c r="B329" s="1004"/>
    </row>
    <row r="330">
      <c r="A330" s="1004"/>
      <c r="B330" s="1004"/>
    </row>
    <row r="331">
      <c r="A331" s="1004"/>
      <c r="B331" s="1004"/>
    </row>
    <row r="332">
      <c r="A332" s="1004"/>
      <c r="B332" s="1004"/>
    </row>
    <row r="333">
      <c r="A333" s="1004"/>
      <c r="B333" s="1004"/>
    </row>
    <row r="334">
      <c r="A334" s="1004"/>
      <c r="B334" s="1004"/>
    </row>
    <row r="335">
      <c r="A335" s="1004"/>
      <c r="B335" s="1004"/>
    </row>
    <row r="336">
      <c r="A336" s="1004"/>
      <c r="B336" s="1004"/>
    </row>
    <row r="337">
      <c r="A337" s="1004"/>
      <c r="B337" s="1004"/>
    </row>
    <row r="338">
      <c r="A338" s="1004"/>
      <c r="B338" s="1004"/>
    </row>
    <row r="339">
      <c r="A339" s="1004"/>
      <c r="B339" s="1004"/>
    </row>
    <row r="340">
      <c r="A340" s="1004"/>
      <c r="B340" s="1004"/>
    </row>
    <row r="341">
      <c r="A341" s="1004"/>
      <c r="B341" s="1004"/>
    </row>
    <row r="342">
      <c r="A342" s="1004"/>
      <c r="B342" s="1004"/>
    </row>
    <row r="343">
      <c r="A343" s="1004"/>
      <c r="B343" s="1004"/>
    </row>
    <row r="344">
      <c r="A344" s="1004"/>
      <c r="B344" s="1004"/>
    </row>
    <row r="345">
      <c r="A345" s="1004"/>
      <c r="B345" s="1004"/>
    </row>
    <row r="346">
      <c r="A346" s="1004"/>
      <c r="B346" s="1004"/>
    </row>
    <row r="347">
      <c r="A347" s="1004"/>
      <c r="B347" s="1004"/>
    </row>
    <row r="348">
      <c r="A348" s="1004"/>
      <c r="B348" s="1004"/>
    </row>
    <row r="349">
      <c r="A349" s="1004"/>
      <c r="B349" s="1004"/>
    </row>
    <row r="350">
      <c r="A350" s="1004"/>
      <c r="B350" s="1004"/>
    </row>
    <row r="351">
      <c r="A351" s="1004"/>
      <c r="B351" s="1004"/>
    </row>
    <row r="352">
      <c r="A352" s="1004"/>
      <c r="B352" s="1004"/>
    </row>
    <row r="353">
      <c r="A353" s="1004"/>
      <c r="B353" s="1004"/>
    </row>
    <row r="354">
      <c r="A354" s="1004"/>
      <c r="B354" s="1004"/>
    </row>
    <row r="355">
      <c r="A355" s="1004"/>
      <c r="B355" s="1004"/>
    </row>
    <row r="356">
      <c r="A356" s="1004"/>
      <c r="B356" s="1004"/>
    </row>
    <row r="357">
      <c r="A357" s="1004"/>
      <c r="B357" s="1004"/>
    </row>
    <row r="358">
      <c r="A358" s="1004"/>
      <c r="B358" s="1004"/>
    </row>
    <row r="359">
      <c r="A359" s="1004"/>
      <c r="B359" s="1004"/>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3763"/>
    <outlinePr summaryBelow="0" summaryRight="0"/>
  </sheetPr>
  <sheetViews>
    <sheetView workbookViewId="0"/>
  </sheetViews>
  <sheetFormatPr customHeight="1" defaultColWidth="14.43" defaultRowHeight="15.0"/>
  <cols>
    <col customWidth="1" min="1" max="2" width="3.0"/>
    <col customWidth="1" min="6" max="6" width="3.0"/>
    <col customWidth="1" min="7" max="7" width="10.71"/>
    <col customWidth="1" min="8" max="8" width="8.71"/>
    <col customWidth="1" min="13" max="14" width="3.0"/>
    <col customWidth="1" hidden="1" min="15" max="15" width="3.0"/>
    <col customWidth="1" hidden="1" min="16" max="16" width="14.43"/>
    <col customWidth="1" hidden="1" min="17" max="17" width="3.0"/>
    <col customWidth="1" hidden="1" min="18" max="18" width="14.43"/>
    <col customWidth="1" hidden="1" min="19" max="19" width="3.0"/>
  </cols>
  <sheetData>
    <row r="1">
      <c r="A1" s="1010"/>
      <c r="B1" s="1010"/>
      <c r="C1" s="1010"/>
      <c r="D1" s="1011"/>
      <c r="E1" s="1011"/>
      <c r="F1" s="1011"/>
      <c r="G1" s="1011"/>
      <c r="H1" s="1011"/>
      <c r="I1" s="1011"/>
      <c r="J1" s="1011"/>
      <c r="K1" s="1011"/>
      <c r="L1" s="1011"/>
      <c r="M1" s="1010"/>
      <c r="N1" s="1010"/>
      <c r="O1" s="1012"/>
      <c r="P1" s="1012"/>
      <c r="Q1" s="1012"/>
      <c r="R1" s="1012"/>
      <c r="S1" s="1012"/>
    </row>
    <row r="2">
      <c r="A2" s="1010"/>
      <c r="B2" s="1013"/>
      <c r="C2" s="1014"/>
      <c r="D2" s="1015"/>
      <c r="E2" s="1015"/>
      <c r="F2" s="1015"/>
      <c r="G2" s="1015"/>
      <c r="H2" s="1015"/>
      <c r="I2" s="1015"/>
      <c r="J2" s="1015"/>
      <c r="K2" s="1015"/>
      <c r="L2" s="1015"/>
      <c r="M2" s="1016"/>
      <c r="N2" s="1010"/>
      <c r="O2" s="1012"/>
      <c r="P2" s="1017" t="s">
        <v>1231</v>
      </c>
      <c r="Q2" s="1018"/>
      <c r="R2" s="1019" t="s">
        <v>1232</v>
      </c>
      <c r="S2" s="1012"/>
    </row>
    <row r="3">
      <c r="A3" s="1010"/>
      <c r="B3" s="1020"/>
      <c r="C3" s="1021"/>
      <c r="D3" s="1022" t="s">
        <v>724</v>
      </c>
      <c r="E3" s="1023"/>
      <c r="F3" s="1024"/>
      <c r="G3" s="1025"/>
      <c r="H3" s="1026" t="s">
        <v>1233</v>
      </c>
      <c r="I3" s="1027"/>
      <c r="J3" s="1027"/>
      <c r="K3" s="1027"/>
      <c r="L3" s="1024"/>
      <c r="M3" s="1028"/>
      <c r="N3" s="1010"/>
      <c r="O3" s="1012"/>
      <c r="P3" s="1029" t="s">
        <v>1234</v>
      </c>
      <c r="Q3" s="1018"/>
      <c r="R3" s="1029" t="str">
        <f>IFNA(HLOOKUP($D$3,'GH轉變能力表'!$A$1:$M$29,3,FALSE),"")</f>
        <v>精類形態</v>
      </c>
      <c r="S3" s="1012"/>
    </row>
    <row r="4">
      <c r="A4" s="1010"/>
      <c r="B4" s="1020"/>
      <c r="C4" s="1030" t="s">
        <v>1235</v>
      </c>
      <c r="D4" s="1031"/>
      <c r="E4" s="1032"/>
      <c r="F4" s="1024"/>
      <c r="G4" s="1033" t="s">
        <v>1236</v>
      </c>
      <c r="H4" s="1034"/>
      <c r="I4" s="1024"/>
      <c r="J4" s="1024"/>
      <c r="K4" s="1024"/>
      <c r="L4" s="1024"/>
      <c r="M4" s="1028"/>
      <c r="N4" s="1010"/>
      <c r="O4" s="1012"/>
      <c r="P4" s="817" t="s">
        <v>724</v>
      </c>
      <c r="Q4" s="1018"/>
      <c r="R4" s="817" t="str">
        <f>IFNA(HLOOKUP($D$3,'GH轉變能力表'!$A$1:$M$29,4,FALSE),"")</f>
        <v>春宮僕從</v>
      </c>
      <c r="S4" s="1012"/>
    </row>
    <row r="5">
      <c r="A5" s="1010"/>
      <c r="B5" s="1020"/>
      <c r="C5" s="1035"/>
      <c r="D5" s="1036"/>
      <c r="E5" s="1037"/>
      <c r="F5" s="1024"/>
      <c r="G5" s="1024"/>
      <c r="H5" s="1038"/>
      <c r="I5" s="1037"/>
      <c r="J5" s="1037"/>
      <c r="K5" s="1037"/>
      <c r="L5" s="1024"/>
      <c r="M5" s="1028"/>
      <c r="N5" s="1010"/>
      <c r="O5" s="1012"/>
      <c r="P5" s="823" t="s">
        <v>756</v>
      </c>
      <c r="Q5" s="1018"/>
      <c r="R5" s="823" t="str">
        <f>IFNA(HLOOKUP($D$3,'GH轉變能力表'!$A$1:$M$29,5,FALSE),"")</f>
        <v>夏宮僕從</v>
      </c>
      <c r="S5" s="1012"/>
    </row>
    <row r="6" ht="18.75" customHeight="1">
      <c r="A6" s="1010"/>
      <c r="B6" s="1039"/>
      <c r="C6" s="1040" t="s">
        <v>1237</v>
      </c>
      <c r="D6" s="1041"/>
      <c r="E6" s="1042"/>
      <c r="F6" s="1043"/>
      <c r="G6" s="1043"/>
      <c r="H6" s="1043"/>
      <c r="I6" s="1043"/>
      <c r="J6" s="1043"/>
      <c r="K6" s="1043"/>
      <c r="L6" s="1043"/>
      <c r="M6" s="1028"/>
      <c r="N6" s="1010"/>
      <c r="O6" s="1012"/>
      <c r="P6" s="832" t="s">
        <v>1238</v>
      </c>
      <c r="Q6" s="1018"/>
      <c r="R6" s="832" t="str">
        <f>IFNA(HLOOKUP($D$3,'GH轉變能力表'!$A$1:$M$29,6,FALSE),"")</f>
        <v>秋宮僕從</v>
      </c>
      <c r="S6" s="1012"/>
    </row>
    <row r="7" ht="18.75" customHeight="1">
      <c r="A7" s="1010"/>
      <c r="B7" s="1039"/>
      <c r="C7" s="1044" t="s">
        <v>1239</v>
      </c>
      <c r="D7" s="1045" t="s">
        <v>1240</v>
      </c>
      <c r="E7" s="1046" t="s">
        <v>1241</v>
      </c>
      <c r="F7" s="1047"/>
      <c r="G7" s="1047"/>
      <c r="H7" s="1047"/>
      <c r="I7" s="1047"/>
      <c r="J7" s="1047"/>
      <c r="K7" s="1047"/>
      <c r="L7" s="1048"/>
      <c r="M7" s="1049"/>
      <c r="N7" s="1010"/>
      <c r="O7" s="1012"/>
      <c r="P7" s="1029" t="s">
        <v>1242</v>
      </c>
      <c r="Q7" s="1018"/>
      <c r="R7" s="1050" t="str">
        <f>IFNA(HLOOKUP($D$3,'GH轉變能力表'!$A$1:$M$29,7,FALSE),"")</f>
        <v>冬宮僕從</v>
      </c>
      <c r="S7" s="1012"/>
    </row>
    <row r="8" ht="18.75" customHeight="1">
      <c r="A8" s="1010"/>
      <c r="B8" s="1039"/>
      <c r="C8" s="1051" t="s">
        <v>1243</v>
      </c>
      <c r="D8" s="1052"/>
      <c r="E8" s="1053"/>
      <c r="F8" s="1054"/>
      <c r="G8" s="1054"/>
      <c r="H8" s="1054"/>
      <c r="I8" s="1054"/>
      <c r="J8" s="1054"/>
      <c r="K8" s="1054"/>
      <c r="L8" s="1055"/>
      <c r="M8" s="1049"/>
      <c r="N8" s="1010"/>
      <c r="O8" s="1012"/>
      <c r="P8" s="832" t="s">
        <v>1244</v>
      </c>
      <c r="Q8" s="1018"/>
      <c r="R8" s="1012"/>
      <c r="S8" s="1012"/>
    </row>
    <row r="9" ht="18.75" customHeight="1">
      <c r="A9" s="1010"/>
      <c r="B9" s="1039"/>
      <c r="C9" s="1051" t="s">
        <v>1245</v>
      </c>
      <c r="D9" s="1056"/>
      <c r="E9" s="1057"/>
      <c r="F9" s="1058"/>
      <c r="G9" s="1058"/>
      <c r="H9" s="1058"/>
      <c r="I9" s="1058"/>
      <c r="J9" s="1058"/>
      <c r="K9" s="1058"/>
      <c r="L9" s="1059"/>
      <c r="M9" s="1049"/>
      <c r="N9" s="1010"/>
      <c r="O9" s="1012"/>
      <c r="P9" s="1029" t="s">
        <v>1246</v>
      </c>
      <c r="Q9" s="1018"/>
      <c r="R9" s="1019" t="s">
        <v>1247</v>
      </c>
      <c r="S9" s="1012"/>
    </row>
    <row r="10" ht="18.75" customHeight="1">
      <c r="A10" s="1010"/>
      <c r="B10" s="1039"/>
      <c r="C10" s="1060" t="s">
        <v>1248</v>
      </c>
      <c r="D10" s="1061" t="str">
        <f>IFNA(HLOOKUP($D$3,'GH轉變能力表'!$A$1:$M$29,8,FALSE),"")</f>
        <v>位面束縛</v>
      </c>
      <c r="E10" s="1062"/>
      <c r="F10" s="1063"/>
      <c r="G10" s="1063"/>
      <c r="H10" s="1063"/>
      <c r="I10" s="1063"/>
      <c r="J10" s="1063"/>
      <c r="K10" s="1063"/>
      <c r="L10" s="1064"/>
      <c r="M10" s="1049"/>
      <c r="N10" s="1010"/>
      <c r="O10" s="1012"/>
      <c r="P10" s="817" t="s">
        <v>1249</v>
      </c>
      <c r="Q10" s="1018"/>
      <c r="R10" s="1029" t="str">
        <f>IFNA(HLOOKUP($D$3,'GH轉變能力表'!$A$1:$M$29,10,FALSE),"")</f>
        <v>兩面性</v>
      </c>
      <c r="S10" s="1012"/>
    </row>
    <row r="11">
      <c r="A11" s="1010"/>
      <c r="B11" s="1020"/>
      <c r="C11" s="1065"/>
      <c r="D11" s="1037"/>
      <c r="E11" s="1037"/>
      <c r="F11" s="1037"/>
      <c r="G11" s="1037"/>
      <c r="H11" s="1037"/>
      <c r="I11" s="1037"/>
      <c r="J11" s="1037"/>
      <c r="K11" s="1037"/>
      <c r="L11" s="1037"/>
      <c r="M11" s="1028"/>
      <c r="N11" s="1010"/>
      <c r="O11" s="1012"/>
      <c r="P11" s="1029" t="s">
        <v>1250</v>
      </c>
      <c r="Q11" s="1018"/>
      <c r="R11" s="817" t="str">
        <f>IFNA(HLOOKUP($D$3,'GH轉變能力表'!$A$1:$M$29,11,FALSE),"")</f>
        <v>魔法把戲</v>
      </c>
      <c r="S11" s="1012"/>
    </row>
    <row r="12">
      <c r="A12" s="1010"/>
      <c r="B12" s="1020"/>
      <c r="C12" s="1040" t="s">
        <v>1251</v>
      </c>
      <c r="D12" s="1041"/>
      <c r="E12" s="1042"/>
      <c r="F12" s="1043"/>
      <c r="G12" s="1043"/>
      <c r="H12" s="1043"/>
      <c r="I12" s="1043"/>
      <c r="J12" s="1043"/>
      <c r="K12" s="1043"/>
      <c r="L12" s="1043"/>
      <c r="M12" s="1028"/>
      <c r="N12" s="1010"/>
      <c r="O12" s="1012"/>
      <c r="P12" s="832" t="s">
        <v>1252</v>
      </c>
      <c r="Q12" s="1018"/>
      <c r="R12" s="823" t="str">
        <f>IFNA(HLOOKUP($D$3,'GH轉變能力表'!$A$1:$M$29,12,FALSE),"")</f>
        <v/>
      </c>
      <c r="S12" s="1012"/>
    </row>
    <row r="13" ht="18.75" customHeight="1">
      <c r="A13" s="1010"/>
      <c r="B13" s="1020"/>
      <c r="C13" s="1044" t="s">
        <v>1239</v>
      </c>
      <c r="D13" s="1045" t="s">
        <v>1240</v>
      </c>
      <c r="E13" s="1046" t="s">
        <v>1241</v>
      </c>
      <c r="F13" s="1047"/>
      <c r="G13" s="1047"/>
      <c r="H13" s="1047"/>
      <c r="I13" s="1047"/>
      <c r="J13" s="1047"/>
      <c r="K13" s="1047"/>
      <c r="L13" s="1048"/>
      <c r="M13" s="1028"/>
      <c r="N13" s="1010"/>
      <c r="O13" s="1012"/>
      <c r="P13" s="1029" t="s">
        <v>1253</v>
      </c>
      <c r="Q13" s="1018"/>
      <c r="R13" s="832" t="str">
        <f>IFNA(HLOOKUP($D$3,'GH轉變能力表'!$A$1:$M$29,13,FALSE),"")</f>
        <v/>
      </c>
      <c r="S13" s="1012"/>
    </row>
    <row r="14" ht="18.75" customHeight="1">
      <c r="A14" s="1010"/>
      <c r="B14" s="1020"/>
      <c r="C14" s="1051" t="s">
        <v>1243</v>
      </c>
      <c r="D14" s="1066"/>
      <c r="E14" s="1053"/>
      <c r="F14" s="1054"/>
      <c r="G14" s="1054"/>
      <c r="H14" s="1054"/>
      <c r="I14" s="1054"/>
      <c r="J14" s="1054"/>
      <c r="K14" s="1054"/>
      <c r="L14" s="1055"/>
      <c r="M14" s="1028"/>
      <c r="N14" s="1010"/>
      <c r="O14" s="1012"/>
      <c r="P14" s="836" t="s">
        <v>1254</v>
      </c>
      <c r="Q14" s="1018"/>
      <c r="R14" s="1050" t="str">
        <f>IFNA(HLOOKUP($D$3,'GH轉變能力表'!$A$1:$M$29,14,FALSE),"")</f>
        <v/>
      </c>
      <c r="S14" s="1012"/>
    </row>
    <row r="15" ht="18.75" customHeight="1">
      <c r="A15" s="1010"/>
      <c r="B15" s="1020"/>
      <c r="C15" s="1051" t="s">
        <v>1245</v>
      </c>
      <c r="D15" s="1067"/>
      <c r="E15" s="1057"/>
      <c r="F15" s="1058"/>
      <c r="G15" s="1058"/>
      <c r="H15" s="1058"/>
      <c r="I15" s="1058"/>
      <c r="J15" s="1058"/>
      <c r="K15" s="1058"/>
      <c r="L15" s="1059"/>
      <c r="M15" s="1028"/>
      <c r="N15" s="1010"/>
      <c r="O15" s="1012"/>
      <c r="P15" s="1018"/>
      <c r="Q15" s="1018"/>
      <c r="R15" s="1012"/>
      <c r="S15" s="1012"/>
    </row>
    <row r="16" ht="18.75" customHeight="1">
      <c r="A16" s="1010"/>
      <c r="B16" s="1020"/>
      <c r="C16" s="1060" t="s">
        <v>1248</v>
      </c>
      <c r="D16" s="1061" t="str">
        <f>IFNA(HLOOKUP($D$3,'GH轉變能力表'!$A$1:$M$29,15,FALSE),"")</f>
        <v>女王的命令</v>
      </c>
      <c r="E16" s="1062"/>
      <c r="F16" s="1063"/>
      <c r="G16" s="1063"/>
      <c r="H16" s="1063"/>
      <c r="I16" s="1063"/>
      <c r="J16" s="1063"/>
      <c r="K16" s="1063"/>
      <c r="L16" s="1064"/>
      <c r="M16" s="1028"/>
      <c r="N16" s="1010"/>
      <c r="O16" s="1012"/>
      <c r="P16" s="1068"/>
      <c r="Q16" s="1068"/>
      <c r="R16" s="1019" t="s">
        <v>1255</v>
      </c>
      <c r="S16" s="1012"/>
    </row>
    <row r="17">
      <c r="A17" s="1010"/>
      <c r="B17" s="1020"/>
      <c r="C17" s="1021"/>
      <c r="D17" s="1024"/>
      <c r="E17" s="1024"/>
      <c r="F17" s="1024"/>
      <c r="G17" s="1024"/>
      <c r="H17" s="1024"/>
      <c r="I17" s="1024"/>
      <c r="J17" s="1024"/>
      <c r="K17" s="1024"/>
      <c r="L17" s="1024"/>
      <c r="M17" s="1028"/>
      <c r="N17" s="1010"/>
      <c r="O17" s="1012"/>
      <c r="P17" s="1068"/>
      <c r="Q17" s="1068"/>
      <c r="R17" s="1029" t="str">
        <f>IFNA(HLOOKUP($D$3,'GH轉變能力表'!$A$1:$M$29,17,FALSE),"")</f>
        <v>幻象披風</v>
      </c>
      <c r="S17" s="1012"/>
    </row>
    <row r="18">
      <c r="A18" s="1010"/>
      <c r="B18" s="1020"/>
      <c r="C18" s="1040" t="s">
        <v>1256</v>
      </c>
      <c r="D18" s="1041"/>
      <c r="E18" s="1042"/>
      <c r="F18" s="1043"/>
      <c r="G18" s="1043"/>
      <c r="H18" s="1043"/>
      <c r="I18" s="1043"/>
      <c r="J18" s="1043"/>
      <c r="K18" s="1043"/>
      <c r="L18" s="1043"/>
      <c r="M18" s="1028"/>
      <c r="N18" s="1010"/>
      <c r="O18" s="1012"/>
      <c r="P18" s="1068"/>
      <c r="Q18" s="1068"/>
      <c r="R18" s="817" t="str">
        <f>IFNA(HLOOKUP($D$3,'GH轉變能力表'!$A$1:$M$29,18,FALSE),"")</f>
        <v>獠牙與利爪</v>
      </c>
      <c r="S18" s="1012"/>
    </row>
    <row r="19" ht="18.75" customHeight="1">
      <c r="A19" s="1010"/>
      <c r="B19" s="1020"/>
      <c r="C19" s="1044" t="s">
        <v>1239</v>
      </c>
      <c r="D19" s="1045" t="s">
        <v>1240</v>
      </c>
      <c r="E19" s="1046" t="s">
        <v>1241</v>
      </c>
      <c r="F19" s="1047"/>
      <c r="G19" s="1047"/>
      <c r="H19" s="1047"/>
      <c r="I19" s="1047"/>
      <c r="J19" s="1047"/>
      <c r="K19" s="1047"/>
      <c r="L19" s="1048"/>
      <c r="M19" s="1028"/>
      <c r="N19" s="1010"/>
      <c r="O19" s="1012"/>
      <c r="P19" s="1018"/>
      <c r="Q19" s="1018"/>
      <c r="R19" s="823" t="str">
        <f>IFNA(HLOOKUP($D$3,'GH轉變能力表'!$A$1:$M$29,19,FALSE),"")</f>
        <v>幻夢與噩夢</v>
      </c>
      <c r="S19" s="1012"/>
    </row>
    <row r="20" ht="18.75" customHeight="1">
      <c r="A20" s="1010"/>
      <c r="B20" s="1020"/>
      <c r="C20" s="1051" t="s">
        <v>1243</v>
      </c>
      <c r="D20" s="1066"/>
      <c r="E20" s="1053"/>
      <c r="F20" s="1054"/>
      <c r="G20" s="1054"/>
      <c r="H20" s="1054"/>
      <c r="I20" s="1054"/>
      <c r="J20" s="1054"/>
      <c r="K20" s="1054"/>
      <c r="L20" s="1055"/>
      <c r="M20" s="1028"/>
      <c r="N20" s="1010"/>
      <c r="O20" s="1012"/>
      <c r="P20" s="1018"/>
      <c r="Q20" s="1018"/>
      <c r="R20" s="832" t="str">
        <f>IFNA(HLOOKUP($D$3,'GH轉變能力表'!$A$1:$M$29,20,FALSE),"")</f>
        <v/>
      </c>
      <c r="S20" s="1012"/>
    </row>
    <row r="21" ht="18.75" customHeight="1">
      <c r="A21" s="1010"/>
      <c r="B21" s="1020"/>
      <c r="C21" s="1051" t="s">
        <v>1245</v>
      </c>
      <c r="D21" s="1067"/>
      <c r="E21" s="1057"/>
      <c r="F21" s="1058"/>
      <c r="G21" s="1058"/>
      <c r="H21" s="1058"/>
      <c r="I21" s="1058"/>
      <c r="J21" s="1058"/>
      <c r="K21" s="1058"/>
      <c r="L21" s="1059"/>
      <c r="M21" s="1028"/>
      <c r="N21" s="1010"/>
      <c r="O21" s="1012"/>
      <c r="P21" s="1018"/>
      <c r="Q21" s="1018"/>
      <c r="R21" s="1050" t="str">
        <f>IFNA(HLOOKUP($D$3,'GH轉變能力表'!$A$1:$M$29,21,FALSE),"")</f>
        <v/>
      </c>
      <c r="S21" s="1012"/>
    </row>
    <row r="22" ht="18.75" customHeight="1">
      <c r="A22" s="1010"/>
      <c r="B22" s="1020"/>
      <c r="C22" s="1060" t="s">
        <v>1248</v>
      </c>
      <c r="D22" s="1061" t="str">
        <f>IFNA(HLOOKUP($D$3,'GH轉變能力表'!$A$1:$M$29,22,FALSE),"")</f>
        <v>體質衰弱</v>
      </c>
      <c r="E22" s="1062"/>
      <c r="F22" s="1063"/>
      <c r="G22" s="1063"/>
      <c r="H22" s="1063"/>
      <c r="I22" s="1063"/>
      <c r="J22" s="1063"/>
      <c r="K22" s="1063"/>
      <c r="L22" s="1064"/>
      <c r="M22" s="1028"/>
      <c r="N22" s="1010"/>
      <c r="O22" s="1012"/>
      <c r="P22" s="1018"/>
      <c r="Q22" s="1018"/>
      <c r="R22" s="1012"/>
      <c r="S22" s="1012"/>
    </row>
    <row r="23">
      <c r="A23" s="1010"/>
      <c r="B23" s="1020"/>
      <c r="C23" s="1021"/>
      <c r="D23" s="1024"/>
      <c r="E23" s="1024"/>
      <c r="F23" s="1024"/>
      <c r="G23" s="1024"/>
      <c r="H23" s="1024"/>
      <c r="I23" s="1024"/>
      <c r="J23" s="1024"/>
      <c r="K23" s="1024"/>
      <c r="L23" s="1024"/>
      <c r="M23" s="1028"/>
      <c r="N23" s="1010"/>
      <c r="O23" s="1012"/>
      <c r="P23" s="1018"/>
      <c r="Q23" s="1018"/>
      <c r="R23" s="1019" t="s">
        <v>1257</v>
      </c>
      <c r="S23" s="1012"/>
    </row>
    <row r="24">
      <c r="A24" s="1010"/>
      <c r="B24" s="1020"/>
      <c r="C24" s="1040" t="s">
        <v>1258</v>
      </c>
      <c r="D24" s="1041"/>
      <c r="E24" s="1042"/>
      <c r="F24" s="1043"/>
      <c r="G24" s="1043"/>
      <c r="H24" s="1043"/>
      <c r="I24" s="1043"/>
      <c r="J24" s="1043"/>
      <c r="K24" s="1043"/>
      <c r="L24" s="1043"/>
      <c r="M24" s="1028"/>
      <c r="N24" s="1010"/>
      <c r="O24" s="1012"/>
      <c r="P24" s="1018"/>
      <c r="Q24" s="1018"/>
      <c r="R24" s="1029" t="str">
        <f>IFNA(HLOOKUP($D$3,'GH轉變能力表'!$A$1:$M$29,24,FALSE),"")</f>
        <v>高等魔法把戲</v>
      </c>
      <c r="S24" s="1012"/>
    </row>
    <row r="25" ht="18.75" customHeight="1">
      <c r="A25" s="1010"/>
      <c r="B25" s="1020"/>
      <c r="C25" s="1044" t="s">
        <v>1239</v>
      </c>
      <c r="D25" s="1045" t="s">
        <v>1240</v>
      </c>
      <c r="E25" s="1046" t="s">
        <v>1241</v>
      </c>
      <c r="F25" s="1047"/>
      <c r="G25" s="1047"/>
      <c r="H25" s="1047"/>
      <c r="I25" s="1047"/>
      <c r="J25" s="1047"/>
      <c r="K25" s="1047"/>
      <c r="L25" s="1048"/>
      <c r="M25" s="1028"/>
      <c r="N25" s="1010"/>
      <c r="O25" s="1012"/>
      <c r="P25" s="1018"/>
      <c r="Q25" s="1018"/>
      <c r="R25" s="817" t="str">
        <f>IFNA(HLOOKUP($D$3,'GH轉變能力表'!$A$1:$M$29,25,FALSE),"")</f>
        <v>暮光魅影</v>
      </c>
      <c r="S25" s="1012"/>
    </row>
    <row r="26" ht="18.75" customHeight="1">
      <c r="A26" s="1010"/>
      <c r="B26" s="1020"/>
      <c r="C26" s="1051" t="s">
        <v>1243</v>
      </c>
      <c r="D26" s="1066"/>
      <c r="E26" s="1053"/>
      <c r="F26" s="1054"/>
      <c r="G26" s="1054"/>
      <c r="H26" s="1054"/>
      <c r="I26" s="1054"/>
      <c r="J26" s="1054"/>
      <c r="K26" s="1054"/>
      <c r="L26" s="1055"/>
      <c r="M26" s="1028"/>
      <c r="N26" s="1010"/>
      <c r="O26" s="1012"/>
      <c r="P26" s="1018"/>
      <c r="Q26" s="1018"/>
      <c r="R26" s="823" t="str">
        <f>IFNA(HLOOKUP($D$3,'GH轉變能力表'!$A$1:$M$29,26,FALSE),"")</f>
        <v/>
      </c>
      <c r="S26" s="1012"/>
    </row>
    <row r="27" ht="18.75" customHeight="1">
      <c r="A27" s="1010"/>
      <c r="B27" s="1020"/>
      <c r="C27" s="1051" t="s">
        <v>1245</v>
      </c>
      <c r="D27" s="1067"/>
      <c r="E27" s="1057"/>
      <c r="F27" s="1058"/>
      <c r="G27" s="1058"/>
      <c r="H27" s="1058"/>
      <c r="I27" s="1058"/>
      <c r="J27" s="1058"/>
      <c r="K27" s="1058"/>
      <c r="L27" s="1059"/>
      <c r="M27" s="1028"/>
      <c r="N27" s="1010"/>
      <c r="O27" s="1012"/>
      <c r="P27" s="1018"/>
      <c r="Q27" s="1018"/>
      <c r="R27" s="832" t="str">
        <f>IFNA(HLOOKUP($D$3,'GH轉變能力表'!$A$1:$M$29,27,FALSE),"")</f>
        <v/>
      </c>
      <c r="S27" s="1012"/>
    </row>
    <row r="28" ht="18.75" customHeight="1">
      <c r="A28" s="1010"/>
      <c r="B28" s="1069"/>
      <c r="C28" s="1060" t="s">
        <v>1248</v>
      </c>
      <c r="D28" s="1061" t="str">
        <f>IFNA(HLOOKUP($D$3,'GH轉變能力表'!$A$1:$M$29,29,FALSE),"")</f>
        <v>季節影響</v>
      </c>
      <c r="E28" s="1062"/>
      <c r="F28" s="1063"/>
      <c r="G28" s="1063"/>
      <c r="H28" s="1063"/>
      <c r="I28" s="1063"/>
      <c r="J28" s="1063"/>
      <c r="K28" s="1063"/>
      <c r="L28" s="1064"/>
      <c r="M28" s="1070"/>
      <c r="N28" s="1010"/>
      <c r="O28" s="1012"/>
      <c r="P28" s="1018"/>
      <c r="Q28" s="1018"/>
      <c r="R28" s="1050" t="str">
        <f>IFNA(HLOOKUP($D$3,'GH轉變能力表'!$A$1:$M$29,28,FALSE),"")</f>
        <v/>
      </c>
      <c r="S28" s="1012"/>
    </row>
    <row r="29">
      <c r="A29" s="1010"/>
      <c r="B29" s="1071"/>
      <c r="C29" s="1072"/>
      <c r="D29" s="1073"/>
      <c r="E29" s="1073"/>
      <c r="F29" s="1073"/>
      <c r="G29" s="1073"/>
      <c r="H29" s="1073"/>
      <c r="I29" s="1073"/>
      <c r="J29" s="1073"/>
      <c r="K29" s="1073"/>
      <c r="L29" s="1073"/>
      <c r="M29" s="1074"/>
      <c r="N29" s="1010"/>
      <c r="O29" s="1012"/>
      <c r="P29" s="1018"/>
      <c r="Q29" s="1018"/>
      <c r="R29" s="1012"/>
      <c r="S29" s="1012"/>
    </row>
    <row r="30">
      <c r="A30" s="1010"/>
      <c r="B30" s="1010"/>
      <c r="C30" s="1010"/>
      <c r="D30" s="1011"/>
      <c r="E30" s="1011"/>
      <c r="F30" s="1011"/>
      <c r="G30" s="1011"/>
      <c r="H30" s="1011"/>
      <c r="I30" s="1011"/>
      <c r="J30" s="1011"/>
      <c r="K30" s="1011"/>
      <c r="L30" s="1011"/>
      <c r="M30" s="1010"/>
      <c r="N30" s="1010"/>
      <c r="O30" s="1012"/>
      <c r="P30" s="1012"/>
      <c r="Q30" s="1012"/>
      <c r="R30" s="1012"/>
      <c r="S30" s="1012"/>
    </row>
  </sheetData>
  <mergeCells count="22">
    <mergeCell ref="D3:E4"/>
    <mergeCell ref="H3:H4"/>
    <mergeCell ref="C6:D6"/>
    <mergeCell ref="E7:L7"/>
    <mergeCell ref="E8:L8"/>
    <mergeCell ref="E9:L9"/>
    <mergeCell ref="E10:L10"/>
    <mergeCell ref="E20:L20"/>
    <mergeCell ref="E21:L21"/>
    <mergeCell ref="E22:L22"/>
    <mergeCell ref="C24:D24"/>
    <mergeCell ref="E25:L25"/>
    <mergeCell ref="E26:L26"/>
    <mergeCell ref="E27:L27"/>
    <mergeCell ref="E28:L28"/>
    <mergeCell ref="C12:D12"/>
    <mergeCell ref="E13:L13"/>
    <mergeCell ref="E14:L14"/>
    <mergeCell ref="E15:L15"/>
    <mergeCell ref="E16:L16"/>
    <mergeCell ref="C18:D18"/>
    <mergeCell ref="E19:L19"/>
  </mergeCells>
  <dataValidations>
    <dataValidation type="list" allowBlank="1" showErrorMessage="1" sqref="D3">
      <formula1>'GH轉變'!$P$3:$P$14</formula1>
    </dataValidation>
    <dataValidation type="list" allowBlank="1" sqref="H3">
      <formula1>"I,II,III,IV"</formula1>
    </dataValidation>
    <dataValidation type="list" allowBlank="1" sqref="D8:D9">
      <formula1>'GH轉變'!$R$3:$R$7</formula1>
    </dataValidation>
    <dataValidation type="list" allowBlank="1" sqref="D26:D27">
      <formula1>'GH轉變'!$R$24:$R$29</formula1>
    </dataValidation>
    <dataValidation type="list" allowBlank="1" sqref="D20:D21">
      <formula1>'GH轉變'!$R$17:$R$22</formula1>
    </dataValidation>
    <dataValidation type="list" allowBlank="1" sqref="D14:D15">
      <formula1>'GH轉變'!$R$10:$R$15</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2" max="13" width="15.86"/>
  </cols>
  <sheetData>
    <row r="1">
      <c r="A1" s="1075"/>
      <c r="B1" s="1076" t="s">
        <v>1234</v>
      </c>
      <c r="C1" s="1077" t="s">
        <v>724</v>
      </c>
      <c r="D1" s="1077" t="s">
        <v>756</v>
      </c>
      <c r="E1" s="1078" t="s">
        <v>1238</v>
      </c>
      <c r="F1" s="1078" t="s">
        <v>1242</v>
      </c>
      <c r="G1" s="1078" t="s">
        <v>1244</v>
      </c>
      <c r="H1" s="1078" t="s">
        <v>1246</v>
      </c>
      <c r="I1" s="1077" t="s">
        <v>1249</v>
      </c>
      <c r="J1" s="1078" t="s">
        <v>1250</v>
      </c>
      <c r="K1" s="1078" t="s">
        <v>1252</v>
      </c>
      <c r="L1" s="1078" t="s">
        <v>1253</v>
      </c>
      <c r="M1" s="1079" t="s">
        <v>1254</v>
      </c>
    </row>
    <row r="2">
      <c r="A2" s="1080" t="s">
        <v>1259</v>
      </c>
      <c r="B2" s="1081"/>
      <c r="C2" s="1081"/>
      <c r="D2" s="1081"/>
      <c r="E2" s="1081"/>
      <c r="F2" s="1081"/>
      <c r="G2" s="1081"/>
      <c r="H2" s="1081"/>
      <c r="I2" s="1081"/>
      <c r="J2" s="1081"/>
      <c r="K2" s="1081"/>
      <c r="L2" s="1081"/>
      <c r="M2" s="1082"/>
    </row>
    <row r="3">
      <c r="A3" s="1075" t="s">
        <v>1260</v>
      </c>
      <c r="B3" s="975" t="s">
        <v>1261</v>
      </c>
      <c r="C3" s="975" t="s">
        <v>1262</v>
      </c>
      <c r="D3" s="975" t="s">
        <v>1263</v>
      </c>
      <c r="E3" s="975" t="s">
        <v>1264</v>
      </c>
      <c r="F3" s="975" t="s">
        <v>1265</v>
      </c>
      <c r="G3" s="975" t="s">
        <v>1266</v>
      </c>
      <c r="H3" s="975" t="s">
        <v>1267</v>
      </c>
      <c r="I3" s="975" t="s">
        <v>1268</v>
      </c>
      <c r="J3" s="975" t="s">
        <v>1269</v>
      </c>
      <c r="K3" s="975" t="s">
        <v>1270</v>
      </c>
      <c r="L3" s="975" t="s">
        <v>1271</v>
      </c>
      <c r="M3" s="975" t="s">
        <v>1272</v>
      </c>
    </row>
    <row r="4">
      <c r="A4" s="1075" t="s">
        <v>1273</v>
      </c>
      <c r="B4" s="974" t="s">
        <v>1274</v>
      </c>
      <c r="C4" s="974" t="s">
        <v>1275</v>
      </c>
      <c r="D4" s="974" t="s">
        <v>1276</v>
      </c>
      <c r="E4" s="974" t="s">
        <v>1277</v>
      </c>
      <c r="F4" s="974" t="s">
        <v>1278</v>
      </c>
      <c r="G4" s="974" t="s">
        <v>1279</v>
      </c>
      <c r="H4" s="974" t="s">
        <v>1280</v>
      </c>
      <c r="I4" s="974" t="s">
        <v>1281</v>
      </c>
      <c r="J4" s="974" t="s">
        <v>1282</v>
      </c>
      <c r="K4" s="974" t="s">
        <v>1283</v>
      </c>
      <c r="L4" s="974" t="s">
        <v>1284</v>
      </c>
      <c r="M4" s="974" t="s">
        <v>1285</v>
      </c>
    </row>
    <row r="5">
      <c r="A5" s="1075" t="s">
        <v>1286</v>
      </c>
      <c r="B5" s="975"/>
      <c r="C5" s="975" t="s">
        <v>1287</v>
      </c>
      <c r="D5" s="975" t="s">
        <v>1288</v>
      </c>
      <c r="E5" s="975" t="s">
        <v>1289</v>
      </c>
      <c r="F5" s="975" t="s">
        <v>1290</v>
      </c>
      <c r="G5" s="975" t="s">
        <v>1291</v>
      </c>
      <c r="H5" s="975" t="s">
        <v>1292</v>
      </c>
      <c r="I5" s="975"/>
      <c r="J5" s="975" t="s">
        <v>1293</v>
      </c>
      <c r="K5" s="975"/>
      <c r="L5" s="975" t="s">
        <v>1294</v>
      </c>
      <c r="M5" s="975" t="s">
        <v>1295</v>
      </c>
    </row>
    <row r="6">
      <c r="A6" s="1075" t="s">
        <v>1296</v>
      </c>
      <c r="B6" s="974"/>
      <c r="C6" s="974" t="s">
        <v>1297</v>
      </c>
      <c r="D6" s="974"/>
      <c r="E6" s="974" t="s">
        <v>1298</v>
      </c>
      <c r="F6" s="974"/>
      <c r="G6" s="974"/>
      <c r="H6" s="974"/>
      <c r="I6" s="974"/>
      <c r="J6" s="974"/>
      <c r="K6" s="974"/>
      <c r="L6" s="974"/>
      <c r="M6" s="974" t="s">
        <v>1299</v>
      </c>
    </row>
    <row r="7">
      <c r="A7" s="1075" t="s">
        <v>1300</v>
      </c>
      <c r="B7" s="975"/>
      <c r="C7" s="975" t="s">
        <v>1301</v>
      </c>
      <c r="D7" s="975"/>
      <c r="E7" s="975"/>
      <c r="F7" s="975"/>
      <c r="G7" s="975"/>
      <c r="H7" s="975"/>
      <c r="I7" s="975"/>
      <c r="J7" s="975"/>
      <c r="K7" s="975"/>
      <c r="L7" s="975"/>
      <c r="M7" s="975"/>
    </row>
    <row r="8">
      <c r="A8" s="1075" t="s">
        <v>1248</v>
      </c>
      <c r="B8" s="974" t="s">
        <v>1302</v>
      </c>
      <c r="C8" s="974" t="s">
        <v>1303</v>
      </c>
      <c r="D8" s="974" t="s">
        <v>1304</v>
      </c>
      <c r="E8" s="974" t="s">
        <v>1305</v>
      </c>
      <c r="F8" s="974" t="s">
        <v>1306</v>
      </c>
      <c r="G8" s="974" t="s">
        <v>1307</v>
      </c>
      <c r="H8" s="974" t="s">
        <v>1308</v>
      </c>
      <c r="I8" s="974" t="s">
        <v>1303</v>
      </c>
      <c r="J8" s="974" t="s">
        <v>1303</v>
      </c>
      <c r="K8" s="974" t="s">
        <v>1309</v>
      </c>
      <c r="L8" s="974" t="s">
        <v>1310</v>
      </c>
      <c r="M8" s="974" t="s">
        <v>1311</v>
      </c>
    </row>
    <row r="9">
      <c r="A9" s="1080" t="s">
        <v>1312</v>
      </c>
      <c r="B9" s="1083"/>
      <c r="C9" s="1083"/>
      <c r="D9" s="1083"/>
      <c r="E9" s="1083"/>
      <c r="F9" s="1083"/>
      <c r="G9" s="1083"/>
      <c r="H9" s="1083"/>
      <c r="I9" s="1083"/>
      <c r="J9" s="1083"/>
      <c r="K9" s="1083"/>
      <c r="L9" s="1083"/>
      <c r="M9" s="1084"/>
    </row>
    <row r="10">
      <c r="A10" s="1075" t="s">
        <v>1260</v>
      </c>
      <c r="B10" s="974" t="s">
        <v>1313</v>
      </c>
      <c r="C10" s="974" t="s">
        <v>1314</v>
      </c>
      <c r="D10" s="974" t="s">
        <v>1315</v>
      </c>
      <c r="E10" s="974" t="s">
        <v>1316</v>
      </c>
      <c r="F10" s="974" t="s">
        <v>1317</v>
      </c>
      <c r="G10" s="974" t="s">
        <v>1318</v>
      </c>
      <c r="H10" s="974" t="s">
        <v>1319</v>
      </c>
      <c r="I10" s="974" t="s">
        <v>1320</v>
      </c>
      <c r="J10" s="974" t="s">
        <v>1321</v>
      </c>
      <c r="K10" s="974" t="s">
        <v>1322</v>
      </c>
      <c r="L10" s="974" t="s">
        <v>1323</v>
      </c>
      <c r="M10" s="974" t="s">
        <v>1324</v>
      </c>
    </row>
    <row r="11">
      <c r="A11" s="1075" t="s">
        <v>1273</v>
      </c>
      <c r="B11" s="975" t="s">
        <v>1325</v>
      </c>
      <c r="C11" s="975" t="s">
        <v>1326</v>
      </c>
      <c r="D11" s="975" t="s">
        <v>1327</v>
      </c>
      <c r="E11" s="975" t="s">
        <v>1328</v>
      </c>
      <c r="F11" s="975" t="s">
        <v>1329</v>
      </c>
      <c r="G11" s="975" t="s">
        <v>1330</v>
      </c>
      <c r="H11" s="975" t="s">
        <v>1331</v>
      </c>
      <c r="I11" s="975" t="s">
        <v>1332</v>
      </c>
      <c r="J11" s="975" t="s">
        <v>1333</v>
      </c>
      <c r="K11" s="975" t="s">
        <v>1334</v>
      </c>
      <c r="L11" s="975" t="s">
        <v>1335</v>
      </c>
      <c r="M11" s="975" t="s">
        <v>1336</v>
      </c>
    </row>
    <row r="12">
      <c r="A12" s="1075" t="s">
        <v>1286</v>
      </c>
      <c r="B12" s="974"/>
      <c r="C12" s="974"/>
      <c r="D12" s="974" t="s">
        <v>1337</v>
      </c>
      <c r="E12" s="974" t="s">
        <v>1338</v>
      </c>
      <c r="F12" s="974" t="s">
        <v>1339</v>
      </c>
      <c r="G12" s="974" t="s">
        <v>1340</v>
      </c>
      <c r="H12" s="974"/>
      <c r="I12" s="974"/>
      <c r="J12" s="974"/>
      <c r="K12" s="974" t="s">
        <v>1341</v>
      </c>
      <c r="L12" s="974"/>
      <c r="M12" s="974" t="s">
        <v>1342</v>
      </c>
    </row>
    <row r="13">
      <c r="A13" s="1075" t="s">
        <v>1296</v>
      </c>
      <c r="B13" s="975"/>
      <c r="C13" s="975"/>
      <c r="D13" s="975"/>
      <c r="E13" s="975"/>
      <c r="F13" s="975"/>
      <c r="G13" s="975"/>
      <c r="H13" s="975"/>
      <c r="I13" s="975"/>
      <c r="J13" s="975"/>
      <c r="K13" s="975" t="s">
        <v>1343</v>
      </c>
      <c r="L13" s="975"/>
      <c r="M13" s="975" t="s">
        <v>1344</v>
      </c>
    </row>
    <row r="14">
      <c r="A14" s="1075" t="s">
        <v>1300</v>
      </c>
      <c r="B14" s="974"/>
      <c r="C14" s="974"/>
      <c r="D14" s="974"/>
      <c r="E14" s="974"/>
      <c r="F14" s="974"/>
      <c r="G14" s="974"/>
      <c r="H14" s="974"/>
      <c r="I14" s="974"/>
      <c r="J14" s="974"/>
      <c r="K14" s="974"/>
      <c r="L14" s="974"/>
      <c r="M14" s="974"/>
    </row>
    <row r="15">
      <c r="A15" s="1075" t="s">
        <v>1248</v>
      </c>
      <c r="B15" s="975" t="s">
        <v>1305</v>
      </c>
      <c r="C15" s="975" t="s">
        <v>1345</v>
      </c>
      <c r="D15" s="975" t="s">
        <v>1305</v>
      </c>
      <c r="E15" s="975" t="s">
        <v>1346</v>
      </c>
      <c r="F15" s="975" t="s">
        <v>1305</v>
      </c>
      <c r="G15" s="975" t="s">
        <v>1347</v>
      </c>
      <c r="H15" s="975" t="s">
        <v>1348</v>
      </c>
      <c r="I15" s="975" t="s">
        <v>1349</v>
      </c>
      <c r="J15" s="975" t="s">
        <v>1350</v>
      </c>
      <c r="K15" s="975" t="s">
        <v>1351</v>
      </c>
      <c r="L15" s="975" t="s">
        <v>1352</v>
      </c>
      <c r="M15" s="975" t="s">
        <v>1353</v>
      </c>
    </row>
    <row r="16">
      <c r="A16" s="1080" t="s">
        <v>1354</v>
      </c>
      <c r="B16" s="1081"/>
      <c r="C16" s="1081"/>
      <c r="D16" s="1081"/>
      <c r="E16" s="1081"/>
      <c r="F16" s="1081"/>
      <c r="G16" s="1081"/>
      <c r="H16" s="1081"/>
      <c r="I16" s="1081"/>
      <c r="J16" s="1081"/>
      <c r="K16" s="1081"/>
      <c r="L16" s="1081"/>
      <c r="M16" s="1082"/>
    </row>
    <row r="17">
      <c r="A17" s="1075" t="s">
        <v>1260</v>
      </c>
      <c r="B17" s="975" t="s">
        <v>1355</v>
      </c>
      <c r="C17" s="975" t="s">
        <v>1356</v>
      </c>
      <c r="D17" s="975" t="s">
        <v>1357</v>
      </c>
      <c r="E17" s="975" t="s">
        <v>1358</v>
      </c>
      <c r="F17" s="975" t="s">
        <v>1359</v>
      </c>
      <c r="G17" s="975" t="s">
        <v>1360</v>
      </c>
      <c r="H17" s="975" t="s">
        <v>1361</v>
      </c>
      <c r="I17" s="975" t="s">
        <v>1362</v>
      </c>
      <c r="J17" s="975" t="s">
        <v>1363</v>
      </c>
      <c r="K17" s="975" t="s">
        <v>1364</v>
      </c>
      <c r="L17" s="975" t="s">
        <v>1365</v>
      </c>
      <c r="M17" s="975" t="s">
        <v>1366</v>
      </c>
    </row>
    <row r="18">
      <c r="A18" s="1075" t="s">
        <v>1273</v>
      </c>
      <c r="B18" s="974" t="s">
        <v>1367</v>
      </c>
      <c r="C18" s="974" t="s">
        <v>1368</v>
      </c>
      <c r="D18" s="974" t="s">
        <v>1369</v>
      </c>
      <c r="E18" s="974" t="s">
        <v>1370</v>
      </c>
      <c r="F18" s="974" t="s">
        <v>1371</v>
      </c>
      <c r="G18" s="974" t="s">
        <v>1372</v>
      </c>
      <c r="H18" s="974" t="s">
        <v>1373</v>
      </c>
      <c r="I18" s="974" t="s">
        <v>1374</v>
      </c>
      <c r="J18" s="974" t="s">
        <v>1375</v>
      </c>
      <c r="K18" s="974"/>
      <c r="L18" s="974" t="s">
        <v>1376</v>
      </c>
      <c r="M18" s="974" t="s">
        <v>1377</v>
      </c>
    </row>
    <row r="19">
      <c r="A19" s="1075" t="s">
        <v>1286</v>
      </c>
      <c r="B19" s="975"/>
      <c r="C19" s="975" t="s">
        <v>1378</v>
      </c>
      <c r="D19" s="975"/>
      <c r="E19" s="975" t="s">
        <v>1379</v>
      </c>
      <c r="F19" s="975" t="s">
        <v>1380</v>
      </c>
      <c r="G19" s="975"/>
      <c r="H19" s="975"/>
      <c r="I19" s="975" t="s">
        <v>1381</v>
      </c>
      <c r="J19" s="975" t="s">
        <v>1382</v>
      </c>
      <c r="K19" s="975"/>
      <c r="L19" s="975"/>
      <c r="M19" s="975" t="s">
        <v>1383</v>
      </c>
    </row>
    <row r="20">
      <c r="A20" s="1075" t="s">
        <v>1296</v>
      </c>
      <c r="B20" s="974"/>
      <c r="C20" s="974"/>
      <c r="D20" s="974"/>
      <c r="E20" s="974"/>
      <c r="F20" s="974"/>
      <c r="G20" s="974"/>
      <c r="H20" s="974"/>
      <c r="I20" s="974"/>
      <c r="J20" s="974"/>
      <c r="K20" s="974"/>
      <c r="L20" s="974"/>
      <c r="M20" s="974" t="s">
        <v>1384</v>
      </c>
    </row>
    <row r="21">
      <c r="A21" s="1075" t="s">
        <v>1300</v>
      </c>
      <c r="B21" s="975"/>
      <c r="C21" s="975"/>
      <c r="D21" s="975"/>
      <c r="E21" s="975"/>
      <c r="F21" s="975"/>
      <c r="G21" s="975"/>
      <c r="H21" s="975"/>
      <c r="I21" s="975"/>
      <c r="J21" s="975"/>
      <c r="K21" s="975"/>
      <c r="L21" s="975"/>
      <c r="M21" s="975"/>
    </row>
    <row r="22">
      <c r="A22" s="1075" t="s">
        <v>1248</v>
      </c>
      <c r="B22" s="974" t="s">
        <v>1385</v>
      </c>
      <c r="C22" s="974" t="s">
        <v>1386</v>
      </c>
      <c r="D22" s="974" t="s">
        <v>1387</v>
      </c>
      <c r="E22" s="974" t="s">
        <v>1388</v>
      </c>
      <c r="F22" s="974" t="s">
        <v>1389</v>
      </c>
      <c r="G22" s="974" t="s">
        <v>1390</v>
      </c>
      <c r="H22" s="974" t="s">
        <v>1391</v>
      </c>
      <c r="I22" s="974" t="s">
        <v>1392</v>
      </c>
      <c r="J22" s="974" t="s">
        <v>1393</v>
      </c>
      <c r="K22" s="974" t="s">
        <v>1394</v>
      </c>
      <c r="L22" s="974" t="s">
        <v>1395</v>
      </c>
      <c r="M22" s="974" t="s">
        <v>1396</v>
      </c>
    </row>
    <row r="23">
      <c r="A23" s="1080" t="s">
        <v>1397</v>
      </c>
      <c r="B23" s="1083"/>
      <c r="C23" s="1083"/>
      <c r="D23" s="1083"/>
      <c r="E23" s="1083"/>
      <c r="F23" s="1083"/>
      <c r="G23" s="1083"/>
      <c r="H23" s="1083"/>
      <c r="I23" s="1083"/>
      <c r="J23" s="1083"/>
      <c r="K23" s="1083"/>
      <c r="L23" s="1083"/>
      <c r="M23" s="1084"/>
    </row>
    <row r="24">
      <c r="A24" s="1075" t="s">
        <v>1260</v>
      </c>
      <c r="B24" s="974" t="s">
        <v>1398</v>
      </c>
      <c r="C24" s="974" t="s">
        <v>1399</v>
      </c>
      <c r="D24" s="974" t="s">
        <v>1400</v>
      </c>
      <c r="E24" s="974" t="s">
        <v>1401</v>
      </c>
      <c r="F24" s="974" t="s">
        <v>1402</v>
      </c>
      <c r="G24" s="974" t="s">
        <v>1403</v>
      </c>
      <c r="H24" s="974" t="s">
        <v>1404</v>
      </c>
      <c r="I24" s="974" t="s">
        <v>1405</v>
      </c>
      <c r="J24" s="974" t="s">
        <v>1406</v>
      </c>
      <c r="K24" s="974" t="s">
        <v>1407</v>
      </c>
      <c r="L24" s="974" t="s">
        <v>1408</v>
      </c>
      <c r="M24" s="974" t="s">
        <v>1409</v>
      </c>
    </row>
    <row r="25">
      <c r="A25" s="1075" t="s">
        <v>1273</v>
      </c>
      <c r="B25" s="975" t="s">
        <v>1410</v>
      </c>
      <c r="C25" s="975" t="s">
        <v>1411</v>
      </c>
      <c r="D25" s="975" t="s">
        <v>1412</v>
      </c>
      <c r="E25" s="975" t="s">
        <v>1413</v>
      </c>
      <c r="F25" s="975" t="s">
        <v>1414</v>
      </c>
      <c r="G25" s="975" t="s">
        <v>1415</v>
      </c>
      <c r="H25" s="975" t="s">
        <v>1416</v>
      </c>
      <c r="I25" s="975" t="s">
        <v>1417</v>
      </c>
      <c r="J25" s="975" t="s">
        <v>1418</v>
      </c>
      <c r="K25" s="975" t="s">
        <v>1419</v>
      </c>
      <c r="L25" s="975" t="s">
        <v>1420</v>
      </c>
      <c r="M25" s="975" t="s">
        <v>1421</v>
      </c>
    </row>
    <row r="26">
      <c r="A26" s="1075" t="s">
        <v>1286</v>
      </c>
      <c r="B26" s="974"/>
      <c r="C26" s="974"/>
      <c r="D26" s="974" t="s">
        <v>1422</v>
      </c>
      <c r="E26" s="974"/>
      <c r="F26" s="974" t="s">
        <v>1423</v>
      </c>
      <c r="G26" s="974"/>
      <c r="H26" s="974"/>
      <c r="I26" s="974"/>
      <c r="J26" s="974" t="s">
        <v>1424</v>
      </c>
      <c r="K26" s="974"/>
      <c r="L26" s="974"/>
      <c r="M26" s="974" t="s">
        <v>1425</v>
      </c>
    </row>
    <row r="27">
      <c r="A27" s="1075" t="s">
        <v>1296</v>
      </c>
      <c r="B27" s="975"/>
      <c r="C27" s="975"/>
      <c r="D27" s="975"/>
      <c r="E27" s="975"/>
      <c r="F27" s="975"/>
      <c r="G27" s="975"/>
      <c r="H27" s="975"/>
      <c r="I27" s="975"/>
      <c r="J27" s="975"/>
      <c r="K27" s="975"/>
      <c r="L27" s="975"/>
      <c r="M27" s="975" t="s">
        <v>1426</v>
      </c>
    </row>
    <row r="28">
      <c r="A28" s="1075" t="s">
        <v>1300</v>
      </c>
      <c r="B28" s="974"/>
      <c r="C28" s="974"/>
      <c r="D28" s="974"/>
      <c r="E28" s="974"/>
      <c r="F28" s="974"/>
      <c r="G28" s="974"/>
      <c r="H28" s="974"/>
      <c r="I28" s="974"/>
      <c r="J28" s="974"/>
      <c r="K28" s="974"/>
      <c r="L28" s="974"/>
      <c r="M28" s="974"/>
    </row>
    <row r="29">
      <c r="A29" s="1075" t="s">
        <v>1248</v>
      </c>
      <c r="B29" s="975" t="s">
        <v>1427</v>
      </c>
      <c r="C29" s="975" t="s">
        <v>1428</v>
      </c>
      <c r="D29" s="975" t="s">
        <v>1429</v>
      </c>
      <c r="E29" s="975" t="s">
        <v>1430</v>
      </c>
      <c r="F29" s="975" t="s">
        <v>1431</v>
      </c>
      <c r="G29" s="975" t="s">
        <v>1432</v>
      </c>
      <c r="H29" s="975" t="s">
        <v>1433</v>
      </c>
      <c r="I29" s="975" t="s">
        <v>1434</v>
      </c>
      <c r="J29" s="975" t="s">
        <v>1435</v>
      </c>
      <c r="K29" s="975" t="s">
        <v>1436</v>
      </c>
      <c r="L29" s="975" t="s">
        <v>1437</v>
      </c>
      <c r="M29" s="975" t="s">
        <v>1438</v>
      </c>
    </row>
  </sheetData>
  <mergeCells count="4">
    <mergeCell ref="A2:M2"/>
    <mergeCell ref="A9:M9"/>
    <mergeCell ref="A16:M16"/>
    <mergeCell ref="A23:M2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4.43" defaultRowHeight="15.0" outlineLevelCol="1"/>
  <cols>
    <col customWidth="1" min="1" max="2" width="2.29"/>
    <col customWidth="1" min="3" max="44" width="2.71"/>
    <col customWidth="1" min="45" max="72" width="2.71" outlineLevel="1"/>
    <col customWidth="1" min="73" max="73" width="2.71"/>
    <col customWidth="1" min="74" max="74" width="2.29"/>
  </cols>
  <sheetData>
    <row r="1" ht="18.0" customHeight="1">
      <c r="A1" s="455"/>
      <c r="B1" s="455"/>
      <c r="C1" s="455"/>
      <c r="D1" s="455"/>
      <c r="E1" s="455"/>
      <c r="F1" s="455"/>
      <c r="G1" s="455"/>
      <c r="H1" s="455"/>
      <c r="I1" s="455"/>
      <c r="J1" s="455"/>
      <c r="K1" s="455"/>
      <c r="L1" s="455"/>
      <c r="M1" s="455"/>
      <c r="N1" s="455"/>
      <c r="O1" s="455"/>
      <c r="P1" s="455"/>
      <c r="Q1" s="455"/>
      <c r="R1" s="455"/>
      <c r="S1" s="455"/>
      <c r="T1" s="455"/>
      <c r="U1" s="455"/>
      <c r="V1" s="455"/>
      <c r="W1" s="455"/>
      <c r="X1" s="455"/>
      <c r="Y1" s="455"/>
      <c r="Z1" s="455"/>
      <c r="AA1" s="455"/>
      <c r="AB1" s="455"/>
      <c r="AC1" s="455"/>
      <c r="AD1" s="455"/>
      <c r="AE1" s="455"/>
      <c r="AF1" s="455"/>
      <c r="AG1" s="455"/>
      <c r="AH1" s="455"/>
      <c r="AI1" s="455"/>
      <c r="AJ1" s="455"/>
      <c r="AK1" s="455"/>
      <c r="AL1" s="455"/>
      <c r="AM1" s="455"/>
      <c r="AN1" s="455"/>
      <c r="AO1" s="455"/>
      <c r="AP1" s="455"/>
      <c r="AQ1" s="455"/>
      <c r="AR1" s="455"/>
      <c r="AS1" s="455"/>
      <c r="AT1" s="455"/>
      <c r="AU1" s="455"/>
      <c r="AV1" s="455"/>
      <c r="AW1" s="455"/>
      <c r="AX1" s="455"/>
      <c r="AY1" s="455"/>
      <c r="AZ1" s="455"/>
      <c r="BA1" s="455"/>
      <c r="BB1" s="455"/>
      <c r="BC1" s="455"/>
      <c r="BD1" s="455"/>
      <c r="BE1" s="455"/>
      <c r="BF1" s="455"/>
      <c r="BG1" s="455"/>
      <c r="BH1" s="294"/>
      <c r="BI1" s="294"/>
      <c r="BJ1" s="294"/>
      <c r="BK1" s="294"/>
      <c r="BL1" s="294"/>
      <c r="BM1" s="294"/>
      <c r="BN1" s="294"/>
      <c r="BO1" s="294"/>
      <c r="BP1" s="294"/>
      <c r="BQ1" s="294"/>
      <c r="BR1" s="294"/>
      <c r="BS1" s="294"/>
      <c r="BT1" s="294"/>
      <c r="BU1" s="294"/>
      <c r="BV1" s="294"/>
    </row>
    <row r="2" ht="18.0" customHeight="1">
      <c r="A2" s="455"/>
      <c r="B2" s="456" t="s">
        <v>1439</v>
      </c>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20"/>
      <c r="BV2" s="294"/>
    </row>
    <row r="3" ht="13.5" customHeight="1">
      <c r="A3" s="294"/>
      <c r="B3" s="350"/>
      <c r="C3" s="724"/>
      <c r="D3" s="724"/>
      <c r="E3" s="724"/>
      <c r="F3" s="724"/>
      <c r="G3" s="724"/>
      <c r="H3" s="724"/>
      <c r="I3" s="724"/>
      <c r="J3" s="724"/>
      <c r="K3" s="724"/>
      <c r="L3" s="724"/>
      <c r="M3" s="724"/>
      <c r="N3" s="724"/>
      <c r="O3" s="724"/>
      <c r="P3" s="724"/>
      <c r="Q3" s="307"/>
      <c r="R3" s="724"/>
      <c r="S3" s="724"/>
      <c r="T3" s="724"/>
      <c r="U3" s="724"/>
      <c r="V3" s="724"/>
      <c r="W3" s="724"/>
      <c r="X3" s="724"/>
      <c r="Y3" s="724"/>
      <c r="Z3" s="724"/>
      <c r="AA3" s="724"/>
      <c r="AB3" s="724"/>
      <c r="AC3" s="724"/>
      <c r="AD3" s="724"/>
      <c r="AE3" s="724"/>
      <c r="AF3" s="307"/>
      <c r="AG3" s="307"/>
      <c r="AH3" s="724"/>
      <c r="AI3" s="724"/>
      <c r="AJ3" s="724"/>
      <c r="AK3" s="724"/>
      <c r="AL3" s="724"/>
      <c r="AM3" s="724"/>
      <c r="AN3" s="724"/>
      <c r="AO3" s="724"/>
      <c r="AP3" s="724"/>
      <c r="AQ3" s="724"/>
      <c r="AR3" s="724"/>
      <c r="AS3" s="307"/>
      <c r="AT3" s="1085"/>
      <c r="AU3" s="724"/>
      <c r="AV3" s="724"/>
      <c r="AW3" s="724"/>
      <c r="AX3" s="724"/>
      <c r="AY3" s="724"/>
      <c r="AZ3" s="724"/>
      <c r="BA3" s="724"/>
      <c r="BB3" s="724"/>
      <c r="BC3" s="724"/>
      <c r="BD3" s="724"/>
      <c r="BE3" s="724"/>
      <c r="BF3" s="724"/>
      <c r="BG3" s="307"/>
      <c r="BH3" s="307"/>
      <c r="BI3" s="307"/>
      <c r="BJ3" s="307"/>
      <c r="BK3" s="307"/>
      <c r="BL3" s="307"/>
      <c r="BM3" s="307"/>
      <c r="BN3" s="307"/>
      <c r="BO3" s="307"/>
      <c r="BP3" s="307"/>
      <c r="BQ3" s="307"/>
      <c r="BR3" s="307"/>
      <c r="BS3" s="307"/>
      <c r="BT3" s="307"/>
      <c r="BU3" s="307"/>
      <c r="BV3" s="294"/>
    </row>
    <row r="4" ht="18.75" customHeight="1">
      <c r="A4" s="294"/>
      <c r="B4" s="1086" t="s">
        <v>1440</v>
      </c>
      <c r="C4" s="1087" t="s">
        <v>1441</v>
      </c>
      <c r="D4" s="19"/>
      <c r="E4" s="19"/>
      <c r="F4" s="19"/>
      <c r="G4" s="19"/>
      <c r="H4" s="19"/>
      <c r="I4" s="19"/>
      <c r="J4" s="1088"/>
      <c r="K4" s="1089" t="s">
        <v>318</v>
      </c>
      <c r="L4" s="1088"/>
      <c r="M4" s="1090" t="s">
        <v>270</v>
      </c>
      <c r="N4" s="1088"/>
      <c r="O4" s="1090" t="s">
        <v>1442</v>
      </c>
      <c r="P4" s="20"/>
      <c r="Q4" s="1091"/>
      <c r="R4" s="1087" t="s">
        <v>1441</v>
      </c>
      <c r="S4" s="19"/>
      <c r="T4" s="19"/>
      <c r="U4" s="19"/>
      <c r="V4" s="19"/>
      <c r="W4" s="19"/>
      <c r="X4" s="19"/>
      <c r="Y4" s="1088"/>
      <c r="Z4" s="1089" t="s">
        <v>318</v>
      </c>
      <c r="AA4" s="1088"/>
      <c r="AB4" s="1090" t="s">
        <v>270</v>
      </c>
      <c r="AC4" s="1088"/>
      <c r="AD4" s="1090" t="s">
        <v>1442</v>
      </c>
      <c r="AE4" s="20"/>
      <c r="AF4" s="1092"/>
      <c r="AG4" s="1093" t="s">
        <v>1443</v>
      </c>
      <c r="AH4" s="19"/>
      <c r="AI4" s="19"/>
      <c r="AJ4" s="19"/>
      <c r="AK4" s="19"/>
      <c r="AL4" s="19"/>
      <c r="AM4" s="19"/>
      <c r="AN4" s="19"/>
      <c r="AO4" s="19"/>
      <c r="AP4" s="19"/>
      <c r="AQ4" s="19"/>
      <c r="AR4" s="20"/>
      <c r="AS4" s="291"/>
      <c r="AT4" s="1087" t="s">
        <v>1441</v>
      </c>
      <c r="AU4" s="19"/>
      <c r="AV4" s="19"/>
      <c r="AW4" s="19"/>
      <c r="AX4" s="19"/>
      <c r="AY4" s="19"/>
      <c r="AZ4" s="1088"/>
      <c r="BA4" s="1089" t="s">
        <v>318</v>
      </c>
      <c r="BB4" s="1088"/>
      <c r="BC4" s="1090" t="s">
        <v>270</v>
      </c>
      <c r="BD4" s="1088"/>
      <c r="BE4" s="1090" t="s">
        <v>1442</v>
      </c>
      <c r="BF4" s="20"/>
      <c r="BG4" s="307"/>
      <c r="BH4" s="1087" t="s">
        <v>1441</v>
      </c>
      <c r="BI4" s="19"/>
      <c r="BJ4" s="19"/>
      <c r="BK4" s="19"/>
      <c r="BL4" s="19"/>
      <c r="BM4" s="19"/>
      <c r="BN4" s="1088"/>
      <c r="BO4" s="1089" t="s">
        <v>318</v>
      </c>
      <c r="BP4" s="1088"/>
      <c r="BQ4" s="1090" t="s">
        <v>270</v>
      </c>
      <c r="BR4" s="1088"/>
      <c r="BS4" s="1090" t="s">
        <v>1442</v>
      </c>
      <c r="BT4" s="20"/>
      <c r="BU4" s="307"/>
      <c r="BV4" s="1094"/>
    </row>
    <row r="5" ht="18.75" customHeight="1">
      <c r="A5" s="294"/>
      <c r="B5" s="1086" t="s">
        <v>1440</v>
      </c>
      <c r="C5" s="469" t="s">
        <v>1444</v>
      </c>
      <c r="D5" s="19"/>
      <c r="E5" s="19"/>
      <c r="F5" s="19"/>
      <c r="G5" s="19"/>
      <c r="H5" s="19"/>
      <c r="I5" s="19"/>
      <c r="J5" s="19"/>
      <c r="K5" s="19"/>
      <c r="L5" s="19"/>
      <c r="M5" s="19"/>
      <c r="N5" s="19"/>
      <c r="O5" s="19"/>
      <c r="P5" s="20"/>
      <c r="Q5" s="345"/>
      <c r="R5" s="469" t="s">
        <v>1445</v>
      </c>
      <c r="S5" s="19"/>
      <c r="T5" s="19"/>
      <c r="U5" s="19"/>
      <c r="V5" s="19"/>
      <c r="W5" s="19"/>
      <c r="X5" s="19"/>
      <c r="Y5" s="1088"/>
      <c r="Z5" s="1095" t="b">
        <v>0</v>
      </c>
      <c r="AA5" s="20"/>
      <c r="AB5" s="1096">
        <v>5.0</v>
      </c>
      <c r="AC5" s="20"/>
      <c r="AD5" s="1097">
        <f>AB5*Z5</f>
        <v>0</v>
      </c>
      <c r="AE5" s="20"/>
      <c r="AF5" s="350"/>
      <c r="AG5" s="1098" t="s">
        <v>1446</v>
      </c>
      <c r="AH5" s="19"/>
      <c r="AI5" s="19"/>
      <c r="AJ5" s="400"/>
      <c r="AK5" s="1099" t="s">
        <v>1447</v>
      </c>
      <c r="AN5" s="1100"/>
      <c r="AO5" s="1099" t="s">
        <v>1448</v>
      </c>
      <c r="AR5" s="318"/>
      <c r="AS5" s="291"/>
      <c r="AT5" s="469" t="s">
        <v>1449</v>
      </c>
      <c r="AU5" s="19"/>
      <c r="AV5" s="19"/>
      <c r="AW5" s="19"/>
      <c r="AX5" s="19"/>
      <c r="AY5" s="19"/>
      <c r="AZ5" s="1088"/>
      <c r="BA5" s="1095" t="b">
        <v>0</v>
      </c>
      <c r="BB5" s="20"/>
      <c r="BC5" s="1096">
        <v>15.0</v>
      </c>
      <c r="BD5" s="20"/>
      <c r="BE5" s="1097">
        <f>BC5*BA5</f>
        <v>0</v>
      </c>
      <c r="BF5" s="20"/>
      <c r="BG5" s="307"/>
      <c r="BH5" s="1101"/>
      <c r="BI5" s="356"/>
      <c r="BJ5" s="356"/>
      <c r="BK5" s="356"/>
      <c r="BL5" s="356"/>
      <c r="BM5" s="356"/>
      <c r="BN5" s="1102"/>
      <c r="BO5" s="1103"/>
      <c r="BP5" s="357"/>
      <c r="BQ5" s="1104"/>
      <c r="BR5" s="357"/>
      <c r="BS5" s="1105">
        <f t="shared" ref="BS5:BS33" si="1">BO5*BQ5</f>
        <v>0</v>
      </c>
      <c r="BT5" s="357"/>
      <c r="BU5" s="307"/>
      <c r="BV5" s="1106"/>
    </row>
    <row r="6" ht="18.75" customHeight="1">
      <c r="A6" s="294"/>
      <c r="B6" s="1086" t="s">
        <v>1440</v>
      </c>
      <c r="C6" s="1107" t="s">
        <v>267</v>
      </c>
      <c r="D6" s="19"/>
      <c r="E6" s="19"/>
      <c r="F6" s="19"/>
      <c r="G6" s="19"/>
      <c r="H6" s="19"/>
      <c r="I6" s="19"/>
      <c r="J6" s="20"/>
      <c r="K6" s="1095">
        <v>1.0</v>
      </c>
      <c r="L6" s="20"/>
      <c r="M6" s="1108">
        <f>SUMPRODUCT('角色卡'!CJ27:CL28)</f>
        <v>0</v>
      </c>
      <c r="N6" s="20"/>
      <c r="O6" s="1109">
        <f t="shared" ref="O6:O31" si="2">K6*M6</f>
        <v>0</v>
      </c>
      <c r="P6" s="241"/>
      <c r="Q6" s="345"/>
      <c r="R6" s="1101" t="s">
        <v>1450</v>
      </c>
      <c r="S6" s="356"/>
      <c r="T6" s="356"/>
      <c r="U6" s="356"/>
      <c r="V6" s="356"/>
      <c r="W6" s="356"/>
      <c r="X6" s="356"/>
      <c r="Y6" s="1102"/>
      <c r="Z6" s="1110"/>
      <c r="AA6" s="357"/>
      <c r="AB6" s="1111"/>
      <c r="AC6" s="357"/>
      <c r="AD6" s="1105">
        <f t="shared" ref="AD6:AD33" si="3">Z6*AB6</f>
        <v>0</v>
      </c>
      <c r="AE6" s="357"/>
      <c r="AF6" s="350"/>
      <c r="AG6" s="1112">
        <v>490.0</v>
      </c>
      <c r="AJ6" s="318"/>
      <c r="AK6" s="1113">
        <f>'金錢紀錄'!AA3</f>
        <v>0</v>
      </c>
      <c r="AL6" s="152"/>
      <c r="AM6" s="152"/>
      <c r="AN6" s="175"/>
      <c r="AO6" s="1114" t="str">
        <f>'金錢紀錄'!AB3</f>
        <v>0</v>
      </c>
      <c r="AP6" s="152"/>
      <c r="AQ6" s="152"/>
      <c r="AR6" s="175"/>
      <c r="AS6" s="291"/>
      <c r="AT6" s="1115"/>
      <c r="AU6" s="113"/>
      <c r="AV6" s="113"/>
      <c r="AW6" s="113"/>
      <c r="AX6" s="113"/>
      <c r="AY6" s="113"/>
      <c r="AZ6" s="1116"/>
      <c r="BA6" s="1117"/>
      <c r="BB6" s="111"/>
      <c r="BC6" s="1118"/>
      <c r="BD6" s="111"/>
      <c r="BE6" s="1105">
        <f t="shared" ref="BE6:BE34" si="4">BA6*BC6</f>
        <v>0</v>
      </c>
      <c r="BF6" s="357"/>
      <c r="BG6" s="307"/>
      <c r="BH6" s="1119"/>
      <c r="BI6" s="375"/>
      <c r="BJ6" s="375"/>
      <c r="BK6" s="375"/>
      <c r="BL6" s="375"/>
      <c r="BM6" s="375"/>
      <c r="BN6" s="376"/>
      <c r="BO6" s="1120"/>
      <c r="BP6" s="376"/>
      <c r="BQ6" s="1121"/>
      <c r="BR6" s="376"/>
      <c r="BS6" s="1122">
        <f t="shared" si="1"/>
        <v>0</v>
      </c>
      <c r="BT6" s="376"/>
      <c r="BU6" s="307"/>
      <c r="BV6" s="1106"/>
    </row>
    <row r="7" ht="18.75" customHeight="1">
      <c r="A7" s="294"/>
      <c r="B7" s="1086" t="s">
        <v>1440</v>
      </c>
      <c r="C7" s="1123" t="s">
        <v>312</v>
      </c>
      <c r="D7" s="240"/>
      <c r="E7" s="240"/>
      <c r="F7" s="240"/>
      <c r="G7" s="240"/>
      <c r="H7" s="240"/>
      <c r="I7" s="240"/>
      <c r="J7" s="241"/>
      <c r="K7" s="1124">
        <v>1.0</v>
      </c>
      <c r="L7" s="241"/>
      <c r="M7" s="1125">
        <f>SUMPRODUCT('角色卡'!AY37:AY42,'角色卡'!BB37:BB42)</f>
        <v>0</v>
      </c>
      <c r="N7" s="241"/>
      <c r="O7" s="1109">
        <f t="shared" si="2"/>
        <v>0</v>
      </c>
      <c r="P7" s="241"/>
      <c r="Q7" s="345"/>
      <c r="R7" s="1126" t="s">
        <v>1451</v>
      </c>
      <c r="S7" s="375"/>
      <c r="T7" s="375"/>
      <c r="U7" s="375"/>
      <c r="V7" s="375"/>
      <c r="W7" s="375"/>
      <c r="X7" s="375"/>
      <c r="Y7" s="376"/>
      <c r="Z7" s="1120"/>
      <c r="AA7" s="376"/>
      <c r="AB7" s="1120"/>
      <c r="AC7" s="376"/>
      <c r="AD7" s="1122">
        <f t="shared" si="3"/>
        <v>0</v>
      </c>
      <c r="AE7" s="376"/>
      <c r="AF7" s="350"/>
      <c r="AG7" s="1127" t="s">
        <v>1452</v>
      </c>
      <c r="AH7" s="19"/>
      <c r="AI7" s="19"/>
      <c r="AJ7" s="400"/>
      <c r="AK7" s="1128" t="s">
        <v>1453</v>
      </c>
      <c r="AL7" s="19"/>
      <c r="AM7" s="19"/>
      <c r="AN7" s="400"/>
      <c r="AO7" s="1129" t="s">
        <v>1454</v>
      </c>
      <c r="AP7" s="19"/>
      <c r="AQ7" s="19"/>
      <c r="AR7" s="20"/>
      <c r="AS7" s="291"/>
      <c r="AT7" s="1130"/>
      <c r="AU7" s="122"/>
      <c r="AV7" s="122"/>
      <c r="AW7" s="122"/>
      <c r="AX7" s="122"/>
      <c r="AY7" s="122"/>
      <c r="AZ7" s="120"/>
      <c r="BA7" s="1131"/>
      <c r="BB7" s="120"/>
      <c r="BC7" s="1131"/>
      <c r="BD7" s="120"/>
      <c r="BE7" s="1122">
        <f t="shared" si="4"/>
        <v>0</v>
      </c>
      <c r="BF7" s="376"/>
      <c r="BG7" s="307"/>
      <c r="BH7" s="1132"/>
      <c r="BI7" s="496"/>
      <c r="BJ7" s="496"/>
      <c r="BK7" s="496"/>
      <c r="BL7" s="496"/>
      <c r="BM7" s="496"/>
      <c r="BN7" s="1133"/>
      <c r="BO7" s="1134"/>
      <c r="BP7" s="500"/>
      <c r="BQ7" s="1135"/>
      <c r="BR7" s="500"/>
      <c r="BS7" s="1136">
        <f t="shared" si="1"/>
        <v>0</v>
      </c>
      <c r="BT7" s="500"/>
      <c r="BU7" s="307"/>
      <c r="BV7" s="1106"/>
    </row>
    <row r="8" ht="18.75" customHeight="1">
      <c r="A8" s="294"/>
      <c r="B8" s="1086" t="s">
        <v>1440</v>
      </c>
      <c r="C8" s="1137"/>
      <c r="D8" s="496"/>
      <c r="E8" s="496"/>
      <c r="F8" s="496"/>
      <c r="G8" s="496"/>
      <c r="H8" s="496"/>
      <c r="I8" s="496"/>
      <c r="J8" s="500"/>
      <c r="K8" s="1138"/>
      <c r="L8" s="500"/>
      <c r="M8" s="1138"/>
      <c r="N8" s="500"/>
      <c r="O8" s="1139">
        <f t="shared" si="2"/>
        <v>0</v>
      </c>
      <c r="P8" s="500"/>
      <c r="Q8" s="351"/>
      <c r="R8" s="1140"/>
      <c r="S8" s="375"/>
      <c r="T8" s="375"/>
      <c r="U8" s="375"/>
      <c r="V8" s="375"/>
      <c r="W8" s="375"/>
      <c r="X8" s="375"/>
      <c r="Y8" s="1141"/>
      <c r="Z8" s="1142"/>
      <c r="AA8" s="376"/>
      <c r="AB8" s="1143"/>
      <c r="AC8" s="376"/>
      <c r="AD8" s="1122">
        <f t="shared" si="3"/>
        <v>0</v>
      </c>
      <c r="AE8" s="376"/>
      <c r="AF8" s="350"/>
      <c r="AG8" s="1144">
        <f>'金錢紀錄'!Z5</f>
        <v>0</v>
      </c>
      <c r="AJ8" s="318"/>
      <c r="AK8" s="1145">
        <f>'金錢紀錄'!AA5</f>
        <v>0</v>
      </c>
      <c r="AL8" s="152"/>
      <c r="AM8" s="152"/>
      <c r="AN8" s="175"/>
      <c r="AO8" s="1146">
        <f>(AO6+AK6*10+AG6*100+AG8*1000+AK8*50)/100</f>
        <v>490</v>
      </c>
      <c r="AP8" s="152"/>
      <c r="AQ8" s="152"/>
      <c r="AR8" s="175"/>
      <c r="AS8" s="291"/>
      <c r="AT8" s="1147"/>
      <c r="AU8" s="122"/>
      <c r="AV8" s="122"/>
      <c r="AW8" s="122"/>
      <c r="AX8" s="122"/>
      <c r="AY8" s="122"/>
      <c r="AZ8" s="1148"/>
      <c r="BA8" s="1149"/>
      <c r="BB8" s="120"/>
      <c r="BC8" s="1150"/>
      <c r="BD8" s="120"/>
      <c r="BE8" s="1122">
        <f t="shared" si="4"/>
        <v>0</v>
      </c>
      <c r="BF8" s="376"/>
      <c r="BG8" s="307"/>
      <c r="BH8" s="1119"/>
      <c r="BI8" s="375"/>
      <c r="BJ8" s="375"/>
      <c r="BK8" s="375"/>
      <c r="BL8" s="375"/>
      <c r="BM8" s="375"/>
      <c r="BN8" s="376"/>
      <c r="BO8" s="1120"/>
      <c r="BP8" s="376"/>
      <c r="BQ8" s="1121"/>
      <c r="BR8" s="376"/>
      <c r="BS8" s="1122">
        <f t="shared" si="1"/>
        <v>0</v>
      </c>
      <c r="BT8" s="376"/>
      <c r="BU8" s="307"/>
      <c r="BV8" s="1106"/>
    </row>
    <row r="9" ht="18.75" customHeight="1">
      <c r="A9" s="294"/>
      <c r="B9" s="1086" t="s">
        <v>1440</v>
      </c>
      <c r="C9" s="1151"/>
      <c r="D9" s="375"/>
      <c r="E9" s="375"/>
      <c r="F9" s="375"/>
      <c r="G9" s="375"/>
      <c r="H9" s="375"/>
      <c r="I9" s="375"/>
      <c r="J9" s="376"/>
      <c r="K9" s="1152"/>
      <c r="L9" s="376"/>
      <c r="M9" s="1152"/>
      <c r="N9" s="376"/>
      <c r="O9" s="1153">
        <f t="shared" si="2"/>
        <v>0</v>
      </c>
      <c r="P9" s="318"/>
      <c r="Q9" s="345"/>
      <c r="R9" s="1119"/>
      <c r="S9" s="375"/>
      <c r="T9" s="375"/>
      <c r="U9" s="375"/>
      <c r="V9" s="375"/>
      <c r="W9" s="375"/>
      <c r="X9" s="375"/>
      <c r="Y9" s="376"/>
      <c r="Z9" s="1121"/>
      <c r="AA9" s="376"/>
      <c r="AB9" s="1121"/>
      <c r="AC9" s="376"/>
      <c r="AD9" s="1122">
        <f t="shared" si="3"/>
        <v>0</v>
      </c>
      <c r="AE9" s="376"/>
      <c r="AF9" s="350"/>
      <c r="AG9" s="1154" t="s">
        <v>1455</v>
      </c>
      <c r="AH9" s="354"/>
      <c r="AI9" s="354"/>
      <c r="AJ9" s="354"/>
      <c r="AK9" s="354"/>
      <c r="AL9" s="354"/>
      <c r="AM9" s="1155" t="b">
        <v>0</v>
      </c>
      <c r="AN9" s="20"/>
      <c r="AO9" s="1156">
        <f>(AG6+AK6+AO6+AK8+AG8)*0.02</f>
        <v>9.8</v>
      </c>
      <c r="AP9" s="20"/>
      <c r="AQ9" s="1157">
        <f>AO9*AM9</f>
        <v>0</v>
      </c>
      <c r="AR9" s="20"/>
      <c r="AS9" s="291"/>
      <c r="AT9" s="1158"/>
      <c r="AU9" s="122"/>
      <c r="AV9" s="122"/>
      <c r="AW9" s="122"/>
      <c r="AX9" s="122"/>
      <c r="AY9" s="122"/>
      <c r="AZ9" s="120"/>
      <c r="BA9" s="1159"/>
      <c r="BB9" s="120"/>
      <c r="BC9" s="1159"/>
      <c r="BD9" s="120"/>
      <c r="BE9" s="1122">
        <f t="shared" si="4"/>
        <v>0</v>
      </c>
      <c r="BF9" s="376"/>
      <c r="BG9" s="307"/>
      <c r="BH9" s="1140"/>
      <c r="BI9" s="375"/>
      <c r="BJ9" s="375"/>
      <c r="BK9" s="375"/>
      <c r="BL9" s="375"/>
      <c r="BM9" s="375"/>
      <c r="BN9" s="1141"/>
      <c r="BO9" s="1142"/>
      <c r="BP9" s="376"/>
      <c r="BQ9" s="1143"/>
      <c r="BR9" s="376"/>
      <c r="BS9" s="1122">
        <f t="shared" si="1"/>
        <v>0</v>
      </c>
      <c r="BT9" s="376"/>
      <c r="BU9" s="307"/>
      <c r="BV9" s="1106"/>
    </row>
    <row r="10" ht="18.75" customHeight="1">
      <c r="A10" s="294"/>
      <c r="B10" s="1086" t="s">
        <v>1440</v>
      </c>
      <c r="C10" s="1119"/>
      <c r="D10" s="375"/>
      <c r="E10" s="375"/>
      <c r="F10" s="375"/>
      <c r="G10" s="375"/>
      <c r="H10" s="375"/>
      <c r="I10" s="375"/>
      <c r="J10" s="376"/>
      <c r="K10" s="1160"/>
      <c r="L10" s="376"/>
      <c r="M10" s="1161"/>
      <c r="N10" s="376"/>
      <c r="O10" s="1122">
        <f t="shared" si="2"/>
        <v>0</v>
      </c>
      <c r="P10" s="376"/>
      <c r="Q10" s="345"/>
      <c r="R10" s="1140"/>
      <c r="S10" s="375"/>
      <c r="T10" s="375"/>
      <c r="U10" s="375"/>
      <c r="V10" s="375"/>
      <c r="W10" s="375"/>
      <c r="X10" s="375"/>
      <c r="Y10" s="1141"/>
      <c r="Z10" s="1142"/>
      <c r="AA10" s="376"/>
      <c r="AB10" s="1143"/>
      <c r="AC10" s="376"/>
      <c r="AD10" s="1122">
        <f t="shared" si="3"/>
        <v>0</v>
      </c>
      <c r="AE10" s="376"/>
      <c r="AF10" s="350"/>
      <c r="AG10" s="1162" t="s">
        <v>1456</v>
      </c>
      <c r="AK10" s="1100"/>
      <c r="AL10" s="1163" t="s">
        <v>1457</v>
      </c>
      <c r="AN10" s="1100"/>
      <c r="AO10" s="1164" t="s">
        <v>318</v>
      </c>
      <c r="AP10" s="1100"/>
      <c r="AQ10" s="1165" t="s">
        <v>270</v>
      </c>
      <c r="AR10" s="318"/>
      <c r="AS10" s="291"/>
      <c r="AT10" s="1147"/>
      <c r="AU10" s="122"/>
      <c r="AV10" s="122"/>
      <c r="AW10" s="122"/>
      <c r="AX10" s="122"/>
      <c r="AY10" s="122"/>
      <c r="AZ10" s="1148"/>
      <c r="BA10" s="1149"/>
      <c r="BB10" s="120"/>
      <c r="BC10" s="1150"/>
      <c r="BD10" s="120"/>
      <c r="BE10" s="1122">
        <f t="shared" si="4"/>
        <v>0</v>
      </c>
      <c r="BF10" s="376"/>
      <c r="BG10" s="307"/>
      <c r="BH10" s="1119"/>
      <c r="BI10" s="375"/>
      <c r="BJ10" s="375"/>
      <c r="BK10" s="375"/>
      <c r="BL10" s="375"/>
      <c r="BM10" s="375"/>
      <c r="BN10" s="376"/>
      <c r="BO10" s="1121"/>
      <c r="BP10" s="376"/>
      <c r="BQ10" s="1121"/>
      <c r="BR10" s="376"/>
      <c r="BS10" s="1122">
        <f t="shared" si="1"/>
        <v>0</v>
      </c>
      <c r="BT10" s="376"/>
      <c r="BU10" s="307"/>
      <c r="BV10" s="1106"/>
    </row>
    <row r="11" ht="18.75" customHeight="1">
      <c r="A11" s="294"/>
      <c r="B11" s="1086" t="s">
        <v>1440</v>
      </c>
      <c r="C11" s="1151"/>
      <c r="D11" s="375"/>
      <c r="E11" s="375"/>
      <c r="F11" s="375"/>
      <c r="G11" s="375"/>
      <c r="H11" s="375"/>
      <c r="I11" s="375"/>
      <c r="J11" s="376"/>
      <c r="K11" s="1152"/>
      <c r="L11" s="376"/>
      <c r="M11" s="1152"/>
      <c r="N11" s="376"/>
      <c r="O11" s="1136">
        <f t="shared" si="2"/>
        <v>0</v>
      </c>
      <c r="P11" s="500"/>
      <c r="Q11" s="345"/>
      <c r="R11" s="1119"/>
      <c r="S11" s="375"/>
      <c r="T11" s="375"/>
      <c r="U11" s="375"/>
      <c r="V11" s="375"/>
      <c r="W11" s="375"/>
      <c r="X11" s="375"/>
      <c r="Y11" s="376"/>
      <c r="Z11" s="1121"/>
      <c r="AA11" s="376"/>
      <c r="AB11" s="1121"/>
      <c r="AC11" s="376"/>
      <c r="AD11" s="1122">
        <f t="shared" si="3"/>
        <v>0</v>
      </c>
      <c r="AE11" s="376"/>
      <c r="AF11" s="350"/>
      <c r="AG11" s="1166"/>
      <c r="AH11" s="375"/>
      <c r="AI11" s="375"/>
      <c r="AJ11" s="375"/>
      <c r="AK11" s="376"/>
      <c r="AL11" s="1167"/>
      <c r="AM11" s="375"/>
      <c r="AN11" s="376"/>
      <c r="AO11" s="1161"/>
      <c r="AP11" s="376"/>
      <c r="AQ11" s="1120"/>
      <c r="AR11" s="376"/>
      <c r="AS11" s="291"/>
      <c r="AT11" s="1158"/>
      <c r="AU11" s="122"/>
      <c r="AV11" s="122"/>
      <c r="AW11" s="122"/>
      <c r="AX11" s="122"/>
      <c r="AY11" s="122"/>
      <c r="AZ11" s="120"/>
      <c r="BA11" s="1159"/>
      <c r="BB11" s="120"/>
      <c r="BC11" s="1159"/>
      <c r="BD11" s="120"/>
      <c r="BE11" s="1122">
        <f t="shared" si="4"/>
        <v>0</v>
      </c>
      <c r="BF11" s="376"/>
      <c r="BG11" s="307"/>
      <c r="BH11" s="1140"/>
      <c r="BI11" s="375"/>
      <c r="BJ11" s="375"/>
      <c r="BK11" s="375"/>
      <c r="BL11" s="375"/>
      <c r="BM11" s="375"/>
      <c r="BN11" s="1141"/>
      <c r="BO11" s="1142"/>
      <c r="BP11" s="376"/>
      <c r="BQ11" s="1143"/>
      <c r="BR11" s="376"/>
      <c r="BS11" s="1122">
        <f t="shared" si="1"/>
        <v>0</v>
      </c>
      <c r="BT11" s="376"/>
      <c r="BU11" s="307"/>
      <c r="BV11" s="1106"/>
    </row>
    <row r="12" ht="18.75" customHeight="1">
      <c r="A12" s="294"/>
      <c r="B12" s="1086" t="s">
        <v>1440</v>
      </c>
      <c r="C12" s="1168"/>
      <c r="D12" s="732"/>
      <c r="E12" s="732"/>
      <c r="F12" s="732"/>
      <c r="G12" s="732"/>
      <c r="H12" s="732"/>
      <c r="I12" s="732"/>
      <c r="J12" s="403"/>
      <c r="K12" s="1169"/>
      <c r="L12" s="403"/>
      <c r="M12" s="1169"/>
      <c r="N12" s="403"/>
      <c r="O12" s="1153">
        <f t="shared" si="2"/>
        <v>0</v>
      </c>
      <c r="P12" s="318"/>
      <c r="Q12" s="345"/>
      <c r="R12" s="1140"/>
      <c r="S12" s="375"/>
      <c r="T12" s="375"/>
      <c r="U12" s="375"/>
      <c r="V12" s="375"/>
      <c r="W12" s="375"/>
      <c r="X12" s="375"/>
      <c r="Y12" s="1141"/>
      <c r="Z12" s="1142"/>
      <c r="AA12" s="376"/>
      <c r="AB12" s="1143"/>
      <c r="AC12" s="376"/>
      <c r="AD12" s="1122">
        <f t="shared" si="3"/>
        <v>0</v>
      </c>
      <c r="AE12" s="376"/>
      <c r="AF12" s="350"/>
      <c r="AG12" s="1170"/>
      <c r="AH12" s="375"/>
      <c r="AI12" s="375"/>
      <c r="AJ12" s="375"/>
      <c r="AK12" s="376"/>
      <c r="AL12" s="1171"/>
      <c r="AM12" s="375"/>
      <c r="AN12" s="376"/>
      <c r="AO12" s="1143"/>
      <c r="AP12" s="376"/>
      <c r="AQ12" s="1143"/>
      <c r="AR12" s="376"/>
      <c r="AS12" s="291"/>
      <c r="AT12" s="1147"/>
      <c r="AU12" s="122"/>
      <c r="AV12" s="122"/>
      <c r="AW12" s="122"/>
      <c r="AX12" s="122"/>
      <c r="AY12" s="122"/>
      <c r="AZ12" s="1148"/>
      <c r="BA12" s="1149"/>
      <c r="BB12" s="120"/>
      <c r="BC12" s="1150"/>
      <c r="BD12" s="120"/>
      <c r="BE12" s="1122">
        <f t="shared" si="4"/>
        <v>0</v>
      </c>
      <c r="BF12" s="376"/>
      <c r="BG12" s="307"/>
      <c r="BH12" s="1119"/>
      <c r="BI12" s="375"/>
      <c r="BJ12" s="375"/>
      <c r="BK12" s="375"/>
      <c r="BL12" s="375"/>
      <c r="BM12" s="375"/>
      <c r="BN12" s="376"/>
      <c r="BO12" s="1121"/>
      <c r="BP12" s="376"/>
      <c r="BQ12" s="1121"/>
      <c r="BR12" s="376"/>
      <c r="BS12" s="1122">
        <f t="shared" si="1"/>
        <v>0</v>
      </c>
      <c r="BT12" s="376"/>
      <c r="BU12" s="307"/>
      <c r="BV12" s="1106"/>
    </row>
    <row r="13" ht="18.75" customHeight="1">
      <c r="A13" s="294"/>
      <c r="B13" s="1086" t="s">
        <v>1440</v>
      </c>
      <c r="C13" s="1172" t="s">
        <v>1458</v>
      </c>
      <c r="D13" s="19"/>
      <c r="E13" s="19"/>
      <c r="F13" s="19"/>
      <c r="G13" s="19"/>
      <c r="H13" s="19"/>
      <c r="I13" s="19"/>
      <c r="J13" s="20"/>
      <c r="K13" s="1095" t="b">
        <v>0</v>
      </c>
      <c r="L13" s="20"/>
      <c r="M13" s="1096">
        <v>1.0</v>
      </c>
      <c r="N13" s="20"/>
      <c r="O13" s="1097">
        <f t="shared" si="2"/>
        <v>0</v>
      </c>
      <c r="P13" s="20"/>
      <c r="Q13" s="345"/>
      <c r="R13" s="1119"/>
      <c r="S13" s="375"/>
      <c r="T13" s="375"/>
      <c r="U13" s="375"/>
      <c r="V13" s="375"/>
      <c r="W13" s="375"/>
      <c r="X13" s="375"/>
      <c r="Y13" s="376"/>
      <c r="Z13" s="1121"/>
      <c r="AA13" s="376"/>
      <c r="AB13" s="1121"/>
      <c r="AC13" s="376"/>
      <c r="AD13" s="1122">
        <f t="shared" si="3"/>
        <v>0</v>
      </c>
      <c r="AE13" s="376"/>
      <c r="AF13" s="350"/>
      <c r="AG13" s="1166"/>
      <c r="AH13" s="375"/>
      <c r="AI13" s="375"/>
      <c r="AJ13" s="375"/>
      <c r="AK13" s="376"/>
      <c r="AL13" s="1167"/>
      <c r="AM13" s="375"/>
      <c r="AN13" s="376"/>
      <c r="AO13" s="1173"/>
      <c r="AP13" s="376"/>
      <c r="AQ13" s="1121"/>
      <c r="AR13" s="376"/>
      <c r="AS13" s="291"/>
      <c r="AT13" s="1158"/>
      <c r="AU13" s="122"/>
      <c r="AV13" s="122"/>
      <c r="AW13" s="122"/>
      <c r="AX13" s="122"/>
      <c r="AY13" s="122"/>
      <c r="AZ13" s="120"/>
      <c r="BA13" s="1159"/>
      <c r="BB13" s="120"/>
      <c r="BC13" s="1159"/>
      <c r="BD13" s="120"/>
      <c r="BE13" s="1122">
        <f t="shared" si="4"/>
        <v>0</v>
      </c>
      <c r="BF13" s="376"/>
      <c r="BG13" s="307"/>
      <c r="BH13" s="1140"/>
      <c r="BI13" s="375"/>
      <c r="BJ13" s="375"/>
      <c r="BK13" s="375"/>
      <c r="BL13" s="375"/>
      <c r="BM13" s="375"/>
      <c r="BN13" s="1141"/>
      <c r="BO13" s="1142"/>
      <c r="BP13" s="376"/>
      <c r="BQ13" s="1143"/>
      <c r="BR13" s="376"/>
      <c r="BS13" s="1122">
        <f t="shared" si="1"/>
        <v>0</v>
      </c>
      <c r="BT13" s="376"/>
      <c r="BU13" s="307"/>
      <c r="BV13" s="1106"/>
    </row>
    <row r="14" ht="18.75" customHeight="1">
      <c r="A14" s="294"/>
      <c r="B14" s="1086" t="s">
        <v>1440</v>
      </c>
      <c r="C14" s="687"/>
      <c r="D14" s="496"/>
      <c r="E14" s="496"/>
      <c r="F14" s="496"/>
      <c r="G14" s="496"/>
      <c r="H14" s="496"/>
      <c r="I14" s="496"/>
      <c r="J14" s="500"/>
      <c r="K14" s="1174"/>
      <c r="L14" s="500"/>
      <c r="M14" s="1175"/>
      <c r="N14" s="500"/>
      <c r="O14" s="1136">
        <f t="shared" si="2"/>
        <v>0</v>
      </c>
      <c r="P14" s="500"/>
      <c r="Q14" s="345"/>
      <c r="R14" s="1140"/>
      <c r="S14" s="375"/>
      <c r="T14" s="375"/>
      <c r="U14" s="375"/>
      <c r="V14" s="375"/>
      <c r="W14" s="375"/>
      <c r="X14" s="375"/>
      <c r="Y14" s="1141"/>
      <c r="Z14" s="1142"/>
      <c r="AA14" s="376"/>
      <c r="AB14" s="1143"/>
      <c r="AC14" s="376"/>
      <c r="AD14" s="1122">
        <f t="shared" si="3"/>
        <v>0</v>
      </c>
      <c r="AE14" s="376"/>
      <c r="AF14" s="350"/>
      <c r="AG14" s="1170"/>
      <c r="AH14" s="375"/>
      <c r="AI14" s="375"/>
      <c r="AJ14" s="375"/>
      <c r="AK14" s="376"/>
      <c r="AL14" s="1171"/>
      <c r="AM14" s="375"/>
      <c r="AN14" s="376"/>
      <c r="AO14" s="1176"/>
      <c r="AP14" s="376"/>
      <c r="AQ14" s="1176"/>
      <c r="AR14" s="376"/>
      <c r="AS14" s="291"/>
      <c r="AT14" s="1147"/>
      <c r="AU14" s="122"/>
      <c r="AV14" s="122"/>
      <c r="AW14" s="122"/>
      <c r="AX14" s="122"/>
      <c r="AY14" s="122"/>
      <c r="AZ14" s="1148"/>
      <c r="BA14" s="1149"/>
      <c r="BB14" s="120"/>
      <c r="BC14" s="1150"/>
      <c r="BD14" s="120"/>
      <c r="BE14" s="1122">
        <f t="shared" si="4"/>
        <v>0</v>
      </c>
      <c r="BF14" s="376"/>
      <c r="BG14" s="307"/>
      <c r="BH14" s="1119"/>
      <c r="BI14" s="375"/>
      <c r="BJ14" s="375"/>
      <c r="BK14" s="375"/>
      <c r="BL14" s="375"/>
      <c r="BM14" s="375"/>
      <c r="BN14" s="376"/>
      <c r="BO14" s="1121"/>
      <c r="BP14" s="376"/>
      <c r="BQ14" s="1121"/>
      <c r="BR14" s="376"/>
      <c r="BS14" s="1122">
        <f t="shared" si="1"/>
        <v>0</v>
      </c>
      <c r="BT14" s="376"/>
      <c r="BU14" s="307"/>
      <c r="BV14" s="1106"/>
    </row>
    <row r="15" ht="18.75" customHeight="1">
      <c r="A15" s="294"/>
      <c r="B15" s="1086" t="s">
        <v>1440</v>
      </c>
      <c r="C15" s="1177"/>
      <c r="D15" s="496"/>
      <c r="E15" s="496"/>
      <c r="F15" s="496"/>
      <c r="G15" s="496"/>
      <c r="H15" s="496"/>
      <c r="I15" s="496"/>
      <c r="J15" s="1133"/>
      <c r="K15" s="1134"/>
      <c r="L15" s="500"/>
      <c r="M15" s="1135"/>
      <c r="N15" s="500"/>
      <c r="O15" s="1136">
        <f t="shared" si="2"/>
        <v>0</v>
      </c>
      <c r="P15" s="500"/>
      <c r="Q15" s="345"/>
      <c r="R15" s="1119"/>
      <c r="S15" s="375"/>
      <c r="T15" s="375"/>
      <c r="U15" s="375"/>
      <c r="V15" s="375"/>
      <c r="W15" s="375"/>
      <c r="X15" s="375"/>
      <c r="Y15" s="376"/>
      <c r="Z15" s="1121"/>
      <c r="AA15" s="376"/>
      <c r="AB15" s="1121"/>
      <c r="AC15" s="376"/>
      <c r="AD15" s="1122">
        <f t="shared" si="3"/>
        <v>0</v>
      </c>
      <c r="AE15" s="376"/>
      <c r="AF15" s="350"/>
      <c r="AG15" s="1166"/>
      <c r="AH15" s="375"/>
      <c r="AI15" s="375"/>
      <c r="AJ15" s="375"/>
      <c r="AK15" s="376"/>
      <c r="AL15" s="1167"/>
      <c r="AM15" s="375"/>
      <c r="AN15" s="376"/>
      <c r="AO15" s="1173"/>
      <c r="AP15" s="376"/>
      <c r="AQ15" s="1121"/>
      <c r="AR15" s="376"/>
      <c r="AS15" s="291"/>
      <c r="AT15" s="1158"/>
      <c r="AU15" s="122"/>
      <c r="AV15" s="122"/>
      <c r="AW15" s="122"/>
      <c r="AX15" s="122"/>
      <c r="AY15" s="122"/>
      <c r="AZ15" s="120"/>
      <c r="BA15" s="1159"/>
      <c r="BB15" s="120"/>
      <c r="BC15" s="1159"/>
      <c r="BD15" s="120"/>
      <c r="BE15" s="1122">
        <f t="shared" si="4"/>
        <v>0</v>
      </c>
      <c r="BF15" s="376"/>
      <c r="BG15" s="307"/>
      <c r="BH15" s="1140"/>
      <c r="BI15" s="375"/>
      <c r="BJ15" s="375"/>
      <c r="BK15" s="375"/>
      <c r="BL15" s="375"/>
      <c r="BM15" s="375"/>
      <c r="BN15" s="1141"/>
      <c r="BO15" s="1142"/>
      <c r="BP15" s="376"/>
      <c r="BQ15" s="1143"/>
      <c r="BR15" s="376"/>
      <c r="BS15" s="1122">
        <f t="shared" si="1"/>
        <v>0</v>
      </c>
      <c r="BT15" s="376"/>
      <c r="BU15" s="307"/>
      <c r="BV15" s="1106"/>
    </row>
    <row r="16" ht="18.75" customHeight="1">
      <c r="A16" s="294"/>
      <c r="B16" s="1086" t="s">
        <v>1440</v>
      </c>
      <c r="C16" s="1119"/>
      <c r="D16" s="375"/>
      <c r="E16" s="375"/>
      <c r="F16" s="375"/>
      <c r="G16" s="375"/>
      <c r="H16" s="375"/>
      <c r="I16" s="375"/>
      <c r="J16" s="376"/>
      <c r="K16" s="1121"/>
      <c r="L16" s="376"/>
      <c r="M16" s="1121"/>
      <c r="N16" s="376"/>
      <c r="O16" s="1122">
        <f t="shared" si="2"/>
        <v>0</v>
      </c>
      <c r="P16" s="376"/>
      <c r="Q16" s="345"/>
      <c r="R16" s="1140"/>
      <c r="S16" s="375"/>
      <c r="T16" s="375"/>
      <c r="U16" s="375"/>
      <c r="V16" s="375"/>
      <c r="W16" s="375"/>
      <c r="X16" s="375"/>
      <c r="Y16" s="1141"/>
      <c r="Z16" s="1142"/>
      <c r="AA16" s="376"/>
      <c r="AB16" s="1143"/>
      <c r="AC16" s="376"/>
      <c r="AD16" s="1122">
        <f t="shared" si="3"/>
        <v>0</v>
      </c>
      <c r="AE16" s="376"/>
      <c r="AF16" s="350"/>
      <c r="AG16" s="1170"/>
      <c r="AH16" s="375"/>
      <c r="AI16" s="375"/>
      <c r="AJ16" s="375"/>
      <c r="AK16" s="376"/>
      <c r="AL16" s="1171"/>
      <c r="AM16" s="375"/>
      <c r="AN16" s="376"/>
      <c r="AO16" s="1143"/>
      <c r="AP16" s="376"/>
      <c r="AQ16" s="1143"/>
      <c r="AR16" s="376"/>
      <c r="AS16" s="291"/>
      <c r="AT16" s="1147"/>
      <c r="AU16" s="122"/>
      <c r="AV16" s="122"/>
      <c r="AW16" s="122"/>
      <c r="AX16" s="122"/>
      <c r="AY16" s="122"/>
      <c r="AZ16" s="1148"/>
      <c r="BA16" s="1149"/>
      <c r="BB16" s="120"/>
      <c r="BC16" s="1150"/>
      <c r="BD16" s="120"/>
      <c r="BE16" s="1122">
        <f t="shared" si="4"/>
        <v>0</v>
      </c>
      <c r="BF16" s="376"/>
      <c r="BG16" s="307"/>
      <c r="BH16" s="1119"/>
      <c r="BI16" s="375"/>
      <c r="BJ16" s="375"/>
      <c r="BK16" s="375"/>
      <c r="BL16" s="375"/>
      <c r="BM16" s="375"/>
      <c r="BN16" s="376"/>
      <c r="BO16" s="1121"/>
      <c r="BP16" s="376"/>
      <c r="BQ16" s="1121"/>
      <c r="BR16" s="376"/>
      <c r="BS16" s="1122">
        <f t="shared" si="1"/>
        <v>0</v>
      </c>
      <c r="BT16" s="376"/>
      <c r="BU16" s="307"/>
      <c r="BV16" s="1106"/>
    </row>
    <row r="17" ht="18.75" customHeight="1">
      <c r="A17" s="294"/>
      <c r="B17" s="1086" t="s">
        <v>1440</v>
      </c>
      <c r="C17" s="1177"/>
      <c r="D17" s="496"/>
      <c r="E17" s="496"/>
      <c r="F17" s="496"/>
      <c r="G17" s="496"/>
      <c r="H17" s="496"/>
      <c r="I17" s="496"/>
      <c r="J17" s="1133"/>
      <c r="K17" s="1134"/>
      <c r="L17" s="500"/>
      <c r="M17" s="1135"/>
      <c r="N17" s="500"/>
      <c r="O17" s="1136">
        <f t="shared" si="2"/>
        <v>0</v>
      </c>
      <c r="P17" s="500"/>
      <c r="Q17" s="345"/>
      <c r="R17" s="1119"/>
      <c r="S17" s="375"/>
      <c r="T17" s="375"/>
      <c r="U17" s="375"/>
      <c r="V17" s="375"/>
      <c r="W17" s="375"/>
      <c r="X17" s="375"/>
      <c r="Y17" s="376"/>
      <c r="Z17" s="1121"/>
      <c r="AA17" s="376"/>
      <c r="AB17" s="1121"/>
      <c r="AC17" s="376"/>
      <c r="AD17" s="1122">
        <f t="shared" si="3"/>
        <v>0</v>
      </c>
      <c r="AE17" s="376"/>
      <c r="AF17" s="350"/>
      <c r="AG17" s="1166"/>
      <c r="AH17" s="375"/>
      <c r="AI17" s="375"/>
      <c r="AJ17" s="375"/>
      <c r="AK17" s="376"/>
      <c r="AL17" s="1167"/>
      <c r="AM17" s="375"/>
      <c r="AN17" s="376"/>
      <c r="AO17" s="1173"/>
      <c r="AP17" s="376"/>
      <c r="AQ17" s="1121"/>
      <c r="AR17" s="376"/>
      <c r="AS17" s="291"/>
      <c r="AT17" s="1158"/>
      <c r="AU17" s="122"/>
      <c r="AV17" s="122"/>
      <c r="AW17" s="122"/>
      <c r="AX17" s="122"/>
      <c r="AY17" s="122"/>
      <c r="AZ17" s="120"/>
      <c r="BA17" s="1159"/>
      <c r="BB17" s="120"/>
      <c r="BC17" s="1159"/>
      <c r="BD17" s="120"/>
      <c r="BE17" s="1122">
        <f t="shared" si="4"/>
        <v>0</v>
      </c>
      <c r="BF17" s="376"/>
      <c r="BG17" s="307"/>
      <c r="BH17" s="1140"/>
      <c r="BI17" s="375"/>
      <c r="BJ17" s="375"/>
      <c r="BK17" s="375"/>
      <c r="BL17" s="375"/>
      <c r="BM17" s="375"/>
      <c r="BN17" s="1141"/>
      <c r="BO17" s="1142"/>
      <c r="BP17" s="376"/>
      <c r="BQ17" s="1143"/>
      <c r="BR17" s="376"/>
      <c r="BS17" s="1122">
        <f t="shared" si="1"/>
        <v>0</v>
      </c>
      <c r="BT17" s="376"/>
      <c r="BU17" s="307"/>
      <c r="BV17" s="1106"/>
    </row>
    <row r="18" ht="18.75" customHeight="1">
      <c r="A18" s="294"/>
      <c r="B18" s="1086" t="s">
        <v>1440</v>
      </c>
      <c r="C18" s="1119"/>
      <c r="D18" s="375"/>
      <c r="E18" s="375"/>
      <c r="F18" s="375"/>
      <c r="G18" s="375"/>
      <c r="H18" s="375"/>
      <c r="I18" s="375"/>
      <c r="J18" s="376"/>
      <c r="K18" s="1121"/>
      <c r="L18" s="376"/>
      <c r="M18" s="1121"/>
      <c r="N18" s="376"/>
      <c r="O18" s="1122">
        <f t="shared" si="2"/>
        <v>0</v>
      </c>
      <c r="P18" s="376"/>
      <c r="Q18" s="345"/>
      <c r="R18" s="1140"/>
      <c r="S18" s="375"/>
      <c r="T18" s="375"/>
      <c r="U18" s="375"/>
      <c r="V18" s="375"/>
      <c r="W18" s="375"/>
      <c r="X18" s="375"/>
      <c r="Y18" s="1141"/>
      <c r="Z18" s="1142"/>
      <c r="AA18" s="376"/>
      <c r="AB18" s="1143"/>
      <c r="AC18" s="376"/>
      <c r="AD18" s="1122">
        <f t="shared" si="3"/>
        <v>0</v>
      </c>
      <c r="AE18" s="376"/>
      <c r="AF18" s="350"/>
      <c r="AG18" s="1170"/>
      <c r="AH18" s="375"/>
      <c r="AI18" s="375"/>
      <c r="AJ18" s="375"/>
      <c r="AK18" s="376"/>
      <c r="AL18" s="1171"/>
      <c r="AM18" s="375"/>
      <c r="AN18" s="376"/>
      <c r="AO18" s="1143"/>
      <c r="AP18" s="376"/>
      <c r="AQ18" s="1143"/>
      <c r="AR18" s="376"/>
      <c r="AS18" s="291"/>
      <c r="AT18" s="1147"/>
      <c r="AU18" s="122"/>
      <c r="AV18" s="122"/>
      <c r="AW18" s="122"/>
      <c r="AX18" s="122"/>
      <c r="AY18" s="122"/>
      <c r="AZ18" s="1148"/>
      <c r="BA18" s="1149"/>
      <c r="BB18" s="120"/>
      <c r="BC18" s="1150"/>
      <c r="BD18" s="120"/>
      <c r="BE18" s="1122">
        <f t="shared" si="4"/>
        <v>0</v>
      </c>
      <c r="BF18" s="376"/>
      <c r="BG18" s="307"/>
      <c r="BH18" s="1119"/>
      <c r="BI18" s="375"/>
      <c r="BJ18" s="375"/>
      <c r="BK18" s="375"/>
      <c r="BL18" s="375"/>
      <c r="BM18" s="375"/>
      <c r="BN18" s="376"/>
      <c r="BO18" s="1121"/>
      <c r="BP18" s="376"/>
      <c r="BQ18" s="1121"/>
      <c r="BR18" s="376"/>
      <c r="BS18" s="1122">
        <f t="shared" si="1"/>
        <v>0</v>
      </c>
      <c r="BT18" s="376"/>
      <c r="BU18" s="307"/>
      <c r="BV18" s="1106"/>
    </row>
    <row r="19" ht="18.75" customHeight="1">
      <c r="A19" s="294"/>
      <c r="B19" s="1086" t="s">
        <v>1440</v>
      </c>
      <c r="C19" s="1140"/>
      <c r="D19" s="375"/>
      <c r="E19" s="375"/>
      <c r="F19" s="375"/>
      <c r="G19" s="375"/>
      <c r="H19" s="375"/>
      <c r="I19" s="375"/>
      <c r="J19" s="1141"/>
      <c r="K19" s="1142"/>
      <c r="L19" s="376"/>
      <c r="M19" s="1143"/>
      <c r="N19" s="376"/>
      <c r="O19" s="1122">
        <f t="shared" si="2"/>
        <v>0</v>
      </c>
      <c r="P19" s="376"/>
      <c r="Q19" s="345"/>
      <c r="R19" s="1119"/>
      <c r="S19" s="375"/>
      <c r="T19" s="375"/>
      <c r="U19" s="375"/>
      <c r="V19" s="375"/>
      <c r="W19" s="375"/>
      <c r="X19" s="375"/>
      <c r="Y19" s="376"/>
      <c r="Z19" s="1121"/>
      <c r="AA19" s="376"/>
      <c r="AB19" s="1121"/>
      <c r="AC19" s="376"/>
      <c r="AD19" s="1122">
        <f t="shared" si="3"/>
        <v>0</v>
      </c>
      <c r="AE19" s="376"/>
      <c r="AF19" s="350"/>
      <c r="AG19" s="1166"/>
      <c r="AH19" s="375"/>
      <c r="AI19" s="375"/>
      <c r="AJ19" s="375"/>
      <c r="AK19" s="376"/>
      <c r="AL19" s="1167"/>
      <c r="AM19" s="375"/>
      <c r="AN19" s="376"/>
      <c r="AO19" s="1173"/>
      <c r="AP19" s="376"/>
      <c r="AQ19" s="1121"/>
      <c r="AR19" s="376"/>
      <c r="AS19" s="291"/>
      <c r="AT19" s="1158"/>
      <c r="AU19" s="122"/>
      <c r="AV19" s="122"/>
      <c r="AW19" s="122"/>
      <c r="AX19" s="122"/>
      <c r="AY19" s="122"/>
      <c r="AZ19" s="120"/>
      <c r="BA19" s="1159"/>
      <c r="BB19" s="120"/>
      <c r="BC19" s="1159"/>
      <c r="BD19" s="120"/>
      <c r="BE19" s="1122">
        <f t="shared" si="4"/>
        <v>0</v>
      </c>
      <c r="BF19" s="376"/>
      <c r="BG19" s="307"/>
      <c r="BH19" s="1140"/>
      <c r="BI19" s="375"/>
      <c r="BJ19" s="375"/>
      <c r="BK19" s="375"/>
      <c r="BL19" s="375"/>
      <c r="BM19" s="375"/>
      <c r="BN19" s="1141"/>
      <c r="BO19" s="1142"/>
      <c r="BP19" s="376"/>
      <c r="BQ19" s="1143"/>
      <c r="BR19" s="376"/>
      <c r="BS19" s="1122">
        <f t="shared" si="1"/>
        <v>0</v>
      </c>
      <c r="BT19" s="376"/>
      <c r="BU19" s="307"/>
      <c r="BV19" s="1106"/>
    </row>
    <row r="20" ht="18.75" customHeight="1">
      <c r="A20" s="294"/>
      <c r="B20" s="1086" t="s">
        <v>1440</v>
      </c>
      <c r="C20" s="1119"/>
      <c r="D20" s="375"/>
      <c r="E20" s="375"/>
      <c r="F20" s="375"/>
      <c r="G20" s="375"/>
      <c r="H20" s="375"/>
      <c r="I20" s="375"/>
      <c r="J20" s="376"/>
      <c r="K20" s="1121"/>
      <c r="L20" s="376"/>
      <c r="M20" s="1121"/>
      <c r="N20" s="376"/>
      <c r="O20" s="1178">
        <f t="shared" si="2"/>
        <v>0</v>
      </c>
      <c r="P20" s="403"/>
      <c r="Q20" s="345"/>
      <c r="R20" s="1140"/>
      <c r="S20" s="375"/>
      <c r="T20" s="375"/>
      <c r="U20" s="375"/>
      <c r="V20" s="375"/>
      <c r="W20" s="375"/>
      <c r="X20" s="375"/>
      <c r="Y20" s="1141"/>
      <c r="Z20" s="1142"/>
      <c r="AA20" s="376"/>
      <c r="AB20" s="1143"/>
      <c r="AC20" s="376"/>
      <c r="AD20" s="1122">
        <f t="shared" si="3"/>
        <v>0</v>
      </c>
      <c r="AE20" s="376"/>
      <c r="AF20" s="350"/>
      <c r="AG20" s="1170"/>
      <c r="AH20" s="375"/>
      <c r="AI20" s="375"/>
      <c r="AJ20" s="375"/>
      <c r="AK20" s="376"/>
      <c r="AL20" s="1171"/>
      <c r="AM20" s="375"/>
      <c r="AN20" s="376"/>
      <c r="AO20" s="1176"/>
      <c r="AP20" s="376"/>
      <c r="AQ20" s="1176"/>
      <c r="AR20" s="376"/>
      <c r="AS20" s="291"/>
      <c r="AT20" s="1147"/>
      <c r="AU20" s="122"/>
      <c r="AV20" s="122"/>
      <c r="AW20" s="122"/>
      <c r="AX20" s="122"/>
      <c r="AY20" s="122"/>
      <c r="AZ20" s="1148"/>
      <c r="BA20" s="1149"/>
      <c r="BB20" s="120"/>
      <c r="BC20" s="1150"/>
      <c r="BD20" s="120"/>
      <c r="BE20" s="1122">
        <f t="shared" si="4"/>
        <v>0</v>
      </c>
      <c r="BF20" s="376"/>
      <c r="BG20" s="307"/>
      <c r="BH20" s="1119"/>
      <c r="BI20" s="375"/>
      <c r="BJ20" s="375"/>
      <c r="BK20" s="375"/>
      <c r="BL20" s="375"/>
      <c r="BM20" s="375"/>
      <c r="BN20" s="376"/>
      <c r="BO20" s="1121"/>
      <c r="BP20" s="376"/>
      <c r="BQ20" s="1121"/>
      <c r="BR20" s="376"/>
      <c r="BS20" s="1178">
        <f t="shared" si="1"/>
        <v>0</v>
      </c>
      <c r="BT20" s="403"/>
      <c r="BU20" s="307"/>
      <c r="BV20" s="1106"/>
    </row>
    <row r="21" ht="18.75" customHeight="1">
      <c r="A21" s="294"/>
      <c r="B21" s="1086" t="s">
        <v>1440</v>
      </c>
      <c r="C21" s="1140"/>
      <c r="D21" s="375"/>
      <c r="E21" s="375"/>
      <c r="F21" s="375"/>
      <c r="G21" s="375"/>
      <c r="H21" s="375"/>
      <c r="I21" s="375"/>
      <c r="J21" s="1141"/>
      <c r="K21" s="1142"/>
      <c r="L21" s="376"/>
      <c r="M21" s="1143"/>
      <c r="N21" s="376"/>
      <c r="O21" s="1178">
        <f t="shared" si="2"/>
        <v>0</v>
      </c>
      <c r="P21" s="403"/>
      <c r="Q21" s="345"/>
      <c r="R21" s="1119"/>
      <c r="S21" s="375"/>
      <c r="T21" s="375"/>
      <c r="U21" s="375"/>
      <c r="V21" s="375"/>
      <c r="W21" s="375"/>
      <c r="X21" s="375"/>
      <c r="Y21" s="376"/>
      <c r="Z21" s="1121"/>
      <c r="AA21" s="376"/>
      <c r="AB21" s="1121"/>
      <c r="AC21" s="376"/>
      <c r="AD21" s="1122">
        <f t="shared" si="3"/>
        <v>0</v>
      </c>
      <c r="AE21" s="376"/>
      <c r="AF21" s="350"/>
      <c r="AG21" s="1166"/>
      <c r="AH21" s="375"/>
      <c r="AI21" s="375"/>
      <c r="AJ21" s="375"/>
      <c r="AK21" s="376"/>
      <c r="AL21" s="1167"/>
      <c r="AM21" s="375"/>
      <c r="AN21" s="376"/>
      <c r="AO21" s="1173"/>
      <c r="AP21" s="376"/>
      <c r="AQ21" s="1121"/>
      <c r="AR21" s="376"/>
      <c r="AS21" s="291"/>
      <c r="AT21" s="1158"/>
      <c r="AU21" s="122"/>
      <c r="AV21" s="122"/>
      <c r="AW21" s="122"/>
      <c r="AX21" s="122"/>
      <c r="AY21" s="122"/>
      <c r="AZ21" s="120"/>
      <c r="BA21" s="1159"/>
      <c r="BB21" s="120"/>
      <c r="BC21" s="1159"/>
      <c r="BD21" s="120"/>
      <c r="BE21" s="1122">
        <f t="shared" si="4"/>
        <v>0</v>
      </c>
      <c r="BF21" s="376"/>
      <c r="BG21" s="307"/>
      <c r="BH21" s="1140"/>
      <c r="BI21" s="375"/>
      <c r="BJ21" s="375"/>
      <c r="BK21" s="375"/>
      <c r="BL21" s="375"/>
      <c r="BM21" s="375"/>
      <c r="BN21" s="1141"/>
      <c r="BO21" s="1142"/>
      <c r="BP21" s="376"/>
      <c r="BQ21" s="1143"/>
      <c r="BR21" s="376"/>
      <c r="BS21" s="1122">
        <f t="shared" si="1"/>
        <v>0</v>
      </c>
      <c r="BT21" s="376"/>
      <c r="BU21" s="307"/>
      <c r="BV21" s="1106"/>
    </row>
    <row r="22" ht="18.75" customHeight="1">
      <c r="A22" s="294"/>
      <c r="B22" s="1086" t="s">
        <v>1440</v>
      </c>
      <c r="C22" s="469" t="s">
        <v>1459</v>
      </c>
      <c r="D22" s="19"/>
      <c r="E22" s="19"/>
      <c r="F22" s="19"/>
      <c r="G22" s="19"/>
      <c r="H22" s="19"/>
      <c r="I22" s="19"/>
      <c r="J22" s="1088"/>
      <c r="K22" s="1095" t="b">
        <v>0</v>
      </c>
      <c r="L22" s="20"/>
      <c r="M22" s="1179">
        <v>0.5</v>
      </c>
      <c r="N22" s="20"/>
      <c r="O22" s="1097">
        <f t="shared" si="2"/>
        <v>0</v>
      </c>
      <c r="P22" s="20"/>
      <c r="Q22" s="345"/>
      <c r="R22" s="1140"/>
      <c r="S22" s="375"/>
      <c r="T22" s="375"/>
      <c r="U22" s="375"/>
      <c r="V22" s="375"/>
      <c r="W22" s="375"/>
      <c r="X22" s="375"/>
      <c r="Y22" s="1141"/>
      <c r="Z22" s="1142"/>
      <c r="AA22" s="376"/>
      <c r="AB22" s="1143"/>
      <c r="AC22" s="376"/>
      <c r="AD22" s="1122">
        <f t="shared" si="3"/>
        <v>0</v>
      </c>
      <c r="AE22" s="376"/>
      <c r="AF22" s="350"/>
      <c r="AG22" s="1170"/>
      <c r="AH22" s="375"/>
      <c r="AI22" s="375"/>
      <c r="AJ22" s="375"/>
      <c r="AK22" s="376"/>
      <c r="AL22" s="1171"/>
      <c r="AM22" s="375"/>
      <c r="AN22" s="376"/>
      <c r="AO22" s="1176"/>
      <c r="AP22" s="376"/>
      <c r="AQ22" s="1176"/>
      <c r="AR22" s="376"/>
      <c r="AS22" s="291"/>
      <c r="AT22" s="1147"/>
      <c r="AU22" s="122"/>
      <c r="AV22" s="122"/>
      <c r="AW22" s="122"/>
      <c r="AX22" s="122"/>
      <c r="AY22" s="122"/>
      <c r="AZ22" s="1148"/>
      <c r="BA22" s="1149"/>
      <c r="BB22" s="120"/>
      <c r="BC22" s="1150"/>
      <c r="BD22" s="120"/>
      <c r="BE22" s="1122">
        <f t="shared" si="4"/>
        <v>0</v>
      </c>
      <c r="BF22" s="376"/>
      <c r="BG22" s="307"/>
      <c r="BH22" s="1119"/>
      <c r="BI22" s="375"/>
      <c r="BJ22" s="375"/>
      <c r="BK22" s="375"/>
      <c r="BL22" s="375"/>
      <c r="BM22" s="375"/>
      <c r="BN22" s="376"/>
      <c r="BO22" s="1121"/>
      <c r="BP22" s="376"/>
      <c r="BQ22" s="1121"/>
      <c r="BR22" s="376"/>
      <c r="BS22" s="1178">
        <f t="shared" si="1"/>
        <v>0</v>
      </c>
      <c r="BT22" s="403"/>
      <c r="BU22" s="307"/>
      <c r="BV22" s="1106"/>
    </row>
    <row r="23" ht="18.75" customHeight="1">
      <c r="A23" s="294"/>
      <c r="B23" s="1086" t="s">
        <v>1440</v>
      </c>
      <c r="C23" s="1119"/>
      <c r="D23" s="375"/>
      <c r="E23" s="375"/>
      <c r="F23" s="375"/>
      <c r="G23" s="375"/>
      <c r="H23" s="375"/>
      <c r="I23" s="375"/>
      <c r="J23" s="376"/>
      <c r="K23" s="1180"/>
      <c r="L23" s="376"/>
      <c r="M23" s="1181"/>
      <c r="N23" s="376"/>
      <c r="O23" s="1136">
        <f t="shared" si="2"/>
        <v>0</v>
      </c>
      <c r="P23" s="500"/>
      <c r="Q23" s="345"/>
      <c r="R23" s="1119"/>
      <c r="S23" s="375"/>
      <c r="T23" s="375"/>
      <c r="U23" s="375"/>
      <c r="V23" s="375"/>
      <c r="W23" s="375"/>
      <c r="X23" s="375"/>
      <c r="Y23" s="376"/>
      <c r="Z23" s="1121"/>
      <c r="AA23" s="376"/>
      <c r="AB23" s="1121"/>
      <c r="AC23" s="376"/>
      <c r="AD23" s="1122">
        <f t="shared" si="3"/>
        <v>0</v>
      </c>
      <c r="AE23" s="376"/>
      <c r="AF23" s="350"/>
      <c r="AG23" s="1166"/>
      <c r="AH23" s="375"/>
      <c r="AI23" s="375"/>
      <c r="AJ23" s="375"/>
      <c r="AK23" s="376"/>
      <c r="AL23" s="1167"/>
      <c r="AM23" s="375"/>
      <c r="AN23" s="376"/>
      <c r="AO23" s="1173"/>
      <c r="AP23" s="376"/>
      <c r="AQ23" s="1121"/>
      <c r="AR23" s="376"/>
      <c r="AS23" s="291"/>
      <c r="AT23" s="1158"/>
      <c r="AU23" s="122"/>
      <c r="AV23" s="122"/>
      <c r="AW23" s="122"/>
      <c r="AX23" s="122"/>
      <c r="AY23" s="122"/>
      <c r="AZ23" s="120"/>
      <c r="BA23" s="1159"/>
      <c r="BB23" s="120"/>
      <c r="BC23" s="1159"/>
      <c r="BD23" s="120"/>
      <c r="BE23" s="1122">
        <f t="shared" si="4"/>
        <v>0</v>
      </c>
      <c r="BF23" s="376"/>
      <c r="BG23" s="307"/>
      <c r="BH23" s="1140"/>
      <c r="BI23" s="375"/>
      <c r="BJ23" s="375"/>
      <c r="BK23" s="375"/>
      <c r="BL23" s="375"/>
      <c r="BM23" s="375"/>
      <c r="BN23" s="1141"/>
      <c r="BO23" s="1142"/>
      <c r="BP23" s="376"/>
      <c r="BQ23" s="1143"/>
      <c r="BR23" s="376"/>
      <c r="BS23" s="1122">
        <f t="shared" si="1"/>
        <v>0</v>
      </c>
      <c r="BT23" s="376"/>
      <c r="BU23" s="307"/>
      <c r="BV23" s="1106"/>
    </row>
    <row r="24" ht="18.75" customHeight="1">
      <c r="A24" s="294"/>
      <c r="B24" s="1086" t="s">
        <v>1440</v>
      </c>
      <c r="C24" s="1182"/>
      <c r="D24" s="496"/>
      <c r="E24" s="496"/>
      <c r="F24" s="496"/>
      <c r="G24" s="496"/>
      <c r="H24" s="496"/>
      <c r="I24" s="496"/>
      <c r="J24" s="1133"/>
      <c r="K24" s="1134"/>
      <c r="L24" s="500"/>
      <c r="M24" s="1135"/>
      <c r="N24" s="500"/>
      <c r="O24" s="1136">
        <f t="shared" si="2"/>
        <v>0</v>
      </c>
      <c r="P24" s="500"/>
      <c r="Q24" s="345"/>
      <c r="R24" s="1140"/>
      <c r="S24" s="375"/>
      <c r="T24" s="375"/>
      <c r="U24" s="375"/>
      <c r="V24" s="375"/>
      <c r="W24" s="375"/>
      <c r="X24" s="375"/>
      <c r="Y24" s="1141"/>
      <c r="Z24" s="1142"/>
      <c r="AA24" s="376"/>
      <c r="AB24" s="1143"/>
      <c r="AC24" s="376"/>
      <c r="AD24" s="1122">
        <f t="shared" si="3"/>
        <v>0</v>
      </c>
      <c r="AE24" s="376"/>
      <c r="AF24" s="350"/>
      <c r="AG24" s="1170"/>
      <c r="AH24" s="375"/>
      <c r="AI24" s="375"/>
      <c r="AJ24" s="375"/>
      <c r="AK24" s="376"/>
      <c r="AL24" s="1171"/>
      <c r="AM24" s="375"/>
      <c r="AN24" s="376"/>
      <c r="AO24" s="1176"/>
      <c r="AP24" s="376"/>
      <c r="AQ24" s="1176"/>
      <c r="AR24" s="376"/>
      <c r="AS24" s="291"/>
      <c r="AT24" s="1147"/>
      <c r="AU24" s="122"/>
      <c r="AV24" s="122"/>
      <c r="AW24" s="122"/>
      <c r="AX24" s="122"/>
      <c r="AY24" s="122"/>
      <c r="AZ24" s="1148"/>
      <c r="BA24" s="1149"/>
      <c r="BB24" s="120"/>
      <c r="BC24" s="1150"/>
      <c r="BD24" s="120"/>
      <c r="BE24" s="1122">
        <f t="shared" si="4"/>
        <v>0</v>
      </c>
      <c r="BF24" s="376"/>
      <c r="BG24" s="307"/>
      <c r="BH24" s="1119"/>
      <c r="BI24" s="375"/>
      <c r="BJ24" s="375"/>
      <c r="BK24" s="375"/>
      <c r="BL24" s="375"/>
      <c r="BM24" s="375"/>
      <c r="BN24" s="376"/>
      <c r="BO24" s="1121"/>
      <c r="BP24" s="376"/>
      <c r="BQ24" s="1121"/>
      <c r="BR24" s="376"/>
      <c r="BS24" s="1178">
        <f t="shared" si="1"/>
        <v>0</v>
      </c>
      <c r="BT24" s="403"/>
      <c r="BU24" s="307"/>
      <c r="BV24" s="1106"/>
    </row>
    <row r="25" ht="18.75" customHeight="1">
      <c r="A25" s="294"/>
      <c r="B25" s="1086" t="s">
        <v>1440</v>
      </c>
      <c r="C25" s="1119"/>
      <c r="D25" s="375"/>
      <c r="E25" s="375"/>
      <c r="F25" s="375"/>
      <c r="G25" s="375"/>
      <c r="H25" s="375"/>
      <c r="I25" s="375"/>
      <c r="J25" s="376"/>
      <c r="K25" s="1180"/>
      <c r="L25" s="376"/>
      <c r="M25" s="1181"/>
      <c r="N25" s="376"/>
      <c r="O25" s="1122">
        <f t="shared" si="2"/>
        <v>0</v>
      </c>
      <c r="P25" s="376"/>
      <c r="Q25" s="345"/>
      <c r="R25" s="1119"/>
      <c r="S25" s="375"/>
      <c r="T25" s="375"/>
      <c r="U25" s="375"/>
      <c r="V25" s="375"/>
      <c r="W25" s="375"/>
      <c r="X25" s="375"/>
      <c r="Y25" s="376"/>
      <c r="Z25" s="1121"/>
      <c r="AA25" s="376"/>
      <c r="AB25" s="1121"/>
      <c r="AC25" s="376"/>
      <c r="AD25" s="1122">
        <f t="shared" si="3"/>
        <v>0</v>
      </c>
      <c r="AE25" s="376"/>
      <c r="AF25" s="350"/>
      <c r="AG25" s="1166"/>
      <c r="AH25" s="375"/>
      <c r="AI25" s="375"/>
      <c r="AJ25" s="375"/>
      <c r="AK25" s="376"/>
      <c r="AL25" s="1167"/>
      <c r="AM25" s="375"/>
      <c r="AN25" s="376"/>
      <c r="AO25" s="1173"/>
      <c r="AP25" s="376"/>
      <c r="AQ25" s="1121"/>
      <c r="AR25" s="376"/>
      <c r="AS25" s="291"/>
      <c r="AT25" s="1158"/>
      <c r="AU25" s="122"/>
      <c r="AV25" s="122"/>
      <c r="AW25" s="122"/>
      <c r="AX25" s="122"/>
      <c r="AY25" s="122"/>
      <c r="AZ25" s="120"/>
      <c r="BA25" s="1159"/>
      <c r="BB25" s="120"/>
      <c r="BC25" s="1159"/>
      <c r="BD25" s="120"/>
      <c r="BE25" s="1122">
        <f t="shared" si="4"/>
        <v>0</v>
      </c>
      <c r="BF25" s="376"/>
      <c r="BG25" s="307"/>
      <c r="BH25" s="1140"/>
      <c r="BI25" s="375"/>
      <c r="BJ25" s="375"/>
      <c r="BK25" s="375"/>
      <c r="BL25" s="375"/>
      <c r="BM25" s="375"/>
      <c r="BN25" s="1141"/>
      <c r="BO25" s="1142"/>
      <c r="BP25" s="376"/>
      <c r="BQ25" s="1143"/>
      <c r="BR25" s="376"/>
      <c r="BS25" s="1122">
        <f t="shared" si="1"/>
        <v>0</v>
      </c>
      <c r="BT25" s="376"/>
      <c r="BU25" s="307"/>
      <c r="BV25" s="1106"/>
    </row>
    <row r="26" ht="18.75" customHeight="1">
      <c r="A26" s="294"/>
      <c r="B26" s="1086" t="s">
        <v>1440</v>
      </c>
      <c r="C26" s="1182"/>
      <c r="D26" s="496"/>
      <c r="E26" s="496"/>
      <c r="F26" s="496"/>
      <c r="G26" s="496"/>
      <c r="H26" s="496"/>
      <c r="I26" s="496"/>
      <c r="J26" s="1133"/>
      <c r="K26" s="1134"/>
      <c r="L26" s="500"/>
      <c r="M26" s="1135"/>
      <c r="N26" s="500"/>
      <c r="O26" s="1178">
        <f t="shared" si="2"/>
        <v>0</v>
      </c>
      <c r="P26" s="403"/>
      <c r="Q26" s="345"/>
      <c r="R26" s="1140"/>
      <c r="S26" s="375"/>
      <c r="T26" s="375"/>
      <c r="U26" s="375"/>
      <c r="V26" s="375"/>
      <c r="W26" s="375"/>
      <c r="X26" s="375"/>
      <c r="Y26" s="1141"/>
      <c r="Z26" s="1142"/>
      <c r="AA26" s="376"/>
      <c r="AB26" s="1143"/>
      <c r="AC26" s="376"/>
      <c r="AD26" s="1122">
        <f t="shared" si="3"/>
        <v>0</v>
      </c>
      <c r="AE26" s="376"/>
      <c r="AF26" s="350"/>
      <c r="AG26" s="1170"/>
      <c r="AH26" s="375"/>
      <c r="AI26" s="375"/>
      <c r="AJ26" s="375"/>
      <c r="AK26" s="376"/>
      <c r="AL26" s="1171"/>
      <c r="AM26" s="375"/>
      <c r="AN26" s="376"/>
      <c r="AO26" s="1176"/>
      <c r="AP26" s="376"/>
      <c r="AQ26" s="1176"/>
      <c r="AR26" s="376"/>
      <c r="AS26" s="291"/>
      <c r="AT26" s="1147"/>
      <c r="AU26" s="122"/>
      <c r="AV26" s="122"/>
      <c r="AW26" s="122"/>
      <c r="AX26" s="122"/>
      <c r="AY26" s="122"/>
      <c r="AZ26" s="1148"/>
      <c r="BA26" s="1149"/>
      <c r="BB26" s="120"/>
      <c r="BC26" s="1150"/>
      <c r="BD26" s="120"/>
      <c r="BE26" s="1122">
        <f t="shared" si="4"/>
        <v>0</v>
      </c>
      <c r="BF26" s="376"/>
      <c r="BG26" s="307"/>
      <c r="BH26" s="1119"/>
      <c r="BI26" s="375"/>
      <c r="BJ26" s="375"/>
      <c r="BK26" s="375"/>
      <c r="BL26" s="375"/>
      <c r="BM26" s="375"/>
      <c r="BN26" s="376"/>
      <c r="BO26" s="1121"/>
      <c r="BP26" s="376"/>
      <c r="BQ26" s="1121"/>
      <c r="BR26" s="376"/>
      <c r="BS26" s="1178">
        <f t="shared" si="1"/>
        <v>0</v>
      </c>
      <c r="BT26" s="403"/>
      <c r="BU26" s="307"/>
      <c r="BV26" s="1106"/>
    </row>
    <row r="27" ht="18.75" customHeight="1">
      <c r="A27" s="294"/>
      <c r="B27" s="1086" t="s">
        <v>1440</v>
      </c>
      <c r="C27" s="1119"/>
      <c r="D27" s="375"/>
      <c r="E27" s="375"/>
      <c r="F27" s="375"/>
      <c r="G27" s="375"/>
      <c r="H27" s="375"/>
      <c r="I27" s="375"/>
      <c r="J27" s="376"/>
      <c r="K27" s="1180"/>
      <c r="L27" s="376"/>
      <c r="M27" s="1181"/>
      <c r="N27" s="376"/>
      <c r="O27" s="1178">
        <f t="shared" si="2"/>
        <v>0</v>
      </c>
      <c r="P27" s="403"/>
      <c r="Q27" s="345"/>
      <c r="R27" s="1119"/>
      <c r="S27" s="375"/>
      <c r="T27" s="375"/>
      <c r="U27" s="375"/>
      <c r="V27" s="375"/>
      <c r="W27" s="375"/>
      <c r="X27" s="375"/>
      <c r="Y27" s="376"/>
      <c r="Z27" s="1121"/>
      <c r="AA27" s="376"/>
      <c r="AB27" s="1121"/>
      <c r="AC27" s="376"/>
      <c r="AD27" s="1122">
        <f t="shared" si="3"/>
        <v>0</v>
      </c>
      <c r="AE27" s="376"/>
      <c r="AF27" s="350"/>
      <c r="AG27" s="1166"/>
      <c r="AH27" s="375"/>
      <c r="AI27" s="375"/>
      <c r="AJ27" s="375"/>
      <c r="AK27" s="376"/>
      <c r="AL27" s="1167"/>
      <c r="AM27" s="375"/>
      <c r="AN27" s="376"/>
      <c r="AO27" s="1173"/>
      <c r="AP27" s="376"/>
      <c r="AQ27" s="1121"/>
      <c r="AR27" s="376"/>
      <c r="AS27" s="291"/>
      <c r="AT27" s="1158"/>
      <c r="AU27" s="122"/>
      <c r="AV27" s="122"/>
      <c r="AW27" s="122"/>
      <c r="AX27" s="122"/>
      <c r="AY27" s="122"/>
      <c r="AZ27" s="120"/>
      <c r="BA27" s="1159"/>
      <c r="BB27" s="120"/>
      <c r="BC27" s="1159"/>
      <c r="BD27" s="120"/>
      <c r="BE27" s="1122">
        <f t="shared" si="4"/>
        <v>0</v>
      </c>
      <c r="BF27" s="376"/>
      <c r="BG27" s="307"/>
      <c r="BH27" s="1140"/>
      <c r="BI27" s="375"/>
      <c r="BJ27" s="375"/>
      <c r="BK27" s="375"/>
      <c r="BL27" s="375"/>
      <c r="BM27" s="375"/>
      <c r="BN27" s="1141"/>
      <c r="BO27" s="1142"/>
      <c r="BP27" s="376"/>
      <c r="BQ27" s="1143"/>
      <c r="BR27" s="376"/>
      <c r="BS27" s="1122">
        <f t="shared" si="1"/>
        <v>0</v>
      </c>
      <c r="BT27" s="376"/>
      <c r="BU27" s="307"/>
      <c r="BV27" s="1106"/>
    </row>
    <row r="28" ht="18.75" customHeight="1">
      <c r="A28" s="294"/>
      <c r="B28" s="1086" t="s">
        <v>1440</v>
      </c>
      <c r="C28" s="1182"/>
      <c r="D28" s="496"/>
      <c r="E28" s="496"/>
      <c r="F28" s="496"/>
      <c r="G28" s="496"/>
      <c r="H28" s="496"/>
      <c r="I28" s="496"/>
      <c r="J28" s="1133"/>
      <c r="K28" s="1134"/>
      <c r="L28" s="500"/>
      <c r="M28" s="1135"/>
      <c r="N28" s="500"/>
      <c r="O28" s="1122">
        <f t="shared" si="2"/>
        <v>0</v>
      </c>
      <c r="P28" s="376"/>
      <c r="Q28" s="345"/>
      <c r="R28" s="1140"/>
      <c r="S28" s="375"/>
      <c r="T28" s="375"/>
      <c r="U28" s="375"/>
      <c r="V28" s="375"/>
      <c r="W28" s="375"/>
      <c r="X28" s="375"/>
      <c r="Y28" s="1141"/>
      <c r="Z28" s="1183"/>
      <c r="AA28" s="403"/>
      <c r="AB28" s="1184"/>
      <c r="AC28" s="403"/>
      <c r="AD28" s="1178">
        <f t="shared" si="3"/>
        <v>0</v>
      </c>
      <c r="AE28" s="403"/>
      <c r="AF28" s="350"/>
      <c r="AG28" s="1170"/>
      <c r="AH28" s="375"/>
      <c r="AI28" s="375"/>
      <c r="AJ28" s="375"/>
      <c r="AK28" s="376"/>
      <c r="AL28" s="1171"/>
      <c r="AM28" s="375"/>
      <c r="AN28" s="376"/>
      <c r="AO28" s="1176"/>
      <c r="AP28" s="376"/>
      <c r="AQ28" s="1176"/>
      <c r="AR28" s="376"/>
      <c r="AS28" s="291"/>
      <c r="AT28" s="1147"/>
      <c r="AU28" s="122"/>
      <c r="AV28" s="122"/>
      <c r="AW28" s="122"/>
      <c r="AX28" s="122"/>
      <c r="AY28" s="122"/>
      <c r="AZ28" s="1148"/>
      <c r="BA28" s="1149"/>
      <c r="BB28" s="120"/>
      <c r="BC28" s="1150"/>
      <c r="BD28" s="120"/>
      <c r="BE28" s="1178">
        <f t="shared" si="4"/>
        <v>0</v>
      </c>
      <c r="BF28" s="403"/>
      <c r="BG28" s="307"/>
      <c r="BH28" s="1119"/>
      <c r="BI28" s="375"/>
      <c r="BJ28" s="375"/>
      <c r="BK28" s="375"/>
      <c r="BL28" s="375"/>
      <c r="BM28" s="375"/>
      <c r="BN28" s="376"/>
      <c r="BO28" s="1121"/>
      <c r="BP28" s="376"/>
      <c r="BQ28" s="1121"/>
      <c r="BR28" s="376"/>
      <c r="BS28" s="1178">
        <f t="shared" si="1"/>
        <v>0</v>
      </c>
      <c r="BT28" s="403"/>
      <c r="BU28" s="307"/>
      <c r="BV28" s="1106"/>
    </row>
    <row r="29" ht="18.75" customHeight="1">
      <c r="A29" s="294"/>
      <c r="B29" s="1086" t="s">
        <v>1440</v>
      </c>
      <c r="C29" s="1119"/>
      <c r="D29" s="375"/>
      <c r="E29" s="375"/>
      <c r="F29" s="375"/>
      <c r="G29" s="375"/>
      <c r="H29" s="375"/>
      <c r="I29" s="375"/>
      <c r="J29" s="376"/>
      <c r="K29" s="1180"/>
      <c r="L29" s="376"/>
      <c r="M29" s="1181"/>
      <c r="N29" s="376"/>
      <c r="O29" s="1178">
        <f t="shared" si="2"/>
        <v>0</v>
      </c>
      <c r="P29" s="403"/>
      <c r="Q29" s="345"/>
      <c r="R29" s="1119"/>
      <c r="S29" s="375"/>
      <c r="T29" s="375"/>
      <c r="U29" s="375"/>
      <c r="V29" s="375"/>
      <c r="W29" s="375"/>
      <c r="X29" s="375"/>
      <c r="Y29" s="376"/>
      <c r="Z29" s="1121"/>
      <c r="AA29" s="376"/>
      <c r="AB29" s="1121"/>
      <c r="AC29" s="376"/>
      <c r="AD29" s="1122">
        <f t="shared" si="3"/>
        <v>0</v>
      </c>
      <c r="AE29" s="376"/>
      <c r="AF29" s="350"/>
      <c r="AG29" s="1166"/>
      <c r="AH29" s="375"/>
      <c r="AI29" s="375"/>
      <c r="AJ29" s="375"/>
      <c r="AK29" s="376"/>
      <c r="AL29" s="1167"/>
      <c r="AM29" s="375"/>
      <c r="AN29" s="376"/>
      <c r="AO29" s="1173"/>
      <c r="AP29" s="376"/>
      <c r="AQ29" s="1121"/>
      <c r="AR29" s="376"/>
      <c r="AS29" s="291"/>
      <c r="AT29" s="1158"/>
      <c r="AU29" s="122"/>
      <c r="AV29" s="122"/>
      <c r="AW29" s="122"/>
      <c r="AX29" s="122"/>
      <c r="AY29" s="122"/>
      <c r="AZ29" s="120"/>
      <c r="BA29" s="1159"/>
      <c r="BB29" s="120"/>
      <c r="BC29" s="1159"/>
      <c r="BD29" s="120"/>
      <c r="BE29" s="1122">
        <f t="shared" si="4"/>
        <v>0</v>
      </c>
      <c r="BF29" s="376"/>
      <c r="BG29" s="307"/>
      <c r="BH29" s="1140"/>
      <c r="BI29" s="375"/>
      <c r="BJ29" s="375"/>
      <c r="BK29" s="375"/>
      <c r="BL29" s="375"/>
      <c r="BM29" s="375"/>
      <c r="BN29" s="1141"/>
      <c r="BO29" s="1185"/>
      <c r="BP29" s="376"/>
      <c r="BQ29" s="1176"/>
      <c r="BR29" s="376"/>
      <c r="BS29" s="1122">
        <f t="shared" si="1"/>
        <v>0</v>
      </c>
      <c r="BT29" s="376"/>
      <c r="BU29" s="307"/>
      <c r="BV29" s="1106"/>
    </row>
    <row r="30" ht="18.75" customHeight="1">
      <c r="A30" s="294"/>
      <c r="B30" s="1086" t="s">
        <v>1440</v>
      </c>
      <c r="C30" s="1186"/>
      <c r="J30" s="1187"/>
      <c r="K30" s="1188"/>
      <c r="L30" s="318"/>
      <c r="M30" s="1189"/>
      <c r="N30" s="318"/>
      <c r="O30" s="1178">
        <f t="shared" si="2"/>
        <v>0</v>
      </c>
      <c r="P30" s="403"/>
      <c r="Q30" s="345"/>
      <c r="R30" s="1140"/>
      <c r="S30" s="375"/>
      <c r="T30" s="375"/>
      <c r="U30" s="375"/>
      <c r="V30" s="375"/>
      <c r="W30" s="375"/>
      <c r="X30" s="375"/>
      <c r="Y30" s="1141"/>
      <c r="Z30" s="1142"/>
      <c r="AA30" s="376"/>
      <c r="AB30" s="1143"/>
      <c r="AC30" s="376"/>
      <c r="AD30" s="1122">
        <f t="shared" si="3"/>
        <v>0</v>
      </c>
      <c r="AE30" s="376"/>
      <c r="AF30" s="350"/>
      <c r="AG30" s="1170"/>
      <c r="AH30" s="375"/>
      <c r="AI30" s="375"/>
      <c r="AJ30" s="375"/>
      <c r="AK30" s="376"/>
      <c r="AL30" s="1171"/>
      <c r="AM30" s="375"/>
      <c r="AN30" s="376"/>
      <c r="AO30" s="1176"/>
      <c r="AP30" s="376"/>
      <c r="AQ30" s="1176"/>
      <c r="AR30" s="376"/>
      <c r="AS30" s="291"/>
      <c r="AT30" s="1147"/>
      <c r="AU30" s="122"/>
      <c r="AV30" s="122"/>
      <c r="AW30" s="122"/>
      <c r="AX30" s="122"/>
      <c r="AY30" s="122"/>
      <c r="AZ30" s="1148"/>
      <c r="BA30" s="1149"/>
      <c r="BB30" s="120"/>
      <c r="BC30" s="1150"/>
      <c r="BD30" s="120"/>
      <c r="BE30" s="1122">
        <f t="shared" si="4"/>
        <v>0</v>
      </c>
      <c r="BF30" s="376"/>
      <c r="BG30" s="307"/>
      <c r="BH30" s="1119"/>
      <c r="BI30" s="375"/>
      <c r="BJ30" s="375"/>
      <c r="BK30" s="375"/>
      <c r="BL30" s="375"/>
      <c r="BM30" s="375"/>
      <c r="BN30" s="376"/>
      <c r="BO30" s="1121"/>
      <c r="BP30" s="376"/>
      <c r="BQ30" s="1121"/>
      <c r="BR30" s="376"/>
      <c r="BS30" s="1178">
        <f t="shared" si="1"/>
        <v>0</v>
      </c>
      <c r="BT30" s="403"/>
      <c r="BU30" s="307"/>
      <c r="BV30" s="1106"/>
    </row>
    <row r="31" ht="18.75" customHeight="1">
      <c r="A31" s="294"/>
      <c r="B31" s="1086" t="s">
        <v>1440</v>
      </c>
      <c r="C31" s="469" t="s">
        <v>266</v>
      </c>
      <c r="D31" s="19"/>
      <c r="E31" s="19"/>
      <c r="F31" s="19"/>
      <c r="G31" s="19"/>
      <c r="H31" s="19"/>
      <c r="I31" s="19"/>
      <c r="J31" s="1088"/>
      <c r="K31" s="1095" t="b">
        <v>0</v>
      </c>
      <c r="L31" s="20"/>
      <c r="M31" s="1190">
        <v>1.0</v>
      </c>
      <c r="N31" s="20"/>
      <c r="O31" s="1097">
        <f t="shared" si="2"/>
        <v>0</v>
      </c>
      <c r="P31" s="20"/>
      <c r="Q31" s="345"/>
      <c r="R31" s="1119"/>
      <c r="S31" s="375"/>
      <c r="T31" s="375"/>
      <c r="U31" s="375"/>
      <c r="V31" s="375"/>
      <c r="W31" s="375"/>
      <c r="X31" s="375"/>
      <c r="Y31" s="376"/>
      <c r="Z31" s="1121"/>
      <c r="AA31" s="376"/>
      <c r="AB31" s="1121"/>
      <c r="AC31" s="376"/>
      <c r="AD31" s="1122">
        <f t="shared" si="3"/>
        <v>0</v>
      </c>
      <c r="AE31" s="376"/>
      <c r="AF31" s="350"/>
      <c r="AG31" s="1191" t="s">
        <v>1460</v>
      </c>
      <c r="AH31" s="356"/>
      <c r="AI31" s="356"/>
      <c r="AJ31" s="356"/>
      <c r="AK31" s="356"/>
      <c r="AL31" s="356"/>
      <c r="AM31" s="356"/>
      <c r="AN31" s="356"/>
      <c r="AO31" s="356"/>
      <c r="AP31" s="356"/>
      <c r="AQ31" s="356"/>
      <c r="AR31" s="357"/>
      <c r="AS31" s="291"/>
      <c r="AT31" s="1158"/>
      <c r="AU31" s="122"/>
      <c r="AV31" s="122"/>
      <c r="AW31" s="122"/>
      <c r="AX31" s="122"/>
      <c r="AY31" s="122"/>
      <c r="AZ31" s="120"/>
      <c r="BA31" s="1159"/>
      <c r="BB31" s="120"/>
      <c r="BC31" s="1159"/>
      <c r="BD31" s="120"/>
      <c r="BE31" s="1122">
        <f t="shared" si="4"/>
        <v>0</v>
      </c>
      <c r="BF31" s="376"/>
      <c r="BG31" s="307"/>
      <c r="BH31" s="1140"/>
      <c r="BI31" s="375"/>
      <c r="BJ31" s="375"/>
      <c r="BK31" s="375"/>
      <c r="BL31" s="375"/>
      <c r="BM31" s="375"/>
      <c r="BN31" s="1141"/>
      <c r="BO31" s="1142"/>
      <c r="BP31" s="376"/>
      <c r="BQ31" s="1143"/>
      <c r="BR31" s="376"/>
      <c r="BS31" s="1122">
        <f t="shared" si="1"/>
        <v>0</v>
      </c>
      <c r="BT31" s="376"/>
      <c r="BU31" s="307"/>
      <c r="BV31" s="1106"/>
    </row>
    <row r="32" ht="18.75" customHeight="1">
      <c r="A32" s="294"/>
      <c r="B32" s="1086" t="s">
        <v>1440</v>
      </c>
      <c r="C32" s="1192" t="str">
        <f>'角色卡'!BI27</f>
        <v>無</v>
      </c>
      <c r="D32" s="375"/>
      <c r="E32" s="375"/>
      <c r="F32" s="375"/>
      <c r="G32" s="375"/>
      <c r="H32" s="375"/>
      <c r="I32" s="375"/>
      <c r="J32" s="376"/>
      <c r="K32" s="1193">
        <f>'角色卡'!BF27</f>
        <v>0</v>
      </c>
      <c r="L32" s="679"/>
      <c r="M32" s="1193">
        <f t="shared" ref="M32:M34" si="5">IF(C32="箭矢",K32*0.05,IF(C32="弩矢",K32*0.075,IF(C32="投石索彈丸",K32*0.075,IF(C32="吹箭",K32*0.02,IF(C32="火器彈藥",K32*0.2,IF(C32="現代彈藥",K32*0.1,IF(C32="能量電池",K32*0.3125,IF(C32="無",0))))))))</f>
        <v>0</v>
      </c>
      <c r="N32" s="679"/>
      <c r="O32" s="1136">
        <f t="shared" ref="O32:O34" si="6">M32</f>
        <v>0</v>
      </c>
      <c r="P32" s="500"/>
      <c r="Q32" s="345"/>
      <c r="R32" s="1140"/>
      <c r="S32" s="375"/>
      <c r="T32" s="375"/>
      <c r="U32" s="375"/>
      <c r="V32" s="375"/>
      <c r="W32" s="375"/>
      <c r="X32" s="375"/>
      <c r="Y32" s="1141"/>
      <c r="Z32" s="1183"/>
      <c r="AA32" s="403"/>
      <c r="AB32" s="1184"/>
      <c r="AC32" s="403"/>
      <c r="AD32" s="1178">
        <f t="shared" si="3"/>
        <v>0</v>
      </c>
      <c r="AE32" s="403"/>
      <c r="AF32" s="350"/>
      <c r="AG32" s="1194" t="str">
        <f>IF(AG35=0,IF(AB34&lt;='角色卡'!G15*15,
"負重上限="&amp;'角色卡'!G15*15&amp;"磅"&amp;char(10)&amp;
"現在負重="&amp;AB34&amp;"磅"&amp;char(10)&amp;
"拖/抬/推上限="&amp;'角色卡'!G15*30&amp;"磅","超過上限"),
IF(AG35=1,IF(AB34&lt;='角色卡'!G15*15*2,
"載負上限="&amp;'角色卡'!G15*30&amp;"磅"&amp;char(10)&amp;
"現在負重="&amp;AB34&amp;"磅"&amp;char(10)&amp;
"拖/抬/推上限="&amp;'角色卡'!G15*60&amp;"磅","超過上限")))</f>
        <v>負重上限=150磅
現在負重=0磅
拖/抬/推上限=300磅</v>
      </c>
      <c r="AR32" s="318"/>
      <c r="AS32" s="291"/>
      <c r="AT32" s="1147"/>
      <c r="AU32" s="122"/>
      <c r="AV32" s="122"/>
      <c r="AW32" s="122"/>
      <c r="AX32" s="122"/>
      <c r="AY32" s="122"/>
      <c r="AZ32" s="1148"/>
      <c r="BA32" s="1149"/>
      <c r="BB32" s="120"/>
      <c r="BC32" s="1150"/>
      <c r="BD32" s="120"/>
      <c r="BE32" s="1178">
        <f t="shared" si="4"/>
        <v>0</v>
      </c>
      <c r="BF32" s="403"/>
      <c r="BG32" s="307"/>
      <c r="BH32" s="1119"/>
      <c r="BI32" s="375"/>
      <c r="BJ32" s="375"/>
      <c r="BK32" s="375"/>
      <c r="BL32" s="375"/>
      <c r="BM32" s="375"/>
      <c r="BN32" s="376"/>
      <c r="BO32" s="1121"/>
      <c r="BP32" s="376"/>
      <c r="BQ32" s="1121"/>
      <c r="BR32" s="376"/>
      <c r="BS32" s="1178">
        <f t="shared" si="1"/>
        <v>0</v>
      </c>
      <c r="BT32" s="403"/>
      <c r="BU32" s="307"/>
      <c r="BV32" s="1106"/>
    </row>
    <row r="33" ht="18.75" customHeight="1">
      <c r="A33" s="294"/>
      <c r="B33" s="1086" t="s">
        <v>1440</v>
      </c>
      <c r="C33" s="1195" t="str">
        <f>'角色卡'!BI28</f>
        <v>無</v>
      </c>
      <c r="D33" s="375"/>
      <c r="E33" s="375"/>
      <c r="F33" s="375"/>
      <c r="G33" s="375"/>
      <c r="H33" s="375"/>
      <c r="I33" s="375"/>
      <c r="J33" s="1141"/>
      <c r="K33" s="1196">
        <f>'角色卡'!BF28</f>
        <v>0</v>
      </c>
      <c r="L33" s="679"/>
      <c r="M33" s="1197">
        <f t="shared" si="5"/>
        <v>0</v>
      </c>
      <c r="N33" s="679"/>
      <c r="O33" s="1122">
        <f t="shared" si="6"/>
        <v>0</v>
      </c>
      <c r="P33" s="376"/>
      <c r="Q33" s="345"/>
      <c r="R33" s="1198"/>
      <c r="S33" s="417"/>
      <c r="T33" s="417"/>
      <c r="U33" s="417"/>
      <c r="V33" s="417"/>
      <c r="W33" s="417"/>
      <c r="X33" s="417"/>
      <c r="Y33" s="517"/>
      <c r="Z33" s="1199"/>
      <c r="AA33" s="517"/>
      <c r="AB33" s="1199"/>
      <c r="AC33" s="517"/>
      <c r="AD33" s="1122">
        <f t="shared" si="3"/>
        <v>0</v>
      </c>
      <c r="AE33" s="376"/>
      <c r="AF33" s="350"/>
      <c r="AG33" s="121"/>
      <c r="AR33" s="318"/>
      <c r="AS33" s="291"/>
      <c r="AT33" s="1158"/>
      <c r="AU33" s="122"/>
      <c r="AV33" s="122"/>
      <c r="AW33" s="122"/>
      <c r="AX33" s="122"/>
      <c r="AY33" s="122"/>
      <c r="AZ33" s="120"/>
      <c r="BA33" s="1159"/>
      <c r="BB33" s="120"/>
      <c r="BC33" s="1159"/>
      <c r="BD33" s="120"/>
      <c r="BE33" s="1122">
        <f t="shared" si="4"/>
        <v>0</v>
      </c>
      <c r="BF33" s="376"/>
      <c r="BG33" s="307"/>
      <c r="BH33" s="1200"/>
      <c r="BI33" s="417"/>
      <c r="BJ33" s="417"/>
      <c r="BK33" s="417"/>
      <c r="BL33" s="417"/>
      <c r="BM33" s="417"/>
      <c r="BN33" s="1201"/>
      <c r="BO33" s="1202"/>
      <c r="BP33" s="517"/>
      <c r="BQ33" s="1203"/>
      <c r="BR33" s="517"/>
      <c r="BS33" s="1204">
        <f t="shared" si="1"/>
        <v>0</v>
      </c>
      <c r="BT33" s="517"/>
      <c r="BU33" s="307"/>
      <c r="BV33" s="1106"/>
    </row>
    <row r="34" ht="18.75" customHeight="1">
      <c r="A34" s="294"/>
      <c r="B34" s="1086" t="s">
        <v>1440</v>
      </c>
      <c r="C34" s="1205" t="str">
        <f>'角色卡'!BI29</f>
        <v>無</v>
      </c>
      <c r="D34" s="417"/>
      <c r="E34" s="417"/>
      <c r="F34" s="417"/>
      <c r="G34" s="417"/>
      <c r="H34" s="417"/>
      <c r="I34" s="417"/>
      <c r="J34" s="517"/>
      <c r="K34" s="1206">
        <f>'角色卡'!BF29</f>
        <v>0</v>
      </c>
      <c r="L34" s="241"/>
      <c r="M34" s="1207">
        <f t="shared" si="5"/>
        <v>0</v>
      </c>
      <c r="N34" s="241"/>
      <c r="O34" s="1204">
        <f t="shared" si="6"/>
        <v>0</v>
      </c>
      <c r="P34" s="517"/>
      <c r="Q34" s="307"/>
      <c r="R34" s="1208" t="s">
        <v>1461</v>
      </c>
      <c r="AB34" s="1209">
        <f>SUM(O6:P34,AD5:AE33,BE5,AQ9)+SUMPRODUCT(AQ11:AQ30,AO11:AO30)</f>
        <v>0</v>
      </c>
      <c r="AC34" s="19"/>
      <c r="AD34" s="19"/>
      <c r="AE34" s="20"/>
      <c r="AF34" s="350"/>
      <c r="AG34" s="143"/>
      <c r="AH34" s="240"/>
      <c r="AI34" s="240"/>
      <c r="AJ34" s="240"/>
      <c r="AK34" s="240"/>
      <c r="AL34" s="240"/>
      <c r="AM34" s="240"/>
      <c r="AN34" s="240"/>
      <c r="AO34" s="240"/>
      <c r="AP34" s="240"/>
      <c r="AQ34" s="240"/>
      <c r="AR34" s="241"/>
      <c r="AS34" s="291"/>
      <c r="AT34" s="1210"/>
      <c r="AU34" s="144"/>
      <c r="AV34" s="144"/>
      <c r="AW34" s="144"/>
      <c r="AX34" s="144"/>
      <c r="AY34" s="144"/>
      <c r="AZ34" s="1211"/>
      <c r="BA34" s="1212"/>
      <c r="BB34" s="128"/>
      <c r="BC34" s="1213"/>
      <c r="BD34" s="128"/>
      <c r="BE34" s="1204">
        <f t="shared" si="4"/>
        <v>0</v>
      </c>
      <c r="BF34" s="517"/>
      <c r="BG34" s="307"/>
      <c r="BH34" s="1208" t="s">
        <v>1462</v>
      </c>
      <c r="BP34" s="1214">
        <f>if(SUM(BE6:BF34,BS5:BT33)&gt;500,"次元袋破裂",SUM(BE6:BF34,BS5:BT33))</f>
        <v>0</v>
      </c>
      <c r="BQ34" s="240"/>
      <c r="BR34" s="240"/>
      <c r="BS34" s="240"/>
      <c r="BT34" s="241"/>
      <c r="BU34" s="307"/>
      <c r="BV34" s="294"/>
    </row>
    <row r="35" ht="13.5" customHeight="1">
      <c r="A35" s="1215"/>
      <c r="B35" s="350"/>
      <c r="C35" s="307"/>
      <c r="K35" s="307"/>
      <c r="L35" s="307"/>
      <c r="M35" s="307"/>
      <c r="N35" s="307"/>
      <c r="O35" s="307"/>
      <c r="P35" s="307"/>
      <c r="Q35" s="307"/>
      <c r="R35" s="307"/>
      <c r="S35" s="307"/>
      <c r="T35" s="307"/>
      <c r="U35" s="307"/>
      <c r="V35" s="307"/>
      <c r="W35" s="307"/>
      <c r="X35" s="307"/>
      <c r="Y35" s="307"/>
      <c r="Z35" s="307"/>
      <c r="AA35" s="307"/>
      <c r="AB35" s="307"/>
      <c r="AC35" s="307"/>
      <c r="AD35" s="722"/>
      <c r="AE35" s="722"/>
      <c r="AF35" s="307"/>
      <c r="AG35" s="1216">
        <f>IF(OR('角色卡'!Y7="歌利亞 Goliath"),1,0)</f>
        <v>0</v>
      </c>
      <c r="AH35" s="307"/>
      <c r="AI35" s="307"/>
      <c r="AJ35" s="307"/>
      <c r="AK35" s="307"/>
      <c r="AL35" s="307"/>
      <c r="AM35" s="307"/>
      <c r="AO35" s="307"/>
      <c r="AR35" s="307"/>
      <c r="AS35" s="307"/>
      <c r="AT35" s="1217" t="str">
        <f>IF(ISNUMBER(MATCH("奇械師-Artificer", #REF!, 0)), "奇械同調", "")</f>
        <v/>
      </c>
      <c r="AW35" s="43"/>
      <c r="AX35" s="307"/>
      <c r="AZ35" s="307"/>
      <c r="BC35" s="307"/>
      <c r="BD35" s="307"/>
      <c r="BE35" s="1217" t="str">
        <f>IF(ISNUMBER(MATCH("奇械師-Artificer", #REF!, 0)), "奇械同調", "")</f>
        <v/>
      </c>
      <c r="BH35" s="43"/>
      <c r="BI35" s="1217" t="str">
        <f>IF(ISNUMBER(MATCH("奇械師-Artificer", #REF!, 0)), "奇械同調", "")</f>
        <v/>
      </c>
      <c r="BL35" s="43"/>
      <c r="BM35" s="1217" t="str">
        <f>IF(ISNUMBER(MATCH("奇械師-Artificer", #REF!, 0)), "奇械同調", "")</f>
        <v/>
      </c>
      <c r="BP35" s="43"/>
      <c r="BQ35" s="307"/>
      <c r="BR35" s="307"/>
      <c r="BS35" s="307"/>
      <c r="BT35" s="307"/>
      <c r="BU35" s="307"/>
      <c r="BV35" s="294"/>
    </row>
    <row r="36" ht="13.5" customHeight="1">
      <c r="A36" s="294"/>
      <c r="B36" s="294"/>
      <c r="C36" s="294"/>
      <c r="D36" s="294"/>
      <c r="E36" s="294"/>
      <c r="F36" s="294"/>
      <c r="G36" s="294"/>
      <c r="H36" s="294"/>
      <c r="I36" s="294"/>
      <c r="J36" s="294"/>
      <c r="K36" s="294"/>
      <c r="L36" s="294"/>
      <c r="M36" s="294"/>
      <c r="N36" s="294"/>
      <c r="O36" s="294"/>
      <c r="P36" s="294"/>
      <c r="Q36" s="294"/>
      <c r="R36" s="294"/>
      <c r="S36" s="294"/>
      <c r="T36" s="294"/>
      <c r="U36" s="294"/>
      <c r="V36" s="294"/>
      <c r="W36" s="294"/>
      <c r="X36" s="294"/>
      <c r="Y36" s="294"/>
      <c r="Z36" s="294"/>
      <c r="AA36" s="294"/>
      <c r="AB36" s="294"/>
      <c r="AC36" s="294"/>
      <c r="AD36" s="294"/>
      <c r="AE36" s="294"/>
      <c r="AF36" s="294"/>
      <c r="AG36" s="294"/>
      <c r="AH36" s="294"/>
      <c r="AI36" s="294"/>
      <c r="AJ36" s="294"/>
      <c r="AK36" s="294"/>
      <c r="AL36" s="294"/>
      <c r="AM36" s="294"/>
      <c r="AN36" s="294"/>
      <c r="AO36" s="294"/>
      <c r="AP36" s="294"/>
      <c r="AQ36" s="294"/>
      <c r="AR36" s="294"/>
      <c r="AS36" s="294"/>
      <c r="AT36" s="294"/>
      <c r="AU36" s="294"/>
      <c r="AV36" s="294"/>
      <c r="AW36" s="294"/>
      <c r="AX36" s="294"/>
      <c r="AY36" s="294"/>
      <c r="AZ36" s="294"/>
      <c r="BA36" s="294"/>
      <c r="BB36" s="294"/>
      <c r="BC36" s="294"/>
      <c r="BD36" s="294"/>
      <c r="BE36" s="294"/>
      <c r="BF36" s="294"/>
      <c r="BG36" s="294"/>
      <c r="BH36" s="294"/>
      <c r="BI36" s="294"/>
      <c r="BJ36" s="294"/>
      <c r="BK36" s="294"/>
      <c r="BL36" s="294"/>
      <c r="BM36" s="294"/>
      <c r="BN36" s="294"/>
      <c r="BO36" s="294"/>
      <c r="BP36" s="294"/>
      <c r="BQ36" s="294"/>
      <c r="BR36" s="294"/>
      <c r="BS36" s="294"/>
      <c r="BT36" s="294"/>
      <c r="BU36" s="294"/>
      <c r="BV36" s="294"/>
    </row>
    <row r="37" ht="18.0" customHeight="1">
      <c r="A37" s="294"/>
      <c r="B37" s="338" t="s">
        <v>1463</v>
      </c>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20"/>
      <c r="BV37" s="294"/>
    </row>
    <row r="38" ht="18.0" customHeight="1">
      <c r="A38" s="294"/>
      <c r="B38" s="350"/>
      <c r="C38" s="307"/>
      <c r="D38" s="307"/>
      <c r="E38" s="307"/>
      <c r="F38" s="307"/>
      <c r="G38" s="307"/>
      <c r="H38" s="307"/>
      <c r="I38" s="307"/>
      <c r="J38" s="307"/>
      <c r="K38" s="307"/>
      <c r="L38" s="307"/>
      <c r="M38" s="307"/>
      <c r="N38" s="307"/>
      <c r="O38" s="307"/>
      <c r="P38" s="307"/>
      <c r="Q38" s="307"/>
      <c r="R38" s="307"/>
      <c r="S38" s="307"/>
      <c r="T38" s="307"/>
      <c r="U38" s="307"/>
      <c r="V38" s="307"/>
      <c r="W38" s="307"/>
      <c r="X38" s="307"/>
      <c r="Y38" s="307"/>
      <c r="Z38" s="307"/>
      <c r="AA38" s="307"/>
      <c r="AB38" s="307"/>
      <c r="AC38" s="307"/>
      <c r="AD38" s="307"/>
      <c r="AE38" s="307"/>
      <c r="AF38" s="307"/>
      <c r="AG38" s="307"/>
      <c r="AH38" s="307"/>
      <c r="AI38" s="307"/>
      <c r="AJ38" s="307"/>
      <c r="AK38" s="307"/>
      <c r="AL38" s="307"/>
      <c r="AM38" s="307"/>
      <c r="AN38" s="307"/>
      <c r="AO38" s="307"/>
      <c r="AP38" s="307"/>
      <c r="AQ38" s="307"/>
      <c r="AR38" s="307"/>
      <c r="AS38" s="307"/>
      <c r="AT38" s="307"/>
      <c r="AU38" s="307"/>
      <c r="AV38" s="307"/>
      <c r="AW38" s="307"/>
      <c r="AX38" s="307"/>
      <c r="AY38" s="307"/>
      <c r="AZ38" s="307"/>
      <c r="BA38" s="307"/>
      <c r="BB38" s="307"/>
      <c r="BC38" s="307"/>
      <c r="BD38" s="307"/>
      <c r="BE38" s="307"/>
      <c r="BF38" s="307"/>
      <c r="BG38" s="307"/>
      <c r="BH38" s="307"/>
      <c r="BI38" s="307"/>
      <c r="BJ38" s="307"/>
      <c r="BK38" s="307"/>
      <c r="BL38" s="307"/>
      <c r="BM38" s="307"/>
      <c r="BN38" s="307"/>
      <c r="BO38" s="307"/>
      <c r="BP38" s="307"/>
      <c r="BQ38" s="307"/>
      <c r="BR38" s="307"/>
      <c r="BS38" s="307"/>
      <c r="BT38" s="307"/>
      <c r="BU38" s="351"/>
      <c r="BV38" s="294"/>
    </row>
    <row r="39" ht="18.0" customHeight="1">
      <c r="A39" s="294"/>
      <c r="B39" s="350"/>
      <c r="C39" s="1218" t="s">
        <v>1464</v>
      </c>
      <c r="D39" s="19"/>
      <c r="E39" s="19"/>
      <c r="F39" s="19"/>
      <c r="G39" s="19"/>
      <c r="H39" s="19"/>
      <c r="I39" s="19"/>
      <c r="J39" s="19"/>
      <c r="K39" s="19"/>
      <c r="L39" s="19"/>
      <c r="M39" s="19"/>
      <c r="N39" s="307"/>
      <c r="O39" s="307"/>
      <c r="P39" s="307"/>
      <c r="Q39" s="307"/>
      <c r="R39" s="307"/>
      <c r="S39" s="307"/>
      <c r="T39" s="307"/>
      <c r="U39" s="307"/>
      <c r="V39" s="307"/>
      <c r="W39" s="307"/>
      <c r="X39" s="307"/>
      <c r="Y39" s="307"/>
      <c r="Z39" s="307"/>
      <c r="AA39" s="307"/>
      <c r="AB39" s="307"/>
      <c r="AC39" s="307"/>
      <c r="AD39" s="307"/>
      <c r="AE39" s="307"/>
      <c r="AF39" s="307"/>
      <c r="AG39" s="307"/>
      <c r="AH39" s="307"/>
      <c r="AI39" s="307"/>
      <c r="AJ39" s="307"/>
      <c r="AK39" s="307"/>
      <c r="AL39" s="307"/>
      <c r="AM39" s="307"/>
      <c r="AN39" s="307"/>
      <c r="AO39" s="307"/>
      <c r="AP39" s="307"/>
      <c r="AQ39" s="307"/>
      <c r="AR39" s="307"/>
      <c r="AS39" s="307"/>
      <c r="AT39" s="307"/>
      <c r="AU39" s="307"/>
      <c r="AV39" s="307"/>
      <c r="AW39" s="307"/>
      <c r="AX39" s="307"/>
      <c r="AY39" s="307"/>
      <c r="AZ39" s="307"/>
      <c r="BA39" s="307"/>
      <c r="BB39" s="307"/>
      <c r="BC39" s="307"/>
      <c r="BD39" s="307"/>
      <c r="BE39" s="307"/>
      <c r="BF39" s="307"/>
      <c r="BG39" s="307"/>
      <c r="BH39" s="307"/>
      <c r="BI39" s="307"/>
      <c r="BJ39" s="307"/>
      <c r="BK39" s="307"/>
      <c r="BL39" s="307"/>
      <c r="BM39" s="307"/>
      <c r="BN39" s="307"/>
      <c r="BO39" s="307"/>
      <c r="BP39" s="307"/>
      <c r="BQ39" s="307"/>
      <c r="BR39" s="307"/>
      <c r="BS39" s="307"/>
      <c r="BT39" s="307"/>
      <c r="BU39" s="307"/>
      <c r="BV39" s="294"/>
    </row>
    <row r="40" ht="18.0" customHeight="1">
      <c r="A40" s="294"/>
      <c r="B40" s="350"/>
      <c r="C40" s="1219" t="s">
        <v>1465</v>
      </c>
      <c r="D40" s="19"/>
      <c r="E40" s="19"/>
      <c r="F40" s="19"/>
      <c r="G40" s="19"/>
      <c r="H40" s="19"/>
      <c r="I40" s="20"/>
      <c r="J40" s="1220" t="s">
        <v>1466</v>
      </c>
      <c r="K40" s="19"/>
      <c r="L40" s="19"/>
      <c r="M40" s="20"/>
      <c r="N40" s="1220" t="s">
        <v>1239</v>
      </c>
      <c r="O40" s="19"/>
      <c r="P40" s="19"/>
      <c r="Q40" s="20"/>
      <c r="R40" s="1220" t="s">
        <v>1467</v>
      </c>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20"/>
      <c r="BU40" s="307"/>
      <c r="BV40" s="294"/>
    </row>
    <row r="41">
      <c r="A41" s="294"/>
      <c r="B41" s="1221" t="s">
        <v>1468</v>
      </c>
      <c r="C41" s="1222"/>
      <c r="D41" s="383"/>
      <c r="E41" s="383"/>
      <c r="F41" s="383"/>
      <c r="G41" s="383"/>
      <c r="H41" s="383"/>
      <c r="I41" s="679"/>
      <c r="J41" s="1223"/>
      <c r="K41" s="383"/>
      <c r="L41" s="383"/>
      <c r="M41" s="679"/>
      <c r="N41" s="1224"/>
      <c r="O41" s="383"/>
      <c r="P41" s="383"/>
      <c r="Q41" s="679"/>
      <c r="R41" s="1225"/>
      <c r="S41" s="1226"/>
      <c r="T41" s="1226"/>
      <c r="U41" s="1226"/>
      <c r="V41" s="1226"/>
      <c r="W41" s="1226"/>
      <c r="X41" s="1226"/>
      <c r="Y41" s="1226"/>
      <c r="Z41" s="1226"/>
      <c r="AA41" s="1226"/>
      <c r="AB41" s="1226"/>
      <c r="AC41" s="1226"/>
      <c r="AD41" s="1226"/>
      <c r="AE41" s="1226"/>
      <c r="AF41" s="1226"/>
      <c r="AG41" s="1226"/>
      <c r="AH41" s="1226"/>
      <c r="AI41" s="1226"/>
      <c r="AJ41" s="1226"/>
      <c r="AK41" s="1226"/>
      <c r="AL41" s="1226"/>
      <c r="AM41" s="1226"/>
      <c r="AN41" s="1226"/>
      <c r="AO41" s="1226"/>
      <c r="AP41" s="1226"/>
      <c r="AQ41" s="1226"/>
      <c r="AR41" s="1226"/>
      <c r="AS41" s="1226"/>
      <c r="AT41" s="1226"/>
      <c r="AU41" s="1226"/>
      <c r="AV41" s="1226"/>
      <c r="AW41" s="1226"/>
      <c r="AX41" s="1226"/>
      <c r="AY41" s="1226"/>
      <c r="AZ41" s="1226"/>
      <c r="BA41" s="1226"/>
      <c r="BB41" s="1226"/>
      <c r="BC41" s="1226"/>
      <c r="BD41" s="1226"/>
      <c r="BE41" s="1226"/>
      <c r="BF41" s="1226"/>
      <c r="BG41" s="1226"/>
      <c r="BH41" s="1226"/>
      <c r="BI41" s="1226"/>
      <c r="BJ41" s="1226"/>
      <c r="BK41" s="1226"/>
      <c r="BL41" s="1226"/>
      <c r="BM41" s="1226"/>
      <c r="BN41" s="1226"/>
      <c r="BO41" s="1226"/>
      <c r="BP41" s="1226"/>
      <c r="BQ41" s="1226"/>
      <c r="BR41" s="1226"/>
      <c r="BS41" s="1226"/>
      <c r="BT41" s="1227"/>
      <c r="BU41" s="307"/>
      <c r="BV41" s="294"/>
    </row>
    <row r="42">
      <c r="A42" s="294"/>
      <c r="B42" s="1221" t="s">
        <v>1468</v>
      </c>
      <c r="C42" s="1228"/>
      <c r="D42" s="383"/>
      <c r="E42" s="383"/>
      <c r="F42" s="383"/>
      <c r="G42" s="383"/>
      <c r="H42" s="383"/>
      <c r="I42" s="679"/>
      <c r="J42" s="1229"/>
      <c r="K42" s="383"/>
      <c r="L42" s="383"/>
      <c r="M42" s="679"/>
      <c r="N42" s="1230"/>
      <c r="O42" s="383"/>
      <c r="P42" s="383"/>
      <c r="Q42" s="679"/>
      <c r="R42" s="1231"/>
      <c r="S42" s="1226"/>
      <c r="T42" s="1226"/>
      <c r="U42" s="1226"/>
      <c r="V42" s="1226"/>
      <c r="W42" s="1226"/>
      <c r="X42" s="1226"/>
      <c r="Y42" s="1226"/>
      <c r="Z42" s="1226"/>
      <c r="AA42" s="1226"/>
      <c r="AB42" s="1226"/>
      <c r="AC42" s="1226"/>
      <c r="AD42" s="1226"/>
      <c r="AE42" s="1226"/>
      <c r="AF42" s="1226"/>
      <c r="AG42" s="1226"/>
      <c r="AH42" s="1226"/>
      <c r="AI42" s="1226"/>
      <c r="AJ42" s="1226"/>
      <c r="AK42" s="1226"/>
      <c r="AL42" s="1226"/>
      <c r="AM42" s="1226"/>
      <c r="AN42" s="1226"/>
      <c r="AO42" s="1226"/>
      <c r="AP42" s="1226"/>
      <c r="AQ42" s="1226"/>
      <c r="AR42" s="1226"/>
      <c r="AS42" s="1226"/>
      <c r="AT42" s="1226"/>
      <c r="AU42" s="1226"/>
      <c r="AV42" s="1226"/>
      <c r="AW42" s="1226"/>
      <c r="AX42" s="1226"/>
      <c r="AY42" s="1226"/>
      <c r="AZ42" s="1226"/>
      <c r="BA42" s="1226"/>
      <c r="BB42" s="1226"/>
      <c r="BC42" s="1226"/>
      <c r="BD42" s="1226"/>
      <c r="BE42" s="1226"/>
      <c r="BF42" s="1226"/>
      <c r="BG42" s="1226"/>
      <c r="BH42" s="1226"/>
      <c r="BI42" s="1226"/>
      <c r="BJ42" s="1226"/>
      <c r="BK42" s="1226"/>
      <c r="BL42" s="1226"/>
      <c r="BM42" s="1226"/>
      <c r="BN42" s="1226"/>
      <c r="BO42" s="1226"/>
      <c r="BP42" s="1226"/>
      <c r="BQ42" s="1226"/>
      <c r="BR42" s="1226"/>
      <c r="BS42" s="1226"/>
      <c r="BT42" s="1227"/>
      <c r="BU42" s="307"/>
      <c r="BV42" s="294"/>
    </row>
    <row r="43">
      <c r="A43" s="294"/>
      <c r="B43" s="1221" t="s">
        <v>1468</v>
      </c>
      <c r="C43" s="1222"/>
      <c r="D43" s="383"/>
      <c r="E43" s="383"/>
      <c r="F43" s="383"/>
      <c r="G43" s="383"/>
      <c r="H43" s="383"/>
      <c r="I43" s="679"/>
      <c r="J43" s="1223"/>
      <c r="K43" s="383"/>
      <c r="L43" s="383"/>
      <c r="M43" s="679"/>
      <c r="N43" s="1224"/>
      <c r="O43" s="383"/>
      <c r="P43" s="383"/>
      <c r="Q43" s="679"/>
      <c r="R43" s="1225"/>
      <c r="S43" s="1226"/>
      <c r="T43" s="1226"/>
      <c r="U43" s="1226"/>
      <c r="V43" s="1226"/>
      <c r="W43" s="1226"/>
      <c r="X43" s="1226"/>
      <c r="Y43" s="1226"/>
      <c r="Z43" s="1226"/>
      <c r="AA43" s="1226"/>
      <c r="AB43" s="1226"/>
      <c r="AC43" s="1226"/>
      <c r="AD43" s="1226"/>
      <c r="AE43" s="1226"/>
      <c r="AF43" s="1226"/>
      <c r="AG43" s="1226"/>
      <c r="AH43" s="1226"/>
      <c r="AI43" s="1226"/>
      <c r="AJ43" s="1226"/>
      <c r="AK43" s="1226"/>
      <c r="AL43" s="1226"/>
      <c r="AM43" s="1226"/>
      <c r="AN43" s="1226"/>
      <c r="AO43" s="1226"/>
      <c r="AP43" s="1226"/>
      <c r="AQ43" s="1226"/>
      <c r="AR43" s="1226"/>
      <c r="AS43" s="1226"/>
      <c r="AT43" s="1226"/>
      <c r="AU43" s="1226"/>
      <c r="AV43" s="1226"/>
      <c r="AW43" s="1226"/>
      <c r="AX43" s="1226"/>
      <c r="AY43" s="1226"/>
      <c r="AZ43" s="1226"/>
      <c r="BA43" s="1226"/>
      <c r="BB43" s="1226"/>
      <c r="BC43" s="1226"/>
      <c r="BD43" s="1226"/>
      <c r="BE43" s="1226"/>
      <c r="BF43" s="1226"/>
      <c r="BG43" s="1226"/>
      <c r="BH43" s="1226"/>
      <c r="BI43" s="1226"/>
      <c r="BJ43" s="1226"/>
      <c r="BK43" s="1226"/>
      <c r="BL43" s="1226"/>
      <c r="BM43" s="1226"/>
      <c r="BN43" s="1226"/>
      <c r="BO43" s="1226"/>
      <c r="BP43" s="1226"/>
      <c r="BQ43" s="1226"/>
      <c r="BR43" s="1226"/>
      <c r="BS43" s="1226"/>
      <c r="BT43" s="1227"/>
      <c r="BU43" s="307"/>
      <c r="BV43" s="294"/>
    </row>
    <row r="44" hidden="1">
      <c r="A44" s="294"/>
      <c r="B44" s="1221" t="s">
        <v>1468</v>
      </c>
      <c r="C44" s="1228"/>
      <c r="D44" s="383"/>
      <c r="E44" s="383"/>
      <c r="F44" s="383"/>
      <c r="G44" s="383"/>
      <c r="H44" s="383"/>
      <c r="I44" s="679"/>
      <c r="J44" s="1229"/>
      <c r="K44" s="383"/>
      <c r="L44" s="383"/>
      <c r="M44" s="679"/>
      <c r="N44" s="1230"/>
      <c r="O44" s="383"/>
      <c r="P44" s="383"/>
      <c r="Q44" s="679"/>
      <c r="R44" s="1231"/>
      <c r="S44" s="1226"/>
      <c r="T44" s="1226"/>
      <c r="U44" s="1226"/>
      <c r="V44" s="1226"/>
      <c r="W44" s="1226"/>
      <c r="X44" s="1226"/>
      <c r="Y44" s="1226"/>
      <c r="Z44" s="1226"/>
      <c r="AA44" s="1226"/>
      <c r="AB44" s="1226"/>
      <c r="AC44" s="1226"/>
      <c r="AD44" s="1226"/>
      <c r="AE44" s="1226"/>
      <c r="AF44" s="1226"/>
      <c r="AG44" s="1226"/>
      <c r="AH44" s="1226"/>
      <c r="AI44" s="1226"/>
      <c r="AJ44" s="1226"/>
      <c r="AK44" s="1226"/>
      <c r="AL44" s="1226"/>
      <c r="AM44" s="1226"/>
      <c r="AN44" s="1226"/>
      <c r="AO44" s="1226"/>
      <c r="AP44" s="1226"/>
      <c r="AQ44" s="1226"/>
      <c r="AR44" s="1226"/>
      <c r="AS44" s="1226"/>
      <c r="AT44" s="1226"/>
      <c r="AU44" s="1226"/>
      <c r="AV44" s="1226"/>
      <c r="AW44" s="1226"/>
      <c r="AX44" s="1226"/>
      <c r="AY44" s="1226"/>
      <c r="AZ44" s="1226"/>
      <c r="BA44" s="1226"/>
      <c r="BB44" s="1226"/>
      <c r="BC44" s="1226"/>
      <c r="BD44" s="1226"/>
      <c r="BE44" s="1226"/>
      <c r="BF44" s="1226"/>
      <c r="BG44" s="1226"/>
      <c r="BH44" s="1226"/>
      <c r="BI44" s="1226"/>
      <c r="BJ44" s="1226"/>
      <c r="BK44" s="1226"/>
      <c r="BL44" s="1226"/>
      <c r="BM44" s="1226"/>
      <c r="BN44" s="1226"/>
      <c r="BO44" s="1226"/>
      <c r="BP44" s="1226"/>
      <c r="BQ44" s="1226"/>
      <c r="BR44" s="1226"/>
      <c r="BS44" s="1226"/>
      <c r="BT44" s="1227"/>
      <c r="BU44" s="307"/>
      <c r="BV44" s="294"/>
    </row>
    <row r="45" hidden="1">
      <c r="A45" s="294"/>
      <c r="B45" s="1221" t="s">
        <v>1468</v>
      </c>
      <c r="C45" s="1222"/>
      <c r="D45" s="383"/>
      <c r="E45" s="383"/>
      <c r="F45" s="383"/>
      <c r="G45" s="383"/>
      <c r="H45" s="383"/>
      <c r="I45" s="679"/>
      <c r="J45" s="1223"/>
      <c r="K45" s="383"/>
      <c r="L45" s="383"/>
      <c r="M45" s="679"/>
      <c r="N45" s="1224"/>
      <c r="O45" s="383"/>
      <c r="P45" s="383"/>
      <c r="Q45" s="679"/>
      <c r="R45" s="1225"/>
      <c r="S45" s="1226"/>
      <c r="T45" s="1226"/>
      <c r="U45" s="1226"/>
      <c r="V45" s="1226"/>
      <c r="W45" s="1226"/>
      <c r="X45" s="1226"/>
      <c r="Y45" s="1226"/>
      <c r="Z45" s="1226"/>
      <c r="AA45" s="1226"/>
      <c r="AB45" s="1226"/>
      <c r="AC45" s="1226"/>
      <c r="AD45" s="1226"/>
      <c r="AE45" s="1226"/>
      <c r="AF45" s="1226"/>
      <c r="AG45" s="1226"/>
      <c r="AH45" s="1226"/>
      <c r="AI45" s="1226"/>
      <c r="AJ45" s="1226"/>
      <c r="AK45" s="1226"/>
      <c r="AL45" s="1226"/>
      <c r="AM45" s="1226"/>
      <c r="AN45" s="1226"/>
      <c r="AO45" s="1226"/>
      <c r="AP45" s="1226"/>
      <c r="AQ45" s="1226"/>
      <c r="AR45" s="1226"/>
      <c r="AS45" s="1226"/>
      <c r="AT45" s="1226"/>
      <c r="AU45" s="1226"/>
      <c r="AV45" s="1226"/>
      <c r="AW45" s="1226"/>
      <c r="AX45" s="1226"/>
      <c r="AY45" s="1226"/>
      <c r="AZ45" s="1226"/>
      <c r="BA45" s="1226"/>
      <c r="BB45" s="1226"/>
      <c r="BC45" s="1226"/>
      <c r="BD45" s="1226"/>
      <c r="BE45" s="1226"/>
      <c r="BF45" s="1226"/>
      <c r="BG45" s="1226"/>
      <c r="BH45" s="1226"/>
      <c r="BI45" s="1226"/>
      <c r="BJ45" s="1226"/>
      <c r="BK45" s="1226"/>
      <c r="BL45" s="1226"/>
      <c r="BM45" s="1226"/>
      <c r="BN45" s="1226"/>
      <c r="BO45" s="1226"/>
      <c r="BP45" s="1226"/>
      <c r="BQ45" s="1226"/>
      <c r="BR45" s="1226"/>
      <c r="BS45" s="1226"/>
      <c r="BT45" s="1227"/>
      <c r="BU45" s="307"/>
      <c r="BV45" s="294"/>
    </row>
    <row r="46" hidden="1">
      <c r="A46" s="294"/>
      <c r="B46" s="1221" t="s">
        <v>1468</v>
      </c>
      <c r="C46" s="1228"/>
      <c r="D46" s="383"/>
      <c r="E46" s="383"/>
      <c r="F46" s="383"/>
      <c r="G46" s="383"/>
      <c r="H46" s="383"/>
      <c r="I46" s="679"/>
      <c r="J46" s="1229"/>
      <c r="K46" s="383"/>
      <c r="L46" s="383"/>
      <c r="M46" s="679"/>
      <c r="N46" s="1230"/>
      <c r="O46" s="383"/>
      <c r="P46" s="383"/>
      <c r="Q46" s="679"/>
      <c r="R46" s="1231"/>
      <c r="S46" s="1226"/>
      <c r="T46" s="1226"/>
      <c r="U46" s="1226"/>
      <c r="V46" s="1226"/>
      <c r="W46" s="1226"/>
      <c r="X46" s="1226"/>
      <c r="Y46" s="1226"/>
      <c r="Z46" s="1226"/>
      <c r="AA46" s="1226"/>
      <c r="AB46" s="1226"/>
      <c r="AC46" s="1226"/>
      <c r="AD46" s="1226"/>
      <c r="AE46" s="1226"/>
      <c r="AF46" s="1226"/>
      <c r="AG46" s="1226"/>
      <c r="AH46" s="1226"/>
      <c r="AI46" s="1226"/>
      <c r="AJ46" s="1226"/>
      <c r="AK46" s="1226"/>
      <c r="AL46" s="1226"/>
      <c r="AM46" s="1226"/>
      <c r="AN46" s="1226"/>
      <c r="AO46" s="1226"/>
      <c r="AP46" s="1226"/>
      <c r="AQ46" s="1226"/>
      <c r="AR46" s="1226"/>
      <c r="AS46" s="1226"/>
      <c r="AT46" s="1226"/>
      <c r="AU46" s="1226"/>
      <c r="AV46" s="1226"/>
      <c r="AW46" s="1226"/>
      <c r="AX46" s="1226"/>
      <c r="AY46" s="1226"/>
      <c r="AZ46" s="1226"/>
      <c r="BA46" s="1226"/>
      <c r="BB46" s="1226"/>
      <c r="BC46" s="1226"/>
      <c r="BD46" s="1226"/>
      <c r="BE46" s="1226"/>
      <c r="BF46" s="1226"/>
      <c r="BG46" s="1226"/>
      <c r="BH46" s="1226"/>
      <c r="BI46" s="1226"/>
      <c r="BJ46" s="1226"/>
      <c r="BK46" s="1226"/>
      <c r="BL46" s="1226"/>
      <c r="BM46" s="1226"/>
      <c r="BN46" s="1226"/>
      <c r="BO46" s="1226"/>
      <c r="BP46" s="1226"/>
      <c r="BQ46" s="1226"/>
      <c r="BR46" s="1226"/>
      <c r="BS46" s="1226"/>
      <c r="BT46" s="1227"/>
      <c r="BU46" s="307"/>
      <c r="BV46" s="294"/>
    </row>
    <row r="47">
      <c r="A47" s="294"/>
      <c r="B47" s="350"/>
      <c r="C47" s="1232"/>
      <c r="D47" s="1232"/>
      <c r="E47" s="1232"/>
      <c r="F47" s="1232"/>
      <c r="G47" s="1232"/>
      <c r="H47" s="1232"/>
      <c r="I47" s="1232"/>
      <c r="J47" s="1233"/>
      <c r="K47" s="1233"/>
      <c r="L47" s="1233"/>
      <c r="M47" s="1233"/>
      <c r="N47" s="1234"/>
      <c r="O47" s="1234"/>
      <c r="P47" s="1234"/>
      <c r="Q47" s="1234"/>
      <c r="R47" s="1235"/>
      <c r="S47" s="1235"/>
      <c r="T47" s="1235"/>
      <c r="U47" s="1235"/>
      <c r="V47" s="1235"/>
      <c r="W47" s="1235"/>
      <c r="X47" s="1235"/>
      <c r="Y47" s="1235"/>
      <c r="Z47" s="1235"/>
      <c r="AA47" s="1235"/>
      <c r="AB47" s="1235"/>
      <c r="AC47" s="1235"/>
      <c r="AD47" s="1235"/>
      <c r="AE47" s="1235"/>
      <c r="AF47" s="1235"/>
      <c r="AG47" s="1235"/>
      <c r="AH47" s="1235"/>
      <c r="AI47" s="1235"/>
      <c r="AJ47" s="1235"/>
      <c r="AK47" s="1235"/>
      <c r="AL47" s="1235"/>
      <c r="AM47" s="1235"/>
      <c r="AN47" s="1235"/>
      <c r="AO47" s="1235"/>
      <c r="AP47" s="1235"/>
      <c r="AQ47" s="1235"/>
      <c r="AR47" s="1235"/>
      <c r="AS47" s="307"/>
      <c r="AT47" s="307"/>
      <c r="AU47" s="307"/>
      <c r="AV47" s="307"/>
      <c r="AW47" s="307"/>
      <c r="AX47" s="307"/>
      <c r="AY47" s="307"/>
      <c r="AZ47" s="307"/>
      <c r="BA47" s="307"/>
      <c r="BB47" s="307"/>
      <c r="BC47" s="307"/>
      <c r="BD47" s="307"/>
      <c r="BE47" s="307"/>
      <c r="BF47" s="307"/>
      <c r="BG47" s="307"/>
      <c r="BH47" s="307"/>
      <c r="BI47" s="307"/>
      <c r="BJ47" s="307"/>
      <c r="BK47" s="307"/>
      <c r="BL47" s="307"/>
      <c r="BM47" s="307"/>
      <c r="BN47" s="307"/>
      <c r="BO47" s="307"/>
      <c r="BP47" s="307"/>
      <c r="BQ47" s="307"/>
      <c r="BR47" s="307"/>
      <c r="BS47" s="307"/>
      <c r="BT47" s="307"/>
      <c r="BU47" s="307"/>
      <c r="BV47" s="294"/>
    </row>
    <row r="48">
      <c r="A48" s="294"/>
      <c r="B48" s="350"/>
      <c r="C48" s="1218" t="s">
        <v>1469</v>
      </c>
      <c r="D48" s="19"/>
      <c r="E48" s="19"/>
      <c r="F48" s="19"/>
      <c r="G48" s="19"/>
      <c r="H48" s="19"/>
      <c r="I48" s="19"/>
      <c r="J48" s="19"/>
      <c r="K48" s="19"/>
      <c r="L48" s="19"/>
      <c r="M48" s="19"/>
      <c r="N48" s="1234"/>
      <c r="O48" s="1234"/>
      <c r="P48" s="1234"/>
      <c r="Q48" s="1234"/>
      <c r="R48" s="1235"/>
      <c r="S48" s="1235"/>
      <c r="T48" s="1235"/>
      <c r="U48" s="1235"/>
      <c r="V48" s="1235"/>
      <c r="W48" s="1235"/>
      <c r="X48" s="1235"/>
      <c r="Y48" s="1235"/>
      <c r="Z48" s="1235"/>
      <c r="AA48" s="1235"/>
      <c r="AB48" s="1235"/>
      <c r="AC48" s="1235"/>
      <c r="AD48" s="1235"/>
      <c r="AE48" s="1235"/>
      <c r="AF48" s="1235"/>
      <c r="AG48" s="1235"/>
      <c r="AH48" s="1235"/>
      <c r="AI48" s="1235"/>
      <c r="AJ48" s="1235"/>
      <c r="AK48" s="1235"/>
      <c r="AL48" s="1235"/>
      <c r="AM48" s="1235"/>
      <c r="AN48" s="1235"/>
      <c r="AO48" s="1235"/>
      <c r="AP48" s="1235"/>
      <c r="AQ48" s="1235"/>
      <c r="AR48" s="1235"/>
      <c r="AS48" s="307"/>
      <c r="AT48" s="307"/>
      <c r="AU48" s="307"/>
      <c r="AV48" s="307"/>
      <c r="AW48" s="307"/>
      <c r="AX48" s="307"/>
      <c r="AY48" s="307"/>
      <c r="AZ48" s="307"/>
      <c r="BA48" s="307"/>
      <c r="BB48" s="307"/>
      <c r="BC48" s="307"/>
      <c r="BD48" s="307"/>
      <c r="BE48" s="307"/>
      <c r="BF48" s="307"/>
      <c r="BG48" s="307"/>
      <c r="BH48" s="307"/>
      <c r="BI48" s="307"/>
      <c r="BJ48" s="307"/>
      <c r="BK48" s="307"/>
      <c r="BL48" s="307"/>
      <c r="BM48" s="307"/>
      <c r="BN48" s="307"/>
      <c r="BO48" s="307"/>
      <c r="BP48" s="307"/>
      <c r="BQ48" s="307"/>
      <c r="BR48" s="307"/>
      <c r="BS48" s="307"/>
      <c r="BT48" s="307"/>
      <c r="BU48" s="307"/>
      <c r="BV48" s="294"/>
    </row>
    <row r="49">
      <c r="A49" s="294"/>
      <c r="B49" s="350"/>
      <c r="C49" s="1219" t="s">
        <v>1465</v>
      </c>
      <c r="D49" s="19"/>
      <c r="E49" s="19"/>
      <c r="F49" s="19"/>
      <c r="G49" s="19"/>
      <c r="H49" s="19"/>
      <c r="I49" s="20"/>
      <c r="J49" s="1220" t="s">
        <v>1466</v>
      </c>
      <c r="K49" s="19"/>
      <c r="L49" s="19"/>
      <c r="M49" s="20"/>
      <c r="N49" s="1220" t="s">
        <v>1239</v>
      </c>
      <c r="O49" s="19"/>
      <c r="P49" s="19"/>
      <c r="Q49" s="20"/>
      <c r="R49" s="1220" t="s">
        <v>1467</v>
      </c>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20"/>
      <c r="BU49" s="307"/>
      <c r="BV49" s="294"/>
    </row>
    <row r="50">
      <c r="A50" s="294"/>
      <c r="B50" s="350"/>
      <c r="C50" s="1222"/>
      <c r="D50" s="383"/>
      <c r="E50" s="383"/>
      <c r="F50" s="383"/>
      <c r="G50" s="383"/>
      <c r="H50" s="383"/>
      <c r="I50" s="679"/>
      <c r="J50" s="1223"/>
      <c r="K50" s="383"/>
      <c r="L50" s="383"/>
      <c r="M50" s="679"/>
      <c r="N50" s="1224"/>
      <c r="O50" s="383"/>
      <c r="P50" s="383"/>
      <c r="Q50" s="679"/>
      <c r="R50" s="1225"/>
      <c r="S50" s="1226"/>
      <c r="T50" s="1226"/>
      <c r="U50" s="1226"/>
      <c r="V50" s="1226"/>
      <c r="W50" s="1226"/>
      <c r="X50" s="1226"/>
      <c r="Y50" s="1226"/>
      <c r="Z50" s="1226"/>
      <c r="AA50" s="1226"/>
      <c r="AB50" s="1226"/>
      <c r="AC50" s="1226"/>
      <c r="AD50" s="1226"/>
      <c r="AE50" s="1226"/>
      <c r="AF50" s="1226"/>
      <c r="AG50" s="1226"/>
      <c r="AH50" s="1226"/>
      <c r="AI50" s="1226"/>
      <c r="AJ50" s="1226"/>
      <c r="AK50" s="1226"/>
      <c r="AL50" s="1226"/>
      <c r="AM50" s="1226"/>
      <c r="AN50" s="1226"/>
      <c r="AO50" s="1226"/>
      <c r="AP50" s="1226"/>
      <c r="AQ50" s="1226"/>
      <c r="AR50" s="1226"/>
      <c r="AS50" s="1226"/>
      <c r="AT50" s="1226"/>
      <c r="AU50" s="1226"/>
      <c r="AV50" s="1226"/>
      <c r="AW50" s="1226"/>
      <c r="AX50" s="1226"/>
      <c r="AY50" s="1226"/>
      <c r="AZ50" s="1226"/>
      <c r="BA50" s="1226"/>
      <c r="BB50" s="1226"/>
      <c r="BC50" s="1226"/>
      <c r="BD50" s="1226"/>
      <c r="BE50" s="1226"/>
      <c r="BF50" s="1226"/>
      <c r="BG50" s="1226"/>
      <c r="BH50" s="1226"/>
      <c r="BI50" s="1226"/>
      <c r="BJ50" s="1226"/>
      <c r="BK50" s="1226"/>
      <c r="BL50" s="1226"/>
      <c r="BM50" s="1226"/>
      <c r="BN50" s="1226"/>
      <c r="BO50" s="1226"/>
      <c r="BP50" s="1226"/>
      <c r="BQ50" s="1226"/>
      <c r="BR50" s="1226"/>
      <c r="BS50" s="1226"/>
      <c r="BT50" s="1227"/>
      <c r="BU50" s="307"/>
      <c r="BV50" s="294"/>
    </row>
    <row r="51">
      <c r="A51" s="294"/>
      <c r="B51" s="350"/>
      <c r="C51" s="1228"/>
      <c r="D51" s="383"/>
      <c r="E51" s="383"/>
      <c r="F51" s="383"/>
      <c r="G51" s="383"/>
      <c r="H51" s="383"/>
      <c r="I51" s="679"/>
      <c r="J51" s="1229"/>
      <c r="K51" s="383"/>
      <c r="L51" s="383"/>
      <c r="M51" s="679"/>
      <c r="N51" s="1230"/>
      <c r="O51" s="383"/>
      <c r="P51" s="383"/>
      <c r="Q51" s="679"/>
      <c r="R51" s="1231"/>
      <c r="S51" s="1226"/>
      <c r="T51" s="1226"/>
      <c r="U51" s="1226"/>
      <c r="V51" s="1226"/>
      <c r="W51" s="1226"/>
      <c r="X51" s="1226"/>
      <c r="Y51" s="1226"/>
      <c r="Z51" s="1226"/>
      <c r="AA51" s="1226"/>
      <c r="AB51" s="1226"/>
      <c r="AC51" s="1226"/>
      <c r="AD51" s="1226"/>
      <c r="AE51" s="1226"/>
      <c r="AF51" s="1226"/>
      <c r="AG51" s="1226"/>
      <c r="AH51" s="1226"/>
      <c r="AI51" s="1226"/>
      <c r="AJ51" s="1226"/>
      <c r="AK51" s="1226"/>
      <c r="AL51" s="1226"/>
      <c r="AM51" s="1226"/>
      <c r="AN51" s="1226"/>
      <c r="AO51" s="1226"/>
      <c r="AP51" s="1226"/>
      <c r="AQ51" s="1226"/>
      <c r="AR51" s="1226"/>
      <c r="AS51" s="1226"/>
      <c r="AT51" s="1226"/>
      <c r="AU51" s="1226"/>
      <c r="AV51" s="1226"/>
      <c r="AW51" s="1226"/>
      <c r="AX51" s="1226"/>
      <c r="AY51" s="1226"/>
      <c r="AZ51" s="1226"/>
      <c r="BA51" s="1226"/>
      <c r="BB51" s="1226"/>
      <c r="BC51" s="1226"/>
      <c r="BD51" s="1226"/>
      <c r="BE51" s="1226"/>
      <c r="BF51" s="1226"/>
      <c r="BG51" s="1226"/>
      <c r="BH51" s="1226"/>
      <c r="BI51" s="1226"/>
      <c r="BJ51" s="1226"/>
      <c r="BK51" s="1226"/>
      <c r="BL51" s="1226"/>
      <c r="BM51" s="1226"/>
      <c r="BN51" s="1226"/>
      <c r="BO51" s="1226"/>
      <c r="BP51" s="1226"/>
      <c r="BQ51" s="1226"/>
      <c r="BR51" s="1226"/>
      <c r="BS51" s="1226"/>
      <c r="BT51" s="1227"/>
      <c r="BU51" s="307"/>
      <c r="BV51" s="294"/>
    </row>
    <row r="52">
      <c r="A52" s="294"/>
      <c r="B52" s="350"/>
      <c r="C52" s="1222"/>
      <c r="D52" s="383"/>
      <c r="E52" s="383"/>
      <c r="F52" s="383"/>
      <c r="G52" s="383"/>
      <c r="H52" s="383"/>
      <c r="I52" s="679"/>
      <c r="J52" s="1223"/>
      <c r="K52" s="383"/>
      <c r="L52" s="383"/>
      <c r="M52" s="679"/>
      <c r="N52" s="1224"/>
      <c r="O52" s="383"/>
      <c r="P52" s="383"/>
      <c r="Q52" s="679"/>
      <c r="R52" s="1225"/>
      <c r="S52" s="1226"/>
      <c r="T52" s="1226"/>
      <c r="U52" s="1226"/>
      <c r="V52" s="1226"/>
      <c r="W52" s="1226"/>
      <c r="X52" s="1226"/>
      <c r="Y52" s="1226"/>
      <c r="Z52" s="1226"/>
      <c r="AA52" s="1226"/>
      <c r="AB52" s="1226"/>
      <c r="AC52" s="1226"/>
      <c r="AD52" s="1226"/>
      <c r="AE52" s="1226"/>
      <c r="AF52" s="1226"/>
      <c r="AG52" s="1226"/>
      <c r="AH52" s="1226"/>
      <c r="AI52" s="1226"/>
      <c r="AJ52" s="1226"/>
      <c r="AK52" s="1226"/>
      <c r="AL52" s="1226"/>
      <c r="AM52" s="1226"/>
      <c r="AN52" s="1226"/>
      <c r="AO52" s="1226"/>
      <c r="AP52" s="1226"/>
      <c r="AQ52" s="1226"/>
      <c r="AR52" s="1226"/>
      <c r="AS52" s="1226"/>
      <c r="AT52" s="1226"/>
      <c r="AU52" s="1226"/>
      <c r="AV52" s="1226"/>
      <c r="AW52" s="1226"/>
      <c r="AX52" s="1226"/>
      <c r="AY52" s="1226"/>
      <c r="AZ52" s="1226"/>
      <c r="BA52" s="1226"/>
      <c r="BB52" s="1226"/>
      <c r="BC52" s="1226"/>
      <c r="BD52" s="1226"/>
      <c r="BE52" s="1226"/>
      <c r="BF52" s="1226"/>
      <c r="BG52" s="1226"/>
      <c r="BH52" s="1226"/>
      <c r="BI52" s="1226"/>
      <c r="BJ52" s="1226"/>
      <c r="BK52" s="1226"/>
      <c r="BL52" s="1226"/>
      <c r="BM52" s="1226"/>
      <c r="BN52" s="1226"/>
      <c r="BO52" s="1226"/>
      <c r="BP52" s="1226"/>
      <c r="BQ52" s="1226"/>
      <c r="BR52" s="1226"/>
      <c r="BS52" s="1226"/>
      <c r="BT52" s="1227"/>
      <c r="BU52" s="307"/>
      <c r="BV52" s="294"/>
    </row>
    <row r="53">
      <c r="A53" s="294"/>
      <c r="B53" s="350"/>
      <c r="C53" s="1228"/>
      <c r="D53" s="383"/>
      <c r="E53" s="383"/>
      <c r="F53" s="383"/>
      <c r="G53" s="383"/>
      <c r="H53" s="383"/>
      <c r="I53" s="679"/>
      <c r="J53" s="1229"/>
      <c r="K53" s="383"/>
      <c r="L53" s="383"/>
      <c r="M53" s="679"/>
      <c r="N53" s="1230"/>
      <c r="O53" s="383"/>
      <c r="P53" s="383"/>
      <c r="Q53" s="679"/>
      <c r="R53" s="1231"/>
      <c r="S53" s="1226"/>
      <c r="T53" s="1226"/>
      <c r="U53" s="1226"/>
      <c r="V53" s="1226"/>
      <c r="W53" s="1226"/>
      <c r="X53" s="1226"/>
      <c r="Y53" s="1226"/>
      <c r="Z53" s="1226"/>
      <c r="AA53" s="1226"/>
      <c r="AB53" s="1226"/>
      <c r="AC53" s="1226"/>
      <c r="AD53" s="1226"/>
      <c r="AE53" s="1226"/>
      <c r="AF53" s="1226"/>
      <c r="AG53" s="1226"/>
      <c r="AH53" s="1226"/>
      <c r="AI53" s="1226"/>
      <c r="AJ53" s="1226"/>
      <c r="AK53" s="1226"/>
      <c r="AL53" s="1226"/>
      <c r="AM53" s="1226"/>
      <c r="AN53" s="1226"/>
      <c r="AO53" s="1226"/>
      <c r="AP53" s="1226"/>
      <c r="AQ53" s="1226"/>
      <c r="AR53" s="1226"/>
      <c r="AS53" s="1226"/>
      <c r="AT53" s="1226"/>
      <c r="AU53" s="1226"/>
      <c r="AV53" s="1226"/>
      <c r="AW53" s="1226"/>
      <c r="AX53" s="1226"/>
      <c r="AY53" s="1226"/>
      <c r="AZ53" s="1226"/>
      <c r="BA53" s="1226"/>
      <c r="BB53" s="1226"/>
      <c r="BC53" s="1226"/>
      <c r="BD53" s="1226"/>
      <c r="BE53" s="1226"/>
      <c r="BF53" s="1226"/>
      <c r="BG53" s="1226"/>
      <c r="BH53" s="1226"/>
      <c r="BI53" s="1226"/>
      <c r="BJ53" s="1226"/>
      <c r="BK53" s="1226"/>
      <c r="BL53" s="1226"/>
      <c r="BM53" s="1226"/>
      <c r="BN53" s="1226"/>
      <c r="BO53" s="1226"/>
      <c r="BP53" s="1226"/>
      <c r="BQ53" s="1226"/>
      <c r="BR53" s="1226"/>
      <c r="BS53" s="1226"/>
      <c r="BT53" s="1227"/>
      <c r="BU53" s="307"/>
      <c r="BV53" s="294"/>
    </row>
    <row r="54">
      <c r="A54" s="294"/>
      <c r="B54" s="350"/>
      <c r="C54" s="1222"/>
      <c r="D54" s="383"/>
      <c r="E54" s="383"/>
      <c r="F54" s="383"/>
      <c r="G54" s="383"/>
      <c r="H54" s="383"/>
      <c r="I54" s="679"/>
      <c r="J54" s="1223"/>
      <c r="K54" s="383"/>
      <c r="L54" s="383"/>
      <c r="M54" s="679"/>
      <c r="N54" s="1224"/>
      <c r="O54" s="383"/>
      <c r="P54" s="383"/>
      <c r="Q54" s="679"/>
      <c r="R54" s="1225"/>
      <c r="S54" s="1226"/>
      <c r="T54" s="1226"/>
      <c r="U54" s="1226"/>
      <c r="V54" s="1226"/>
      <c r="W54" s="1226"/>
      <c r="X54" s="1226"/>
      <c r="Y54" s="1226"/>
      <c r="Z54" s="1226"/>
      <c r="AA54" s="1226"/>
      <c r="AB54" s="1226"/>
      <c r="AC54" s="1226"/>
      <c r="AD54" s="1226"/>
      <c r="AE54" s="1226"/>
      <c r="AF54" s="1226"/>
      <c r="AG54" s="1226"/>
      <c r="AH54" s="1226"/>
      <c r="AI54" s="1226"/>
      <c r="AJ54" s="1226"/>
      <c r="AK54" s="1226"/>
      <c r="AL54" s="1226"/>
      <c r="AM54" s="1226"/>
      <c r="AN54" s="1226"/>
      <c r="AO54" s="1226"/>
      <c r="AP54" s="1226"/>
      <c r="AQ54" s="1226"/>
      <c r="AR54" s="1226"/>
      <c r="AS54" s="1226"/>
      <c r="AT54" s="1226"/>
      <c r="AU54" s="1226"/>
      <c r="AV54" s="1226"/>
      <c r="AW54" s="1226"/>
      <c r="AX54" s="1226"/>
      <c r="AY54" s="1226"/>
      <c r="AZ54" s="1226"/>
      <c r="BA54" s="1226"/>
      <c r="BB54" s="1226"/>
      <c r="BC54" s="1226"/>
      <c r="BD54" s="1226"/>
      <c r="BE54" s="1226"/>
      <c r="BF54" s="1226"/>
      <c r="BG54" s="1226"/>
      <c r="BH54" s="1226"/>
      <c r="BI54" s="1226"/>
      <c r="BJ54" s="1226"/>
      <c r="BK54" s="1226"/>
      <c r="BL54" s="1226"/>
      <c r="BM54" s="1226"/>
      <c r="BN54" s="1226"/>
      <c r="BO54" s="1226"/>
      <c r="BP54" s="1226"/>
      <c r="BQ54" s="1226"/>
      <c r="BR54" s="1226"/>
      <c r="BS54" s="1226"/>
      <c r="BT54" s="1227"/>
      <c r="BU54" s="307"/>
      <c r="BV54" s="294"/>
    </row>
    <row r="55">
      <c r="A55" s="294"/>
      <c r="B55" s="350"/>
      <c r="C55" s="1228"/>
      <c r="D55" s="383"/>
      <c r="E55" s="383"/>
      <c r="F55" s="383"/>
      <c r="G55" s="383"/>
      <c r="H55" s="383"/>
      <c r="I55" s="679"/>
      <c r="J55" s="1229"/>
      <c r="K55" s="383"/>
      <c r="L55" s="383"/>
      <c r="M55" s="679"/>
      <c r="N55" s="1230"/>
      <c r="O55" s="383"/>
      <c r="P55" s="383"/>
      <c r="Q55" s="679"/>
      <c r="R55" s="1231"/>
      <c r="S55" s="1226"/>
      <c r="T55" s="1226"/>
      <c r="U55" s="1226"/>
      <c r="V55" s="1226"/>
      <c r="W55" s="1226"/>
      <c r="X55" s="1226"/>
      <c r="Y55" s="1226"/>
      <c r="Z55" s="1226"/>
      <c r="AA55" s="1226"/>
      <c r="AB55" s="1226"/>
      <c r="AC55" s="1226"/>
      <c r="AD55" s="1226"/>
      <c r="AE55" s="1226"/>
      <c r="AF55" s="1226"/>
      <c r="AG55" s="1226"/>
      <c r="AH55" s="1226"/>
      <c r="AI55" s="1226"/>
      <c r="AJ55" s="1226"/>
      <c r="AK55" s="1226"/>
      <c r="AL55" s="1226"/>
      <c r="AM55" s="1226"/>
      <c r="AN55" s="1226"/>
      <c r="AO55" s="1226"/>
      <c r="AP55" s="1226"/>
      <c r="AQ55" s="1226"/>
      <c r="AR55" s="1226"/>
      <c r="AS55" s="1226"/>
      <c r="AT55" s="1226"/>
      <c r="AU55" s="1226"/>
      <c r="AV55" s="1226"/>
      <c r="AW55" s="1226"/>
      <c r="AX55" s="1226"/>
      <c r="AY55" s="1226"/>
      <c r="AZ55" s="1226"/>
      <c r="BA55" s="1226"/>
      <c r="BB55" s="1226"/>
      <c r="BC55" s="1226"/>
      <c r="BD55" s="1226"/>
      <c r="BE55" s="1226"/>
      <c r="BF55" s="1226"/>
      <c r="BG55" s="1226"/>
      <c r="BH55" s="1226"/>
      <c r="BI55" s="1226"/>
      <c r="BJ55" s="1226"/>
      <c r="BK55" s="1226"/>
      <c r="BL55" s="1226"/>
      <c r="BM55" s="1226"/>
      <c r="BN55" s="1226"/>
      <c r="BO55" s="1226"/>
      <c r="BP55" s="1226"/>
      <c r="BQ55" s="1226"/>
      <c r="BR55" s="1226"/>
      <c r="BS55" s="1226"/>
      <c r="BT55" s="1227"/>
      <c r="BU55" s="307"/>
      <c r="BV55" s="294"/>
    </row>
    <row r="56">
      <c r="A56" s="294"/>
      <c r="B56" s="350"/>
      <c r="C56" s="1222"/>
      <c r="D56" s="383"/>
      <c r="E56" s="383"/>
      <c r="F56" s="383"/>
      <c r="G56" s="383"/>
      <c r="H56" s="383"/>
      <c r="I56" s="679"/>
      <c r="J56" s="1223"/>
      <c r="K56" s="383"/>
      <c r="L56" s="383"/>
      <c r="M56" s="679"/>
      <c r="N56" s="1224"/>
      <c r="O56" s="383"/>
      <c r="P56" s="383"/>
      <c r="Q56" s="679"/>
      <c r="R56" s="1225"/>
      <c r="S56" s="1226"/>
      <c r="T56" s="1226"/>
      <c r="U56" s="1226"/>
      <c r="V56" s="1226"/>
      <c r="W56" s="1226"/>
      <c r="X56" s="1226"/>
      <c r="Y56" s="1226"/>
      <c r="Z56" s="1226"/>
      <c r="AA56" s="1226"/>
      <c r="AB56" s="1226"/>
      <c r="AC56" s="1226"/>
      <c r="AD56" s="1226"/>
      <c r="AE56" s="1226"/>
      <c r="AF56" s="1226"/>
      <c r="AG56" s="1226"/>
      <c r="AH56" s="1226"/>
      <c r="AI56" s="1226"/>
      <c r="AJ56" s="1226"/>
      <c r="AK56" s="1226"/>
      <c r="AL56" s="1226"/>
      <c r="AM56" s="1226"/>
      <c r="AN56" s="1226"/>
      <c r="AO56" s="1226"/>
      <c r="AP56" s="1226"/>
      <c r="AQ56" s="1226"/>
      <c r="AR56" s="1226"/>
      <c r="AS56" s="1226"/>
      <c r="AT56" s="1226"/>
      <c r="AU56" s="1226"/>
      <c r="AV56" s="1226"/>
      <c r="AW56" s="1226"/>
      <c r="AX56" s="1226"/>
      <c r="AY56" s="1226"/>
      <c r="AZ56" s="1226"/>
      <c r="BA56" s="1226"/>
      <c r="BB56" s="1226"/>
      <c r="BC56" s="1226"/>
      <c r="BD56" s="1226"/>
      <c r="BE56" s="1226"/>
      <c r="BF56" s="1226"/>
      <c r="BG56" s="1226"/>
      <c r="BH56" s="1226"/>
      <c r="BI56" s="1226"/>
      <c r="BJ56" s="1226"/>
      <c r="BK56" s="1226"/>
      <c r="BL56" s="1226"/>
      <c r="BM56" s="1226"/>
      <c r="BN56" s="1226"/>
      <c r="BO56" s="1226"/>
      <c r="BP56" s="1226"/>
      <c r="BQ56" s="1226"/>
      <c r="BR56" s="1226"/>
      <c r="BS56" s="1226"/>
      <c r="BT56" s="1227"/>
      <c r="BU56" s="307"/>
      <c r="BV56" s="294"/>
    </row>
    <row r="57">
      <c r="A57" s="294"/>
      <c r="B57" s="350"/>
      <c r="C57" s="1228"/>
      <c r="D57" s="383"/>
      <c r="E57" s="383"/>
      <c r="F57" s="383"/>
      <c r="G57" s="383"/>
      <c r="H57" s="383"/>
      <c r="I57" s="679"/>
      <c r="J57" s="1229"/>
      <c r="K57" s="383"/>
      <c r="L57" s="383"/>
      <c r="M57" s="679"/>
      <c r="N57" s="1230"/>
      <c r="O57" s="383"/>
      <c r="P57" s="383"/>
      <c r="Q57" s="679"/>
      <c r="R57" s="1231"/>
      <c r="S57" s="1226"/>
      <c r="T57" s="1226"/>
      <c r="U57" s="1226"/>
      <c r="V57" s="1226"/>
      <c r="W57" s="1226"/>
      <c r="X57" s="1226"/>
      <c r="Y57" s="1226"/>
      <c r="Z57" s="1226"/>
      <c r="AA57" s="1226"/>
      <c r="AB57" s="1226"/>
      <c r="AC57" s="1226"/>
      <c r="AD57" s="1226"/>
      <c r="AE57" s="1226"/>
      <c r="AF57" s="1226"/>
      <c r="AG57" s="1226"/>
      <c r="AH57" s="1226"/>
      <c r="AI57" s="1226"/>
      <c r="AJ57" s="1226"/>
      <c r="AK57" s="1226"/>
      <c r="AL57" s="1226"/>
      <c r="AM57" s="1226"/>
      <c r="AN57" s="1226"/>
      <c r="AO57" s="1226"/>
      <c r="AP57" s="1226"/>
      <c r="AQ57" s="1226"/>
      <c r="AR57" s="1226"/>
      <c r="AS57" s="1226"/>
      <c r="AT57" s="1226"/>
      <c r="AU57" s="1226"/>
      <c r="AV57" s="1226"/>
      <c r="AW57" s="1226"/>
      <c r="AX57" s="1226"/>
      <c r="AY57" s="1226"/>
      <c r="AZ57" s="1226"/>
      <c r="BA57" s="1226"/>
      <c r="BB57" s="1226"/>
      <c r="BC57" s="1226"/>
      <c r="BD57" s="1226"/>
      <c r="BE57" s="1226"/>
      <c r="BF57" s="1226"/>
      <c r="BG57" s="1226"/>
      <c r="BH57" s="1226"/>
      <c r="BI57" s="1226"/>
      <c r="BJ57" s="1226"/>
      <c r="BK57" s="1226"/>
      <c r="BL57" s="1226"/>
      <c r="BM57" s="1226"/>
      <c r="BN57" s="1226"/>
      <c r="BO57" s="1226"/>
      <c r="BP57" s="1226"/>
      <c r="BQ57" s="1226"/>
      <c r="BR57" s="1226"/>
      <c r="BS57" s="1226"/>
      <c r="BT57" s="1227"/>
      <c r="BU57" s="307"/>
      <c r="BV57" s="294"/>
    </row>
    <row r="58">
      <c r="A58" s="294"/>
      <c r="B58" s="350"/>
      <c r="C58" s="1222"/>
      <c r="D58" s="383"/>
      <c r="E58" s="383"/>
      <c r="F58" s="383"/>
      <c r="G58" s="383"/>
      <c r="H58" s="383"/>
      <c r="I58" s="679"/>
      <c r="J58" s="1223"/>
      <c r="K58" s="383"/>
      <c r="L58" s="383"/>
      <c r="M58" s="679"/>
      <c r="N58" s="1224"/>
      <c r="O58" s="383"/>
      <c r="P58" s="383"/>
      <c r="Q58" s="679"/>
      <c r="R58" s="1225"/>
      <c r="S58" s="1226"/>
      <c r="T58" s="1226"/>
      <c r="U58" s="1226"/>
      <c r="V58" s="1226"/>
      <c r="W58" s="1226"/>
      <c r="X58" s="1226"/>
      <c r="Y58" s="1226"/>
      <c r="Z58" s="1226"/>
      <c r="AA58" s="1226"/>
      <c r="AB58" s="1226"/>
      <c r="AC58" s="1226"/>
      <c r="AD58" s="1226"/>
      <c r="AE58" s="1226"/>
      <c r="AF58" s="1226"/>
      <c r="AG58" s="1226"/>
      <c r="AH58" s="1226"/>
      <c r="AI58" s="1226"/>
      <c r="AJ58" s="1226"/>
      <c r="AK58" s="1226"/>
      <c r="AL58" s="1226"/>
      <c r="AM58" s="1226"/>
      <c r="AN58" s="1226"/>
      <c r="AO58" s="1226"/>
      <c r="AP58" s="1226"/>
      <c r="AQ58" s="1226"/>
      <c r="AR58" s="1226"/>
      <c r="AS58" s="1226"/>
      <c r="AT58" s="1226"/>
      <c r="AU58" s="1226"/>
      <c r="AV58" s="1226"/>
      <c r="AW58" s="1226"/>
      <c r="AX58" s="1226"/>
      <c r="AY58" s="1226"/>
      <c r="AZ58" s="1226"/>
      <c r="BA58" s="1226"/>
      <c r="BB58" s="1226"/>
      <c r="BC58" s="1226"/>
      <c r="BD58" s="1226"/>
      <c r="BE58" s="1226"/>
      <c r="BF58" s="1226"/>
      <c r="BG58" s="1226"/>
      <c r="BH58" s="1226"/>
      <c r="BI58" s="1226"/>
      <c r="BJ58" s="1226"/>
      <c r="BK58" s="1226"/>
      <c r="BL58" s="1226"/>
      <c r="BM58" s="1226"/>
      <c r="BN58" s="1226"/>
      <c r="BO58" s="1226"/>
      <c r="BP58" s="1226"/>
      <c r="BQ58" s="1226"/>
      <c r="BR58" s="1226"/>
      <c r="BS58" s="1226"/>
      <c r="BT58" s="1227"/>
      <c r="BU58" s="307"/>
      <c r="BV58" s="294"/>
    </row>
    <row r="59">
      <c r="A59" s="294"/>
      <c r="B59" s="350"/>
      <c r="C59" s="1228"/>
      <c r="D59" s="383"/>
      <c r="E59" s="383"/>
      <c r="F59" s="383"/>
      <c r="G59" s="383"/>
      <c r="H59" s="383"/>
      <c r="I59" s="679"/>
      <c r="J59" s="1229"/>
      <c r="K59" s="383"/>
      <c r="L59" s="383"/>
      <c r="M59" s="679"/>
      <c r="N59" s="1230"/>
      <c r="O59" s="383"/>
      <c r="P59" s="383"/>
      <c r="Q59" s="679"/>
      <c r="R59" s="1231"/>
      <c r="S59" s="1226"/>
      <c r="T59" s="1226"/>
      <c r="U59" s="1226"/>
      <c r="V59" s="1226"/>
      <c r="W59" s="1226"/>
      <c r="X59" s="1226"/>
      <c r="Y59" s="1226"/>
      <c r="Z59" s="1226"/>
      <c r="AA59" s="1226"/>
      <c r="AB59" s="1226"/>
      <c r="AC59" s="1226"/>
      <c r="AD59" s="1226"/>
      <c r="AE59" s="1226"/>
      <c r="AF59" s="1226"/>
      <c r="AG59" s="1226"/>
      <c r="AH59" s="1226"/>
      <c r="AI59" s="1226"/>
      <c r="AJ59" s="1226"/>
      <c r="AK59" s="1226"/>
      <c r="AL59" s="1226"/>
      <c r="AM59" s="1226"/>
      <c r="AN59" s="1226"/>
      <c r="AO59" s="1226"/>
      <c r="AP59" s="1226"/>
      <c r="AQ59" s="1226"/>
      <c r="AR59" s="1226"/>
      <c r="AS59" s="1226"/>
      <c r="AT59" s="1226"/>
      <c r="AU59" s="1226"/>
      <c r="AV59" s="1226"/>
      <c r="AW59" s="1226"/>
      <c r="AX59" s="1226"/>
      <c r="AY59" s="1226"/>
      <c r="AZ59" s="1226"/>
      <c r="BA59" s="1226"/>
      <c r="BB59" s="1226"/>
      <c r="BC59" s="1226"/>
      <c r="BD59" s="1226"/>
      <c r="BE59" s="1226"/>
      <c r="BF59" s="1226"/>
      <c r="BG59" s="1226"/>
      <c r="BH59" s="1226"/>
      <c r="BI59" s="1226"/>
      <c r="BJ59" s="1226"/>
      <c r="BK59" s="1226"/>
      <c r="BL59" s="1226"/>
      <c r="BM59" s="1226"/>
      <c r="BN59" s="1226"/>
      <c r="BO59" s="1226"/>
      <c r="BP59" s="1226"/>
      <c r="BQ59" s="1226"/>
      <c r="BR59" s="1226"/>
      <c r="BS59" s="1226"/>
      <c r="BT59" s="1227"/>
      <c r="BU59" s="307"/>
      <c r="BV59" s="294"/>
    </row>
    <row r="60" hidden="1">
      <c r="A60" s="294"/>
      <c r="B60" s="350"/>
      <c r="C60" s="1222"/>
      <c r="D60" s="383"/>
      <c r="E60" s="383"/>
      <c r="F60" s="383"/>
      <c r="G60" s="383"/>
      <c r="H60" s="383"/>
      <c r="I60" s="679"/>
      <c r="J60" s="1223"/>
      <c r="K60" s="383"/>
      <c r="L60" s="383"/>
      <c r="M60" s="679"/>
      <c r="N60" s="1224"/>
      <c r="O60" s="383"/>
      <c r="P60" s="383"/>
      <c r="Q60" s="679"/>
      <c r="R60" s="1236"/>
      <c r="S60" s="1226"/>
      <c r="T60" s="1226"/>
      <c r="U60" s="1226"/>
      <c r="V60" s="1226"/>
      <c r="W60" s="1226"/>
      <c r="X60" s="1226"/>
      <c r="Y60" s="1226"/>
      <c r="Z60" s="1226"/>
      <c r="AA60" s="1226"/>
      <c r="AB60" s="1226"/>
      <c r="AC60" s="1226"/>
      <c r="AD60" s="1226"/>
      <c r="AE60" s="1226"/>
      <c r="AF60" s="1226"/>
      <c r="AG60" s="1226"/>
      <c r="AH60" s="1226"/>
      <c r="AI60" s="1226"/>
      <c r="AJ60" s="1226"/>
      <c r="AK60" s="1226"/>
      <c r="AL60" s="1226"/>
      <c r="AM60" s="1226"/>
      <c r="AN60" s="1226"/>
      <c r="AO60" s="1226"/>
      <c r="AP60" s="1226"/>
      <c r="AQ60" s="1226"/>
      <c r="AR60" s="1226"/>
      <c r="AS60" s="1226"/>
      <c r="AT60" s="1226"/>
      <c r="AU60" s="1226"/>
      <c r="AV60" s="1226"/>
      <c r="AW60" s="1226"/>
      <c r="AX60" s="1226"/>
      <c r="AY60" s="1226"/>
      <c r="AZ60" s="1226"/>
      <c r="BA60" s="1226"/>
      <c r="BB60" s="1226"/>
      <c r="BC60" s="1226"/>
      <c r="BD60" s="1226"/>
      <c r="BE60" s="1226"/>
      <c r="BF60" s="1226"/>
      <c r="BG60" s="1226"/>
      <c r="BH60" s="1226"/>
      <c r="BI60" s="1226"/>
      <c r="BJ60" s="1226"/>
      <c r="BK60" s="1226"/>
      <c r="BL60" s="1226"/>
      <c r="BM60" s="1226"/>
      <c r="BN60" s="1226"/>
      <c r="BO60" s="1226"/>
      <c r="BP60" s="1226"/>
      <c r="BQ60" s="1226"/>
      <c r="BR60" s="1226"/>
      <c r="BS60" s="1226"/>
      <c r="BT60" s="1227"/>
      <c r="BU60" s="307"/>
      <c r="BV60" s="294"/>
    </row>
    <row r="61" hidden="1">
      <c r="A61" s="294"/>
      <c r="B61" s="350"/>
      <c r="C61" s="1228"/>
      <c r="D61" s="383"/>
      <c r="E61" s="383"/>
      <c r="F61" s="383"/>
      <c r="G61" s="383"/>
      <c r="H61" s="383"/>
      <c r="I61" s="679"/>
      <c r="J61" s="1229"/>
      <c r="K61" s="383"/>
      <c r="L61" s="383"/>
      <c r="M61" s="679"/>
      <c r="N61" s="1230"/>
      <c r="O61" s="383"/>
      <c r="P61" s="383"/>
      <c r="Q61" s="679"/>
      <c r="R61" s="1237"/>
      <c r="S61" s="1226"/>
      <c r="T61" s="1226"/>
      <c r="U61" s="1226"/>
      <c r="V61" s="1226"/>
      <c r="W61" s="1226"/>
      <c r="X61" s="1226"/>
      <c r="Y61" s="1226"/>
      <c r="Z61" s="1226"/>
      <c r="AA61" s="1226"/>
      <c r="AB61" s="1226"/>
      <c r="AC61" s="1226"/>
      <c r="AD61" s="1226"/>
      <c r="AE61" s="1226"/>
      <c r="AF61" s="1226"/>
      <c r="AG61" s="1226"/>
      <c r="AH61" s="1226"/>
      <c r="AI61" s="1226"/>
      <c r="AJ61" s="1226"/>
      <c r="AK61" s="1226"/>
      <c r="AL61" s="1226"/>
      <c r="AM61" s="1226"/>
      <c r="AN61" s="1226"/>
      <c r="AO61" s="1226"/>
      <c r="AP61" s="1226"/>
      <c r="AQ61" s="1226"/>
      <c r="AR61" s="1226"/>
      <c r="AS61" s="1226"/>
      <c r="AT61" s="1226"/>
      <c r="AU61" s="1226"/>
      <c r="AV61" s="1226"/>
      <c r="AW61" s="1226"/>
      <c r="AX61" s="1226"/>
      <c r="AY61" s="1226"/>
      <c r="AZ61" s="1226"/>
      <c r="BA61" s="1226"/>
      <c r="BB61" s="1226"/>
      <c r="BC61" s="1226"/>
      <c r="BD61" s="1226"/>
      <c r="BE61" s="1226"/>
      <c r="BF61" s="1226"/>
      <c r="BG61" s="1226"/>
      <c r="BH61" s="1226"/>
      <c r="BI61" s="1226"/>
      <c r="BJ61" s="1226"/>
      <c r="BK61" s="1226"/>
      <c r="BL61" s="1226"/>
      <c r="BM61" s="1226"/>
      <c r="BN61" s="1226"/>
      <c r="BO61" s="1226"/>
      <c r="BP61" s="1226"/>
      <c r="BQ61" s="1226"/>
      <c r="BR61" s="1226"/>
      <c r="BS61" s="1226"/>
      <c r="BT61" s="1227"/>
      <c r="BU61" s="307"/>
      <c r="BV61" s="294"/>
    </row>
    <row r="62" hidden="1">
      <c r="A62" s="294"/>
      <c r="B62" s="350"/>
      <c r="C62" s="1222"/>
      <c r="D62" s="383"/>
      <c r="E62" s="383"/>
      <c r="F62" s="383"/>
      <c r="G62" s="383"/>
      <c r="H62" s="383"/>
      <c r="I62" s="679"/>
      <c r="J62" s="1223"/>
      <c r="K62" s="383"/>
      <c r="L62" s="383"/>
      <c r="M62" s="679"/>
      <c r="N62" s="1224"/>
      <c r="O62" s="383"/>
      <c r="P62" s="383"/>
      <c r="Q62" s="679"/>
      <c r="R62" s="1236"/>
      <c r="S62" s="1226"/>
      <c r="T62" s="1226"/>
      <c r="U62" s="1226"/>
      <c r="V62" s="1226"/>
      <c r="W62" s="1226"/>
      <c r="X62" s="1226"/>
      <c r="Y62" s="1226"/>
      <c r="Z62" s="1226"/>
      <c r="AA62" s="1226"/>
      <c r="AB62" s="1226"/>
      <c r="AC62" s="1226"/>
      <c r="AD62" s="1226"/>
      <c r="AE62" s="1226"/>
      <c r="AF62" s="1226"/>
      <c r="AG62" s="1226"/>
      <c r="AH62" s="1226"/>
      <c r="AI62" s="1226"/>
      <c r="AJ62" s="1226"/>
      <c r="AK62" s="1226"/>
      <c r="AL62" s="1226"/>
      <c r="AM62" s="1226"/>
      <c r="AN62" s="1226"/>
      <c r="AO62" s="1226"/>
      <c r="AP62" s="1226"/>
      <c r="AQ62" s="1226"/>
      <c r="AR62" s="1226"/>
      <c r="AS62" s="1226"/>
      <c r="AT62" s="1226"/>
      <c r="AU62" s="1226"/>
      <c r="AV62" s="1226"/>
      <c r="AW62" s="1226"/>
      <c r="AX62" s="1226"/>
      <c r="AY62" s="1226"/>
      <c r="AZ62" s="1226"/>
      <c r="BA62" s="1226"/>
      <c r="BB62" s="1226"/>
      <c r="BC62" s="1226"/>
      <c r="BD62" s="1226"/>
      <c r="BE62" s="1226"/>
      <c r="BF62" s="1226"/>
      <c r="BG62" s="1226"/>
      <c r="BH62" s="1226"/>
      <c r="BI62" s="1226"/>
      <c r="BJ62" s="1226"/>
      <c r="BK62" s="1226"/>
      <c r="BL62" s="1226"/>
      <c r="BM62" s="1226"/>
      <c r="BN62" s="1226"/>
      <c r="BO62" s="1226"/>
      <c r="BP62" s="1226"/>
      <c r="BQ62" s="1226"/>
      <c r="BR62" s="1226"/>
      <c r="BS62" s="1226"/>
      <c r="BT62" s="1227"/>
      <c r="BU62" s="307"/>
      <c r="BV62" s="294"/>
    </row>
    <row r="63" hidden="1">
      <c r="A63" s="294"/>
      <c r="B63" s="350"/>
      <c r="C63" s="1228"/>
      <c r="D63" s="383"/>
      <c r="E63" s="383"/>
      <c r="F63" s="383"/>
      <c r="G63" s="383"/>
      <c r="H63" s="383"/>
      <c r="I63" s="679"/>
      <c r="J63" s="1229"/>
      <c r="K63" s="383"/>
      <c r="L63" s="383"/>
      <c r="M63" s="679"/>
      <c r="N63" s="1230"/>
      <c r="O63" s="383"/>
      <c r="P63" s="383"/>
      <c r="Q63" s="679"/>
      <c r="R63" s="1237"/>
      <c r="S63" s="1226"/>
      <c r="T63" s="1226"/>
      <c r="U63" s="1226"/>
      <c r="V63" s="1226"/>
      <c r="W63" s="1226"/>
      <c r="X63" s="1226"/>
      <c r="Y63" s="1226"/>
      <c r="Z63" s="1226"/>
      <c r="AA63" s="1226"/>
      <c r="AB63" s="1226"/>
      <c r="AC63" s="1226"/>
      <c r="AD63" s="1226"/>
      <c r="AE63" s="1226"/>
      <c r="AF63" s="1226"/>
      <c r="AG63" s="1226"/>
      <c r="AH63" s="1226"/>
      <c r="AI63" s="1226"/>
      <c r="AJ63" s="1226"/>
      <c r="AK63" s="1226"/>
      <c r="AL63" s="1226"/>
      <c r="AM63" s="1226"/>
      <c r="AN63" s="1226"/>
      <c r="AO63" s="1226"/>
      <c r="AP63" s="1226"/>
      <c r="AQ63" s="1226"/>
      <c r="AR63" s="1226"/>
      <c r="AS63" s="1226"/>
      <c r="AT63" s="1226"/>
      <c r="AU63" s="1226"/>
      <c r="AV63" s="1226"/>
      <c r="AW63" s="1226"/>
      <c r="AX63" s="1226"/>
      <c r="AY63" s="1226"/>
      <c r="AZ63" s="1226"/>
      <c r="BA63" s="1226"/>
      <c r="BB63" s="1226"/>
      <c r="BC63" s="1226"/>
      <c r="BD63" s="1226"/>
      <c r="BE63" s="1226"/>
      <c r="BF63" s="1226"/>
      <c r="BG63" s="1226"/>
      <c r="BH63" s="1226"/>
      <c r="BI63" s="1226"/>
      <c r="BJ63" s="1226"/>
      <c r="BK63" s="1226"/>
      <c r="BL63" s="1226"/>
      <c r="BM63" s="1226"/>
      <c r="BN63" s="1226"/>
      <c r="BO63" s="1226"/>
      <c r="BP63" s="1226"/>
      <c r="BQ63" s="1226"/>
      <c r="BR63" s="1226"/>
      <c r="BS63" s="1226"/>
      <c r="BT63" s="1227"/>
      <c r="BU63" s="307"/>
      <c r="BV63" s="294"/>
    </row>
    <row r="64" hidden="1">
      <c r="A64" s="294"/>
      <c r="B64" s="350"/>
      <c r="C64" s="1222"/>
      <c r="D64" s="383"/>
      <c r="E64" s="383"/>
      <c r="F64" s="383"/>
      <c r="G64" s="383"/>
      <c r="H64" s="383"/>
      <c r="I64" s="679"/>
      <c r="J64" s="1223"/>
      <c r="K64" s="383"/>
      <c r="L64" s="383"/>
      <c r="M64" s="679"/>
      <c r="N64" s="1224"/>
      <c r="O64" s="383"/>
      <c r="P64" s="383"/>
      <c r="Q64" s="679"/>
      <c r="R64" s="1236"/>
      <c r="S64" s="1226"/>
      <c r="T64" s="1226"/>
      <c r="U64" s="1226"/>
      <c r="V64" s="1226"/>
      <c r="W64" s="1226"/>
      <c r="X64" s="1226"/>
      <c r="Y64" s="1226"/>
      <c r="Z64" s="1226"/>
      <c r="AA64" s="1226"/>
      <c r="AB64" s="1226"/>
      <c r="AC64" s="1226"/>
      <c r="AD64" s="1226"/>
      <c r="AE64" s="1226"/>
      <c r="AF64" s="1226"/>
      <c r="AG64" s="1226"/>
      <c r="AH64" s="1226"/>
      <c r="AI64" s="1226"/>
      <c r="AJ64" s="1226"/>
      <c r="AK64" s="1226"/>
      <c r="AL64" s="1226"/>
      <c r="AM64" s="1226"/>
      <c r="AN64" s="1226"/>
      <c r="AO64" s="1226"/>
      <c r="AP64" s="1226"/>
      <c r="AQ64" s="1226"/>
      <c r="AR64" s="1226"/>
      <c r="AS64" s="1226"/>
      <c r="AT64" s="1226"/>
      <c r="AU64" s="1226"/>
      <c r="AV64" s="1226"/>
      <c r="AW64" s="1226"/>
      <c r="AX64" s="1226"/>
      <c r="AY64" s="1226"/>
      <c r="AZ64" s="1226"/>
      <c r="BA64" s="1226"/>
      <c r="BB64" s="1226"/>
      <c r="BC64" s="1226"/>
      <c r="BD64" s="1226"/>
      <c r="BE64" s="1226"/>
      <c r="BF64" s="1226"/>
      <c r="BG64" s="1226"/>
      <c r="BH64" s="1226"/>
      <c r="BI64" s="1226"/>
      <c r="BJ64" s="1226"/>
      <c r="BK64" s="1226"/>
      <c r="BL64" s="1226"/>
      <c r="BM64" s="1226"/>
      <c r="BN64" s="1226"/>
      <c r="BO64" s="1226"/>
      <c r="BP64" s="1226"/>
      <c r="BQ64" s="1226"/>
      <c r="BR64" s="1226"/>
      <c r="BS64" s="1226"/>
      <c r="BT64" s="1227"/>
      <c r="BU64" s="307"/>
      <c r="BV64" s="294"/>
    </row>
    <row r="65" hidden="1">
      <c r="A65" s="294"/>
      <c r="B65" s="350"/>
      <c r="C65" s="1228"/>
      <c r="D65" s="383"/>
      <c r="E65" s="383"/>
      <c r="F65" s="383"/>
      <c r="G65" s="383"/>
      <c r="H65" s="383"/>
      <c r="I65" s="679"/>
      <c r="J65" s="1229"/>
      <c r="K65" s="383"/>
      <c r="L65" s="383"/>
      <c r="M65" s="679"/>
      <c r="N65" s="1230"/>
      <c r="O65" s="383"/>
      <c r="P65" s="383"/>
      <c r="Q65" s="679"/>
      <c r="R65" s="1237"/>
      <c r="S65" s="1226"/>
      <c r="T65" s="1226"/>
      <c r="U65" s="1226"/>
      <c r="V65" s="1226"/>
      <c r="W65" s="1226"/>
      <c r="X65" s="1226"/>
      <c r="Y65" s="1226"/>
      <c r="Z65" s="1226"/>
      <c r="AA65" s="1226"/>
      <c r="AB65" s="1226"/>
      <c r="AC65" s="1226"/>
      <c r="AD65" s="1226"/>
      <c r="AE65" s="1226"/>
      <c r="AF65" s="1226"/>
      <c r="AG65" s="1226"/>
      <c r="AH65" s="1226"/>
      <c r="AI65" s="1226"/>
      <c r="AJ65" s="1226"/>
      <c r="AK65" s="1226"/>
      <c r="AL65" s="1226"/>
      <c r="AM65" s="1226"/>
      <c r="AN65" s="1226"/>
      <c r="AO65" s="1226"/>
      <c r="AP65" s="1226"/>
      <c r="AQ65" s="1226"/>
      <c r="AR65" s="1226"/>
      <c r="AS65" s="1226"/>
      <c r="AT65" s="1226"/>
      <c r="AU65" s="1226"/>
      <c r="AV65" s="1226"/>
      <c r="AW65" s="1226"/>
      <c r="AX65" s="1226"/>
      <c r="AY65" s="1226"/>
      <c r="AZ65" s="1226"/>
      <c r="BA65" s="1226"/>
      <c r="BB65" s="1226"/>
      <c r="BC65" s="1226"/>
      <c r="BD65" s="1226"/>
      <c r="BE65" s="1226"/>
      <c r="BF65" s="1226"/>
      <c r="BG65" s="1226"/>
      <c r="BH65" s="1226"/>
      <c r="BI65" s="1226"/>
      <c r="BJ65" s="1226"/>
      <c r="BK65" s="1226"/>
      <c r="BL65" s="1226"/>
      <c r="BM65" s="1226"/>
      <c r="BN65" s="1226"/>
      <c r="BO65" s="1226"/>
      <c r="BP65" s="1226"/>
      <c r="BQ65" s="1226"/>
      <c r="BR65" s="1226"/>
      <c r="BS65" s="1226"/>
      <c r="BT65" s="1227"/>
      <c r="BU65" s="307"/>
      <c r="BV65" s="294"/>
    </row>
    <row r="66" hidden="1">
      <c r="A66" s="294"/>
      <c r="B66" s="350"/>
      <c r="C66" s="1222"/>
      <c r="D66" s="383"/>
      <c r="E66" s="383"/>
      <c r="F66" s="383"/>
      <c r="G66" s="383"/>
      <c r="H66" s="383"/>
      <c r="I66" s="679"/>
      <c r="J66" s="1223"/>
      <c r="K66" s="383"/>
      <c r="L66" s="383"/>
      <c r="M66" s="679"/>
      <c r="N66" s="1224"/>
      <c r="O66" s="383"/>
      <c r="P66" s="383"/>
      <c r="Q66" s="679"/>
      <c r="R66" s="1236"/>
      <c r="S66" s="1226"/>
      <c r="T66" s="1226"/>
      <c r="U66" s="1226"/>
      <c r="V66" s="1226"/>
      <c r="W66" s="1226"/>
      <c r="X66" s="1226"/>
      <c r="Y66" s="1226"/>
      <c r="Z66" s="1226"/>
      <c r="AA66" s="1226"/>
      <c r="AB66" s="1226"/>
      <c r="AC66" s="1226"/>
      <c r="AD66" s="1226"/>
      <c r="AE66" s="1226"/>
      <c r="AF66" s="1226"/>
      <c r="AG66" s="1226"/>
      <c r="AH66" s="1226"/>
      <c r="AI66" s="1226"/>
      <c r="AJ66" s="1226"/>
      <c r="AK66" s="1226"/>
      <c r="AL66" s="1226"/>
      <c r="AM66" s="1226"/>
      <c r="AN66" s="1226"/>
      <c r="AO66" s="1226"/>
      <c r="AP66" s="1226"/>
      <c r="AQ66" s="1226"/>
      <c r="AR66" s="1226"/>
      <c r="AS66" s="1226"/>
      <c r="AT66" s="1226"/>
      <c r="AU66" s="1226"/>
      <c r="AV66" s="1226"/>
      <c r="AW66" s="1226"/>
      <c r="AX66" s="1226"/>
      <c r="AY66" s="1226"/>
      <c r="AZ66" s="1226"/>
      <c r="BA66" s="1226"/>
      <c r="BB66" s="1226"/>
      <c r="BC66" s="1226"/>
      <c r="BD66" s="1226"/>
      <c r="BE66" s="1226"/>
      <c r="BF66" s="1226"/>
      <c r="BG66" s="1226"/>
      <c r="BH66" s="1226"/>
      <c r="BI66" s="1226"/>
      <c r="BJ66" s="1226"/>
      <c r="BK66" s="1226"/>
      <c r="BL66" s="1226"/>
      <c r="BM66" s="1226"/>
      <c r="BN66" s="1226"/>
      <c r="BO66" s="1226"/>
      <c r="BP66" s="1226"/>
      <c r="BQ66" s="1226"/>
      <c r="BR66" s="1226"/>
      <c r="BS66" s="1226"/>
      <c r="BT66" s="1227"/>
      <c r="BU66" s="307"/>
      <c r="BV66" s="294"/>
    </row>
    <row r="67" hidden="1">
      <c r="A67" s="294"/>
      <c r="B67" s="350"/>
      <c r="C67" s="1228"/>
      <c r="D67" s="383"/>
      <c r="E67" s="383"/>
      <c r="F67" s="383"/>
      <c r="G67" s="383"/>
      <c r="H67" s="383"/>
      <c r="I67" s="679"/>
      <c r="J67" s="1229"/>
      <c r="K67" s="383"/>
      <c r="L67" s="383"/>
      <c r="M67" s="679"/>
      <c r="N67" s="1230"/>
      <c r="O67" s="383"/>
      <c r="P67" s="383"/>
      <c r="Q67" s="679"/>
      <c r="R67" s="1237"/>
      <c r="S67" s="1226"/>
      <c r="T67" s="1226"/>
      <c r="U67" s="1226"/>
      <c r="V67" s="1226"/>
      <c r="W67" s="1226"/>
      <c r="X67" s="1226"/>
      <c r="Y67" s="1226"/>
      <c r="Z67" s="1226"/>
      <c r="AA67" s="1226"/>
      <c r="AB67" s="1226"/>
      <c r="AC67" s="1226"/>
      <c r="AD67" s="1226"/>
      <c r="AE67" s="1226"/>
      <c r="AF67" s="1226"/>
      <c r="AG67" s="1226"/>
      <c r="AH67" s="1226"/>
      <c r="AI67" s="1226"/>
      <c r="AJ67" s="1226"/>
      <c r="AK67" s="1226"/>
      <c r="AL67" s="1226"/>
      <c r="AM67" s="1226"/>
      <c r="AN67" s="1226"/>
      <c r="AO67" s="1226"/>
      <c r="AP67" s="1226"/>
      <c r="AQ67" s="1226"/>
      <c r="AR67" s="1226"/>
      <c r="AS67" s="1226"/>
      <c r="AT67" s="1226"/>
      <c r="AU67" s="1226"/>
      <c r="AV67" s="1226"/>
      <c r="AW67" s="1226"/>
      <c r="AX67" s="1226"/>
      <c r="AY67" s="1226"/>
      <c r="AZ67" s="1226"/>
      <c r="BA67" s="1226"/>
      <c r="BB67" s="1226"/>
      <c r="BC67" s="1226"/>
      <c r="BD67" s="1226"/>
      <c r="BE67" s="1226"/>
      <c r="BF67" s="1226"/>
      <c r="BG67" s="1226"/>
      <c r="BH67" s="1226"/>
      <c r="BI67" s="1226"/>
      <c r="BJ67" s="1226"/>
      <c r="BK67" s="1226"/>
      <c r="BL67" s="1226"/>
      <c r="BM67" s="1226"/>
      <c r="BN67" s="1226"/>
      <c r="BO67" s="1226"/>
      <c r="BP67" s="1226"/>
      <c r="BQ67" s="1226"/>
      <c r="BR67" s="1226"/>
      <c r="BS67" s="1226"/>
      <c r="BT67" s="1227"/>
      <c r="BU67" s="307"/>
      <c r="BV67" s="294"/>
    </row>
    <row r="68" hidden="1">
      <c r="A68" s="294"/>
      <c r="B68" s="350"/>
      <c r="C68" s="1222"/>
      <c r="D68" s="383"/>
      <c r="E68" s="383"/>
      <c r="F68" s="383"/>
      <c r="G68" s="383"/>
      <c r="H68" s="383"/>
      <c r="I68" s="679"/>
      <c r="J68" s="1223"/>
      <c r="K68" s="383"/>
      <c r="L68" s="383"/>
      <c r="M68" s="679"/>
      <c r="N68" s="1224"/>
      <c r="O68" s="383"/>
      <c r="P68" s="383"/>
      <c r="Q68" s="679"/>
      <c r="R68" s="1236"/>
      <c r="S68" s="1226"/>
      <c r="T68" s="1226"/>
      <c r="U68" s="1226"/>
      <c r="V68" s="1226"/>
      <c r="W68" s="1226"/>
      <c r="X68" s="1226"/>
      <c r="Y68" s="1226"/>
      <c r="Z68" s="1226"/>
      <c r="AA68" s="1226"/>
      <c r="AB68" s="1226"/>
      <c r="AC68" s="1226"/>
      <c r="AD68" s="1226"/>
      <c r="AE68" s="1226"/>
      <c r="AF68" s="1226"/>
      <c r="AG68" s="1226"/>
      <c r="AH68" s="1226"/>
      <c r="AI68" s="1226"/>
      <c r="AJ68" s="1226"/>
      <c r="AK68" s="1226"/>
      <c r="AL68" s="1226"/>
      <c r="AM68" s="1226"/>
      <c r="AN68" s="1226"/>
      <c r="AO68" s="1226"/>
      <c r="AP68" s="1226"/>
      <c r="AQ68" s="1226"/>
      <c r="AR68" s="1226"/>
      <c r="AS68" s="1226"/>
      <c r="AT68" s="1226"/>
      <c r="AU68" s="1226"/>
      <c r="AV68" s="1226"/>
      <c r="AW68" s="1226"/>
      <c r="AX68" s="1226"/>
      <c r="AY68" s="1226"/>
      <c r="AZ68" s="1226"/>
      <c r="BA68" s="1226"/>
      <c r="BB68" s="1226"/>
      <c r="BC68" s="1226"/>
      <c r="BD68" s="1226"/>
      <c r="BE68" s="1226"/>
      <c r="BF68" s="1226"/>
      <c r="BG68" s="1226"/>
      <c r="BH68" s="1226"/>
      <c r="BI68" s="1226"/>
      <c r="BJ68" s="1226"/>
      <c r="BK68" s="1226"/>
      <c r="BL68" s="1226"/>
      <c r="BM68" s="1226"/>
      <c r="BN68" s="1226"/>
      <c r="BO68" s="1226"/>
      <c r="BP68" s="1226"/>
      <c r="BQ68" s="1226"/>
      <c r="BR68" s="1226"/>
      <c r="BS68" s="1226"/>
      <c r="BT68" s="1227"/>
      <c r="BU68" s="307"/>
      <c r="BV68" s="294"/>
    </row>
    <row r="69" hidden="1">
      <c r="A69" s="294"/>
      <c r="B69" s="350"/>
      <c r="C69" s="1228"/>
      <c r="D69" s="383"/>
      <c r="E69" s="383"/>
      <c r="F69" s="383"/>
      <c r="G69" s="383"/>
      <c r="H69" s="383"/>
      <c r="I69" s="679"/>
      <c r="J69" s="1229"/>
      <c r="K69" s="383"/>
      <c r="L69" s="383"/>
      <c r="M69" s="679"/>
      <c r="N69" s="1230"/>
      <c r="O69" s="383"/>
      <c r="P69" s="383"/>
      <c r="Q69" s="679"/>
      <c r="R69" s="1237"/>
      <c r="S69" s="1226"/>
      <c r="T69" s="1226"/>
      <c r="U69" s="1226"/>
      <c r="V69" s="1226"/>
      <c r="W69" s="1226"/>
      <c r="X69" s="1226"/>
      <c r="Y69" s="1226"/>
      <c r="Z69" s="1226"/>
      <c r="AA69" s="1226"/>
      <c r="AB69" s="1226"/>
      <c r="AC69" s="1226"/>
      <c r="AD69" s="1226"/>
      <c r="AE69" s="1226"/>
      <c r="AF69" s="1226"/>
      <c r="AG69" s="1226"/>
      <c r="AH69" s="1226"/>
      <c r="AI69" s="1226"/>
      <c r="AJ69" s="1226"/>
      <c r="AK69" s="1226"/>
      <c r="AL69" s="1226"/>
      <c r="AM69" s="1226"/>
      <c r="AN69" s="1226"/>
      <c r="AO69" s="1226"/>
      <c r="AP69" s="1226"/>
      <c r="AQ69" s="1226"/>
      <c r="AR69" s="1226"/>
      <c r="AS69" s="1226"/>
      <c r="AT69" s="1226"/>
      <c r="AU69" s="1226"/>
      <c r="AV69" s="1226"/>
      <c r="AW69" s="1226"/>
      <c r="AX69" s="1226"/>
      <c r="AY69" s="1226"/>
      <c r="AZ69" s="1226"/>
      <c r="BA69" s="1226"/>
      <c r="BB69" s="1226"/>
      <c r="BC69" s="1226"/>
      <c r="BD69" s="1226"/>
      <c r="BE69" s="1226"/>
      <c r="BF69" s="1226"/>
      <c r="BG69" s="1226"/>
      <c r="BH69" s="1226"/>
      <c r="BI69" s="1226"/>
      <c r="BJ69" s="1226"/>
      <c r="BK69" s="1226"/>
      <c r="BL69" s="1226"/>
      <c r="BM69" s="1226"/>
      <c r="BN69" s="1226"/>
      <c r="BO69" s="1226"/>
      <c r="BP69" s="1226"/>
      <c r="BQ69" s="1226"/>
      <c r="BR69" s="1226"/>
      <c r="BS69" s="1226"/>
      <c r="BT69" s="1227"/>
      <c r="BU69" s="307"/>
      <c r="BV69" s="294"/>
    </row>
    <row r="70" hidden="1">
      <c r="A70" s="294"/>
      <c r="B70" s="350"/>
      <c r="C70" s="1222"/>
      <c r="D70" s="383"/>
      <c r="E70" s="383"/>
      <c r="F70" s="383"/>
      <c r="G70" s="383"/>
      <c r="H70" s="383"/>
      <c r="I70" s="679"/>
      <c r="J70" s="1223"/>
      <c r="K70" s="383"/>
      <c r="L70" s="383"/>
      <c r="M70" s="679"/>
      <c r="N70" s="1224"/>
      <c r="O70" s="383"/>
      <c r="P70" s="383"/>
      <c r="Q70" s="679"/>
      <c r="R70" s="1236"/>
      <c r="S70" s="1226"/>
      <c r="T70" s="1226"/>
      <c r="U70" s="1226"/>
      <c r="V70" s="1226"/>
      <c r="W70" s="1226"/>
      <c r="X70" s="1226"/>
      <c r="Y70" s="1226"/>
      <c r="Z70" s="1226"/>
      <c r="AA70" s="1226"/>
      <c r="AB70" s="1226"/>
      <c r="AC70" s="1226"/>
      <c r="AD70" s="1226"/>
      <c r="AE70" s="1226"/>
      <c r="AF70" s="1226"/>
      <c r="AG70" s="1226"/>
      <c r="AH70" s="1226"/>
      <c r="AI70" s="1226"/>
      <c r="AJ70" s="1226"/>
      <c r="AK70" s="1226"/>
      <c r="AL70" s="1226"/>
      <c r="AM70" s="1226"/>
      <c r="AN70" s="1226"/>
      <c r="AO70" s="1226"/>
      <c r="AP70" s="1226"/>
      <c r="AQ70" s="1226"/>
      <c r="AR70" s="1226"/>
      <c r="AS70" s="1226"/>
      <c r="AT70" s="1226"/>
      <c r="AU70" s="1226"/>
      <c r="AV70" s="1226"/>
      <c r="AW70" s="1226"/>
      <c r="AX70" s="1226"/>
      <c r="AY70" s="1226"/>
      <c r="AZ70" s="1226"/>
      <c r="BA70" s="1226"/>
      <c r="BB70" s="1226"/>
      <c r="BC70" s="1226"/>
      <c r="BD70" s="1226"/>
      <c r="BE70" s="1226"/>
      <c r="BF70" s="1226"/>
      <c r="BG70" s="1226"/>
      <c r="BH70" s="1226"/>
      <c r="BI70" s="1226"/>
      <c r="BJ70" s="1226"/>
      <c r="BK70" s="1226"/>
      <c r="BL70" s="1226"/>
      <c r="BM70" s="1226"/>
      <c r="BN70" s="1226"/>
      <c r="BO70" s="1226"/>
      <c r="BP70" s="1226"/>
      <c r="BQ70" s="1226"/>
      <c r="BR70" s="1226"/>
      <c r="BS70" s="1226"/>
      <c r="BT70" s="1227"/>
      <c r="BU70" s="307"/>
      <c r="BV70" s="294"/>
    </row>
    <row r="71" hidden="1">
      <c r="A71" s="294"/>
      <c r="B71" s="350"/>
      <c r="C71" s="1228"/>
      <c r="D71" s="383"/>
      <c r="E71" s="383"/>
      <c r="F71" s="383"/>
      <c r="G71" s="383"/>
      <c r="H71" s="383"/>
      <c r="I71" s="679"/>
      <c r="J71" s="1229"/>
      <c r="K71" s="383"/>
      <c r="L71" s="383"/>
      <c r="M71" s="679"/>
      <c r="N71" s="1230"/>
      <c r="O71" s="383"/>
      <c r="P71" s="383"/>
      <c r="Q71" s="679"/>
      <c r="R71" s="1237"/>
      <c r="S71" s="1226"/>
      <c r="T71" s="1226"/>
      <c r="U71" s="1226"/>
      <c r="V71" s="1226"/>
      <c r="W71" s="1226"/>
      <c r="X71" s="1226"/>
      <c r="Y71" s="1226"/>
      <c r="Z71" s="1226"/>
      <c r="AA71" s="1226"/>
      <c r="AB71" s="1226"/>
      <c r="AC71" s="1226"/>
      <c r="AD71" s="1226"/>
      <c r="AE71" s="1226"/>
      <c r="AF71" s="1226"/>
      <c r="AG71" s="1226"/>
      <c r="AH71" s="1226"/>
      <c r="AI71" s="1226"/>
      <c r="AJ71" s="1226"/>
      <c r="AK71" s="1226"/>
      <c r="AL71" s="1226"/>
      <c r="AM71" s="1226"/>
      <c r="AN71" s="1226"/>
      <c r="AO71" s="1226"/>
      <c r="AP71" s="1226"/>
      <c r="AQ71" s="1226"/>
      <c r="AR71" s="1226"/>
      <c r="AS71" s="1226"/>
      <c r="AT71" s="1226"/>
      <c r="AU71" s="1226"/>
      <c r="AV71" s="1226"/>
      <c r="AW71" s="1226"/>
      <c r="AX71" s="1226"/>
      <c r="AY71" s="1226"/>
      <c r="AZ71" s="1226"/>
      <c r="BA71" s="1226"/>
      <c r="BB71" s="1226"/>
      <c r="BC71" s="1226"/>
      <c r="BD71" s="1226"/>
      <c r="BE71" s="1226"/>
      <c r="BF71" s="1226"/>
      <c r="BG71" s="1226"/>
      <c r="BH71" s="1226"/>
      <c r="BI71" s="1226"/>
      <c r="BJ71" s="1226"/>
      <c r="BK71" s="1226"/>
      <c r="BL71" s="1226"/>
      <c r="BM71" s="1226"/>
      <c r="BN71" s="1226"/>
      <c r="BO71" s="1226"/>
      <c r="BP71" s="1226"/>
      <c r="BQ71" s="1226"/>
      <c r="BR71" s="1226"/>
      <c r="BS71" s="1226"/>
      <c r="BT71" s="1227"/>
      <c r="BU71" s="307"/>
      <c r="BV71" s="294"/>
    </row>
    <row r="72" hidden="1">
      <c r="A72" s="294"/>
      <c r="B72" s="350"/>
      <c r="C72" s="1222"/>
      <c r="D72" s="383"/>
      <c r="E72" s="383"/>
      <c r="F72" s="383"/>
      <c r="G72" s="383"/>
      <c r="H72" s="383"/>
      <c r="I72" s="679"/>
      <c r="J72" s="1223"/>
      <c r="K72" s="383"/>
      <c r="L72" s="383"/>
      <c r="M72" s="679"/>
      <c r="N72" s="1224"/>
      <c r="O72" s="383"/>
      <c r="P72" s="383"/>
      <c r="Q72" s="679"/>
      <c r="R72" s="1236"/>
      <c r="S72" s="1226"/>
      <c r="T72" s="1226"/>
      <c r="U72" s="1226"/>
      <c r="V72" s="1226"/>
      <c r="W72" s="1226"/>
      <c r="X72" s="1226"/>
      <c r="Y72" s="1226"/>
      <c r="Z72" s="1226"/>
      <c r="AA72" s="1226"/>
      <c r="AB72" s="1226"/>
      <c r="AC72" s="1226"/>
      <c r="AD72" s="1226"/>
      <c r="AE72" s="1226"/>
      <c r="AF72" s="1226"/>
      <c r="AG72" s="1226"/>
      <c r="AH72" s="1226"/>
      <c r="AI72" s="1226"/>
      <c r="AJ72" s="1226"/>
      <c r="AK72" s="1226"/>
      <c r="AL72" s="1226"/>
      <c r="AM72" s="1226"/>
      <c r="AN72" s="1226"/>
      <c r="AO72" s="1226"/>
      <c r="AP72" s="1226"/>
      <c r="AQ72" s="1226"/>
      <c r="AR72" s="1226"/>
      <c r="AS72" s="1226"/>
      <c r="AT72" s="1226"/>
      <c r="AU72" s="1226"/>
      <c r="AV72" s="1226"/>
      <c r="AW72" s="1226"/>
      <c r="AX72" s="1226"/>
      <c r="AY72" s="1226"/>
      <c r="AZ72" s="1226"/>
      <c r="BA72" s="1226"/>
      <c r="BB72" s="1226"/>
      <c r="BC72" s="1226"/>
      <c r="BD72" s="1226"/>
      <c r="BE72" s="1226"/>
      <c r="BF72" s="1226"/>
      <c r="BG72" s="1226"/>
      <c r="BH72" s="1226"/>
      <c r="BI72" s="1226"/>
      <c r="BJ72" s="1226"/>
      <c r="BK72" s="1226"/>
      <c r="BL72" s="1226"/>
      <c r="BM72" s="1226"/>
      <c r="BN72" s="1226"/>
      <c r="BO72" s="1226"/>
      <c r="BP72" s="1226"/>
      <c r="BQ72" s="1226"/>
      <c r="BR72" s="1226"/>
      <c r="BS72" s="1226"/>
      <c r="BT72" s="1227"/>
      <c r="BU72" s="307"/>
      <c r="BV72" s="294"/>
    </row>
    <row r="73" hidden="1">
      <c r="A73" s="294"/>
      <c r="B73" s="350"/>
      <c r="C73" s="1228"/>
      <c r="D73" s="383"/>
      <c r="E73" s="383"/>
      <c r="F73" s="383"/>
      <c r="G73" s="383"/>
      <c r="H73" s="383"/>
      <c r="I73" s="679"/>
      <c r="J73" s="1229"/>
      <c r="K73" s="383"/>
      <c r="L73" s="383"/>
      <c r="M73" s="679"/>
      <c r="N73" s="1230"/>
      <c r="O73" s="383"/>
      <c r="P73" s="383"/>
      <c r="Q73" s="679"/>
      <c r="R73" s="1237"/>
      <c r="S73" s="1226"/>
      <c r="T73" s="1226"/>
      <c r="U73" s="1226"/>
      <c r="V73" s="1226"/>
      <c r="W73" s="1226"/>
      <c r="X73" s="1226"/>
      <c r="Y73" s="1226"/>
      <c r="Z73" s="1226"/>
      <c r="AA73" s="1226"/>
      <c r="AB73" s="1226"/>
      <c r="AC73" s="1226"/>
      <c r="AD73" s="1226"/>
      <c r="AE73" s="1226"/>
      <c r="AF73" s="1226"/>
      <c r="AG73" s="1226"/>
      <c r="AH73" s="1226"/>
      <c r="AI73" s="1226"/>
      <c r="AJ73" s="1226"/>
      <c r="AK73" s="1226"/>
      <c r="AL73" s="1226"/>
      <c r="AM73" s="1226"/>
      <c r="AN73" s="1226"/>
      <c r="AO73" s="1226"/>
      <c r="AP73" s="1226"/>
      <c r="AQ73" s="1226"/>
      <c r="AR73" s="1226"/>
      <c r="AS73" s="1226"/>
      <c r="AT73" s="1226"/>
      <c r="AU73" s="1226"/>
      <c r="AV73" s="1226"/>
      <c r="AW73" s="1226"/>
      <c r="AX73" s="1226"/>
      <c r="AY73" s="1226"/>
      <c r="AZ73" s="1226"/>
      <c r="BA73" s="1226"/>
      <c r="BB73" s="1226"/>
      <c r="BC73" s="1226"/>
      <c r="BD73" s="1226"/>
      <c r="BE73" s="1226"/>
      <c r="BF73" s="1226"/>
      <c r="BG73" s="1226"/>
      <c r="BH73" s="1226"/>
      <c r="BI73" s="1226"/>
      <c r="BJ73" s="1226"/>
      <c r="BK73" s="1226"/>
      <c r="BL73" s="1226"/>
      <c r="BM73" s="1226"/>
      <c r="BN73" s="1226"/>
      <c r="BO73" s="1226"/>
      <c r="BP73" s="1226"/>
      <c r="BQ73" s="1226"/>
      <c r="BR73" s="1226"/>
      <c r="BS73" s="1226"/>
      <c r="BT73" s="1227"/>
      <c r="BU73" s="307"/>
      <c r="BV73" s="294"/>
    </row>
    <row r="74" hidden="1">
      <c r="A74" s="294"/>
      <c r="B74" s="350"/>
      <c r="C74" s="1222"/>
      <c r="D74" s="383"/>
      <c r="E74" s="383"/>
      <c r="F74" s="383"/>
      <c r="G74" s="383"/>
      <c r="H74" s="383"/>
      <c r="I74" s="679"/>
      <c r="J74" s="1223"/>
      <c r="K74" s="383"/>
      <c r="L74" s="383"/>
      <c r="M74" s="679"/>
      <c r="N74" s="1224"/>
      <c r="O74" s="383"/>
      <c r="P74" s="383"/>
      <c r="Q74" s="679"/>
      <c r="R74" s="1236"/>
      <c r="S74" s="1226"/>
      <c r="T74" s="1226"/>
      <c r="U74" s="1226"/>
      <c r="V74" s="1226"/>
      <c r="W74" s="1226"/>
      <c r="X74" s="1226"/>
      <c r="Y74" s="1226"/>
      <c r="Z74" s="1226"/>
      <c r="AA74" s="1226"/>
      <c r="AB74" s="1226"/>
      <c r="AC74" s="1226"/>
      <c r="AD74" s="1226"/>
      <c r="AE74" s="1226"/>
      <c r="AF74" s="1226"/>
      <c r="AG74" s="1226"/>
      <c r="AH74" s="1226"/>
      <c r="AI74" s="1226"/>
      <c r="AJ74" s="1226"/>
      <c r="AK74" s="1226"/>
      <c r="AL74" s="1226"/>
      <c r="AM74" s="1226"/>
      <c r="AN74" s="1226"/>
      <c r="AO74" s="1226"/>
      <c r="AP74" s="1226"/>
      <c r="AQ74" s="1226"/>
      <c r="AR74" s="1226"/>
      <c r="AS74" s="1226"/>
      <c r="AT74" s="1226"/>
      <c r="AU74" s="1226"/>
      <c r="AV74" s="1226"/>
      <c r="AW74" s="1226"/>
      <c r="AX74" s="1226"/>
      <c r="AY74" s="1226"/>
      <c r="AZ74" s="1226"/>
      <c r="BA74" s="1226"/>
      <c r="BB74" s="1226"/>
      <c r="BC74" s="1226"/>
      <c r="BD74" s="1226"/>
      <c r="BE74" s="1226"/>
      <c r="BF74" s="1226"/>
      <c r="BG74" s="1226"/>
      <c r="BH74" s="1226"/>
      <c r="BI74" s="1226"/>
      <c r="BJ74" s="1226"/>
      <c r="BK74" s="1226"/>
      <c r="BL74" s="1226"/>
      <c r="BM74" s="1226"/>
      <c r="BN74" s="1226"/>
      <c r="BO74" s="1226"/>
      <c r="BP74" s="1226"/>
      <c r="BQ74" s="1226"/>
      <c r="BR74" s="1226"/>
      <c r="BS74" s="1226"/>
      <c r="BT74" s="1227"/>
      <c r="BU74" s="307"/>
      <c r="BV74" s="294"/>
    </row>
    <row r="75" hidden="1">
      <c r="A75" s="294"/>
      <c r="B75" s="350"/>
      <c r="C75" s="1228"/>
      <c r="D75" s="383"/>
      <c r="E75" s="383"/>
      <c r="F75" s="383"/>
      <c r="G75" s="383"/>
      <c r="H75" s="383"/>
      <c r="I75" s="679"/>
      <c r="J75" s="1229"/>
      <c r="K75" s="383"/>
      <c r="L75" s="383"/>
      <c r="M75" s="679"/>
      <c r="N75" s="1230"/>
      <c r="O75" s="383"/>
      <c r="P75" s="383"/>
      <c r="Q75" s="679"/>
      <c r="R75" s="1237"/>
      <c r="S75" s="1226"/>
      <c r="T75" s="1226"/>
      <c r="U75" s="1226"/>
      <c r="V75" s="1226"/>
      <c r="W75" s="1226"/>
      <c r="X75" s="1226"/>
      <c r="Y75" s="1226"/>
      <c r="Z75" s="1226"/>
      <c r="AA75" s="1226"/>
      <c r="AB75" s="1226"/>
      <c r="AC75" s="1226"/>
      <c r="AD75" s="1226"/>
      <c r="AE75" s="1226"/>
      <c r="AF75" s="1226"/>
      <c r="AG75" s="1226"/>
      <c r="AH75" s="1226"/>
      <c r="AI75" s="1226"/>
      <c r="AJ75" s="1226"/>
      <c r="AK75" s="1226"/>
      <c r="AL75" s="1226"/>
      <c r="AM75" s="1226"/>
      <c r="AN75" s="1226"/>
      <c r="AO75" s="1226"/>
      <c r="AP75" s="1226"/>
      <c r="AQ75" s="1226"/>
      <c r="AR75" s="1226"/>
      <c r="AS75" s="1226"/>
      <c r="AT75" s="1226"/>
      <c r="AU75" s="1226"/>
      <c r="AV75" s="1226"/>
      <c r="AW75" s="1226"/>
      <c r="AX75" s="1226"/>
      <c r="AY75" s="1226"/>
      <c r="AZ75" s="1226"/>
      <c r="BA75" s="1226"/>
      <c r="BB75" s="1226"/>
      <c r="BC75" s="1226"/>
      <c r="BD75" s="1226"/>
      <c r="BE75" s="1226"/>
      <c r="BF75" s="1226"/>
      <c r="BG75" s="1226"/>
      <c r="BH75" s="1226"/>
      <c r="BI75" s="1226"/>
      <c r="BJ75" s="1226"/>
      <c r="BK75" s="1226"/>
      <c r="BL75" s="1226"/>
      <c r="BM75" s="1226"/>
      <c r="BN75" s="1226"/>
      <c r="BO75" s="1226"/>
      <c r="BP75" s="1226"/>
      <c r="BQ75" s="1226"/>
      <c r="BR75" s="1226"/>
      <c r="BS75" s="1226"/>
      <c r="BT75" s="1227"/>
      <c r="BU75" s="307"/>
      <c r="BV75" s="294"/>
    </row>
    <row r="76" hidden="1">
      <c r="A76" s="294"/>
      <c r="B76" s="350"/>
      <c r="C76" s="1222"/>
      <c r="D76" s="383"/>
      <c r="E76" s="383"/>
      <c r="F76" s="383"/>
      <c r="G76" s="383"/>
      <c r="H76" s="383"/>
      <c r="I76" s="679"/>
      <c r="J76" s="1223"/>
      <c r="K76" s="383"/>
      <c r="L76" s="383"/>
      <c r="M76" s="679"/>
      <c r="N76" s="1224"/>
      <c r="O76" s="383"/>
      <c r="P76" s="383"/>
      <c r="Q76" s="679"/>
      <c r="R76" s="1236"/>
      <c r="S76" s="1226"/>
      <c r="T76" s="1226"/>
      <c r="U76" s="1226"/>
      <c r="V76" s="1226"/>
      <c r="W76" s="1226"/>
      <c r="X76" s="1226"/>
      <c r="Y76" s="1226"/>
      <c r="Z76" s="1226"/>
      <c r="AA76" s="1226"/>
      <c r="AB76" s="1226"/>
      <c r="AC76" s="1226"/>
      <c r="AD76" s="1226"/>
      <c r="AE76" s="1226"/>
      <c r="AF76" s="1226"/>
      <c r="AG76" s="1226"/>
      <c r="AH76" s="1226"/>
      <c r="AI76" s="1226"/>
      <c r="AJ76" s="1226"/>
      <c r="AK76" s="1226"/>
      <c r="AL76" s="1226"/>
      <c r="AM76" s="1226"/>
      <c r="AN76" s="1226"/>
      <c r="AO76" s="1226"/>
      <c r="AP76" s="1226"/>
      <c r="AQ76" s="1226"/>
      <c r="AR76" s="1226"/>
      <c r="AS76" s="1226"/>
      <c r="AT76" s="1226"/>
      <c r="AU76" s="1226"/>
      <c r="AV76" s="1226"/>
      <c r="AW76" s="1226"/>
      <c r="AX76" s="1226"/>
      <c r="AY76" s="1226"/>
      <c r="AZ76" s="1226"/>
      <c r="BA76" s="1226"/>
      <c r="BB76" s="1226"/>
      <c r="BC76" s="1226"/>
      <c r="BD76" s="1226"/>
      <c r="BE76" s="1226"/>
      <c r="BF76" s="1226"/>
      <c r="BG76" s="1226"/>
      <c r="BH76" s="1226"/>
      <c r="BI76" s="1226"/>
      <c r="BJ76" s="1226"/>
      <c r="BK76" s="1226"/>
      <c r="BL76" s="1226"/>
      <c r="BM76" s="1226"/>
      <c r="BN76" s="1226"/>
      <c r="BO76" s="1226"/>
      <c r="BP76" s="1226"/>
      <c r="BQ76" s="1226"/>
      <c r="BR76" s="1226"/>
      <c r="BS76" s="1226"/>
      <c r="BT76" s="1227"/>
      <c r="BU76" s="307"/>
      <c r="BV76" s="294"/>
    </row>
    <row r="77" hidden="1">
      <c r="A77" s="294"/>
      <c r="B77" s="350"/>
      <c r="C77" s="1228"/>
      <c r="D77" s="383"/>
      <c r="E77" s="383"/>
      <c r="F77" s="383"/>
      <c r="G77" s="383"/>
      <c r="H77" s="383"/>
      <c r="I77" s="679"/>
      <c r="J77" s="1229"/>
      <c r="K77" s="383"/>
      <c r="L77" s="383"/>
      <c r="M77" s="679"/>
      <c r="N77" s="1230"/>
      <c r="O77" s="383"/>
      <c r="P77" s="383"/>
      <c r="Q77" s="679"/>
      <c r="R77" s="1237"/>
      <c r="S77" s="1226"/>
      <c r="T77" s="1226"/>
      <c r="U77" s="1226"/>
      <c r="V77" s="1226"/>
      <c r="W77" s="1226"/>
      <c r="X77" s="1226"/>
      <c r="Y77" s="1226"/>
      <c r="Z77" s="1226"/>
      <c r="AA77" s="1226"/>
      <c r="AB77" s="1226"/>
      <c r="AC77" s="1226"/>
      <c r="AD77" s="1226"/>
      <c r="AE77" s="1226"/>
      <c r="AF77" s="1226"/>
      <c r="AG77" s="1226"/>
      <c r="AH77" s="1226"/>
      <c r="AI77" s="1226"/>
      <c r="AJ77" s="1226"/>
      <c r="AK77" s="1226"/>
      <c r="AL77" s="1226"/>
      <c r="AM77" s="1226"/>
      <c r="AN77" s="1226"/>
      <c r="AO77" s="1226"/>
      <c r="AP77" s="1226"/>
      <c r="AQ77" s="1226"/>
      <c r="AR77" s="1226"/>
      <c r="AS77" s="1226"/>
      <c r="AT77" s="1226"/>
      <c r="AU77" s="1226"/>
      <c r="AV77" s="1226"/>
      <c r="AW77" s="1226"/>
      <c r="AX77" s="1226"/>
      <c r="AY77" s="1226"/>
      <c r="AZ77" s="1226"/>
      <c r="BA77" s="1226"/>
      <c r="BB77" s="1226"/>
      <c r="BC77" s="1226"/>
      <c r="BD77" s="1226"/>
      <c r="BE77" s="1226"/>
      <c r="BF77" s="1226"/>
      <c r="BG77" s="1226"/>
      <c r="BH77" s="1226"/>
      <c r="BI77" s="1226"/>
      <c r="BJ77" s="1226"/>
      <c r="BK77" s="1226"/>
      <c r="BL77" s="1226"/>
      <c r="BM77" s="1226"/>
      <c r="BN77" s="1226"/>
      <c r="BO77" s="1226"/>
      <c r="BP77" s="1226"/>
      <c r="BQ77" s="1226"/>
      <c r="BR77" s="1226"/>
      <c r="BS77" s="1226"/>
      <c r="BT77" s="1227"/>
      <c r="BU77" s="307"/>
      <c r="BV77" s="294"/>
    </row>
    <row r="78" hidden="1">
      <c r="A78" s="294"/>
      <c r="B78" s="350"/>
      <c r="C78" s="1222"/>
      <c r="D78" s="383"/>
      <c r="E78" s="383"/>
      <c r="F78" s="383"/>
      <c r="G78" s="383"/>
      <c r="H78" s="383"/>
      <c r="I78" s="679"/>
      <c r="J78" s="1223"/>
      <c r="K78" s="383"/>
      <c r="L78" s="383"/>
      <c r="M78" s="679"/>
      <c r="N78" s="1224"/>
      <c r="O78" s="383"/>
      <c r="P78" s="383"/>
      <c r="Q78" s="679"/>
      <c r="R78" s="1236"/>
      <c r="S78" s="1226"/>
      <c r="T78" s="1226"/>
      <c r="U78" s="1226"/>
      <c r="V78" s="1226"/>
      <c r="W78" s="1226"/>
      <c r="X78" s="1226"/>
      <c r="Y78" s="1226"/>
      <c r="Z78" s="1226"/>
      <c r="AA78" s="1226"/>
      <c r="AB78" s="1226"/>
      <c r="AC78" s="1226"/>
      <c r="AD78" s="1226"/>
      <c r="AE78" s="1226"/>
      <c r="AF78" s="1226"/>
      <c r="AG78" s="1226"/>
      <c r="AH78" s="1226"/>
      <c r="AI78" s="1226"/>
      <c r="AJ78" s="1226"/>
      <c r="AK78" s="1226"/>
      <c r="AL78" s="1226"/>
      <c r="AM78" s="1226"/>
      <c r="AN78" s="1226"/>
      <c r="AO78" s="1226"/>
      <c r="AP78" s="1226"/>
      <c r="AQ78" s="1226"/>
      <c r="AR78" s="1226"/>
      <c r="AS78" s="1226"/>
      <c r="AT78" s="1226"/>
      <c r="AU78" s="1226"/>
      <c r="AV78" s="1226"/>
      <c r="AW78" s="1226"/>
      <c r="AX78" s="1226"/>
      <c r="AY78" s="1226"/>
      <c r="AZ78" s="1226"/>
      <c r="BA78" s="1226"/>
      <c r="BB78" s="1226"/>
      <c r="BC78" s="1226"/>
      <c r="BD78" s="1226"/>
      <c r="BE78" s="1226"/>
      <c r="BF78" s="1226"/>
      <c r="BG78" s="1226"/>
      <c r="BH78" s="1226"/>
      <c r="BI78" s="1226"/>
      <c r="BJ78" s="1226"/>
      <c r="BK78" s="1226"/>
      <c r="BL78" s="1226"/>
      <c r="BM78" s="1226"/>
      <c r="BN78" s="1226"/>
      <c r="BO78" s="1226"/>
      <c r="BP78" s="1226"/>
      <c r="BQ78" s="1226"/>
      <c r="BR78" s="1226"/>
      <c r="BS78" s="1226"/>
      <c r="BT78" s="1227"/>
      <c r="BU78" s="307"/>
      <c r="BV78" s="294"/>
    </row>
    <row r="79" hidden="1">
      <c r="A79" s="294"/>
      <c r="B79" s="350"/>
      <c r="C79" s="1228"/>
      <c r="D79" s="383"/>
      <c r="E79" s="383"/>
      <c r="F79" s="383"/>
      <c r="G79" s="383"/>
      <c r="H79" s="383"/>
      <c r="I79" s="679"/>
      <c r="J79" s="1229"/>
      <c r="K79" s="383"/>
      <c r="L79" s="383"/>
      <c r="M79" s="679"/>
      <c r="N79" s="1230"/>
      <c r="O79" s="383"/>
      <c r="P79" s="383"/>
      <c r="Q79" s="679"/>
      <c r="R79" s="1237"/>
      <c r="S79" s="1226"/>
      <c r="T79" s="1226"/>
      <c r="U79" s="1226"/>
      <c r="V79" s="1226"/>
      <c r="W79" s="1226"/>
      <c r="X79" s="1226"/>
      <c r="Y79" s="1226"/>
      <c r="Z79" s="1226"/>
      <c r="AA79" s="1226"/>
      <c r="AB79" s="1226"/>
      <c r="AC79" s="1226"/>
      <c r="AD79" s="1226"/>
      <c r="AE79" s="1226"/>
      <c r="AF79" s="1226"/>
      <c r="AG79" s="1226"/>
      <c r="AH79" s="1226"/>
      <c r="AI79" s="1226"/>
      <c r="AJ79" s="1226"/>
      <c r="AK79" s="1226"/>
      <c r="AL79" s="1226"/>
      <c r="AM79" s="1226"/>
      <c r="AN79" s="1226"/>
      <c r="AO79" s="1226"/>
      <c r="AP79" s="1226"/>
      <c r="AQ79" s="1226"/>
      <c r="AR79" s="1226"/>
      <c r="AS79" s="1226"/>
      <c r="AT79" s="1226"/>
      <c r="AU79" s="1226"/>
      <c r="AV79" s="1226"/>
      <c r="AW79" s="1226"/>
      <c r="AX79" s="1226"/>
      <c r="AY79" s="1226"/>
      <c r="AZ79" s="1226"/>
      <c r="BA79" s="1226"/>
      <c r="BB79" s="1226"/>
      <c r="BC79" s="1226"/>
      <c r="BD79" s="1226"/>
      <c r="BE79" s="1226"/>
      <c r="BF79" s="1226"/>
      <c r="BG79" s="1226"/>
      <c r="BH79" s="1226"/>
      <c r="BI79" s="1226"/>
      <c r="BJ79" s="1226"/>
      <c r="BK79" s="1226"/>
      <c r="BL79" s="1226"/>
      <c r="BM79" s="1226"/>
      <c r="BN79" s="1226"/>
      <c r="BO79" s="1226"/>
      <c r="BP79" s="1226"/>
      <c r="BQ79" s="1226"/>
      <c r="BR79" s="1226"/>
      <c r="BS79" s="1226"/>
      <c r="BT79" s="1227"/>
      <c r="BU79" s="307"/>
      <c r="BV79" s="294"/>
    </row>
    <row r="80" ht="18.0" customHeight="1">
      <c r="A80" s="294"/>
      <c r="B80" s="1238"/>
      <c r="C80" s="724"/>
      <c r="D80" s="724"/>
      <c r="E80" s="724"/>
      <c r="F80" s="724"/>
      <c r="G80" s="724"/>
      <c r="H80" s="724"/>
      <c r="I80" s="724"/>
      <c r="J80" s="724"/>
      <c r="K80" s="724"/>
      <c r="L80" s="724"/>
      <c r="M80" s="724"/>
      <c r="N80" s="724"/>
      <c r="O80" s="724"/>
      <c r="P80" s="724"/>
      <c r="Q80" s="724"/>
      <c r="R80" s="724"/>
      <c r="S80" s="724"/>
      <c r="T80" s="724"/>
      <c r="U80" s="724"/>
      <c r="V80" s="724"/>
      <c r="W80" s="724"/>
      <c r="X80" s="724"/>
      <c r="Y80" s="724"/>
      <c r="Z80" s="724"/>
      <c r="AA80" s="724"/>
      <c r="AB80" s="724"/>
      <c r="AC80" s="724"/>
      <c r="AD80" s="724"/>
      <c r="AE80" s="724"/>
      <c r="AF80" s="724"/>
      <c r="AG80" s="724"/>
      <c r="AH80" s="724"/>
      <c r="AI80" s="724"/>
      <c r="AJ80" s="724"/>
      <c r="AK80" s="724"/>
      <c r="AL80" s="724"/>
      <c r="AM80" s="724"/>
      <c r="AN80" s="724"/>
      <c r="AO80" s="724"/>
      <c r="AP80" s="724"/>
      <c r="AQ80" s="724"/>
      <c r="AR80" s="724"/>
      <c r="AS80" s="724"/>
      <c r="AT80" s="307"/>
      <c r="AU80" s="307"/>
      <c r="AV80" s="307"/>
      <c r="AW80" s="307"/>
      <c r="AX80" s="307"/>
      <c r="AY80" s="307"/>
      <c r="AZ80" s="307"/>
      <c r="BA80" s="307"/>
      <c r="BB80" s="307"/>
      <c r="BC80" s="307"/>
      <c r="BD80" s="307"/>
      <c r="BE80" s="307"/>
      <c r="BF80" s="307"/>
      <c r="BG80" s="307"/>
      <c r="BH80" s="307"/>
      <c r="BI80" s="307"/>
      <c r="BJ80" s="307"/>
      <c r="BK80" s="307"/>
      <c r="BL80" s="307"/>
      <c r="BM80" s="307"/>
      <c r="BN80" s="307"/>
      <c r="BO80" s="307"/>
      <c r="BP80" s="307"/>
      <c r="BQ80" s="307"/>
      <c r="BR80" s="307"/>
      <c r="BS80" s="307"/>
      <c r="BT80" s="307"/>
      <c r="BU80" s="724"/>
      <c r="BV80" s="294"/>
    </row>
    <row r="81" ht="13.5" customHeight="1">
      <c r="A81" s="294"/>
      <c r="B81" s="294"/>
      <c r="C81" s="294"/>
      <c r="D81" s="294"/>
      <c r="E81" s="294"/>
      <c r="F81" s="294"/>
      <c r="G81" s="294"/>
      <c r="H81" s="294"/>
      <c r="I81" s="294"/>
      <c r="J81" s="294"/>
      <c r="K81" s="294"/>
      <c r="L81" s="294"/>
      <c r="M81" s="294"/>
      <c r="N81" s="294"/>
      <c r="O81" s="294"/>
      <c r="P81" s="294"/>
      <c r="Q81" s="294"/>
      <c r="R81" s="294"/>
      <c r="S81" s="294"/>
      <c r="T81" s="294"/>
      <c r="U81" s="294"/>
      <c r="V81" s="294"/>
      <c r="W81" s="294"/>
      <c r="X81" s="294"/>
      <c r="Y81" s="294"/>
      <c r="Z81" s="294"/>
      <c r="AA81" s="294"/>
      <c r="AB81" s="294"/>
      <c r="AC81" s="294"/>
      <c r="AD81" s="294"/>
      <c r="AE81" s="294"/>
      <c r="AF81" s="294"/>
      <c r="AG81" s="294"/>
      <c r="AH81" s="294"/>
      <c r="AI81" s="294"/>
      <c r="AJ81" s="294"/>
      <c r="AK81" s="294"/>
      <c r="AL81" s="294"/>
      <c r="AM81" s="294"/>
      <c r="AN81" s="294"/>
      <c r="AO81" s="294"/>
      <c r="AP81" s="294"/>
      <c r="AQ81" s="294"/>
      <c r="AR81" s="294"/>
      <c r="AS81" s="294"/>
      <c r="AT81" s="294"/>
      <c r="AU81" s="294"/>
      <c r="AV81" s="294"/>
      <c r="AW81" s="294"/>
      <c r="AX81" s="294"/>
      <c r="AY81" s="294"/>
      <c r="AZ81" s="294"/>
      <c r="BA81" s="294"/>
      <c r="BB81" s="294"/>
      <c r="BC81" s="294"/>
      <c r="BD81" s="294"/>
      <c r="BE81" s="294"/>
      <c r="BF81" s="294"/>
      <c r="BG81" s="294"/>
      <c r="BH81" s="294"/>
      <c r="BI81" s="294"/>
      <c r="BJ81" s="294"/>
      <c r="BK81" s="294"/>
      <c r="BL81" s="294"/>
      <c r="BM81" s="294"/>
      <c r="BN81" s="294"/>
      <c r="BO81" s="294"/>
      <c r="BP81" s="294"/>
      <c r="BQ81" s="294"/>
      <c r="BR81" s="294"/>
      <c r="BS81" s="294"/>
      <c r="BT81" s="294"/>
      <c r="BU81" s="294"/>
      <c r="BV81" s="294"/>
    </row>
  </sheetData>
  <mergeCells count="757">
    <mergeCell ref="B2:BU2"/>
    <mergeCell ref="C4:J4"/>
    <mergeCell ref="K4:L4"/>
    <mergeCell ref="M4:N4"/>
    <mergeCell ref="O4:P4"/>
    <mergeCell ref="R4:Y4"/>
    <mergeCell ref="Z4:AA4"/>
    <mergeCell ref="BS4:BT4"/>
    <mergeCell ref="AB4:AC4"/>
    <mergeCell ref="AD4:AE4"/>
    <mergeCell ref="C5:P5"/>
    <mergeCell ref="R5:Y5"/>
    <mergeCell ref="Z5:AA5"/>
    <mergeCell ref="AB5:AC5"/>
    <mergeCell ref="AD5:AE5"/>
    <mergeCell ref="BE6:BF6"/>
    <mergeCell ref="BH6:BN6"/>
    <mergeCell ref="AD6:AE6"/>
    <mergeCell ref="AG6:AJ6"/>
    <mergeCell ref="AK6:AN6"/>
    <mergeCell ref="AO6:AR6"/>
    <mergeCell ref="AT6:AZ6"/>
    <mergeCell ref="BA6:BB6"/>
    <mergeCell ref="BC6:BD6"/>
    <mergeCell ref="AG4:AR4"/>
    <mergeCell ref="AT4:AZ4"/>
    <mergeCell ref="BA4:BB4"/>
    <mergeCell ref="BC4:BD4"/>
    <mergeCell ref="BE4:BF4"/>
    <mergeCell ref="BH4:BN4"/>
    <mergeCell ref="BO4:BP4"/>
    <mergeCell ref="BQ4:BR4"/>
    <mergeCell ref="BO6:BP6"/>
    <mergeCell ref="BQ6:BR6"/>
    <mergeCell ref="BS6:BT6"/>
    <mergeCell ref="BH5:BN5"/>
    <mergeCell ref="BO5:BP5"/>
    <mergeCell ref="BQ5:BR5"/>
    <mergeCell ref="BS5:BT5"/>
    <mergeCell ref="AG5:AJ5"/>
    <mergeCell ref="AK5:AN5"/>
    <mergeCell ref="AO5:AR5"/>
    <mergeCell ref="AT5:AZ5"/>
    <mergeCell ref="BA5:BB5"/>
    <mergeCell ref="BC5:BD5"/>
    <mergeCell ref="BE5:BF5"/>
    <mergeCell ref="C6:J6"/>
    <mergeCell ref="K6:L6"/>
    <mergeCell ref="M6:N6"/>
    <mergeCell ref="O6:P6"/>
    <mergeCell ref="R6:Y6"/>
    <mergeCell ref="Z6:AA6"/>
    <mergeCell ref="AB6:AC6"/>
    <mergeCell ref="BC9:BD9"/>
    <mergeCell ref="BE9:BF9"/>
    <mergeCell ref="AD9:AE9"/>
    <mergeCell ref="AG9:AL9"/>
    <mergeCell ref="AM9:AN9"/>
    <mergeCell ref="AO9:AP9"/>
    <mergeCell ref="AQ9:AR9"/>
    <mergeCell ref="AT9:AZ9"/>
    <mergeCell ref="BA9:BB9"/>
    <mergeCell ref="AD10:AE10"/>
    <mergeCell ref="AG10:AK10"/>
    <mergeCell ref="AL10:AN10"/>
    <mergeCell ref="AO10:AP10"/>
    <mergeCell ref="AQ10:AR10"/>
    <mergeCell ref="AT10:AZ10"/>
    <mergeCell ref="BA10:BB10"/>
    <mergeCell ref="BO11:BP11"/>
    <mergeCell ref="BQ11:BR11"/>
    <mergeCell ref="BS11:BT11"/>
    <mergeCell ref="BC10:BD10"/>
    <mergeCell ref="BE10:BF10"/>
    <mergeCell ref="AT11:AZ11"/>
    <mergeCell ref="BA11:BB11"/>
    <mergeCell ref="BC11:BD11"/>
    <mergeCell ref="BE11:BF11"/>
    <mergeCell ref="BH11:BN11"/>
    <mergeCell ref="BE7:BF7"/>
    <mergeCell ref="BH7:BN7"/>
    <mergeCell ref="BO7:BP7"/>
    <mergeCell ref="BQ7:BR7"/>
    <mergeCell ref="BS7:BT7"/>
    <mergeCell ref="AD7:AE7"/>
    <mergeCell ref="AG7:AJ7"/>
    <mergeCell ref="AK7:AN7"/>
    <mergeCell ref="AO7:AR7"/>
    <mergeCell ref="AT7:AZ7"/>
    <mergeCell ref="BA7:BB7"/>
    <mergeCell ref="BC7:BD7"/>
    <mergeCell ref="C7:J7"/>
    <mergeCell ref="K7:L7"/>
    <mergeCell ref="M7:N7"/>
    <mergeCell ref="O7:P7"/>
    <mergeCell ref="R7:Y7"/>
    <mergeCell ref="Z7:AA7"/>
    <mergeCell ref="AB7:AC7"/>
    <mergeCell ref="AD8:AE8"/>
    <mergeCell ref="AG8:AJ8"/>
    <mergeCell ref="AK8:AN8"/>
    <mergeCell ref="AO8:AR8"/>
    <mergeCell ref="AT8:AZ8"/>
    <mergeCell ref="BA8:BB8"/>
    <mergeCell ref="BC8:BD8"/>
    <mergeCell ref="BQ9:BR9"/>
    <mergeCell ref="BS9:BT9"/>
    <mergeCell ref="C10:J10"/>
    <mergeCell ref="K10:L10"/>
    <mergeCell ref="M10:N10"/>
    <mergeCell ref="O10:P10"/>
    <mergeCell ref="R10:Y10"/>
    <mergeCell ref="Z10:AA10"/>
    <mergeCell ref="AB10:AC10"/>
    <mergeCell ref="BH10:BN10"/>
    <mergeCell ref="BO10:BP10"/>
    <mergeCell ref="BQ10:BR10"/>
    <mergeCell ref="BS10:BT10"/>
    <mergeCell ref="BE8:BF8"/>
    <mergeCell ref="BH8:BN8"/>
    <mergeCell ref="BO8:BP8"/>
    <mergeCell ref="BQ8:BR8"/>
    <mergeCell ref="BS8:BT8"/>
    <mergeCell ref="BH9:BN9"/>
    <mergeCell ref="BO9:BP9"/>
    <mergeCell ref="C8:J8"/>
    <mergeCell ref="K8:L8"/>
    <mergeCell ref="M8:N8"/>
    <mergeCell ref="O8:P8"/>
    <mergeCell ref="R8:Y8"/>
    <mergeCell ref="Z8:AA8"/>
    <mergeCell ref="AB8:AC8"/>
    <mergeCell ref="C9:J9"/>
    <mergeCell ref="K9:L9"/>
    <mergeCell ref="M9:N9"/>
    <mergeCell ref="O9:P9"/>
    <mergeCell ref="R9:Y9"/>
    <mergeCell ref="Z9:AA9"/>
    <mergeCell ref="AB9:AC9"/>
    <mergeCell ref="AD11:AE11"/>
    <mergeCell ref="AG11:AK11"/>
    <mergeCell ref="AL11:AN11"/>
    <mergeCell ref="AO11:AP11"/>
    <mergeCell ref="AQ11:AR11"/>
    <mergeCell ref="C11:J11"/>
    <mergeCell ref="K11:L11"/>
    <mergeCell ref="M11:N11"/>
    <mergeCell ref="O11:P11"/>
    <mergeCell ref="R11:Y11"/>
    <mergeCell ref="Z11:AA11"/>
    <mergeCell ref="AB11:AC11"/>
    <mergeCell ref="BC12:BD12"/>
    <mergeCell ref="BE12:BF12"/>
    <mergeCell ref="BH12:BN12"/>
    <mergeCell ref="BO12:BP12"/>
    <mergeCell ref="BQ12:BR12"/>
    <mergeCell ref="BS12:BT12"/>
    <mergeCell ref="AD12:AE12"/>
    <mergeCell ref="AG12:AK12"/>
    <mergeCell ref="AL12:AN12"/>
    <mergeCell ref="AO12:AP12"/>
    <mergeCell ref="AQ12:AR12"/>
    <mergeCell ref="AT12:AZ12"/>
    <mergeCell ref="BA12:BB12"/>
    <mergeCell ref="C12:J12"/>
    <mergeCell ref="K12:L12"/>
    <mergeCell ref="M12:N12"/>
    <mergeCell ref="O12:P12"/>
    <mergeCell ref="R12:Y12"/>
    <mergeCell ref="Z12:AA12"/>
    <mergeCell ref="AB12:AC12"/>
    <mergeCell ref="BC19:BD19"/>
    <mergeCell ref="BE19:BF19"/>
    <mergeCell ref="BH19:BN19"/>
    <mergeCell ref="BO19:BP19"/>
    <mergeCell ref="BQ19:BR19"/>
    <mergeCell ref="BS19:BT19"/>
    <mergeCell ref="AD19:AE19"/>
    <mergeCell ref="AG19:AK19"/>
    <mergeCell ref="AL19:AN19"/>
    <mergeCell ref="AO19:AP19"/>
    <mergeCell ref="AQ19:AR19"/>
    <mergeCell ref="AT19:AZ19"/>
    <mergeCell ref="BA19:BB19"/>
    <mergeCell ref="C19:J19"/>
    <mergeCell ref="K19:L19"/>
    <mergeCell ref="M19:N19"/>
    <mergeCell ref="O19:P19"/>
    <mergeCell ref="R19:Y19"/>
    <mergeCell ref="Z19:AA19"/>
    <mergeCell ref="AB19:AC19"/>
    <mergeCell ref="AD20:AE20"/>
    <mergeCell ref="AG20:AK20"/>
    <mergeCell ref="AL20:AN20"/>
    <mergeCell ref="AO20:AP20"/>
    <mergeCell ref="AQ20:AR20"/>
    <mergeCell ref="AT20:AZ20"/>
    <mergeCell ref="BA20:BB20"/>
    <mergeCell ref="BO21:BP21"/>
    <mergeCell ref="BQ21:BR21"/>
    <mergeCell ref="C22:J22"/>
    <mergeCell ref="K22:L22"/>
    <mergeCell ref="M22:N22"/>
    <mergeCell ref="O22:P22"/>
    <mergeCell ref="R22:Y22"/>
    <mergeCell ref="Z22:AA22"/>
    <mergeCell ref="AB22:AC22"/>
    <mergeCell ref="BH21:BN21"/>
    <mergeCell ref="BH22:BN22"/>
    <mergeCell ref="BO22:BP22"/>
    <mergeCell ref="BQ22:BR22"/>
    <mergeCell ref="BS22:BT22"/>
    <mergeCell ref="BC20:BD20"/>
    <mergeCell ref="BE20:BF20"/>
    <mergeCell ref="BH20:BN20"/>
    <mergeCell ref="BO20:BP20"/>
    <mergeCell ref="BQ20:BR20"/>
    <mergeCell ref="BS20:BT20"/>
    <mergeCell ref="BS21:BT21"/>
    <mergeCell ref="C20:J20"/>
    <mergeCell ref="K20:L20"/>
    <mergeCell ref="M20:N20"/>
    <mergeCell ref="O20:P20"/>
    <mergeCell ref="R20:Y20"/>
    <mergeCell ref="Z20:AA20"/>
    <mergeCell ref="AB20:AC20"/>
    <mergeCell ref="C21:J21"/>
    <mergeCell ref="K21:L21"/>
    <mergeCell ref="M21:N21"/>
    <mergeCell ref="O21:P21"/>
    <mergeCell ref="R21:Y21"/>
    <mergeCell ref="Z21:AA21"/>
    <mergeCell ref="AB21:AC21"/>
    <mergeCell ref="AD23:AE23"/>
    <mergeCell ref="AG23:AK23"/>
    <mergeCell ref="AL23:AN23"/>
    <mergeCell ref="AO23:AP23"/>
    <mergeCell ref="AQ23:AR23"/>
    <mergeCell ref="C23:J23"/>
    <mergeCell ref="K23:L23"/>
    <mergeCell ref="M23:N23"/>
    <mergeCell ref="O23:P23"/>
    <mergeCell ref="R23:Y23"/>
    <mergeCell ref="Z23:AA23"/>
    <mergeCell ref="AB23:AC23"/>
    <mergeCell ref="BC24:BD24"/>
    <mergeCell ref="BE24:BF24"/>
    <mergeCell ref="BH24:BN24"/>
    <mergeCell ref="BO24:BP24"/>
    <mergeCell ref="BQ24:BR24"/>
    <mergeCell ref="BS24:BT24"/>
    <mergeCell ref="AD24:AE24"/>
    <mergeCell ref="AG24:AK24"/>
    <mergeCell ref="AL24:AN24"/>
    <mergeCell ref="AO24:AP24"/>
    <mergeCell ref="AQ24:AR24"/>
    <mergeCell ref="AT24:AZ24"/>
    <mergeCell ref="BA24:BB24"/>
    <mergeCell ref="C24:J24"/>
    <mergeCell ref="K24:L24"/>
    <mergeCell ref="M24:N24"/>
    <mergeCell ref="O24:P24"/>
    <mergeCell ref="R24:Y24"/>
    <mergeCell ref="Z24:AA24"/>
    <mergeCell ref="AB24:AC24"/>
    <mergeCell ref="BC15:BD15"/>
    <mergeCell ref="BE15:BF15"/>
    <mergeCell ref="AD15:AE15"/>
    <mergeCell ref="AG15:AK15"/>
    <mergeCell ref="AL15:AN15"/>
    <mergeCell ref="AO15:AP15"/>
    <mergeCell ref="AQ15:AR15"/>
    <mergeCell ref="AT15:AZ15"/>
    <mergeCell ref="BA15:BB15"/>
    <mergeCell ref="AD16:AE16"/>
    <mergeCell ref="AG16:AK16"/>
    <mergeCell ref="AL16:AN16"/>
    <mergeCell ref="AO16:AP16"/>
    <mergeCell ref="AQ16:AR16"/>
    <mergeCell ref="AT16:AZ16"/>
    <mergeCell ref="BA16:BB16"/>
    <mergeCell ref="BO17:BP17"/>
    <mergeCell ref="BQ17:BR17"/>
    <mergeCell ref="BS17:BT17"/>
    <mergeCell ref="BC16:BD16"/>
    <mergeCell ref="BE16:BF16"/>
    <mergeCell ref="AT17:AZ17"/>
    <mergeCell ref="BA17:BB17"/>
    <mergeCell ref="BC17:BD17"/>
    <mergeCell ref="BE17:BF17"/>
    <mergeCell ref="BH17:BN17"/>
    <mergeCell ref="BC13:BD13"/>
    <mergeCell ref="BE13:BF13"/>
    <mergeCell ref="BH13:BN13"/>
    <mergeCell ref="BO13:BP13"/>
    <mergeCell ref="BQ13:BR13"/>
    <mergeCell ref="BS13:BT13"/>
    <mergeCell ref="AD13:AE13"/>
    <mergeCell ref="AG13:AK13"/>
    <mergeCell ref="AL13:AN13"/>
    <mergeCell ref="AO13:AP13"/>
    <mergeCell ref="AQ13:AR13"/>
    <mergeCell ref="AT13:AZ13"/>
    <mergeCell ref="BA13:BB13"/>
    <mergeCell ref="C13:J13"/>
    <mergeCell ref="K13:L13"/>
    <mergeCell ref="M13:N13"/>
    <mergeCell ref="O13:P13"/>
    <mergeCell ref="R13:Y13"/>
    <mergeCell ref="Z13:AA13"/>
    <mergeCell ref="AB13:AC13"/>
    <mergeCell ref="AD14:AE14"/>
    <mergeCell ref="AG14:AK14"/>
    <mergeCell ref="AL14:AN14"/>
    <mergeCell ref="AO14:AP14"/>
    <mergeCell ref="AQ14:AR14"/>
    <mergeCell ref="AT14:AZ14"/>
    <mergeCell ref="BA14:BB14"/>
    <mergeCell ref="BO15:BP15"/>
    <mergeCell ref="BQ15:BR15"/>
    <mergeCell ref="C16:J16"/>
    <mergeCell ref="K16:L16"/>
    <mergeCell ref="M16:N16"/>
    <mergeCell ref="O16:P16"/>
    <mergeCell ref="R16:Y16"/>
    <mergeCell ref="Z16:AA16"/>
    <mergeCell ref="AB16:AC16"/>
    <mergeCell ref="BH15:BN15"/>
    <mergeCell ref="BH16:BN16"/>
    <mergeCell ref="BO16:BP16"/>
    <mergeCell ref="BQ16:BR16"/>
    <mergeCell ref="BS16:BT16"/>
    <mergeCell ref="BC14:BD14"/>
    <mergeCell ref="BE14:BF14"/>
    <mergeCell ref="BH14:BN14"/>
    <mergeCell ref="BO14:BP14"/>
    <mergeCell ref="BQ14:BR14"/>
    <mergeCell ref="BS14:BT14"/>
    <mergeCell ref="BS15:BT15"/>
    <mergeCell ref="C14:J14"/>
    <mergeCell ref="K14:L14"/>
    <mergeCell ref="M14:N14"/>
    <mergeCell ref="O14:P14"/>
    <mergeCell ref="R14:Y14"/>
    <mergeCell ref="Z14:AA14"/>
    <mergeCell ref="AB14:AC14"/>
    <mergeCell ref="C15:J15"/>
    <mergeCell ref="K15:L15"/>
    <mergeCell ref="M15:N15"/>
    <mergeCell ref="O15:P15"/>
    <mergeCell ref="R15:Y15"/>
    <mergeCell ref="Z15:AA15"/>
    <mergeCell ref="AB15:AC15"/>
    <mergeCell ref="AD17:AE17"/>
    <mergeCell ref="AG17:AK17"/>
    <mergeCell ref="AL17:AN17"/>
    <mergeCell ref="AO17:AP17"/>
    <mergeCell ref="AQ17:AR17"/>
    <mergeCell ref="C17:J17"/>
    <mergeCell ref="K17:L17"/>
    <mergeCell ref="M17:N17"/>
    <mergeCell ref="O17:P17"/>
    <mergeCell ref="R17:Y17"/>
    <mergeCell ref="Z17:AA17"/>
    <mergeCell ref="AB17:AC17"/>
    <mergeCell ref="BC18:BD18"/>
    <mergeCell ref="BE18:BF18"/>
    <mergeCell ref="BH18:BN18"/>
    <mergeCell ref="BO18:BP18"/>
    <mergeCell ref="BQ18:BR18"/>
    <mergeCell ref="BS18:BT18"/>
    <mergeCell ref="AD18:AE18"/>
    <mergeCell ref="AG18:AK18"/>
    <mergeCell ref="AL18:AN18"/>
    <mergeCell ref="AO18:AP18"/>
    <mergeCell ref="AQ18:AR18"/>
    <mergeCell ref="AT18:AZ18"/>
    <mergeCell ref="BA18:BB18"/>
    <mergeCell ref="C18:J18"/>
    <mergeCell ref="K18:L18"/>
    <mergeCell ref="M18:N18"/>
    <mergeCell ref="O18:P18"/>
    <mergeCell ref="R18:Y18"/>
    <mergeCell ref="Z18:AA18"/>
    <mergeCell ref="AB18:AC18"/>
    <mergeCell ref="BC21:BD21"/>
    <mergeCell ref="BE21:BF21"/>
    <mergeCell ref="AD21:AE21"/>
    <mergeCell ref="AG21:AK21"/>
    <mergeCell ref="AL21:AN21"/>
    <mergeCell ref="AO21:AP21"/>
    <mergeCell ref="AQ21:AR21"/>
    <mergeCell ref="AT21:AZ21"/>
    <mergeCell ref="BA21:BB21"/>
    <mergeCell ref="AD22:AE22"/>
    <mergeCell ref="AG22:AK22"/>
    <mergeCell ref="AL22:AN22"/>
    <mergeCell ref="AO22:AP22"/>
    <mergeCell ref="AQ22:AR22"/>
    <mergeCell ref="AT22:AZ22"/>
    <mergeCell ref="BA22:BB22"/>
    <mergeCell ref="BO23:BP23"/>
    <mergeCell ref="BQ23:BR23"/>
    <mergeCell ref="BS23:BT23"/>
    <mergeCell ref="BC22:BD22"/>
    <mergeCell ref="BE22:BF22"/>
    <mergeCell ref="AT23:AZ23"/>
    <mergeCell ref="BA23:BB23"/>
    <mergeCell ref="BC23:BD23"/>
    <mergeCell ref="BE23:BF23"/>
    <mergeCell ref="BH23:BN23"/>
    <mergeCell ref="BC27:BD27"/>
    <mergeCell ref="BE27:BF27"/>
    <mergeCell ref="AD27:AE27"/>
    <mergeCell ref="AG27:AK27"/>
    <mergeCell ref="AL27:AN27"/>
    <mergeCell ref="AO27:AP27"/>
    <mergeCell ref="AQ27:AR27"/>
    <mergeCell ref="AT27:AZ27"/>
    <mergeCell ref="BA27:BB27"/>
    <mergeCell ref="J67:M67"/>
    <mergeCell ref="N67:Q67"/>
    <mergeCell ref="C65:I65"/>
    <mergeCell ref="J65:M65"/>
    <mergeCell ref="N65:Q65"/>
    <mergeCell ref="C66:I66"/>
    <mergeCell ref="J66:M66"/>
    <mergeCell ref="N66:Q66"/>
    <mergeCell ref="C67:I67"/>
    <mergeCell ref="J70:M70"/>
    <mergeCell ref="N70:Q70"/>
    <mergeCell ref="C68:I68"/>
    <mergeCell ref="J68:M68"/>
    <mergeCell ref="N68:Q68"/>
    <mergeCell ref="C69:I69"/>
    <mergeCell ref="J69:M69"/>
    <mergeCell ref="N69:Q69"/>
    <mergeCell ref="C70:I70"/>
    <mergeCell ref="J73:M73"/>
    <mergeCell ref="N73:Q73"/>
    <mergeCell ref="C71:I71"/>
    <mergeCell ref="J71:M71"/>
    <mergeCell ref="N71:Q71"/>
    <mergeCell ref="C72:I72"/>
    <mergeCell ref="J72:M72"/>
    <mergeCell ref="N72:Q72"/>
    <mergeCell ref="C73:I73"/>
    <mergeCell ref="J76:M76"/>
    <mergeCell ref="N76:Q76"/>
    <mergeCell ref="C74:I74"/>
    <mergeCell ref="J74:M74"/>
    <mergeCell ref="N74:Q74"/>
    <mergeCell ref="C75:I75"/>
    <mergeCell ref="J75:M75"/>
    <mergeCell ref="N75:Q75"/>
    <mergeCell ref="C76:I76"/>
    <mergeCell ref="J58:M58"/>
    <mergeCell ref="N58:Q58"/>
    <mergeCell ref="C56:I56"/>
    <mergeCell ref="J56:M56"/>
    <mergeCell ref="N56:Q56"/>
    <mergeCell ref="C57:I57"/>
    <mergeCell ref="J57:M57"/>
    <mergeCell ref="N57:Q57"/>
    <mergeCell ref="C58:I58"/>
    <mergeCell ref="J61:M61"/>
    <mergeCell ref="N61:Q61"/>
    <mergeCell ref="C59:I59"/>
    <mergeCell ref="J59:M59"/>
    <mergeCell ref="N59:Q59"/>
    <mergeCell ref="C60:I60"/>
    <mergeCell ref="J60:M60"/>
    <mergeCell ref="N60:Q60"/>
    <mergeCell ref="C61:I61"/>
    <mergeCell ref="J64:M64"/>
    <mergeCell ref="N64:Q64"/>
    <mergeCell ref="C62:I62"/>
    <mergeCell ref="J62:M62"/>
    <mergeCell ref="N62:Q62"/>
    <mergeCell ref="C63:I63"/>
    <mergeCell ref="J63:M63"/>
    <mergeCell ref="N63:Q63"/>
    <mergeCell ref="C64:I64"/>
    <mergeCell ref="J79:M79"/>
    <mergeCell ref="N79:Q79"/>
    <mergeCell ref="C77:I77"/>
    <mergeCell ref="J77:M77"/>
    <mergeCell ref="N77:Q77"/>
    <mergeCell ref="C78:I78"/>
    <mergeCell ref="J78:M78"/>
    <mergeCell ref="N78:Q78"/>
    <mergeCell ref="C79:I79"/>
    <mergeCell ref="AD28:AE28"/>
    <mergeCell ref="AG28:AK28"/>
    <mergeCell ref="AL28:AN28"/>
    <mergeCell ref="AO28:AP28"/>
    <mergeCell ref="AQ28:AR28"/>
    <mergeCell ref="AT28:AZ28"/>
    <mergeCell ref="BA28:BB28"/>
    <mergeCell ref="BO29:BP29"/>
    <mergeCell ref="BQ29:BR29"/>
    <mergeCell ref="BS29:BT29"/>
    <mergeCell ref="BC28:BD28"/>
    <mergeCell ref="BE28:BF28"/>
    <mergeCell ref="AT29:AZ29"/>
    <mergeCell ref="BA29:BB29"/>
    <mergeCell ref="BC29:BD29"/>
    <mergeCell ref="BE29:BF29"/>
    <mergeCell ref="BH29:BN29"/>
    <mergeCell ref="BC25:BD25"/>
    <mergeCell ref="BE25:BF25"/>
    <mergeCell ref="BH25:BN25"/>
    <mergeCell ref="BO25:BP25"/>
    <mergeCell ref="BQ25:BR25"/>
    <mergeCell ref="BS25:BT25"/>
    <mergeCell ref="AD25:AE25"/>
    <mergeCell ref="AG25:AK25"/>
    <mergeCell ref="AL25:AN25"/>
    <mergeCell ref="AO25:AP25"/>
    <mergeCell ref="AQ25:AR25"/>
    <mergeCell ref="AT25:AZ25"/>
    <mergeCell ref="BA25:BB25"/>
    <mergeCell ref="C25:J25"/>
    <mergeCell ref="K25:L25"/>
    <mergeCell ref="M25:N25"/>
    <mergeCell ref="O25:P25"/>
    <mergeCell ref="R25:Y25"/>
    <mergeCell ref="Z25:AA25"/>
    <mergeCell ref="AB25:AC25"/>
    <mergeCell ref="AD26:AE26"/>
    <mergeCell ref="AG26:AK26"/>
    <mergeCell ref="AL26:AN26"/>
    <mergeCell ref="AO26:AP26"/>
    <mergeCell ref="AQ26:AR26"/>
    <mergeCell ref="AT26:AZ26"/>
    <mergeCell ref="BA26:BB26"/>
    <mergeCell ref="BO27:BP27"/>
    <mergeCell ref="BQ27:BR27"/>
    <mergeCell ref="C28:J28"/>
    <mergeCell ref="K28:L28"/>
    <mergeCell ref="M28:N28"/>
    <mergeCell ref="O28:P28"/>
    <mergeCell ref="R28:Y28"/>
    <mergeCell ref="Z28:AA28"/>
    <mergeCell ref="AB28:AC28"/>
    <mergeCell ref="BH27:BN27"/>
    <mergeCell ref="BH28:BN28"/>
    <mergeCell ref="BO28:BP28"/>
    <mergeCell ref="BQ28:BR28"/>
    <mergeCell ref="BS28:BT28"/>
    <mergeCell ref="BC26:BD26"/>
    <mergeCell ref="BE26:BF26"/>
    <mergeCell ref="BH26:BN26"/>
    <mergeCell ref="BO26:BP26"/>
    <mergeCell ref="BQ26:BR26"/>
    <mergeCell ref="BS26:BT26"/>
    <mergeCell ref="BS27:BT27"/>
    <mergeCell ref="C26:J26"/>
    <mergeCell ref="K26:L26"/>
    <mergeCell ref="M26:N26"/>
    <mergeCell ref="O26:P26"/>
    <mergeCell ref="R26:Y26"/>
    <mergeCell ref="Z26:AA26"/>
    <mergeCell ref="AB26:AC26"/>
    <mergeCell ref="C27:J27"/>
    <mergeCell ref="K27:L27"/>
    <mergeCell ref="M27:N27"/>
    <mergeCell ref="O27:P27"/>
    <mergeCell ref="R27:Y27"/>
    <mergeCell ref="Z27:AA27"/>
    <mergeCell ref="AB27:AC27"/>
    <mergeCell ref="AD29:AE29"/>
    <mergeCell ref="AG29:AK29"/>
    <mergeCell ref="AL29:AN29"/>
    <mergeCell ref="AO29:AP29"/>
    <mergeCell ref="AQ29:AR29"/>
    <mergeCell ref="C29:J29"/>
    <mergeCell ref="K29:L29"/>
    <mergeCell ref="M29:N29"/>
    <mergeCell ref="O29:P29"/>
    <mergeCell ref="R29:Y29"/>
    <mergeCell ref="Z29:AA29"/>
    <mergeCell ref="AB29:AC29"/>
    <mergeCell ref="BC30:BD30"/>
    <mergeCell ref="BE30:BF30"/>
    <mergeCell ref="BH30:BN30"/>
    <mergeCell ref="BO30:BP30"/>
    <mergeCell ref="BQ30:BR30"/>
    <mergeCell ref="BS30:BT30"/>
    <mergeCell ref="AD30:AE30"/>
    <mergeCell ref="AG30:AK30"/>
    <mergeCell ref="AL30:AN30"/>
    <mergeCell ref="AO30:AP30"/>
    <mergeCell ref="AQ30:AR30"/>
    <mergeCell ref="AT30:AZ30"/>
    <mergeCell ref="BA30:BB30"/>
    <mergeCell ref="C30:J30"/>
    <mergeCell ref="K30:L30"/>
    <mergeCell ref="M30:N30"/>
    <mergeCell ref="O30:P30"/>
    <mergeCell ref="R30:Y30"/>
    <mergeCell ref="Z30:AA30"/>
    <mergeCell ref="AB30:AC30"/>
    <mergeCell ref="BO31:BP31"/>
    <mergeCell ref="BQ31:BR31"/>
    <mergeCell ref="BS31:BT31"/>
    <mergeCell ref="AD31:AE31"/>
    <mergeCell ref="AG31:AR31"/>
    <mergeCell ref="AT31:AZ31"/>
    <mergeCell ref="BA31:BB31"/>
    <mergeCell ref="BC31:BD31"/>
    <mergeCell ref="BE31:BF31"/>
    <mergeCell ref="BH31:BN31"/>
    <mergeCell ref="C31:J31"/>
    <mergeCell ref="K31:L31"/>
    <mergeCell ref="M31:N31"/>
    <mergeCell ref="O31:P31"/>
    <mergeCell ref="R31:Y31"/>
    <mergeCell ref="Z31:AA31"/>
    <mergeCell ref="AB31:AC31"/>
    <mergeCell ref="AD32:AE32"/>
    <mergeCell ref="AG32:AR34"/>
    <mergeCell ref="AD33:AE33"/>
    <mergeCell ref="AT32:AZ32"/>
    <mergeCell ref="BA32:BB32"/>
    <mergeCell ref="BC32:BD32"/>
    <mergeCell ref="BE32:BF32"/>
    <mergeCell ref="BH32:BN32"/>
    <mergeCell ref="BO32:BP32"/>
    <mergeCell ref="BQ32:BR32"/>
    <mergeCell ref="BS32:BT32"/>
    <mergeCell ref="AT33:AZ33"/>
    <mergeCell ref="BA33:BB33"/>
    <mergeCell ref="BC33:BD33"/>
    <mergeCell ref="BE33:BF33"/>
    <mergeCell ref="BH33:BN33"/>
    <mergeCell ref="BO33:BP33"/>
    <mergeCell ref="BQ33:BR33"/>
    <mergeCell ref="BS33:BT33"/>
    <mergeCell ref="BA34:BB34"/>
    <mergeCell ref="BC34:BD34"/>
    <mergeCell ref="BE34:BF34"/>
    <mergeCell ref="BH34:BO34"/>
    <mergeCell ref="BP34:BT34"/>
    <mergeCell ref="C34:J34"/>
    <mergeCell ref="K34:L34"/>
    <mergeCell ref="M34:N34"/>
    <mergeCell ref="O34:P34"/>
    <mergeCell ref="R34:AA34"/>
    <mergeCell ref="AB34:AE34"/>
    <mergeCell ref="AT34:AZ34"/>
    <mergeCell ref="C35:J35"/>
    <mergeCell ref="C39:M39"/>
    <mergeCell ref="C40:I40"/>
    <mergeCell ref="J40:M40"/>
    <mergeCell ref="N40:Q40"/>
    <mergeCell ref="J41:M41"/>
    <mergeCell ref="N41:Q41"/>
    <mergeCell ref="C41:I41"/>
    <mergeCell ref="C42:I42"/>
    <mergeCell ref="J42:M42"/>
    <mergeCell ref="N42:Q42"/>
    <mergeCell ref="C43:I43"/>
    <mergeCell ref="J43:M43"/>
    <mergeCell ref="N43:Q43"/>
    <mergeCell ref="C46:I46"/>
    <mergeCell ref="J46:M46"/>
    <mergeCell ref="N46:Q46"/>
    <mergeCell ref="C48:M48"/>
    <mergeCell ref="C49:I49"/>
    <mergeCell ref="J49:M49"/>
    <mergeCell ref="N49:Q49"/>
    <mergeCell ref="J52:M52"/>
    <mergeCell ref="N52:Q52"/>
    <mergeCell ref="C50:I50"/>
    <mergeCell ref="J50:M50"/>
    <mergeCell ref="N50:Q50"/>
    <mergeCell ref="C51:I51"/>
    <mergeCell ref="J51:M51"/>
    <mergeCell ref="N51:Q51"/>
    <mergeCell ref="C52:I52"/>
    <mergeCell ref="J55:M55"/>
    <mergeCell ref="N55:Q55"/>
    <mergeCell ref="C53:I53"/>
    <mergeCell ref="J53:M53"/>
    <mergeCell ref="N53:Q53"/>
    <mergeCell ref="C54:I54"/>
    <mergeCell ref="J54:M54"/>
    <mergeCell ref="N54:Q54"/>
    <mergeCell ref="C55:I55"/>
    <mergeCell ref="R51:BT51"/>
    <mergeCell ref="R52:BT52"/>
    <mergeCell ref="R53:BT53"/>
    <mergeCell ref="R54:BT54"/>
    <mergeCell ref="R55:BT55"/>
    <mergeCell ref="R56:BT56"/>
    <mergeCell ref="R57:BT57"/>
    <mergeCell ref="R58:BT58"/>
    <mergeCell ref="R59:BT59"/>
    <mergeCell ref="R60:BT60"/>
    <mergeCell ref="R61:BT61"/>
    <mergeCell ref="R62:BT62"/>
    <mergeCell ref="R63:BT63"/>
    <mergeCell ref="R64:BT64"/>
    <mergeCell ref="R72:BT72"/>
    <mergeCell ref="R73:BT73"/>
    <mergeCell ref="R74:BT74"/>
    <mergeCell ref="R75:BT75"/>
    <mergeCell ref="R76:BT76"/>
    <mergeCell ref="R77:BT77"/>
    <mergeCell ref="R78:BT78"/>
    <mergeCell ref="R79:BT79"/>
    <mergeCell ref="R65:BT65"/>
    <mergeCell ref="R66:BT66"/>
    <mergeCell ref="R67:BT67"/>
    <mergeCell ref="R68:BT68"/>
    <mergeCell ref="R69:BT69"/>
    <mergeCell ref="R70:BT70"/>
    <mergeCell ref="R71:BT71"/>
    <mergeCell ref="C32:J32"/>
    <mergeCell ref="K32:L32"/>
    <mergeCell ref="M32:N32"/>
    <mergeCell ref="O32:P32"/>
    <mergeCell ref="R32:Y32"/>
    <mergeCell ref="Z32:AA32"/>
    <mergeCell ref="AB32:AC32"/>
    <mergeCell ref="C33:J33"/>
    <mergeCell ref="K33:L33"/>
    <mergeCell ref="M33:N33"/>
    <mergeCell ref="O33:P33"/>
    <mergeCell ref="R33:Y33"/>
    <mergeCell ref="Z33:AA33"/>
    <mergeCell ref="AB33:AC33"/>
    <mergeCell ref="BI35:BL35"/>
    <mergeCell ref="BM35:BP35"/>
    <mergeCell ref="R40:BT40"/>
    <mergeCell ref="R41:BT41"/>
    <mergeCell ref="R42:BT42"/>
    <mergeCell ref="R43:BT43"/>
    <mergeCell ref="AM35:AN35"/>
    <mergeCell ref="AO35:AQ35"/>
    <mergeCell ref="AT35:AW35"/>
    <mergeCell ref="AX35:AY35"/>
    <mergeCell ref="AZ35:BB35"/>
    <mergeCell ref="BE35:BH35"/>
    <mergeCell ref="B37:BU37"/>
    <mergeCell ref="C44:I44"/>
    <mergeCell ref="J44:M44"/>
    <mergeCell ref="N44:Q44"/>
    <mergeCell ref="R44:BT44"/>
    <mergeCell ref="C45:I45"/>
    <mergeCell ref="J45:M45"/>
    <mergeCell ref="N45:Q45"/>
    <mergeCell ref="R45:BT45"/>
    <mergeCell ref="R46:BT46"/>
    <mergeCell ref="R49:BT49"/>
    <mergeCell ref="R50:BT50"/>
  </mergeCells>
  <conditionalFormatting sqref="AG32:AQ34">
    <cfRule type="cellIs" dxfId="61" priority="1" operator="equal">
      <formula>"正常"</formula>
    </cfRule>
  </conditionalFormatting>
  <conditionalFormatting sqref="AG32:AQ34">
    <cfRule type="cellIs" dxfId="62" priority="2" operator="equal">
      <formula>"超過上限"</formula>
    </cfRule>
  </conditionalFormatting>
  <conditionalFormatting sqref="C41:I47 J45:M47 C49:M79">
    <cfRule type="expression" dxfId="63" priority="3">
      <formula>#REF!="不常見"</formula>
    </cfRule>
  </conditionalFormatting>
  <conditionalFormatting sqref="C41:I47 J45:M47 C49:M79">
    <cfRule type="expression" dxfId="64" priority="4">
      <formula>#REF!="珍稀"</formula>
    </cfRule>
  </conditionalFormatting>
  <conditionalFormatting sqref="C41:I47 J45:M47 C49:M79">
    <cfRule type="expression" dxfId="65" priority="5">
      <formula>#REF!="非常珍稀"</formula>
    </cfRule>
  </conditionalFormatting>
  <conditionalFormatting sqref="C41:I47 J45:M47 C49:M79">
    <cfRule type="expression" dxfId="66" priority="6">
      <formula>#REF!="傳說"</formula>
    </cfRule>
  </conditionalFormatting>
  <conditionalFormatting sqref="C41:I47 J45:M47 C49:M79">
    <cfRule type="expression" dxfId="67" priority="7">
      <formula>#REF!="神器"</formula>
    </cfRule>
  </conditionalFormatting>
  <conditionalFormatting sqref="AX35:BO35">
    <cfRule type="cellIs" dxfId="68" priority="8" operator="equal">
      <formula>"x"</formula>
    </cfRule>
  </conditionalFormatting>
  <conditionalFormatting sqref="AT35:AW35 BE35:BP35">
    <cfRule type="cellIs" dxfId="9" priority="9" operator="equal">
      <formula>"奇械同調"</formula>
    </cfRule>
  </conditionalFormatting>
  <conditionalFormatting sqref="AT35:AW35 BE35:BP35">
    <cfRule type="containsBlanks" dxfId="69" priority="10">
      <formula>LEN(TRIM(AT35))=0</formula>
    </cfRule>
  </conditionalFormatting>
  <conditionalFormatting sqref="BP34:BT34">
    <cfRule type="cellIs" dxfId="70" priority="11" operator="equal">
      <formula>"便利袋破裂"</formula>
    </cfRule>
  </conditionalFormatting>
  <conditionalFormatting sqref="BI35:BO35">
    <cfRule type="expression" dxfId="71" priority="12">
      <formula>#REF!="超過同調上限"</formula>
    </cfRule>
  </conditionalFormatting>
  <conditionalFormatting sqref="AX35:BF35">
    <cfRule type="expression" dxfId="71" priority="13">
      <formula>#REF!="超過同調上限"</formula>
    </cfRule>
  </conditionalFormatting>
  <dataValidations>
    <dataValidation type="list" allowBlank="1" showDropDown="1" sqref="N41:N46 N47:Q48 N50:N79">
      <formula1>"近戰武器,遠程武器,護甲,盾牌,戒指,權杖,法杖,魔杖,奇物,彈藥,藥水,卷軸"</formula1>
    </dataValidation>
    <dataValidation type="list" allowBlank="1" showDropDown="1" sqref="J41:J46 J47:M47 J50:J79">
      <formula1>"常見,非常見,珍稀,非常珍稀,傳說,神器"</formula1>
    </dataValidation>
  </dataValidation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4.43" defaultRowHeight="15.0" outlineLevelRow="1"/>
  <cols>
    <col customWidth="1" min="1" max="80" width="2.29"/>
  </cols>
  <sheetData>
    <row r="1" ht="18.75" customHeight="1">
      <c r="A1" s="1239"/>
      <c r="B1" s="1240" t="s">
        <v>1470</v>
      </c>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239"/>
    </row>
    <row r="2" ht="18.75" customHeight="1" outlineLevel="1">
      <c r="A2" s="1241"/>
      <c r="B2" s="1242" t="s">
        <v>1471</v>
      </c>
      <c r="C2" s="152"/>
      <c r="D2" s="152"/>
      <c r="E2" s="152"/>
      <c r="F2" s="152"/>
      <c r="G2" s="152"/>
      <c r="H2" s="152"/>
      <c r="I2" s="152"/>
      <c r="J2" s="152"/>
      <c r="K2" s="152"/>
      <c r="L2" s="152"/>
      <c r="M2" s="152"/>
      <c r="N2" s="152"/>
      <c r="O2" s="152"/>
      <c r="P2" s="152"/>
      <c r="Q2" s="152"/>
      <c r="R2" s="152"/>
      <c r="S2" s="152"/>
      <c r="T2" s="152"/>
      <c r="U2" s="152"/>
      <c r="V2" s="152"/>
      <c r="W2" s="152"/>
      <c r="X2" s="152"/>
      <c r="Y2" s="152"/>
      <c r="Z2" s="152"/>
      <c r="AA2" s="152"/>
      <c r="AB2" s="152"/>
      <c r="AC2" s="152"/>
      <c r="AD2" s="152"/>
      <c r="AE2" s="152"/>
      <c r="AF2" s="152"/>
      <c r="AG2" s="152"/>
      <c r="AH2" s="152"/>
      <c r="AI2" s="152"/>
      <c r="AJ2" s="152"/>
      <c r="AK2" s="152"/>
      <c r="AL2" s="152"/>
      <c r="AM2" s="152"/>
      <c r="AN2" s="152"/>
      <c r="AO2" s="152"/>
      <c r="AP2" s="152"/>
      <c r="AQ2" s="152"/>
      <c r="AR2" s="152"/>
      <c r="AS2" s="152"/>
      <c r="AT2" s="152"/>
      <c r="AU2" s="152"/>
      <c r="AV2" s="152"/>
      <c r="AW2" s="152"/>
      <c r="AX2" s="152"/>
      <c r="AY2" s="152"/>
      <c r="AZ2" s="152"/>
      <c r="BA2" s="152"/>
      <c r="BB2" s="152"/>
      <c r="BC2" s="152"/>
      <c r="BD2" s="152"/>
      <c r="BE2" s="152"/>
      <c r="BF2" s="152"/>
      <c r="BG2" s="152"/>
      <c r="BH2" s="152"/>
      <c r="BI2" s="152"/>
      <c r="BJ2" s="152"/>
      <c r="BK2" s="152"/>
      <c r="BL2" s="152"/>
      <c r="BM2" s="152"/>
      <c r="BN2" s="152"/>
      <c r="BO2" s="152"/>
      <c r="BP2" s="152"/>
      <c r="BQ2" s="152"/>
      <c r="BR2" s="152"/>
      <c r="BS2" s="152"/>
      <c r="BT2" s="152"/>
      <c r="BU2" s="152"/>
      <c r="BV2" s="152"/>
      <c r="BW2" s="152"/>
      <c r="BX2" s="152"/>
      <c r="BY2" s="152"/>
      <c r="BZ2" s="152"/>
      <c r="CA2" s="175"/>
      <c r="CB2" s="1243"/>
    </row>
    <row r="3" ht="11.25" customHeight="1" outlineLevel="1">
      <c r="B3" s="1244"/>
      <c r="C3" s="1245"/>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246"/>
    </row>
    <row r="4" ht="18.75" customHeight="1" outlineLevel="1">
      <c r="B4" s="121"/>
      <c r="C4" s="1247" t="s">
        <v>1472</v>
      </c>
      <c r="V4" s="1248"/>
      <c r="W4" s="1249" t="s">
        <v>1473</v>
      </c>
      <c r="AO4" s="1248"/>
      <c r="AP4" s="1249" t="s">
        <v>1474</v>
      </c>
      <c r="BH4" s="1248"/>
      <c r="BI4" s="1249" t="s">
        <v>1475</v>
      </c>
      <c r="BZ4" s="318"/>
      <c r="CA4" s="318"/>
    </row>
    <row r="5" ht="18.75" customHeight="1" outlineLevel="1">
      <c r="B5" s="121"/>
      <c r="C5" s="1250"/>
      <c r="D5" s="152"/>
      <c r="E5" s="152"/>
      <c r="F5" s="152"/>
      <c r="G5" s="152"/>
      <c r="H5" s="152"/>
      <c r="I5" s="152"/>
      <c r="J5" s="152"/>
      <c r="K5" s="152"/>
      <c r="L5" s="152"/>
      <c r="M5" s="152"/>
      <c r="N5" s="152"/>
      <c r="O5" s="152"/>
      <c r="P5" s="152"/>
      <c r="Q5" s="152"/>
      <c r="R5" s="152"/>
      <c r="S5" s="152"/>
      <c r="T5" s="152"/>
      <c r="U5" s="152"/>
      <c r="V5" s="1251"/>
      <c r="W5" s="1252"/>
      <c r="X5" s="152"/>
      <c r="Y5" s="152"/>
      <c r="Z5" s="152"/>
      <c r="AA5" s="152"/>
      <c r="AB5" s="152"/>
      <c r="AC5" s="152"/>
      <c r="AD5" s="152"/>
      <c r="AE5" s="152"/>
      <c r="AF5" s="152"/>
      <c r="AG5" s="152"/>
      <c r="AH5" s="152"/>
      <c r="AI5" s="152"/>
      <c r="AJ5" s="152"/>
      <c r="AK5" s="152"/>
      <c r="AL5" s="152"/>
      <c r="AM5" s="152"/>
      <c r="AN5" s="152"/>
      <c r="AO5" s="1251"/>
      <c r="AP5" s="1252"/>
      <c r="AQ5" s="152"/>
      <c r="AR5" s="152"/>
      <c r="AS5" s="152"/>
      <c r="AT5" s="152"/>
      <c r="AU5" s="152"/>
      <c r="AV5" s="152"/>
      <c r="AW5" s="152"/>
      <c r="AX5" s="152"/>
      <c r="AY5" s="152"/>
      <c r="AZ5" s="152"/>
      <c r="BA5" s="152"/>
      <c r="BB5" s="152"/>
      <c r="BC5" s="152"/>
      <c r="BD5" s="152"/>
      <c r="BE5" s="152"/>
      <c r="BF5" s="152"/>
      <c r="BG5" s="152"/>
      <c r="BH5" s="1251"/>
      <c r="BI5" s="1252"/>
      <c r="BJ5" s="152"/>
      <c r="BK5" s="152"/>
      <c r="BL5" s="152"/>
      <c r="BM5" s="152"/>
      <c r="BN5" s="152"/>
      <c r="BO5" s="152"/>
      <c r="BP5" s="152"/>
      <c r="BQ5" s="152"/>
      <c r="BR5" s="152"/>
      <c r="BS5" s="152"/>
      <c r="BT5" s="152"/>
      <c r="BU5" s="152"/>
      <c r="BV5" s="152"/>
      <c r="BW5" s="152"/>
      <c r="BX5" s="152"/>
      <c r="BY5" s="152"/>
      <c r="BZ5" s="175"/>
      <c r="CA5" s="318"/>
    </row>
    <row r="6" ht="18.75" customHeight="1" outlineLevel="1">
      <c r="B6" s="121"/>
      <c r="C6" s="121"/>
      <c r="V6" s="1248"/>
      <c r="AO6" s="1248"/>
      <c r="BH6" s="1248"/>
      <c r="BZ6" s="318"/>
      <c r="CA6" s="318"/>
    </row>
    <row r="7" ht="18.75" customHeight="1" outlineLevel="1">
      <c r="B7" s="121"/>
      <c r="C7" s="143"/>
      <c r="D7" s="240"/>
      <c r="E7" s="240"/>
      <c r="F7" s="240"/>
      <c r="G7" s="240"/>
      <c r="H7" s="240"/>
      <c r="I7" s="240"/>
      <c r="J7" s="240"/>
      <c r="K7" s="240"/>
      <c r="L7" s="240"/>
      <c r="M7" s="240"/>
      <c r="N7" s="240"/>
      <c r="O7" s="240"/>
      <c r="P7" s="240"/>
      <c r="Q7" s="240"/>
      <c r="R7" s="240"/>
      <c r="S7" s="240"/>
      <c r="T7" s="240"/>
      <c r="U7" s="240"/>
      <c r="V7" s="1253"/>
      <c r="W7" s="240"/>
      <c r="X7" s="240"/>
      <c r="Y7" s="240"/>
      <c r="Z7" s="240"/>
      <c r="AA7" s="240"/>
      <c r="AB7" s="240"/>
      <c r="AC7" s="240"/>
      <c r="AD7" s="240"/>
      <c r="AE7" s="240"/>
      <c r="AF7" s="240"/>
      <c r="AG7" s="240"/>
      <c r="AH7" s="240"/>
      <c r="AI7" s="240"/>
      <c r="AJ7" s="240"/>
      <c r="AK7" s="240"/>
      <c r="AL7" s="240"/>
      <c r="AM7" s="240"/>
      <c r="AN7" s="240"/>
      <c r="AO7" s="1253"/>
      <c r="AP7" s="240"/>
      <c r="AQ7" s="240"/>
      <c r="AR7" s="240"/>
      <c r="AS7" s="240"/>
      <c r="AT7" s="240"/>
      <c r="AU7" s="240"/>
      <c r="AV7" s="240"/>
      <c r="AW7" s="240"/>
      <c r="AX7" s="240"/>
      <c r="AY7" s="240"/>
      <c r="AZ7" s="240"/>
      <c r="BA7" s="240"/>
      <c r="BB7" s="240"/>
      <c r="BC7" s="240"/>
      <c r="BD7" s="240"/>
      <c r="BE7" s="240"/>
      <c r="BF7" s="240"/>
      <c r="BG7" s="240"/>
      <c r="BH7" s="1253"/>
      <c r="BI7" s="240"/>
      <c r="BJ7" s="240"/>
      <c r="BK7" s="240"/>
      <c r="BL7" s="240"/>
      <c r="BM7" s="240"/>
      <c r="BN7" s="240"/>
      <c r="BO7" s="240"/>
      <c r="BP7" s="240"/>
      <c r="BQ7" s="240"/>
      <c r="BR7" s="240"/>
      <c r="BS7" s="240"/>
      <c r="BT7" s="240"/>
      <c r="BU7" s="240"/>
      <c r="BV7" s="240"/>
      <c r="BW7" s="240"/>
      <c r="BX7" s="240"/>
      <c r="BY7" s="240"/>
      <c r="BZ7" s="241"/>
      <c r="CA7" s="318"/>
    </row>
    <row r="8" ht="11.25" customHeight="1" outlineLevel="1">
      <c r="B8" s="121"/>
      <c r="C8" s="1254"/>
      <c r="CA8" s="318"/>
    </row>
    <row r="9" ht="18.75" customHeight="1" outlineLevel="1">
      <c r="B9" s="1255"/>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row>
    <row r="10" ht="18.75" customHeight="1">
      <c r="B10" s="338" t="s">
        <v>1476</v>
      </c>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20"/>
    </row>
    <row r="11" ht="11.25" customHeight="1">
      <c r="B11" s="350"/>
      <c r="CA11" s="318"/>
    </row>
    <row r="12" ht="18.75" customHeight="1">
      <c r="B12" s="350"/>
      <c r="C12" s="1219" t="s">
        <v>1476</v>
      </c>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20"/>
      <c r="AO12" s="512"/>
      <c r="AP12" s="1256" t="s">
        <v>1477</v>
      </c>
      <c r="AQ12" s="240"/>
      <c r="AR12" s="240"/>
      <c r="AS12" s="240"/>
      <c r="AT12" s="240"/>
      <c r="AU12" s="240"/>
      <c r="AV12" s="240"/>
      <c r="AW12" s="240"/>
      <c r="AX12" s="240"/>
      <c r="AY12" s="240"/>
      <c r="AZ12" s="240"/>
      <c r="BA12" s="240"/>
      <c r="BB12" s="240"/>
      <c r="BC12" s="240"/>
      <c r="BD12" s="240"/>
      <c r="BE12" s="240"/>
      <c r="BF12" s="240"/>
      <c r="BG12" s="240"/>
      <c r="BH12" s="240"/>
      <c r="BI12" s="241"/>
      <c r="BJ12" s="1257"/>
      <c r="BK12" s="1219" t="s">
        <v>1478</v>
      </c>
      <c r="BL12" s="19"/>
      <c r="BM12" s="19"/>
      <c r="BN12" s="19"/>
      <c r="BO12" s="19"/>
      <c r="BP12" s="19"/>
      <c r="BQ12" s="19"/>
      <c r="BR12" s="19"/>
      <c r="BS12" s="19"/>
      <c r="BT12" s="19"/>
      <c r="BU12" s="19"/>
      <c r="BV12" s="19"/>
      <c r="BW12" s="19"/>
      <c r="BX12" s="19"/>
      <c r="BY12" s="19"/>
      <c r="BZ12" s="20"/>
      <c r="CA12" s="1258"/>
    </row>
    <row r="13" ht="18.75" customHeight="1">
      <c r="B13" s="121"/>
      <c r="C13" s="1259"/>
      <c r="D13" s="152"/>
      <c r="E13" s="152"/>
      <c r="F13" s="152"/>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c r="AK13" s="152"/>
      <c r="AL13" s="152"/>
      <c r="AM13" s="152"/>
      <c r="AN13" s="175"/>
      <c r="AO13" s="1260"/>
      <c r="AP13" s="1261"/>
      <c r="AQ13" s="152"/>
      <c r="AR13" s="152"/>
      <c r="AS13" s="152"/>
      <c r="AT13" s="152"/>
      <c r="AU13" s="152"/>
      <c r="AV13" s="152"/>
      <c r="AW13" s="152"/>
      <c r="AX13" s="152"/>
      <c r="AY13" s="152"/>
      <c r="AZ13" s="152"/>
      <c r="BA13" s="152"/>
      <c r="BB13" s="152"/>
      <c r="BC13" s="152"/>
      <c r="BD13" s="152"/>
      <c r="BE13" s="152"/>
      <c r="BF13" s="152"/>
      <c r="BG13" s="152"/>
      <c r="BH13" s="152"/>
      <c r="BI13" s="175"/>
      <c r="BJ13" s="1257"/>
      <c r="BK13" s="1262"/>
      <c r="BL13" s="152"/>
      <c r="BM13" s="152"/>
      <c r="BN13" s="152"/>
      <c r="BO13" s="152"/>
      <c r="BP13" s="152"/>
      <c r="BQ13" s="152"/>
      <c r="BR13" s="152"/>
      <c r="BS13" s="152"/>
      <c r="BT13" s="152"/>
      <c r="BU13" s="152"/>
      <c r="BV13" s="152"/>
      <c r="BW13" s="152"/>
      <c r="BX13" s="152"/>
      <c r="BY13" s="152"/>
      <c r="BZ13" s="175"/>
      <c r="CA13" s="1258"/>
    </row>
    <row r="14" ht="18.75" customHeight="1">
      <c r="B14" s="121"/>
      <c r="C14" s="121"/>
      <c r="AN14" s="318"/>
      <c r="AO14" s="1260"/>
      <c r="AP14" s="121"/>
      <c r="BI14" s="318"/>
      <c r="BJ14" s="1257"/>
      <c r="BK14" s="121"/>
      <c r="BZ14" s="318"/>
      <c r="CA14" s="1258"/>
    </row>
    <row r="15" ht="18.75" customHeight="1">
      <c r="B15" s="121"/>
      <c r="C15" s="121"/>
      <c r="AN15" s="318"/>
      <c r="AO15" s="1260"/>
      <c r="AP15" s="121"/>
      <c r="BI15" s="318"/>
      <c r="BJ15" s="1257"/>
      <c r="BK15" s="121"/>
      <c r="BZ15" s="318"/>
      <c r="CA15" s="1258"/>
    </row>
    <row r="16" ht="18.75" customHeight="1">
      <c r="B16" s="121"/>
      <c r="C16" s="121"/>
      <c r="AN16" s="318"/>
      <c r="AO16" s="1260"/>
      <c r="AP16" s="121"/>
      <c r="BI16" s="318"/>
      <c r="BJ16" s="1257"/>
      <c r="BK16" s="121"/>
      <c r="BZ16" s="318"/>
      <c r="CA16" s="1258"/>
    </row>
    <row r="17" ht="18.75" customHeight="1">
      <c r="B17" s="121"/>
      <c r="C17" s="121"/>
      <c r="AN17" s="318"/>
      <c r="AO17" s="1260"/>
      <c r="AP17" s="121"/>
      <c r="BI17" s="318"/>
      <c r="BJ17" s="1257"/>
      <c r="BK17" s="121"/>
      <c r="BZ17" s="318"/>
      <c r="CA17" s="1258"/>
    </row>
    <row r="18" ht="18.75" customHeight="1">
      <c r="B18" s="121"/>
      <c r="C18" s="121"/>
      <c r="AN18" s="318"/>
      <c r="AO18" s="1260"/>
      <c r="AP18" s="121"/>
      <c r="BI18" s="318"/>
      <c r="BJ18" s="1257"/>
      <c r="BK18" s="143"/>
      <c r="BL18" s="240"/>
      <c r="BM18" s="240"/>
      <c r="BN18" s="240"/>
      <c r="BO18" s="240"/>
      <c r="BP18" s="240"/>
      <c r="BQ18" s="240"/>
      <c r="BR18" s="240"/>
      <c r="BS18" s="240"/>
      <c r="BT18" s="240"/>
      <c r="BU18" s="240"/>
      <c r="BV18" s="240"/>
      <c r="BW18" s="240"/>
      <c r="BX18" s="240"/>
      <c r="BY18" s="240"/>
      <c r="BZ18" s="241"/>
      <c r="CA18" s="1258"/>
    </row>
    <row r="19" ht="18.75" customHeight="1">
      <c r="B19" s="121"/>
      <c r="C19" s="121"/>
      <c r="AN19" s="318"/>
      <c r="AO19" s="307"/>
      <c r="AP19" s="143"/>
      <c r="AQ19" s="240"/>
      <c r="AR19" s="240"/>
      <c r="AS19" s="240"/>
      <c r="AT19" s="240"/>
      <c r="AU19" s="240"/>
      <c r="AV19" s="240"/>
      <c r="AW19" s="240"/>
      <c r="AX19" s="240"/>
      <c r="AY19" s="240"/>
      <c r="AZ19" s="240"/>
      <c r="BA19" s="240"/>
      <c r="BB19" s="240"/>
      <c r="BC19" s="240"/>
      <c r="BD19" s="240"/>
      <c r="BE19" s="240"/>
      <c r="BF19" s="240"/>
      <c r="BG19" s="240"/>
      <c r="BH19" s="240"/>
      <c r="BI19" s="241"/>
      <c r="BJ19" s="1254"/>
      <c r="BK19" s="1219" t="s">
        <v>1479</v>
      </c>
      <c r="BL19" s="19"/>
      <c r="BM19" s="19"/>
      <c r="BN19" s="19"/>
      <c r="BO19" s="19"/>
      <c r="BP19" s="19"/>
      <c r="BQ19" s="19"/>
      <c r="BR19" s="19"/>
      <c r="BS19" s="19"/>
      <c r="BT19" s="19"/>
      <c r="BU19" s="20"/>
      <c r="BV19" s="1263"/>
      <c r="BW19" s="19"/>
      <c r="BX19" s="19"/>
      <c r="BY19" s="19"/>
      <c r="BZ19" s="20"/>
      <c r="CA19" s="1258"/>
    </row>
    <row r="20" ht="11.25" customHeight="1">
      <c r="B20" s="121"/>
      <c r="C20" s="121"/>
      <c r="AN20" s="318"/>
      <c r="AO20" s="307"/>
      <c r="AP20" s="1254"/>
      <c r="CA20" s="1258"/>
    </row>
    <row r="21" ht="18.75" customHeight="1">
      <c r="B21" s="121"/>
      <c r="C21" s="121"/>
      <c r="AN21" s="318"/>
      <c r="AO21" s="307"/>
      <c r="AP21" s="1256" t="s">
        <v>1480</v>
      </c>
      <c r="AQ21" s="240"/>
      <c r="AR21" s="240"/>
      <c r="AS21" s="240"/>
      <c r="AT21" s="240"/>
      <c r="AU21" s="240"/>
      <c r="AV21" s="240"/>
      <c r="AW21" s="240"/>
      <c r="AX21" s="240"/>
      <c r="AY21" s="240"/>
      <c r="AZ21" s="240"/>
      <c r="BA21" s="240"/>
      <c r="BB21" s="240"/>
      <c r="BC21" s="240"/>
      <c r="BD21" s="240"/>
      <c r="BE21" s="240"/>
      <c r="BF21" s="240"/>
      <c r="BG21" s="240"/>
      <c r="BH21" s="240"/>
      <c r="BI21" s="241"/>
      <c r="BJ21" s="1257"/>
      <c r="BK21" s="401" t="s">
        <v>1481</v>
      </c>
      <c r="BL21" s="19"/>
      <c r="BM21" s="19"/>
      <c r="BN21" s="19"/>
      <c r="BO21" s="19"/>
      <c r="BP21" s="19"/>
      <c r="BQ21" s="19"/>
      <c r="BR21" s="19"/>
      <c r="BS21" s="19"/>
      <c r="BT21" s="19"/>
      <c r="BU21" s="19"/>
      <c r="BV21" s="19"/>
      <c r="BW21" s="19"/>
      <c r="BX21" s="19"/>
      <c r="BY21" s="19"/>
      <c r="BZ21" s="19"/>
      <c r="CA21" s="1264"/>
    </row>
    <row r="22" ht="18.75" customHeight="1">
      <c r="B22" s="121"/>
      <c r="C22" s="121"/>
      <c r="AN22" s="318"/>
      <c r="AO22" s="307"/>
      <c r="AP22" s="1219" t="s">
        <v>1482</v>
      </c>
      <c r="AQ22" s="19"/>
      <c r="AR22" s="19"/>
      <c r="AS22" s="19"/>
      <c r="AT22" s="19"/>
      <c r="AU22" s="20"/>
      <c r="AV22" s="1265"/>
      <c r="AW22" s="19"/>
      <c r="AX22" s="19"/>
      <c r="AY22" s="19"/>
      <c r="AZ22" s="19"/>
      <c r="BA22" s="19"/>
      <c r="BB22" s="19"/>
      <c r="BC22" s="19"/>
      <c r="BD22" s="19"/>
      <c r="BE22" s="19"/>
      <c r="BF22" s="19"/>
      <c r="BG22" s="19"/>
      <c r="BH22" s="19"/>
      <c r="BI22" s="20"/>
      <c r="BJ22" s="1257"/>
      <c r="BK22" s="1266"/>
      <c r="BL22" s="152"/>
      <c r="BM22" s="152"/>
      <c r="BN22" s="152"/>
      <c r="BO22" s="152"/>
      <c r="BP22" s="152"/>
      <c r="BQ22" s="152"/>
      <c r="BR22" s="152"/>
      <c r="BS22" s="152"/>
      <c r="BT22" s="152"/>
      <c r="BU22" s="152"/>
      <c r="BV22" s="152"/>
      <c r="BW22" s="152"/>
      <c r="BX22" s="152"/>
      <c r="BY22" s="152"/>
      <c r="BZ22" s="152"/>
      <c r="CA22" s="22"/>
    </row>
    <row r="23" ht="18.75" customHeight="1">
      <c r="B23" s="121"/>
      <c r="C23" s="121"/>
      <c r="AN23" s="318"/>
      <c r="AO23" s="307"/>
      <c r="AP23" s="1267" t="s">
        <v>1483</v>
      </c>
      <c r="AQ23" s="152"/>
      <c r="AR23" s="152"/>
      <c r="AS23" s="152"/>
      <c r="AT23" s="152"/>
      <c r="AU23" s="175"/>
      <c r="AV23" s="1265"/>
      <c r="AW23" s="19"/>
      <c r="AX23" s="19"/>
      <c r="AY23" s="19"/>
      <c r="AZ23" s="19"/>
      <c r="BA23" s="19"/>
      <c r="BB23" s="19"/>
      <c r="BC23" s="19"/>
      <c r="BD23" s="19"/>
      <c r="BE23" s="19"/>
      <c r="BF23" s="19"/>
      <c r="BG23" s="19"/>
      <c r="BH23" s="19"/>
      <c r="BI23" s="20"/>
      <c r="BJ23" s="1257"/>
      <c r="CA23" s="22"/>
    </row>
    <row r="24" ht="18.75" customHeight="1">
      <c r="B24" s="121"/>
      <c r="C24" s="121"/>
      <c r="AN24" s="318"/>
      <c r="AO24" s="307"/>
      <c r="AP24" s="1219" t="s">
        <v>1484</v>
      </c>
      <c r="AQ24" s="19"/>
      <c r="AR24" s="19"/>
      <c r="AS24" s="19"/>
      <c r="AT24" s="19"/>
      <c r="AU24" s="20"/>
      <c r="AV24" s="1265"/>
      <c r="AW24" s="19"/>
      <c r="AX24" s="19"/>
      <c r="AY24" s="19"/>
      <c r="AZ24" s="19"/>
      <c r="BA24" s="19"/>
      <c r="BB24" s="19"/>
      <c r="BC24" s="19"/>
      <c r="BD24" s="19"/>
      <c r="BE24" s="19"/>
      <c r="BF24" s="19"/>
      <c r="BG24" s="19"/>
      <c r="BH24" s="19"/>
      <c r="BI24" s="20"/>
      <c r="BJ24" s="1257"/>
      <c r="CA24" s="22"/>
    </row>
    <row r="25" ht="18.75" customHeight="1">
      <c r="B25" s="121"/>
      <c r="C25" s="121"/>
      <c r="AN25" s="318"/>
      <c r="AO25" s="307"/>
      <c r="AP25" s="1219" t="s">
        <v>1485</v>
      </c>
      <c r="AQ25" s="19"/>
      <c r="AR25" s="19"/>
      <c r="AS25" s="19"/>
      <c r="AT25" s="19"/>
      <c r="AU25" s="20"/>
      <c r="AV25" s="1265"/>
      <c r="AW25" s="19"/>
      <c r="AX25" s="19"/>
      <c r="AY25" s="19"/>
      <c r="AZ25" s="19"/>
      <c r="BA25" s="19"/>
      <c r="BB25" s="19"/>
      <c r="BC25" s="19"/>
      <c r="BD25" s="19"/>
      <c r="BE25" s="19"/>
      <c r="BF25" s="19"/>
      <c r="BG25" s="19"/>
      <c r="BH25" s="19"/>
      <c r="BI25" s="20"/>
      <c r="BJ25" s="1257"/>
      <c r="CA25" s="22"/>
    </row>
    <row r="26" ht="18.75" customHeight="1">
      <c r="B26" s="121"/>
      <c r="C26" s="121"/>
      <c r="AN26" s="318"/>
      <c r="AO26" s="307"/>
      <c r="AP26" s="1219" t="s">
        <v>1486</v>
      </c>
      <c r="AQ26" s="19"/>
      <c r="AR26" s="19"/>
      <c r="AS26" s="19"/>
      <c r="AT26" s="19"/>
      <c r="AU26" s="20"/>
      <c r="AV26" s="1265"/>
      <c r="AW26" s="19"/>
      <c r="AX26" s="19"/>
      <c r="AY26" s="19"/>
      <c r="AZ26" s="19"/>
      <c r="BA26" s="19"/>
      <c r="BB26" s="19"/>
      <c r="BC26" s="19"/>
      <c r="BD26" s="19"/>
      <c r="BE26" s="19"/>
      <c r="BF26" s="19"/>
      <c r="BG26" s="19"/>
      <c r="BH26" s="19"/>
      <c r="BI26" s="20"/>
      <c r="BJ26" s="1257"/>
      <c r="CA26" s="22"/>
    </row>
    <row r="27" ht="18.75" customHeight="1">
      <c r="B27" s="121"/>
      <c r="C27" s="121"/>
      <c r="AN27" s="318"/>
      <c r="AO27" s="307"/>
      <c r="AP27" s="1219" t="s">
        <v>1487</v>
      </c>
      <c r="AQ27" s="19"/>
      <c r="AR27" s="19"/>
      <c r="AS27" s="19"/>
      <c r="AT27" s="19"/>
      <c r="AU27" s="20"/>
      <c r="AV27" s="1265"/>
      <c r="AW27" s="19"/>
      <c r="AX27" s="19"/>
      <c r="AY27" s="19"/>
      <c r="AZ27" s="19"/>
      <c r="BA27" s="19"/>
      <c r="BB27" s="19"/>
      <c r="BC27" s="19"/>
      <c r="BD27" s="19"/>
      <c r="BE27" s="19"/>
      <c r="BF27" s="19"/>
      <c r="BG27" s="19"/>
      <c r="BH27" s="19"/>
      <c r="BI27" s="20"/>
      <c r="BJ27" s="1257"/>
      <c r="CA27" s="22"/>
    </row>
    <row r="28" ht="11.25" customHeight="1">
      <c r="B28" s="121"/>
      <c r="C28" s="121"/>
      <c r="AN28" s="318"/>
      <c r="AO28" s="307"/>
      <c r="AP28" s="307"/>
      <c r="AQ28" s="307"/>
      <c r="AR28" s="307"/>
      <c r="AS28" s="307"/>
      <c r="AT28" s="307"/>
      <c r="AU28" s="307"/>
      <c r="AV28" s="307"/>
      <c r="AW28" s="307"/>
      <c r="AX28" s="307"/>
      <c r="AY28" s="307"/>
      <c r="AZ28" s="307"/>
      <c r="BA28" s="307"/>
      <c r="BB28" s="307"/>
      <c r="BC28" s="307"/>
      <c r="BD28" s="307"/>
      <c r="BE28" s="307"/>
      <c r="BF28" s="307"/>
      <c r="BG28" s="307"/>
      <c r="BH28" s="307"/>
      <c r="BI28" s="307"/>
      <c r="BJ28" s="1257"/>
      <c r="CA28" s="22"/>
    </row>
    <row r="29" ht="18.75" customHeight="1">
      <c r="B29" s="121"/>
      <c r="C29" s="121"/>
      <c r="AN29" s="318"/>
      <c r="AO29" s="307"/>
      <c r="AP29" s="1256" t="s">
        <v>1488</v>
      </c>
      <c r="AQ29" s="240"/>
      <c r="AR29" s="240"/>
      <c r="AS29" s="240"/>
      <c r="AT29" s="240"/>
      <c r="AU29" s="240"/>
      <c r="AV29" s="240"/>
      <c r="AW29" s="240"/>
      <c r="AX29" s="240"/>
      <c r="AY29" s="240"/>
      <c r="AZ29" s="240"/>
      <c r="BA29" s="240"/>
      <c r="BB29" s="240"/>
      <c r="BC29" s="240"/>
      <c r="BD29" s="240"/>
      <c r="BE29" s="240"/>
      <c r="BF29" s="240"/>
      <c r="BG29" s="240"/>
      <c r="BH29" s="240"/>
      <c r="BI29" s="241"/>
      <c r="BJ29" s="1257"/>
      <c r="CA29" s="22"/>
    </row>
    <row r="30" ht="18.75" customHeight="1">
      <c r="B30" s="121"/>
      <c r="C30" s="121"/>
      <c r="AN30" s="318"/>
      <c r="AO30" s="307"/>
      <c r="AP30" s="1219" t="str">
        <f>IF(OR('角色卡'!AZ7="守序善良LG",'角色卡'!AZ7="中立善良NG",'角色卡'!AZ7="混亂善良CG"),"善良特質",IF(OR('角色卡'!AZ7="守序中立LN",'角色卡'!AZ7="絕對中立TN",'角色卡'!AZ7="混亂中立CN"),"中立特質",IF(OR('角色卡'!AZ7="守序邪惡LE",'角色卡'!AZ7="中立邪惡NE",'角色卡'!AZ7="混亂邪惡CE"),"邪惡特質","")))</f>
        <v/>
      </c>
      <c r="AQ30" s="19"/>
      <c r="AR30" s="19"/>
      <c r="AS30" s="19"/>
      <c r="AT30" s="19"/>
      <c r="AU30" s="20"/>
      <c r="AV30" s="1265"/>
      <c r="AW30" s="19"/>
      <c r="AX30" s="19"/>
      <c r="AY30" s="19"/>
      <c r="AZ30" s="19"/>
      <c r="BA30" s="19"/>
      <c r="BB30" s="19"/>
      <c r="BC30" s="19"/>
      <c r="BD30" s="19"/>
      <c r="BE30" s="19"/>
      <c r="BF30" s="19"/>
      <c r="BG30" s="19"/>
      <c r="BH30" s="19"/>
      <c r="BI30" s="20"/>
      <c r="BJ30" s="1257"/>
      <c r="CA30" s="22"/>
    </row>
    <row r="31" ht="18.75" customHeight="1">
      <c r="B31" s="121"/>
      <c r="C31" s="143"/>
      <c r="D31" s="240"/>
      <c r="E31" s="240"/>
      <c r="F31" s="240"/>
      <c r="G31" s="240"/>
      <c r="H31" s="240"/>
      <c r="I31" s="240"/>
      <c r="J31" s="240"/>
      <c r="K31" s="240"/>
      <c r="L31" s="240"/>
      <c r="M31" s="240"/>
      <c r="N31" s="240"/>
      <c r="O31" s="240"/>
      <c r="P31" s="240"/>
      <c r="Q31" s="240"/>
      <c r="R31" s="240"/>
      <c r="S31" s="240"/>
      <c r="T31" s="240"/>
      <c r="U31" s="240"/>
      <c r="V31" s="240"/>
      <c r="W31" s="240"/>
      <c r="X31" s="240"/>
      <c r="Y31" s="240"/>
      <c r="Z31" s="240"/>
      <c r="AA31" s="240"/>
      <c r="AB31" s="240"/>
      <c r="AC31" s="240"/>
      <c r="AD31" s="240"/>
      <c r="AE31" s="240"/>
      <c r="AF31" s="240"/>
      <c r="AG31" s="240"/>
      <c r="AH31" s="240"/>
      <c r="AI31" s="240"/>
      <c r="AJ31" s="240"/>
      <c r="AK31" s="240"/>
      <c r="AL31" s="240"/>
      <c r="AM31" s="240"/>
      <c r="AN31" s="241"/>
      <c r="AO31" s="307"/>
      <c r="AP31" s="1267" t="str">
        <f>IF(OR('角色卡'!AZ7="守序善良LG",'角色卡'!AZ7="守序中立LN",'角色卡'!AZ7="守序邪惡LE"),"守序特質",IF(OR('角色卡'!AZ7="中立善良NG",'角色卡'!AZ7="絕對中立TN",'角色卡'!AZ7="中立邪惡NE"),"中立特質",IF(OR('角色卡'!AZ7="混亂善良CG",'角色卡'!AZ7="混亂中立CN",'角色卡'!AZ7="混亂邪惡CE"),"混亂特質","")))</f>
        <v/>
      </c>
      <c r="AQ31" s="152"/>
      <c r="AR31" s="152"/>
      <c r="AS31" s="152"/>
      <c r="AT31" s="152"/>
      <c r="AU31" s="175"/>
      <c r="AV31" s="1265"/>
      <c r="AW31" s="19"/>
      <c r="AX31" s="19"/>
      <c r="AY31" s="19"/>
      <c r="AZ31" s="19"/>
      <c r="BA31" s="19"/>
      <c r="BB31" s="19"/>
      <c r="BC31" s="19"/>
      <c r="BD31" s="19"/>
      <c r="BE31" s="19"/>
      <c r="BF31" s="19"/>
      <c r="BG31" s="19"/>
      <c r="BH31" s="19"/>
      <c r="BI31" s="20"/>
      <c r="BJ31" s="1257"/>
      <c r="BK31" s="240"/>
      <c r="BL31" s="240"/>
      <c r="BM31" s="240"/>
      <c r="BN31" s="240"/>
      <c r="BO31" s="240"/>
      <c r="BP31" s="240"/>
      <c r="BQ31" s="240"/>
      <c r="BR31" s="240"/>
      <c r="BS31" s="240"/>
      <c r="BT31" s="240"/>
      <c r="BU31" s="240"/>
      <c r="BV31" s="240"/>
      <c r="BW31" s="240"/>
      <c r="BX31" s="240"/>
      <c r="BY31" s="240"/>
      <c r="BZ31" s="240"/>
      <c r="CA31" s="22"/>
    </row>
    <row r="32" ht="11.25" customHeight="1">
      <c r="B32" s="1238"/>
      <c r="C32" s="240"/>
      <c r="D32" s="240"/>
      <c r="E32" s="240"/>
      <c r="F32" s="240"/>
      <c r="G32" s="240"/>
      <c r="H32" s="240"/>
      <c r="I32" s="240"/>
      <c r="J32" s="240"/>
      <c r="K32" s="240"/>
      <c r="L32" s="240"/>
      <c r="M32" s="240"/>
      <c r="N32" s="240"/>
      <c r="O32" s="240"/>
      <c r="P32" s="240"/>
      <c r="Q32" s="240"/>
      <c r="R32" s="240"/>
      <c r="S32" s="240"/>
      <c r="T32" s="240"/>
      <c r="U32" s="240"/>
      <c r="V32" s="240"/>
      <c r="W32" s="240"/>
      <c r="X32" s="240"/>
      <c r="Y32" s="240"/>
      <c r="Z32" s="240"/>
      <c r="AA32" s="240"/>
      <c r="AB32" s="240"/>
      <c r="AC32" s="240"/>
      <c r="AD32" s="240"/>
      <c r="AE32" s="240"/>
      <c r="AF32" s="240"/>
      <c r="AG32" s="240"/>
      <c r="AH32" s="240"/>
      <c r="AI32" s="240"/>
      <c r="AJ32" s="240"/>
      <c r="AK32" s="240"/>
      <c r="AL32" s="240"/>
      <c r="AM32" s="240"/>
      <c r="AN32" s="240"/>
      <c r="AO32" s="240"/>
      <c r="AP32" s="240"/>
      <c r="AQ32" s="240"/>
      <c r="AR32" s="240"/>
      <c r="AS32" s="240"/>
      <c r="AT32" s="240"/>
      <c r="AU32" s="240"/>
      <c r="AV32" s="240"/>
      <c r="AW32" s="240"/>
      <c r="AX32" s="240"/>
      <c r="AY32" s="240"/>
      <c r="AZ32" s="240"/>
      <c r="BA32" s="240"/>
      <c r="BB32" s="240"/>
      <c r="BC32" s="240"/>
      <c r="BD32" s="240"/>
      <c r="BE32" s="240"/>
      <c r="BF32" s="240"/>
      <c r="BG32" s="240"/>
      <c r="BH32" s="240"/>
      <c r="BI32" s="240"/>
      <c r="BJ32" s="240"/>
      <c r="BK32" s="240"/>
      <c r="BL32" s="240"/>
      <c r="BM32" s="240"/>
      <c r="BN32" s="240"/>
      <c r="BO32" s="240"/>
      <c r="BP32" s="240"/>
      <c r="BQ32" s="240"/>
      <c r="BR32" s="240"/>
      <c r="BS32" s="240"/>
      <c r="BT32" s="240"/>
      <c r="BU32" s="240"/>
      <c r="BV32" s="240"/>
      <c r="BW32" s="240"/>
      <c r="BX32" s="240"/>
      <c r="BY32" s="240"/>
      <c r="BZ32" s="240"/>
      <c r="CA32" s="241"/>
    </row>
    <row r="33" ht="18.75" customHeight="1">
      <c r="B33" s="1268" t="s">
        <v>1489</v>
      </c>
      <c r="C33" s="240"/>
      <c r="D33" s="240"/>
      <c r="E33" s="240"/>
      <c r="F33" s="240"/>
      <c r="G33" s="240"/>
      <c r="H33" s="240"/>
      <c r="I33" s="240"/>
      <c r="J33" s="240"/>
      <c r="K33" s="240"/>
      <c r="L33" s="240"/>
      <c r="M33" s="240"/>
      <c r="N33" s="240"/>
      <c r="O33" s="240"/>
      <c r="P33" s="240"/>
      <c r="Q33" s="240"/>
      <c r="R33" s="240"/>
      <c r="S33" s="240"/>
      <c r="T33" s="240"/>
      <c r="U33" s="240"/>
      <c r="V33" s="240"/>
      <c r="W33" s="240"/>
      <c r="X33" s="240"/>
      <c r="Y33" s="240"/>
      <c r="Z33" s="240"/>
      <c r="AA33" s="240"/>
      <c r="AB33" s="240"/>
      <c r="AC33" s="240"/>
      <c r="AD33" s="240"/>
      <c r="AE33" s="240"/>
      <c r="AF33" s="240"/>
      <c r="AG33" s="240"/>
      <c r="AH33" s="240"/>
      <c r="AI33" s="240"/>
      <c r="AJ33" s="240"/>
      <c r="AK33" s="240"/>
      <c r="AL33" s="240"/>
      <c r="AM33" s="240"/>
      <c r="AN33" s="240"/>
      <c r="AO33" s="240"/>
      <c r="AP33" s="240"/>
      <c r="AQ33" s="240"/>
      <c r="AR33" s="240"/>
      <c r="AS33" s="240"/>
      <c r="AT33" s="240"/>
      <c r="AU33" s="240"/>
      <c r="AV33" s="240"/>
      <c r="AW33" s="240"/>
      <c r="AX33" s="240"/>
      <c r="AY33" s="240"/>
      <c r="AZ33" s="240"/>
      <c r="BA33" s="240"/>
      <c r="BB33" s="240"/>
      <c r="BC33" s="240"/>
      <c r="BD33" s="240"/>
      <c r="BE33" s="240"/>
      <c r="BF33" s="240"/>
      <c r="BG33" s="240"/>
      <c r="BH33" s="240"/>
      <c r="BI33" s="240"/>
      <c r="BJ33" s="240"/>
      <c r="BK33" s="240"/>
      <c r="BL33" s="240"/>
      <c r="BM33" s="240"/>
      <c r="BN33" s="240"/>
      <c r="BO33" s="240"/>
      <c r="BP33" s="240"/>
      <c r="BQ33" s="240"/>
      <c r="BR33" s="240"/>
      <c r="BS33" s="240"/>
      <c r="BT33" s="240"/>
      <c r="BU33" s="240"/>
      <c r="BV33" s="240"/>
      <c r="BW33" s="240"/>
      <c r="BX33" s="240"/>
      <c r="BY33" s="240"/>
      <c r="BZ33" s="240"/>
      <c r="CA33" s="240"/>
      <c r="CB33" s="240"/>
    </row>
    <row r="34" ht="11.25" customHeight="1" outlineLevel="1">
      <c r="B34" s="1244"/>
      <c r="C34" s="152"/>
      <c r="D34" s="152"/>
      <c r="E34" s="152"/>
      <c r="F34" s="152"/>
      <c r="G34" s="152"/>
      <c r="H34" s="152"/>
      <c r="I34" s="152"/>
      <c r="J34" s="152"/>
      <c r="K34" s="152"/>
      <c r="L34" s="152"/>
      <c r="M34" s="152"/>
      <c r="N34" s="152"/>
      <c r="O34" s="152"/>
      <c r="P34" s="152"/>
      <c r="Q34" s="152"/>
      <c r="R34" s="152"/>
      <c r="S34" s="152"/>
      <c r="T34" s="152"/>
      <c r="U34" s="152"/>
      <c r="V34" s="152"/>
      <c r="W34" s="152"/>
      <c r="X34" s="152"/>
      <c r="Y34" s="152"/>
      <c r="Z34" s="152"/>
      <c r="AA34" s="152"/>
      <c r="AB34" s="152"/>
      <c r="AC34" s="152"/>
      <c r="AD34" s="152"/>
      <c r="AE34" s="152"/>
      <c r="AF34" s="152"/>
      <c r="AG34" s="152"/>
      <c r="AH34" s="152"/>
      <c r="AI34" s="152"/>
      <c r="AJ34" s="152"/>
      <c r="AK34" s="152"/>
      <c r="AL34" s="152"/>
      <c r="AM34" s="152"/>
      <c r="AN34" s="152"/>
      <c r="AO34" s="152"/>
      <c r="AP34" s="152"/>
      <c r="AQ34" s="152"/>
      <c r="AR34" s="152"/>
      <c r="AS34" s="152"/>
      <c r="AT34" s="152"/>
      <c r="AU34" s="152"/>
      <c r="AV34" s="152"/>
      <c r="AW34" s="152"/>
      <c r="AX34" s="152"/>
      <c r="AY34" s="152"/>
      <c r="AZ34" s="152"/>
      <c r="BA34" s="152"/>
      <c r="BB34" s="152"/>
      <c r="BC34" s="152"/>
      <c r="BD34" s="152"/>
      <c r="BE34" s="152"/>
      <c r="BF34" s="152"/>
      <c r="BG34" s="152"/>
      <c r="BH34" s="152"/>
      <c r="BI34" s="152"/>
      <c r="BJ34" s="152"/>
      <c r="BK34" s="152"/>
      <c r="BL34" s="152"/>
      <c r="BM34" s="152"/>
      <c r="BN34" s="152"/>
      <c r="BO34" s="152"/>
      <c r="BP34" s="152"/>
      <c r="BQ34" s="152"/>
      <c r="BR34" s="152"/>
      <c r="BS34" s="152"/>
      <c r="BT34" s="152"/>
      <c r="BU34" s="152"/>
      <c r="BV34" s="152"/>
      <c r="BW34" s="152"/>
      <c r="BX34" s="152"/>
      <c r="BY34" s="152"/>
      <c r="BZ34" s="152"/>
      <c r="CA34" s="175"/>
      <c r="CB34" s="1239"/>
    </row>
    <row r="35" ht="18.75" customHeight="1" outlineLevel="1">
      <c r="B35" s="1269"/>
      <c r="C35" s="1270" t="s">
        <v>1490</v>
      </c>
      <c r="D35" s="19"/>
      <c r="E35" s="19"/>
      <c r="F35" s="19"/>
      <c r="G35" s="19"/>
      <c r="H35" s="19"/>
      <c r="I35" s="19"/>
      <c r="J35" s="19"/>
      <c r="K35" s="19"/>
      <c r="L35" s="19"/>
      <c r="M35" s="19"/>
      <c r="N35" s="19"/>
      <c r="O35" s="19"/>
      <c r="P35" s="19"/>
      <c r="Q35" s="19"/>
      <c r="R35" s="19"/>
      <c r="S35" s="19"/>
      <c r="T35" s="19"/>
      <c r="U35" s="19"/>
      <c r="V35" s="19"/>
      <c r="W35" s="19"/>
      <c r="X35" s="19"/>
      <c r="Y35" s="19"/>
      <c r="Z35" s="19"/>
      <c r="AA35" s="20"/>
      <c r="AB35" s="1271"/>
      <c r="AC35" s="1270" t="s">
        <v>1491</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20"/>
      <c r="BB35" s="1271"/>
      <c r="BC35" s="1270" t="s">
        <v>1492</v>
      </c>
      <c r="BD35" s="19"/>
      <c r="BE35" s="19"/>
      <c r="BF35" s="19"/>
      <c r="BG35" s="19"/>
      <c r="BH35" s="19"/>
      <c r="BI35" s="19"/>
      <c r="BJ35" s="19"/>
      <c r="BK35" s="19"/>
      <c r="BL35" s="19"/>
      <c r="BM35" s="19"/>
      <c r="BN35" s="19"/>
      <c r="BO35" s="19"/>
      <c r="BP35" s="19"/>
      <c r="BQ35" s="19"/>
      <c r="BR35" s="19"/>
      <c r="BS35" s="19"/>
      <c r="BT35" s="19"/>
      <c r="BU35" s="19"/>
      <c r="BV35" s="19"/>
      <c r="BW35" s="19"/>
      <c r="BX35" s="19"/>
      <c r="BY35" s="19"/>
      <c r="BZ35" s="20"/>
      <c r="CA35" s="1272"/>
      <c r="CB35" s="1239"/>
    </row>
    <row r="36" ht="18.75" customHeight="1" outlineLevel="1">
      <c r="B36" s="1269"/>
      <c r="C36" s="1273"/>
      <c r="D36" s="152"/>
      <c r="E36" s="152"/>
      <c r="F36" s="152"/>
      <c r="G36" s="152"/>
      <c r="H36" s="152"/>
      <c r="I36" s="152"/>
      <c r="J36" s="152"/>
      <c r="K36" s="152"/>
      <c r="L36" s="152"/>
      <c r="M36" s="152"/>
      <c r="N36" s="152"/>
      <c r="O36" s="152"/>
      <c r="P36" s="152"/>
      <c r="Q36" s="152"/>
      <c r="R36" s="152"/>
      <c r="S36" s="152"/>
      <c r="T36" s="152"/>
      <c r="U36" s="152"/>
      <c r="V36" s="152"/>
      <c r="W36" s="152"/>
      <c r="X36" s="152"/>
      <c r="Y36" s="152"/>
      <c r="Z36" s="152"/>
      <c r="AA36" s="175"/>
      <c r="AB36" s="1271"/>
      <c r="AC36" s="1273"/>
      <c r="AD36" s="152"/>
      <c r="AE36" s="152"/>
      <c r="AF36" s="152"/>
      <c r="AG36" s="152"/>
      <c r="AH36" s="152"/>
      <c r="AI36" s="152"/>
      <c r="AJ36" s="152"/>
      <c r="AK36" s="152"/>
      <c r="AL36" s="152"/>
      <c r="AM36" s="152"/>
      <c r="AN36" s="152"/>
      <c r="AO36" s="152"/>
      <c r="AP36" s="152"/>
      <c r="AQ36" s="152"/>
      <c r="AR36" s="152"/>
      <c r="AS36" s="152"/>
      <c r="AT36" s="152"/>
      <c r="AU36" s="152"/>
      <c r="AV36" s="152"/>
      <c r="AW36" s="152"/>
      <c r="AX36" s="152"/>
      <c r="AY36" s="152"/>
      <c r="AZ36" s="152"/>
      <c r="BA36" s="175"/>
      <c r="BB36" s="1271"/>
      <c r="BC36" s="1273"/>
      <c r="BD36" s="152"/>
      <c r="BE36" s="152"/>
      <c r="BF36" s="152"/>
      <c r="BG36" s="152"/>
      <c r="BH36" s="152"/>
      <c r="BI36" s="152"/>
      <c r="BJ36" s="152"/>
      <c r="BK36" s="152"/>
      <c r="BL36" s="152"/>
      <c r="BM36" s="152"/>
      <c r="BN36" s="152"/>
      <c r="BO36" s="152"/>
      <c r="BP36" s="152"/>
      <c r="BQ36" s="152"/>
      <c r="BR36" s="152"/>
      <c r="BS36" s="152"/>
      <c r="BT36" s="152"/>
      <c r="BU36" s="152"/>
      <c r="BV36" s="152"/>
      <c r="BW36" s="152"/>
      <c r="BX36" s="152"/>
      <c r="BY36" s="152"/>
      <c r="BZ36" s="175"/>
      <c r="CA36" s="1272"/>
      <c r="CB36" s="1239"/>
    </row>
    <row r="37" ht="18.75" customHeight="1" outlineLevel="1">
      <c r="B37" s="1269"/>
      <c r="C37" s="121"/>
      <c r="AA37" s="318"/>
      <c r="AB37" s="1271"/>
      <c r="AC37" s="121"/>
      <c r="BA37" s="318"/>
      <c r="BB37" s="1271"/>
      <c r="BC37" s="121"/>
      <c r="BZ37" s="318"/>
      <c r="CA37" s="1272"/>
      <c r="CB37" s="1239"/>
    </row>
    <row r="38" ht="18.75" customHeight="1" outlineLevel="1">
      <c r="B38" s="1269"/>
      <c r="C38" s="121"/>
      <c r="AA38" s="318"/>
      <c r="AB38" s="1271"/>
      <c r="AC38" s="121"/>
      <c r="BA38" s="318"/>
      <c r="BB38" s="1271"/>
      <c r="BC38" s="121"/>
      <c r="BZ38" s="318"/>
      <c r="CA38" s="1272"/>
      <c r="CB38" s="1239"/>
    </row>
    <row r="39" ht="18.75" customHeight="1" outlineLevel="1">
      <c r="B39" s="1269"/>
      <c r="C39" s="1274"/>
      <c r="D39" s="496"/>
      <c r="E39" s="496"/>
      <c r="F39" s="496"/>
      <c r="G39" s="496"/>
      <c r="H39" s="496"/>
      <c r="I39" s="496"/>
      <c r="J39" s="496"/>
      <c r="K39" s="496"/>
      <c r="L39" s="496"/>
      <c r="M39" s="496"/>
      <c r="N39" s="496"/>
      <c r="O39" s="496"/>
      <c r="P39" s="496"/>
      <c r="Q39" s="496"/>
      <c r="R39" s="496"/>
      <c r="S39" s="496"/>
      <c r="T39" s="496"/>
      <c r="U39" s="496"/>
      <c r="V39" s="496"/>
      <c r="W39" s="496"/>
      <c r="X39" s="496"/>
      <c r="Y39" s="496"/>
      <c r="Z39" s="496"/>
      <c r="AA39" s="500"/>
      <c r="AB39" s="1271"/>
      <c r="AC39" s="1274"/>
      <c r="AD39" s="496"/>
      <c r="AE39" s="496"/>
      <c r="AF39" s="496"/>
      <c r="AG39" s="496"/>
      <c r="AH39" s="496"/>
      <c r="AI39" s="496"/>
      <c r="AJ39" s="496"/>
      <c r="AK39" s="496"/>
      <c r="AL39" s="496"/>
      <c r="AM39" s="496"/>
      <c r="AN39" s="496"/>
      <c r="AO39" s="496"/>
      <c r="AP39" s="496"/>
      <c r="AQ39" s="496"/>
      <c r="AR39" s="496"/>
      <c r="AS39" s="496"/>
      <c r="AT39" s="496"/>
      <c r="AU39" s="496"/>
      <c r="AV39" s="496"/>
      <c r="AW39" s="496"/>
      <c r="AX39" s="496"/>
      <c r="AY39" s="496"/>
      <c r="AZ39" s="496"/>
      <c r="BA39" s="500"/>
      <c r="BB39" s="1271"/>
      <c r="BC39" s="1274"/>
      <c r="BD39" s="496"/>
      <c r="BE39" s="496"/>
      <c r="BF39" s="496"/>
      <c r="BG39" s="496"/>
      <c r="BH39" s="496"/>
      <c r="BI39" s="496"/>
      <c r="BJ39" s="496"/>
      <c r="BK39" s="496"/>
      <c r="BL39" s="496"/>
      <c r="BM39" s="496"/>
      <c r="BN39" s="496"/>
      <c r="BO39" s="496"/>
      <c r="BP39" s="496"/>
      <c r="BQ39" s="496"/>
      <c r="BR39" s="496"/>
      <c r="BS39" s="496"/>
      <c r="BT39" s="496"/>
      <c r="BU39" s="496"/>
      <c r="BV39" s="496"/>
      <c r="BW39" s="496"/>
      <c r="BX39" s="496"/>
      <c r="BY39" s="496"/>
      <c r="BZ39" s="500"/>
      <c r="CA39" s="1272"/>
      <c r="CB39" s="1239"/>
    </row>
    <row r="40" ht="11.25" customHeight="1" outlineLevel="1">
      <c r="B40" s="350"/>
      <c r="CA40" s="318"/>
      <c r="CB40" s="1239"/>
    </row>
    <row r="41" ht="18.75" customHeight="1" outlineLevel="1">
      <c r="B41" s="1269"/>
      <c r="C41" s="1275" t="s">
        <v>1493</v>
      </c>
      <c r="D41" s="240"/>
      <c r="E41" s="240"/>
      <c r="F41" s="240"/>
      <c r="G41" s="240"/>
      <c r="H41" s="240"/>
      <c r="I41" s="240"/>
      <c r="J41" s="240"/>
      <c r="K41" s="240"/>
      <c r="L41" s="240"/>
      <c r="M41" s="240"/>
      <c r="N41" s="240"/>
      <c r="O41" s="240"/>
      <c r="P41" s="240"/>
      <c r="Q41" s="240"/>
      <c r="R41" s="240"/>
      <c r="S41" s="240"/>
      <c r="T41" s="240"/>
      <c r="U41" s="240"/>
      <c r="V41" s="240"/>
      <c r="W41" s="240"/>
      <c r="X41" s="240"/>
      <c r="Y41" s="240"/>
      <c r="Z41" s="240"/>
      <c r="AA41" s="241"/>
      <c r="AB41" s="1271"/>
      <c r="AC41" s="1275" t="s">
        <v>1494</v>
      </c>
      <c r="AD41" s="240"/>
      <c r="AE41" s="240"/>
      <c r="AF41" s="240"/>
      <c r="AG41" s="240"/>
      <c r="AH41" s="240"/>
      <c r="AI41" s="240"/>
      <c r="AJ41" s="240"/>
      <c r="AK41" s="240"/>
      <c r="AL41" s="240"/>
      <c r="AM41" s="240"/>
      <c r="AN41" s="240"/>
      <c r="AO41" s="240"/>
      <c r="AP41" s="240"/>
      <c r="AQ41" s="240"/>
      <c r="AR41" s="240"/>
      <c r="AS41" s="240"/>
      <c r="AT41" s="240"/>
      <c r="AU41" s="240"/>
      <c r="AV41" s="240"/>
      <c r="AW41" s="240"/>
      <c r="AX41" s="240"/>
      <c r="AY41" s="240"/>
      <c r="AZ41" s="240"/>
      <c r="BA41" s="241"/>
      <c r="BB41" s="1271"/>
      <c r="BC41" s="1275" t="s">
        <v>1495</v>
      </c>
      <c r="BD41" s="240"/>
      <c r="BE41" s="240"/>
      <c r="BF41" s="240"/>
      <c r="BG41" s="240"/>
      <c r="BH41" s="240"/>
      <c r="BI41" s="240"/>
      <c r="BJ41" s="240"/>
      <c r="BK41" s="240"/>
      <c r="BL41" s="240"/>
      <c r="BM41" s="240"/>
      <c r="BN41" s="240"/>
      <c r="BO41" s="240"/>
      <c r="BP41" s="240"/>
      <c r="BQ41" s="240"/>
      <c r="BR41" s="240"/>
      <c r="BS41" s="240"/>
      <c r="BT41" s="240"/>
      <c r="BU41" s="240"/>
      <c r="BV41" s="240"/>
      <c r="BW41" s="240"/>
      <c r="BX41" s="240"/>
      <c r="BY41" s="240"/>
      <c r="BZ41" s="241"/>
      <c r="CA41" s="1272"/>
      <c r="CB41" s="1239"/>
    </row>
    <row r="42" ht="18.75" customHeight="1" outlineLevel="1">
      <c r="B42" s="1269"/>
      <c r="C42" s="1273"/>
      <c r="D42" s="152"/>
      <c r="E42" s="152"/>
      <c r="F42" s="152"/>
      <c r="G42" s="152"/>
      <c r="H42" s="152"/>
      <c r="I42" s="152"/>
      <c r="J42" s="152"/>
      <c r="K42" s="152"/>
      <c r="L42" s="152"/>
      <c r="M42" s="152"/>
      <c r="N42" s="152"/>
      <c r="O42" s="152"/>
      <c r="P42" s="152"/>
      <c r="Q42" s="152"/>
      <c r="R42" s="152"/>
      <c r="S42" s="152"/>
      <c r="T42" s="152"/>
      <c r="U42" s="152"/>
      <c r="V42" s="152"/>
      <c r="W42" s="152"/>
      <c r="X42" s="152"/>
      <c r="Y42" s="152"/>
      <c r="Z42" s="152"/>
      <c r="AA42" s="175"/>
      <c r="AB42" s="1271"/>
      <c r="AC42" s="1273"/>
      <c r="AD42" s="152"/>
      <c r="AE42" s="152"/>
      <c r="AF42" s="152"/>
      <c r="AG42" s="152"/>
      <c r="AH42" s="152"/>
      <c r="AI42" s="152"/>
      <c r="AJ42" s="152"/>
      <c r="AK42" s="152"/>
      <c r="AL42" s="152"/>
      <c r="AM42" s="152"/>
      <c r="AN42" s="152"/>
      <c r="AO42" s="152"/>
      <c r="AP42" s="152"/>
      <c r="AQ42" s="152"/>
      <c r="AR42" s="152"/>
      <c r="AS42" s="152"/>
      <c r="AT42" s="152"/>
      <c r="AU42" s="152"/>
      <c r="AV42" s="152"/>
      <c r="AW42" s="152"/>
      <c r="AX42" s="152"/>
      <c r="AY42" s="152"/>
      <c r="AZ42" s="152"/>
      <c r="BA42" s="175"/>
      <c r="BB42" s="1271"/>
      <c r="BC42" s="1273"/>
      <c r="BD42" s="152"/>
      <c r="BE42" s="152"/>
      <c r="BF42" s="152"/>
      <c r="BG42" s="152"/>
      <c r="BH42" s="152"/>
      <c r="BI42" s="152"/>
      <c r="BJ42" s="152"/>
      <c r="BK42" s="152"/>
      <c r="BL42" s="152"/>
      <c r="BM42" s="152"/>
      <c r="BN42" s="152"/>
      <c r="BO42" s="152"/>
      <c r="BP42" s="152"/>
      <c r="BQ42" s="152"/>
      <c r="BR42" s="152"/>
      <c r="BS42" s="152"/>
      <c r="BT42" s="152"/>
      <c r="BU42" s="152"/>
      <c r="BV42" s="152"/>
      <c r="BW42" s="152"/>
      <c r="BX42" s="152"/>
      <c r="BY42" s="152"/>
      <c r="BZ42" s="175"/>
      <c r="CA42" s="1272"/>
      <c r="CB42" s="1239"/>
    </row>
    <row r="43" ht="18.75" customHeight="1" outlineLevel="1">
      <c r="B43" s="1269"/>
      <c r="C43" s="121"/>
      <c r="AA43" s="318"/>
      <c r="AB43" s="1271"/>
      <c r="AC43" s="121"/>
      <c r="BA43" s="318"/>
      <c r="BB43" s="1271"/>
      <c r="BC43" s="121"/>
      <c r="BZ43" s="318"/>
      <c r="CA43" s="1272"/>
      <c r="CB43" s="1239"/>
    </row>
    <row r="44" ht="18.75" customHeight="1" outlineLevel="1">
      <c r="B44" s="1269"/>
      <c r="C44" s="121"/>
      <c r="AA44" s="318"/>
      <c r="AB44" s="1271"/>
      <c r="AC44" s="121"/>
      <c r="BA44" s="318"/>
      <c r="BB44" s="1271"/>
      <c r="BC44" s="121"/>
      <c r="BZ44" s="318"/>
      <c r="CA44" s="1272"/>
      <c r="CB44" s="1239"/>
    </row>
    <row r="45" ht="18.75" customHeight="1" outlineLevel="1">
      <c r="B45" s="1269"/>
      <c r="C45" s="1274"/>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500"/>
      <c r="AB45" s="1271"/>
      <c r="AC45" s="1274"/>
      <c r="AD45" s="496"/>
      <c r="AE45" s="496"/>
      <c r="AF45" s="496"/>
      <c r="AG45" s="496"/>
      <c r="AH45" s="496"/>
      <c r="AI45" s="496"/>
      <c r="AJ45" s="496"/>
      <c r="AK45" s="496"/>
      <c r="AL45" s="496"/>
      <c r="AM45" s="496"/>
      <c r="AN45" s="496"/>
      <c r="AO45" s="496"/>
      <c r="AP45" s="496"/>
      <c r="AQ45" s="496"/>
      <c r="AR45" s="496"/>
      <c r="AS45" s="496"/>
      <c r="AT45" s="496"/>
      <c r="AU45" s="496"/>
      <c r="AV45" s="496"/>
      <c r="AW45" s="496"/>
      <c r="AX45" s="496"/>
      <c r="AY45" s="496"/>
      <c r="AZ45" s="496"/>
      <c r="BA45" s="500"/>
      <c r="BB45" s="1271"/>
      <c r="BC45" s="1274"/>
      <c r="BD45" s="496"/>
      <c r="BE45" s="496"/>
      <c r="BF45" s="496"/>
      <c r="BG45" s="496"/>
      <c r="BH45" s="496"/>
      <c r="BI45" s="496"/>
      <c r="BJ45" s="496"/>
      <c r="BK45" s="496"/>
      <c r="BL45" s="496"/>
      <c r="BM45" s="496"/>
      <c r="BN45" s="496"/>
      <c r="BO45" s="496"/>
      <c r="BP45" s="496"/>
      <c r="BQ45" s="496"/>
      <c r="BR45" s="496"/>
      <c r="BS45" s="496"/>
      <c r="BT45" s="496"/>
      <c r="BU45" s="496"/>
      <c r="BV45" s="496"/>
      <c r="BW45" s="496"/>
      <c r="BX45" s="496"/>
      <c r="BY45" s="496"/>
      <c r="BZ45" s="500"/>
      <c r="CA45" s="1272"/>
      <c r="CB45" s="1239"/>
    </row>
    <row r="46" ht="11.25" customHeight="1" outlineLevel="1">
      <c r="A46" s="156"/>
      <c r="B46" s="1238"/>
      <c r="C46" s="724"/>
      <c r="D46" s="724"/>
      <c r="E46" s="724"/>
      <c r="F46" s="724"/>
      <c r="G46" s="724"/>
      <c r="H46" s="724"/>
      <c r="I46" s="724"/>
      <c r="J46" s="724"/>
      <c r="K46" s="724"/>
      <c r="L46" s="724"/>
      <c r="M46" s="724"/>
      <c r="N46" s="724"/>
      <c r="O46" s="724"/>
      <c r="P46" s="724"/>
      <c r="Q46" s="724"/>
      <c r="R46" s="724"/>
      <c r="S46" s="724"/>
      <c r="T46" s="724"/>
      <c r="U46" s="724"/>
      <c r="V46" s="724"/>
      <c r="W46" s="724"/>
      <c r="X46" s="724"/>
      <c r="Y46" s="724"/>
      <c r="Z46" s="724"/>
      <c r="AA46" s="724"/>
      <c r="AB46" s="724"/>
      <c r="AC46" s="724"/>
      <c r="AD46" s="724"/>
      <c r="AE46" s="724"/>
      <c r="AF46" s="724"/>
      <c r="AG46" s="724"/>
      <c r="AH46" s="724"/>
      <c r="AI46" s="724"/>
      <c r="AJ46" s="724"/>
      <c r="AK46" s="724"/>
      <c r="AL46" s="724"/>
      <c r="AM46" s="724"/>
      <c r="AN46" s="724"/>
      <c r="AO46" s="724"/>
      <c r="AP46" s="724"/>
      <c r="AQ46" s="724"/>
      <c r="AR46" s="724"/>
      <c r="AS46" s="724"/>
      <c r="AT46" s="724"/>
      <c r="AU46" s="724"/>
      <c r="AV46" s="724"/>
      <c r="AW46" s="724"/>
      <c r="AX46" s="724"/>
      <c r="AY46" s="724"/>
      <c r="AZ46" s="724"/>
      <c r="BA46" s="724"/>
      <c r="BB46" s="724"/>
      <c r="BC46" s="724"/>
      <c r="BD46" s="724"/>
      <c r="BE46" s="724"/>
      <c r="BF46" s="724"/>
      <c r="BG46" s="724"/>
      <c r="BH46" s="724"/>
      <c r="BI46" s="724"/>
      <c r="BJ46" s="724"/>
      <c r="BK46" s="724"/>
      <c r="BL46" s="724"/>
      <c r="BM46" s="724"/>
      <c r="BN46" s="724"/>
      <c r="BO46" s="724"/>
      <c r="BP46" s="724"/>
      <c r="BQ46" s="724"/>
      <c r="BR46" s="724"/>
      <c r="BS46" s="724"/>
      <c r="BT46" s="724"/>
      <c r="BU46" s="724"/>
      <c r="BV46" s="724"/>
      <c r="BW46" s="724"/>
      <c r="BX46" s="724"/>
      <c r="BY46" s="724"/>
      <c r="BZ46" s="724"/>
      <c r="CA46" s="1276"/>
      <c r="CB46" s="1239"/>
    </row>
    <row r="47" ht="18.75" customHeight="1" outlineLevel="1">
      <c r="A47" s="1241"/>
      <c r="B47" s="1239"/>
      <c r="C47" s="1239"/>
      <c r="D47" s="1239"/>
      <c r="E47" s="1239"/>
      <c r="F47" s="1239"/>
      <c r="G47" s="1239"/>
      <c r="H47" s="1239"/>
      <c r="I47" s="1239"/>
      <c r="J47" s="1239"/>
      <c r="K47" s="1239"/>
      <c r="L47" s="1239"/>
      <c r="M47" s="1239"/>
      <c r="N47" s="1239"/>
      <c r="O47" s="1239"/>
      <c r="P47" s="1239"/>
      <c r="Q47" s="1239"/>
      <c r="R47" s="1239"/>
      <c r="S47" s="1239"/>
      <c r="T47" s="1239"/>
      <c r="U47" s="1239"/>
      <c r="V47" s="1239"/>
      <c r="W47" s="1239"/>
      <c r="X47" s="1239"/>
      <c r="Y47" s="1239"/>
      <c r="Z47" s="1239"/>
      <c r="AA47" s="1239"/>
      <c r="AB47" s="1239"/>
      <c r="AC47" s="1239"/>
      <c r="AD47" s="1239"/>
      <c r="AE47" s="1239"/>
      <c r="AF47" s="1239"/>
      <c r="AG47" s="1239"/>
      <c r="AH47" s="1239"/>
      <c r="AI47" s="1239"/>
      <c r="AJ47" s="1239"/>
      <c r="AK47" s="1239"/>
      <c r="AL47" s="1239"/>
      <c r="AM47" s="1239"/>
      <c r="AN47" s="1239"/>
      <c r="AO47" s="1239"/>
      <c r="AP47" s="1239"/>
      <c r="AQ47" s="1239"/>
      <c r="AR47" s="1239"/>
      <c r="AS47" s="1239"/>
      <c r="AT47" s="1239"/>
      <c r="AU47" s="1239"/>
      <c r="AV47" s="1239"/>
      <c r="AW47" s="1239"/>
      <c r="AX47" s="1239"/>
      <c r="AY47" s="1239"/>
      <c r="AZ47" s="1239"/>
      <c r="BA47" s="1239"/>
      <c r="BB47" s="1239"/>
      <c r="BC47" s="1239"/>
      <c r="BD47" s="1239"/>
      <c r="BE47" s="1239"/>
      <c r="BF47" s="1239"/>
      <c r="BG47" s="1239"/>
      <c r="BH47" s="1239"/>
      <c r="BI47" s="1239"/>
      <c r="BJ47" s="1239"/>
      <c r="BK47" s="1239"/>
      <c r="BL47" s="1239"/>
      <c r="BM47" s="1239"/>
      <c r="BN47" s="1239"/>
      <c r="BO47" s="1239"/>
      <c r="BP47" s="1239"/>
      <c r="BQ47" s="1239"/>
      <c r="BR47" s="1239"/>
      <c r="BS47" s="1239"/>
      <c r="BT47" s="1239"/>
      <c r="BU47" s="1239"/>
      <c r="BV47" s="1239"/>
      <c r="BW47" s="1239"/>
      <c r="BX47" s="1239"/>
      <c r="BY47" s="1239"/>
      <c r="BZ47" s="1239"/>
      <c r="CA47" s="1239"/>
      <c r="CB47" s="1239"/>
    </row>
  </sheetData>
  <mergeCells count="66">
    <mergeCell ref="C4:V4"/>
    <mergeCell ref="W4:AO4"/>
    <mergeCell ref="AP4:BH4"/>
    <mergeCell ref="BI4:BZ4"/>
    <mergeCell ref="C5:V7"/>
    <mergeCell ref="W5:AO7"/>
    <mergeCell ref="AP5:BH7"/>
    <mergeCell ref="BI5:BZ7"/>
    <mergeCell ref="C8:BZ8"/>
    <mergeCell ref="B9:CA9"/>
    <mergeCell ref="B10:CA10"/>
    <mergeCell ref="B11:CA11"/>
    <mergeCell ref="AP12:BI12"/>
    <mergeCell ref="BK12:BZ12"/>
    <mergeCell ref="B3:B8"/>
    <mergeCell ref="C12:AN12"/>
    <mergeCell ref="BK13:BZ18"/>
    <mergeCell ref="BK19:BU19"/>
    <mergeCell ref="BV19:BZ19"/>
    <mergeCell ref="AP20:BZ20"/>
    <mergeCell ref="BK21:BZ21"/>
    <mergeCell ref="CA21:CA31"/>
    <mergeCell ref="BK22:BZ31"/>
    <mergeCell ref="AP24:AU24"/>
    <mergeCell ref="AV24:BI24"/>
    <mergeCell ref="AP25:AU25"/>
    <mergeCell ref="AV25:BI25"/>
    <mergeCell ref="AP26:AU26"/>
    <mergeCell ref="AV26:BI26"/>
    <mergeCell ref="C13:AN31"/>
    <mergeCell ref="AP13:BI19"/>
    <mergeCell ref="AP21:BI21"/>
    <mergeCell ref="AP22:AU22"/>
    <mergeCell ref="AV22:BI22"/>
    <mergeCell ref="AP23:AU23"/>
    <mergeCell ref="AV23:BI23"/>
    <mergeCell ref="AV31:BI31"/>
    <mergeCell ref="C41:AA41"/>
    <mergeCell ref="AC41:BA41"/>
    <mergeCell ref="BC41:BZ41"/>
    <mergeCell ref="C42:AA45"/>
    <mergeCell ref="AC42:BA45"/>
    <mergeCell ref="BC42:BZ45"/>
    <mergeCell ref="B1:CA1"/>
    <mergeCell ref="A2:A46"/>
    <mergeCell ref="B2:CA2"/>
    <mergeCell ref="CB2:CB32"/>
    <mergeCell ref="C3:BZ3"/>
    <mergeCell ref="CA3:CA8"/>
    <mergeCell ref="B12:B31"/>
    <mergeCell ref="AP27:AU27"/>
    <mergeCell ref="AV27:BI27"/>
    <mergeCell ref="AP29:BI29"/>
    <mergeCell ref="AP30:AU30"/>
    <mergeCell ref="AV30:BI30"/>
    <mergeCell ref="AP31:AU31"/>
    <mergeCell ref="B32:CA32"/>
    <mergeCell ref="B33:CB33"/>
    <mergeCell ref="B34:CA34"/>
    <mergeCell ref="C35:AA35"/>
    <mergeCell ref="AC35:BA35"/>
    <mergeCell ref="BC35:BZ35"/>
    <mergeCell ref="C36:AA39"/>
    <mergeCell ref="AC36:BA39"/>
    <mergeCell ref="BC36:BZ39"/>
    <mergeCell ref="B40:CA40"/>
  </mergeCells>
  <dataValidations>
    <dataValidation type="list" allowBlank="1" sqref="AV22">
      <formula1>'角色扮演特質'!$B$3:$B$11</formula1>
    </dataValidation>
    <dataValidation type="list" allowBlank="1" sqref="AV24">
      <formula1>'角色扮演特質'!$D$3:$D$11</formula1>
    </dataValidation>
    <dataValidation type="list" allowBlank="1" sqref="AV31">
      <formula1>'角色扮演特質'!$I$14:$I$17</formula1>
    </dataValidation>
    <dataValidation type="list" allowBlank="1" sqref="AV23">
      <formula1>'角色扮演特質'!$C$3:$C$11</formula1>
    </dataValidation>
    <dataValidation type="list" allowBlank="1" sqref="AV25">
      <formula1>'角色扮演特質'!$E$3:$E$11</formula1>
    </dataValidation>
    <dataValidation type="list" allowBlank="1" sqref="AV27">
      <formula1>'角色扮演特質'!$G$3:$G$11</formula1>
    </dataValidation>
    <dataValidation type="list" allowBlank="1" sqref="AV30">
      <formula1>'角色扮演特質'!$H$14:$H$17</formula1>
    </dataValidation>
    <dataValidation type="list" allowBlank="1" sqref="AV26">
      <formula1>'角色扮演特質'!$F$3:$F$11</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29"/>
    <col customWidth="1" min="2" max="2" width="14.43"/>
    <col customWidth="1" min="3" max="5" width="10.86"/>
    <col customWidth="1" min="6" max="6" width="5.86"/>
    <col customWidth="1" min="7" max="7" width="45.0"/>
    <col customWidth="1" min="8" max="8" width="18.71"/>
    <col customWidth="1" min="9" max="9" width="2.29"/>
    <col customWidth="1" min="10" max="10" width="9.57"/>
    <col customWidth="1" min="11" max="11" width="4.0"/>
    <col customWidth="1" min="12" max="12" width="5.29"/>
  </cols>
  <sheetData>
    <row r="1">
      <c r="A1" s="906" t="s">
        <v>1496</v>
      </c>
      <c r="B1" s="1277" t="s">
        <v>1239</v>
      </c>
      <c r="C1" s="906" t="s">
        <v>316</v>
      </c>
      <c r="D1" s="906" t="s">
        <v>315</v>
      </c>
      <c r="E1" s="906" t="s">
        <v>55</v>
      </c>
      <c r="F1" s="906" t="s">
        <v>270</v>
      </c>
      <c r="G1" s="906" t="s">
        <v>1497</v>
      </c>
      <c r="H1" s="906" t="s">
        <v>320</v>
      </c>
      <c r="I1" s="906"/>
      <c r="J1" s="906" t="s">
        <v>264</v>
      </c>
      <c r="K1" s="906" t="s">
        <v>268</v>
      </c>
      <c r="L1" s="906" t="s">
        <v>270</v>
      </c>
    </row>
    <row r="2">
      <c r="A2" s="1278" t="s">
        <v>1498</v>
      </c>
      <c r="B2" s="1278" t="s">
        <v>1499</v>
      </c>
      <c r="C2" s="1279" t="s">
        <v>1500</v>
      </c>
      <c r="D2" s="1279" t="s">
        <v>1501</v>
      </c>
      <c r="E2" s="1279" t="s">
        <v>1502</v>
      </c>
      <c r="F2" s="1280">
        <v>2.0</v>
      </c>
      <c r="G2" s="1279" t="s">
        <v>1503</v>
      </c>
      <c r="H2" s="1281" t="s">
        <v>1504</v>
      </c>
      <c r="I2" s="1281"/>
      <c r="J2" s="1281" t="s">
        <v>1505</v>
      </c>
      <c r="K2" s="1281">
        <v>11.0</v>
      </c>
      <c r="L2" s="1281">
        <v>8.0</v>
      </c>
    </row>
    <row r="3">
      <c r="A3" s="1282" t="s">
        <v>1506</v>
      </c>
      <c r="B3" s="1278" t="s">
        <v>1499</v>
      </c>
      <c r="C3" s="1283" t="s">
        <v>1500</v>
      </c>
      <c r="D3" s="1284" t="s">
        <v>1507</v>
      </c>
      <c r="E3" s="1279" t="s">
        <v>1508</v>
      </c>
      <c r="F3" s="1285">
        <v>1.0</v>
      </c>
      <c r="G3" s="1279" t="s">
        <v>1509</v>
      </c>
      <c r="H3" s="1281" t="s">
        <v>1510</v>
      </c>
      <c r="I3" s="1281"/>
      <c r="J3" s="1281" t="s">
        <v>1511</v>
      </c>
      <c r="K3" s="1281">
        <v>11.0</v>
      </c>
      <c r="L3" s="1281">
        <v>10.0</v>
      </c>
    </row>
    <row r="4">
      <c r="A4" s="1278" t="s">
        <v>1512</v>
      </c>
      <c r="B4" s="1278" t="s">
        <v>1499</v>
      </c>
      <c r="C4" s="1279" t="s">
        <v>1513</v>
      </c>
      <c r="D4" s="1279" t="s">
        <v>1501</v>
      </c>
      <c r="E4" s="1279" t="s">
        <v>1502</v>
      </c>
      <c r="F4" s="1280">
        <v>10.0</v>
      </c>
      <c r="G4" s="1279" t="s">
        <v>1514</v>
      </c>
      <c r="H4" s="1281" t="s">
        <v>1515</v>
      </c>
      <c r="I4" s="1281"/>
      <c r="J4" s="1281" t="s">
        <v>1516</v>
      </c>
      <c r="K4" s="1281">
        <v>12.0</v>
      </c>
      <c r="L4" s="1281">
        <v>13.0</v>
      </c>
    </row>
    <row r="5">
      <c r="A5" s="1278" t="s">
        <v>1517</v>
      </c>
      <c r="B5" s="1278" t="s">
        <v>1499</v>
      </c>
      <c r="C5" s="1283" t="s">
        <v>1518</v>
      </c>
      <c r="D5" s="1284" t="s">
        <v>1507</v>
      </c>
      <c r="E5" s="1284" t="s">
        <v>1519</v>
      </c>
      <c r="F5" s="1280">
        <v>2.0</v>
      </c>
      <c r="G5" s="1279" t="s">
        <v>1520</v>
      </c>
      <c r="H5" s="1281" t="s">
        <v>1521</v>
      </c>
      <c r="I5" s="1281"/>
      <c r="J5" s="1281" t="s">
        <v>1522</v>
      </c>
      <c r="K5" s="1281">
        <v>12.0</v>
      </c>
      <c r="L5" s="1281">
        <v>12.0</v>
      </c>
    </row>
    <row r="6">
      <c r="A6" s="1278" t="s">
        <v>1523</v>
      </c>
      <c r="B6" s="1278" t="s">
        <v>1499</v>
      </c>
      <c r="C6" s="1279" t="s">
        <v>1518</v>
      </c>
      <c r="D6" s="1284" t="s">
        <v>1524</v>
      </c>
      <c r="E6" s="1279" t="s">
        <v>1508</v>
      </c>
      <c r="F6" s="1280">
        <v>2.0</v>
      </c>
      <c r="G6" s="1279" t="s">
        <v>1525</v>
      </c>
      <c r="H6" s="1281" t="s">
        <v>1504</v>
      </c>
      <c r="I6" s="1281"/>
      <c r="J6" s="1281" t="s">
        <v>1526</v>
      </c>
      <c r="K6" s="1281">
        <v>13.0</v>
      </c>
      <c r="L6" s="1281">
        <v>20.0</v>
      </c>
    </row>
    <row r="7">
      <c r="A7" s="1278" t="s">
        <v>1527</v>
      </c>
      <c r="B7" s="1278" t="s">
        <v>1499</v>
      </c>
      <c r="C7" s="1279" t="s">
        <v>1500</v>
      </c>
      <c r="D7" s="1284" t="s">
        <v>1507</v>
      </c>
      <c r="E7" s="1279" t="s">
        <v>1502</v>
      </c>
      <c r="F7" s="1280">
        <v>2.0</v>
      </c>
      <c r="G7" s="1279" t="s">
        <v>1520</v>
      </c>
      <c r="H7" s="1281" t="s">
        <v>1510</v>
      </c>
      <c r="I7" s="1281"/>
      <c r="J7" s="1281" t="s">
        <v>1528</v>
      </c>
      <c r="K7" s="1281">
        <v>14.0</v>
      </c>
      <c r="L7" s="1281">
        <v>45.0</v>
      </c>
    </row>
    <row r="8">
      <c r="A8" s="1278" t="s">
        <v>1529</v>
      </c>
      <c r="B8" s="1278" t="s">
        <v>1499</v>
      </c>
      <c r="C8" s="1279" t="s">
        <v>1518</v>
      </c>
      <c r="D8" s="1279" t="s">
        <v>1501</v>
      </c>
      <c r="E8" s="1279" t="s">
        <v>1502</v>
      </c>
      <c r="F8" s="1280">
        <v>4.0</v>
      </c>
      <c r="G8" s="1286"/>
      <c r="H8" s="1281" t="s">
        <v>1530</v>
      </c>
      <c r="I8" s="1281"/>
      <c r="J8" s="1281" t="s">
        <v>1531</v>
      </c>
      <c r="K8" s="1281">
        <v>14.0</v>
      </c>
      <c r="L8" s="1281">
        <v>20.0</v>
      </c>
    </row>
    <row r="9">
      <c r="A9" s="1278" t="s">
        <v>1532</v>
      </c>
      <c r="B9" s="1278" t="s">
        <v>1499</v>
      </c>
      <c r="C9" s="1279" t="s">
        <v>1533</v>
      </c>
      <c r="D9" s="1279" t="s">
        <v>1501</v>
      </c>
      <c r="E9" s="1279" t="s">
        <v>1502</v>
      </c>
      <c r="F9" s="1280">
        <v>4.0</v>
      </c>
      <c r="G9" s="1279" t="s">
        <v>1534</v>
      </c>
      <c r="H9" s="1281" t="s">
        <v>1535</v>
      </c>
      <c r="I9" s="1281"/>
      <c r="J9" s="1281" t="s">
        <v>1536</v>
      </c>
      <c r="K9" s="1281">
        <v>15.0</v>
      </c>
      <c r="L9" s="1281">
        <v>40.0</v>
      </c>
    </row>
    <row r="10">
      <c r="A10" s="1278" t="s">
        <v>1537</v>
      </c>
      <c r="B10" s="1278" t="s">
        <v>1499</v>
      </c>
      <c r="C10" s="1279" t="s">
        <v>1500</v>
      </c>
      <c r="D10" s="1279" t="s">
        <v>1501</v>
      </c>
      <c r="E10" s="1284" t="s">
        <v>1519</v>
      </c>
      <c r="F10" s="1280">
        <v>2.0</v>
      </c>
      <c r="G10" s="1279" t="s">
        <v>1503</v>
      </c>
      <c r="H10" s="1281" t="s">
        <v>1510</v>
      </c>
      <c r="I10" s="1281"/>
      <c r="J10" s="1281" t="s">
        <v>1538</v>
      </c>
      <c r="K10" s="1281">
        <v>14.0</v>
      </c>
      <c r="L10" s="1281">
        <v>40.0</v>
      </c>
    </row>
    <row r="11">
      <c r="A11" s="1278" t="s">
        <v>1539</v>
      </c>
      <c r="B11" s="1278" t="s">
        <v>1499</v>
      </c>
      <c r="C11" s="1279" t="s">
        <v>1533</v>
      </c>
      <c r="D11" s="1284" t="s">
        <v>1507</v>
      </c>
      <c r="E11" s="1279" t="s">
        <v>1508</v>
      </c>
      <c r="F11" s="1280">
        <v>3.0</v>
      </c>
      <c r="G11" s="1279" t="s">
        <v>1540</v>
      </c>
      <c r="H11" s="1281" t="s">
        <v>1530</v>
      </c>
      <c r="I11" s="1281"/>
      <c r="J11" s="1281" t="s">
        <v>1541</v>
      </c>
      <c r="K11" s="1281">
        <v>16.0</v>
      </c>
      <c r="L11" s="1281">
        <v>55.0</v>
      </c>
    </row>
    <row r="12">
      <c r="A12" s="1278" t="str">
        <f>IF('請先閱讀'!O34=true,"指虎","")</f>
        <v/>
      </c>
      <c r="B12" s="1278" t="s">
        <v>1499</v>
      </c>
      <c r="C12" s="1284" t="s">
        <v>1500</v>
      </c>
      <c r="D12" s="1279" t="s">
        <v>1501</v>
      </c>
      <c r="E12" s="1284" t="s">
        <v>1502</v>
      </c>
      <c r="F12" s="1281">
        <v>1.0</v>
      </c>
      <c r="G12" s="1279" t="s">
        <v>1503</v>
      </c>
      <c r="H12" s="1281" t="s">
        <v>1515</v>
      </c>
      <c r="I12" s="1281"/>
      <c r="J12" s="1281" t="s">
        <v>1542</v>
      </c>
      <c r="K12" s="1281">
        <v>17.0</v>
      </c>
      <c r="L12" s="1281">
        <v>60.0</v>
      </c>
    </row>
    <row r="13">
      <c r="A13" s="1278" t="str">
        <f>IF('請先閱讀'!O34=true,"手爪","")</f>
        <v/>
      </c>
      <c r="B13" s="1278" t="s">
        <v>1499</v>
      </c>
      <c r="C13" s="1284" t="s">
        <v>1500</v>
      </c>
      <c r="D13" s="1279" t="s">
        <v>1501</v>
      </c>
      <c r="E13" s="1284" t="s">
        <v>1519</v>
      </c>
      <c r="F13" s="1281">
        <v>2.0</v>
      </c>
      <c r="G13" s="1284" t="s">
        <v>1543</v>
      </c>
      <c r="H13" s="1281" t="s">
        <v>1521</v>
      </c>
      <c r="I13" s="1281"/>
      <c r="J13" s="1281" t="s">
        <v>1544</v>
      </c>
      <c r="K13" s="1281">
        <v>18.0</v>
      </c>
      <c r="L13" s="1281">
        <v>65.0</v>
      </c>
    </row>
    <row r="14">
      <c r="A14" s="1278" t="str">
        <f>IF('請先閱讀'!O34=true,"拳刃","")</f>
        <v/>
      </c>
      <c r="B14" s="1278" t="s">
        <v>1499</v>
      </c>
      <c r="C14" s="1284" t="s">
        <v>1500</v>
      </c>
      <c r="D14" s="1279" t="s">
        <v>1501</v>
      </c>
      <c r="E14" s="1284" t="s">
        <v>1508</v>
      </c>
      <c r="F14" s="1281">
        <v>3.0</v>
      </c>
      <c r="G14" s="1279"/>
      <c r="H14" s="1281" t="s">
        <v>1530</v>
      </c>
      <c r="I14" s="1281"/>
      <c r="J14" s="1281"/>
      <c r="K14" s="1281"/>
      <c r="L14" s="1281"/>
    </row>
    <row r="15">
      <c r="A15" s="1278" t="s">
        <v>1545</v>
      </c>
      <c r="B15" s="1287" t="s">
        <v>1546</v>
      </c>
      <c r="C15" s="1279" t="s">
        <v>1500</v>
      </c>
      <c r="D15" s="1284" t="s">
        <v>1507</v>
      </c>
      <c r="E15" s="1279" t="s">
        <v>1508</v>
      </c>
      <c r="F15" s="1280">
        <v>0.25</v>
      </c>
      <c r="G15" s="1279" t="s">
        <v>1547</v>
      </c>
      <c r="H15" s="1281" t="s">
        <v>1521</v>
      </c>
      <c r="I15" s="1281"/>
    </row>
    <row r="16">
      <c r="A16" s="1278" t="s">
        <v>1548</v>
      </c>
      <c r="B16" s="1278" t="s">
        <v>1546</v>
      </c>
      <c r="C16" s="1279" t="s">
        <v>1513</v>
      </c>
      <c r="D16" s="1284" t="s">
        <v>1549</v>
      </c>
      <c r="E16" s="1279" t="s">
        <v>1508</v>
      </c>
      <c r="F16" s="1280">
        <v>5.0</v>
      </c>
      <c r="G16" s="1284" t="s">
        <v>1550</v>
      </c>
      <c r="H16" s="1281" t="s">
        <v>1504</v>
      </c>
      <c r="I16" s="1281"/>
    </row>
    <row r="17">
      <c r="A17" s="1278" t="s">
        <v>1551</v>
      </c>
      <c r="B17" s="1278" t="s">
        <v>1546</v>
      </c>
      <c r="C17" s="1279" t="s">
        <v>1518</v>
      </c>
      <c r="D17" s="1284" t="s">
        <v>1549</v>
      </c>
      <c r="E17" s="1279" t="s">
        <v>1508</v>
      </c>
      <c r="F17" s="1280">
        <v>2.0</v>
      </c>
      <c r="G17" s="1284" t="s">
        <v>1552</v>
      </c>
      <c r="H17" s="1281" t="s">
        <v>1521</v>
      </c>
      <c r="I17" s="1281"/>
      <c r="J17" s="1281"/>
      <c r="K17" s="1281"/>
      <c r="L17" s="1281"/>
    </row>
    <row r="18">
      <c r="A18" s="1278" t="s">
        <v>1553</v>
      </c>
      <c r="B18" s="1278" t="s">
        <v>1546</v>
      </c>
      <c r="C18" s="1279" t="s">
        <v>1500</v>
      </c>
      <c r="D18" s="1284" t="s">
        <v>1524</v>
      </c>
      <c r="E18" s="1279" t="s">
        <v>1502</v>
      </c>
      <c r="F18" s="1280">
        <v>0.0</v>
      </c>
      <c r="G18" s="1284" t="s">
        <v>1554</v>
      </c>
      <c r="H18" s="1281" t="s">
        <v>1504</v>
      </c>
      <c r="I18" s="1281"/>
      <c r="J18" s="1281"/>
      <c r="K18" s="1281"/>
      <c r="L18" s="1281"/>
    </row>
    <row r="19">
      <c r="A19" s="1278" t="s">
        <v>1555</v>
      </c>
      <c r="B19" s="1287" t="s">
        <v>1556</v>
      </c>
      <c r="C19" s="1279" t="s">
        <v>1557</v>
      </c>
      <c r="D19" s="1279" t="s">
        <v>1501</v>
      </c>
      <c r="E19" s="1284" t="s">
        <v>1519</v>
      </c>
      <c r="F19" s="1280">
        <v>4.0</v>
      </c>
      <c r="G19" s="1279" t="s">
        <v>1534</v>
      </c>
      <c r="H19" s="1281" t="s">
        <v>1535</v>
      </c>
      <c r="I19" s="1281"/>
      <c r="J19" s="1281"/>
      <c r="K19" s="1281"/>
      <c r="L19" s="1281"/>
    </row>
    <row r="20">
      <c r="A20" s="1278" t="s">
        <v>1558</v>
      </c>
      <c r="B20" s="1287" t="s">
        <v>1556</v>
      </c>
      <c r="C20" s="1279" t="s">
        <v>1513</v>
      </c>
      <c r="D20" s="1279" t="s">
        <v>1501</v>
      </c>
      <c r="E20" s="1279" t="s">
        <v>1502</v>
      </c>
      <c r="F20" s="1280">
        <v>2.0</v>
      </c>
      <c r="G20" s="1286"/>
      <c r="H20" s="1281" t="s">
        <v>1530</v>
      </c>
      <c r="I20" s="1281"/>
      <c r="J20" s="1281"/>
      <c r="K20" s="1281"/>
      <c r="L20" s="1281"/>
    </row>
    <row r="21">
      <c r="A21" s="1278" t="s">
        <v>1559</v>
      </c>
      <c r="B21" s="1287" t="s">
        <v>1556</v>
      </c>
      <c r="C21" s="1279" t="s">
        <v>1560</v>
      </c>
      <c r="D21" s="1284" t="s">
        <v>1561</v>
      </c>
      <c r="E21" s="1284" t="s">
        <v>1519</v>
      </c>
      <c r="F21" s="1280">
        <v>6.0</v>
      </c>
      <c r="G21" s="1284" t="s">
        <v>1562</v>
      </c>
      <c r="H21" s="1281" t="s">
        <v>1563</v>
      </c>
      <c r="I21" s="1281"/>
      <c r="J21" s="1281"/>
      <c r="K21" s="1281"/>
      <c r="L21" s="1281"/>
    </row>
    <row r="22">
      <c r="A22" s="1278" t="s">
        <v>1564</v>
      </c>
      <c r="B22" s="1287" t="s">
        <v>1556</v>
      </c>
      <c r="C22" s="1279" t="s">
        <v>1565</v>
      </c>
      <c r="D22" s="1279" t="s">
        <v>1501</v>
      </c>
      <c r="E22" s="1284" t="s">
        <v>1519</v>
      </c>
      <c r="F22" s="1280">
        <v>7.0</v>
      </c>
      <c r="G22" s="1279" t="s">
        <v>1566</v>
      </c>
      <c r="H22" s="1281" t="s">
        <v>1567</v>
      </c>
      <c r="I22" s="1281"/>
      <c r="J22" s="1281"/>
      <c r="K22" s="1281"/>
      <c r="L22" s="1281"/>
    </row>
    <row r="23">
      <c r="A23" s="1278" t="s">
        <v>1568</v>
      </c>
      <c r="B23" s="1287" t="s">
        <v>1556</v>
      </c>
      <c r="C23" s="1279" t="s">
        <v>1569</v>
      </c>
      <c r="D23" s="1279" t="s">
        <v>1501</v>
      </c>
      <c r="E23" s="1284" t="s">
        <v>1519</v>
      </c>
      <c r="F23" s="1280">
        <v>6.0</v>
      </c>
      <c r="G23" s="1279" t="s">
        <v>1566</v>
      </c>
      <c r="H23" s="1281" t="s">
        <v>1563</v>
      </c>
      <c r="I23" s="1281"/>
      <c r="J23" s="1281"/>
      <c r="K23" s="1281"/>
      <c r="L23" s="1281"/>
    </row>
    <row r="24">
      <c r="A24" s="1278" t="s">
        <v>1570</v>
      </c>
      <c r="B24" s="1287" t="s">
        <v>1556</v>
      </c>
      <c r="C24" s="1279" t="s">
        <v>1560</v>
      </c>
      <c r="D24" s="1284" t="s">
        <v>1561</v>
      </c>
      <c r="E24" s="1284" t="s">
        <v>1519</v>
      </c>
      <c r="F24" s="1280">
        <v>6.0</v>
      </c>
      <c r="G24" s="1284" t="s">
        <v>1562</v>
      </c>
      <c r="H24" s="1281" t="s">
        <v>1567</v>
      </c>
      <c r="I24" s="1281"/>
      <c r="J24" s="1281"/>
      <c r="K24" s="1281"/>
      <c r="L24" s="1281"/>
    </row>
    <row r="25">
      <c r="A25" s="1278" t="s">
        <v>1571</v>
      </c>
      <c r="B25" s="1287" t="s">
        <v>1556</v>
      </c>
      <c r="C25" s="1284" t="s">
        <v>1560</v>
      </c>
      <c r="D25" s="1284" t="s">
        <v>1561</v>
      </c>
      <c r="E25" s="1279" t="s">
        <v>1508</v>
      </c>
      <c r="F25" s="1280">
        <v>6.0</v>
      </c>
      <c r="G25" s="1284" t="s">
        <v>1572</v>
      </c>
      <c r="H25" s="1281" t="s">
        <v>1535</v>
      </c>
      <c r="I25" s="1281"/>
      <c r="J25" s="1281"/>
      <c r="K25" s="1281"/>
      <c r="L25" s="1281"/>
    </row>
    <row r="26">
      <c r="A26" s="1278" t="s">
        <v>322</v>
      </c>
      <c r="B26" s="1287" t="s">
        <v>1556</v>
      </c>
      <c r="C26" s="1279" t="s">
        <v>1557</v>
      </c>
      <c r="D26" s="1279" t="s">
        <v>1501</v>
      </c>
      <c r="E26" s="1284" t="s">
        <v>1519</v>
      </c>
      <c r="F26" s="1280">
        <v>3.0</v>
      </c>
      <c r="G26" s="1279" t="s">
        <v>1534</v>
      </c>
      <c r="H26" s="1281" t="s">
        <v>1530</v>
      </c>
      <c r="I26" s="1281"/>
      <c r="J26" s="1281"/>
      <c r="K26" s="1281"/>
      <c r="L26" s="1281"/>
    </row>
    <row r="27">
      <c r="A27" s="1278" t="s">
        <v>1573</v>
      </c>
      <c r="B27" s="1287" t="s">
        <v>1556</v>
      </c>
      <c r="C27" s="1279" t="s">
        <v>1569</v>
      </c>
      <c r="D27" s="1279" t="s">
        <v>1501</v>
      </c>
      <c r="E27" s="1279" t="s">
        <v>1502</v>
      </c>
      <c r="F27" s="1280">
        <v>10.0</v>
      </c>
      <c r="G27" s="1279" t="s">
        <v>1566</v>
      </c>
      <c r="H27" s="1281" t="s">
        <v>1535</v>
      </c>
      <c r="I27" s="1281"/>
      <c r="J27" s="1281"/>
      <c r="K27" s="1281"/>
      <c r="L27" s="1281"/>
    </row>
    <row r="28">
      <c r="A28" s="1278" t="s">
        <v>1574</v>
      </c>
      <c r="B28" s="1287" t="s">
        <v>1556</v>
      </c>
      <c r="C28" s="1279" t="s">
        <v>1513</v>
      </c>
      <c r="D28" s="1279" t="s">
        <v>1501</v>
      </c>
      <c r="E28" s="1279" t="s">
        <v>1508</v>
      </c>
      <c r="F28" s="1280">
        <v>4.0</v>
      </c>
      <c r="G28" s="1286"/>
      <c r="H28" s="1281" t="s">
        <v>1530</v>
      </c>
      <c r="I28" s="1281"/>
      <c r="J28" s="1281"/>
      <c r="K28" s="1281"/>
      <c r="L28" s="1281"/>
    </row>
    <row r="29">
      <c r="A29" s="1278" t="s">
        <v>1575</v>
      </c>
      <c r="B29" s="1287" t="s">
        <v>1556</v>
      </c>
      <c r="C29" s="1279" t="s">
        <v>1560</v>
      </c>
      <c r="D29" s="1284" t="s">
        <v>1561</v>
      </c>
      <c r="E29" s="1279" t="s">
        <v>1508</v>
      </c>
      <c r="F29" s="1280">
        <v>18.0</v>
      </c>
      <c r="G29" s="1279" t="s">
        <v>1576</v>
      </c>
      <c r="H29" s="1281" t="s">
        <v>1515</v>
      </c>
      <c r="I29" s="1281"/>
      <c r="J29" s="1281"/>
      <c r="K29" s="1281"/>
      <c r="L29" s="1281"/>
    </row>
    <row r="30">
      <c r="A30" s="1278" t="s">
        <v>1577</v>
      </c>
      <c r="B30" s="1287" t="s">
        <v>1556</v>
      </c>
      <c r="C30" s="1279" t="s">
        <v>1513</v>
      </c>
      <c r="D30" s="1279" t="s">
        <v>1501</v>
      </c>
      <c r="E30" s="1279" t="s">
        <v>1508</v>
      </c>
      <c r="F30" s="1280">
        <v>2.0</v>
      </c>
      <c r="G30" s="1279" t="s">
        <v>1578</v>
      </c>
      <c r="H30" s="1281" t="s">
        <v>1521</v>
      </c>
      <c r="I30" s="1281"/>
      <c r="J30" s="1281"/>
      <c r="K30" s="1281"/>
      <c r="L30" s="1281"/>
    </row>
    <row r="31">
      <c r="A31" s="1278" t="s">
        <v>1579</v>
      </c>
      <c r="B31" s="1287" t="s">
        <v>1556</v>
      </c>
      <c r="C31" s="1279" t="s">
        <v>1518</v>
      </c>
      <c r="D31" s="1279" t="s">
        <v>1501</v>
      </c>
      <c r="E31" s="1284" t="s">
        <v>1519</v>
      </c>
      <c r="F31" s="1280">
        <v>3.0</v>
      </c>
      <c r="G31" s="1279" t="s">
        <v>1543</v>
      </c>
      <c r="H31" s="1281" t="s">
        <v>1510</v>
      </c>
      <c r="I31" s="1281"/>
      <c r="J31" s="1281"/>
      <c r="K31" s="1281"/>
      <c r="L31" s="1281"/>
    </row>
    <row r="32">
      <c r="A32" s="1278" t="s">
        <v>1580</v>
      </c>
      <c r="B32" s="1287" t="s">
        <v>1556</v>
      </c>
      <c r="C32" s="1279" t="s">
        <v>1518</v>
      </c>
      <c r="D32" s="1279" t="s">
        <v>1501</v>
      </c>
      <c r="E32" s="1279" t="s">
        <v>1508</v>
      </c>
      <c r="F32" s="1280">
        <v>2.0</v>
      </c>
      <c r="G32" s="1279" t="s">
        <v>1543</v>
      </c>
      <c r="H32" s="1281" t="s">
        <v>1521</v>
      </c>
      <c r="I32" s="1281"/>
      <c r="J32" s="1281"/>
      <c r="K32" s="1281"/>
      <c r="L32" s="1281"/>
    </row>
    <row r="33">
      <c r="A33" s="1278" t="s">
        <v>1581</v>
      </c>
      <c r="B33" s="1287" t="s">
        <v>1556</v>
      </c>
      <c r="C33" s="1279" t="s">
        <v>1557</v>
      </c>
      <c r="D33" s="1284" t="s">
        <v>1507</v>
      </c>
      <c r="E33" s="1279" t="s">
        <v>1508</v>
      </c>
      <c r="F33" s="1280">
        <v>4.0</v>
      </c>
      <c r="G33" s="1279" t="s">
        <v>1582</v>
      </c>
      <c r="H33" s="1281" t="s">
        <v>1535</v>
      </c>
      <c r="I33" s="1281"/>
      <c r="J33" s="1281"/>
      <c r="K33" s="1281"/>
      <c r="L33" s="1281"/>
    </row>
    <row r="34">
      <c r="A34" s="1278" t="s">
        <v>1583</v>
      </c>
      <c r="B34" s="1287" t="s">
        <v>1556</v>
      </c>
      <c r="C34" s="1279" t="s">
        <v>1557</v>
      </c>
      <c r="D34" s="1279" t="s">
        <v>1501</v>
      </c>
      <c r="E34" s="1279" t="s">
        <v>1502</v>
      </c>
      <c r="F34" s="1280">
        <v>2.0</v>
      </c>
      <c r="G34" s="1279" t="s">
        <v>1534</v>
      </c>
      <c r="H34" s="1281" t="s">
        <v>1515</v>
      </c>
      <c r="I34" s="1281"/>
      <c r="J34" s="1281"/>
      <c r="K34" s="1281"/>
      <c r="L34" s="1281"/>
    </row>
    <row r="35">
      <c r="A35" s="1278" t="s">
        <v>1584</v>
      </c>
      <c r="B35" s="1287" t="s">
        <v>1556</v>
      </c>
      <c r="C35" s="1284" t="s">
        <v>1557</v>
      </c>
      <c r="D35" s="1279" t="s">
        <v>1501</v>
      </c>
      <c r="E35" s="1279" t="s">
        <v>1508</v>
      </c>
      <c r="F35" s="1280">
        <v>2.0</v>
      </c>
      <c r="G35" s="1279" t="s">
        <v>1534</v>
      </c>
      <c r="H35" s="1281" t="s">
        <v>1530</v>
      </c>
      <c r="I35" s="1281"/>
      <c r="J35" s="1281"/>
      <c r="K35" s="1281"/>
      <c r="L35" s="1281"/>
    </row>
    <row r="36">
      <c r="A36" s="1278" t="s">
        <v>1585</v>
      </c>
      <c r="B36" s="1287" t="s">
        <v>1556</v>
      </c>
      <c r="C36" s="1279" t="s">
        <v>1500</v>
      </c>
      <c r="D36" s="1284" t="s">
        <v>1561</v>
      </c>
      <c r="E36" s="1284" t="s">
        <v>1519</v>
      </c>
      <c r="F36" s="1280">
        <v>3.0</v>
      </c>
      <c r="G36" s="1279" t="s">
        <v>1586</v>
      </c>
      <c r="H36" s="1281" t="s">
        <v>1504</v>
      </c>
      <c r="I36" s="1281"/>
      <c r="J36" s="1281"/>
      <c r="K36" s="1281"/>
      <c r="L36" s="1281"/>
    </row>
    <row r="37">
      <c r="A37" s="1278" t="s">
        <v>1587</v>
      </c>
      <c r="B37" s="1287" t="s">
        <v>1588</v>
      </c>
      <c r="C37" s="1279">
        <v>1.0</v>
      </c>
      <c r="D37" s="1284" t="s">
        <v>1589</v>
      </c>
      <c r="E37" s="1279" t="s">
        <v>1508</v>
      </c>
      <c r="F37" s="1280">
        <v>1.0</v>
      </c>
      <c r="G37" s="1284" t="s">
        <v>1590</v>
      </c>
      <c r="H37" s="1281" t="s">
        <v>1521</v>
      </c>
      <c r="I37" s="1281"/>
      <c r="J37" s="1281"/>
      <c r="K37" s="1281"/>
      <c r="L37" s="1281"/>
    </row>
    <row r="38">
      <c r="A38" s="1278" t="s">
        <v>1591</v>
      </c>
      <c r="B38" s="1287" t="s">
        <v>1588</v>
      </c>
      <c r="C38" s="1279" t="s">
        <v>1518</v>
      </c>
      <c r="D38" s="1284" t="s">
        <v>1524</v>
      </c>
      <c r="E38" s="1279" t="s">
        <v>1508</v>
      </c>
      <c r="F38" s="1280">
        <v>3.0</v>
      </c>
      <c r="G38" s="1284" t="s">
        <v>1592</v>
      </c>
      <c r="H38" s="1281" t="s">
        <v>1521</v>
      </c>
      <c r="I38" s="1281"/>
      <c r="J38" s="1281"/>
      <c r="K38" s="1281"/>
      <c r="L38" s="1281"/>
    </row>
    <row r="39">
      <c r="A39" s="1278" t="s">
        <v>1593</v>
      </c>
      <c r="B39" s="1287" t="s">
        <v>1588</v>
      </c>
      <c r="C39" s="1279" t="s">
        <v>1560</v>
      </c>
      <c r="D39" s="1284" t="s">
        <v>1594</v>
      </c>
      <c r="E39" s="1279" t="s">
        <v>1508</v>
      </c>
      <c r="F39" s="1280">
        <v>18.0</v>
      </c>
      <c r="G39" s="1284" t="s">
        <v>1595</v>
      </c>
      <c r="H39" s="1281" t="s">
        <v>1515</v>
      </c>
      <c r="I39" s="1281"/>
      <c r="J39" s="1281"/>
      <c r="K39" s="1281"/>
      <c r="L39" s="1281"/>
    </row>
    <row r="40">
      <c r="A40" s="1278" t="s">
        <v>1596</v>
      </c>
      <c r="B40" s="1287" t="s">
        <v>1588</v>
      </c>
      <c r="C40" s="1279" t="s">
        <v>1513</v>
      </c>
      <c r="D40" s="1284" t="s">
        <v>1597</v>
      </c>
      <c r="E40" s="1279" t="s">
        <v>1508</v>
      </c>
      <c r="F40" s="1280">
        <v>2.0</v>
      </c>
      <c r="G40" s="1284" t="s">
        <v>1598</v>
      </c>
      <c r="H40" s="1281" t="s">
        <v>1504</v>
      </c>
      <c r="I40" s="1281"/>
      <c r="J40" s="1281"/>
      <c r="K40" s="1281"/>
      <c r="L40" s="1281"/>
    </row>
    <row r="41">
      <c r="A41" s="1287" t="str">
        <f>IF('請先閱讀'!O29=FALSE,"鳥銃","")</f>
        <v>鳥銃</v>
      </c>
      <c r="B41" s="1287" t="s">
        <v>1588</v>
      </c>
      <c r="C41" s="1279" t="s">
        <v>1565</v>
      </c>
      <c r="D41" s="1284" t="s">
        <v>1599</v>
      </c>
      <c r="E41" s="1279" t="s">
        <v>1508</v>
      </c>
      <c r="F41" s="1280">
        <v>10.0</v>
      </c>
      <c r="G41" s="1284" t="s">
        <v>1600</v>
      </c>
      <c r="H41" s="1281" t="s">
        <v>1504</v>
      </c>
      <c r="I41" s="1281"/>
      <c r="J41" s="1281"/>
      <c r="K41" s="1281"/>
      <c r="L41" s="1281"/>
    </row>
    <row r="42">
      <c r="A42" s="1287" t="str">
        <f>IF('請先閱讀'!O29=FALSE,"手銃","")</f>
        <v>手銃</v>
      </c>
      <c r="B42" s="1287" t="s">
        <v>1588</v>
      </c>
      <c r="C42" s="1279" t="s">
        <v>1560</v>
      </c>
      <c r="D42" s="1284" t="s">
        <v>1601</v>
      </c>
      <c r="E42" s="1279" t="s">
        <v>1508</v>
      </c>
      <c r="F42" s="1280">
        <v>3.0</v>
      </c>
      <c r="G42" s="1284" t="s">
        <v>1602</v>
      </c>
      <c r="H42" s="1281" t="s">
        <v>1521</v>
      </c>
      <c r="I42" s="1281"/>
      <c r="J42" s="1281"/>
      <c r="K42" s="1281"/>
      <c r="L42" s="1281"/>
    </row>
    <row r="43">
      <c r="A43" s="1278" t="s">
        <v>1603</v>
      </c>
      <c r="B43" s="1287" t="s">
        <v>1499</v>
      </c>
      <c r="C43" s="1279" t="s">
        <v>1533</v>
      </c>
      <c r="D43" s="1279" t="s">
        <v>1501</v>
      </c>
      <c r="E43" s="1279" t="s">
        <v>1502</v>
      </c>
      <c r="F43" s="1280">
        <v>4.0</v>
      </c>
      <c r="G43" s="1279" t="s">
        <v>1604</v>
      </c>
      <c r="H43" s="1281" t="s">
        <v>1535</v>
      </c>
      <c r="I43" s="1278"/>
      <c r="J43" s="1278"/>
      <c r="K43" s="1278"/>
      <c r="L43" s="1278"/>
    </row>
    <row r="44">
      <c r="A44" s="1278" t="s">
        <v>1605</v>
      </c>
      <c r="B44" s="1287"/>
      <c r="C44" s="1279"/>
      <c r="D44" s="1279"/>
      <c r="E44" s="1284"/>
      <c r="F44" s="1280">
        <v>2.0</v>
      </c>
      <c r="G44" s="1279" t="s">
        <v>1604</v>
      </c>
      <c r="H44" s="1281"/>
      <c r="I44" s="1278"/>
      <c r="J44" s="1278"/>
      <c r="K44" s="1278"/>
      <c r="L44" s="1278"/>
    </row>
    <row r="45">
      <c r="A45" s="1278" t="s">
        <v>1606</v>
      </c>
      <c r="B45" s="1287"/>
      <c r="C45" s="1279"/>
      <c r="D45" s="1279"/>
      <c r="E45" s="1279"/>
      <c r="F45" s="1280">
        <v>1.0</v>
      </c>
      <c r="G45" s="1279" t="s">
        <v>1604</v>
      </c>
      <c r="H45" s="1281"/>
      <c r="I45" s="1278"/>
      <c r="J45" s="1278"/>
      <c r="K45" s="1278"/>
      <c r="L45" s="1278"/>
    </row>
    <row r="46">
      <c r="A46" s="1278" t="s">
        <v>1607</v>
      </c>
      <c r="B46" s="1287"/>
      <c r="C46" s="1279"/>
      <c r="D46" s="1279"/>
      <c r="E46" s="1279"/>
      <c r="F46" s="1281">
        <v>3.0</v>
      </c>
      <c r="G46" s="1279" t="s">
        <v>1604</v>
      </c>
      <c r="H46" s="1281"/>
      <c r="I46" s="1278"/>
      <c r="J46" s="1278"/>
      <c r="K46" s="1278"/>
      <c r="L46" s="1278"/>
    </row>
    <row r="47">
      <c r="A47" s="1278" t="s">
        <v>1608</v>
      </c>
      <c r="B47" s="1287"/>
      <c r="C47" s="1279"/>
      <c r="D47" s="1279"/>
      <c r="E47" s="1279"/>
      <c r="F47" s="1281">
        <v>1.0</v>
      </c>
      <c r="G47" s="1279" t="s">
        <v>1604</v>
      </c>
      <c r="H47" s="1281"/>
      <c r="I47" s="1278"/>
      <c r="J47" s="1278"/>
      <c r="K47" s="1278"/>
      <c r="L47" s="1278"/>
    </row>
    <row r="48">
      <c r="A48" s="1287" t="s">
        <v>1609</v>
      </c>
      <c r="B48" s="1287"/>
      <c r="C48" s="1279"/>
      <c r="D48" s="1279"/>
      <c r="E48" s="1279"/>
      <c r="F48" s="1281">
        <v>1.0</v>
      </c>
      <c r="G48" s="1284" t="s">
        <v>1610</v>
      </c>
      <c r="H48" s="1281"/>
      <c r="I48" s="1278"/>
      <c r="J48" s="1278"/>
      <c r="K48" s="1278"/>
      <c r="L48" s="1278"/>
    </row>
    <row r="49">
      <c r="A49" s="1287" t="s">
        <v>1611</v>
      </c>
      <c r="B49" s="1287" t="s">
        <v>1499</v>
      </c>
      <c r="C49" s="1279" t="s">
        <v>1533</v>
      </c>
      <c r="D49" s="1279" t="s">
        <v>1501</v>
      </c>
      <c r="E49" s="1279" t="s">
        <v>1502</v>
      </c>
      <c r="F49" s="1280">
        <v>4.0</v>
      </c>
      <c r="G49" s="1279" t="s">
        <v>1612</v>
      </c>
      <c r="H49" s="1281" t="s">
        <v>1535</v>
      </c>
      <c r="I49" s="1278"/>
      <c r="J49" s="1278"/>
      <c r="K49" s="1278"/>
      <c r="L49" s="1278"/>
    </row>
    <row r="50">
      <c r="A50" s="1278" t="s">
        <v>1613</v>
      </c>
      <c r="B50" s="1287"/>
      <c r="C50" s="1279"/>
      <c r="D50" s="1279"/>
      <c r="E50" s="1279"/>
      <c r="F50" s="1280">
        <v>1.0</v>
      </c>
      <c r="G50" s="1279" t="s">
        <v>1612</v>
      </c>
      <c r="H50" s="1281"/>
      <c r="I50" s="1278"/>
      <c r="J50" s="1278"/>
      <c r="K50" s="1278"/>
      <c r="L50" s="1278"/>
    </row>
    <row r="51">
      <c r="A51" s="1278" t="s">
        <v>1614</v>
      </c>
      <c r="B51" s="1287"/>
      <c r="C51" s="1279"/>
      <c r="D51" s="1279"/>
      <c r="E51" s="1279"/>
      <c r="F51" s="1280">
        <v>0.0</v>
      </c>
      <c r="G51" s="1279" t="s">
        <v>1612</v>
      </c>
      <c r="H51" s="1281"/>
      <c r="I51" s="1278"/>
      <c r="J51" s="1278"/>
      <c r="K51" s="1278"/>
      <c r="L51" s="1278"/>
    </row>
    <row r="52">
      <c r="A52" s="1278" t="s">
        <v>1615</v>
      </c>
      <c r="B52" s="1287"/>
      <c r="C52" s="1284"/>
      <c r="D52" s="1279"/>
      <c r="E52" s="1279"/>
      <c r="F52" s="1280">
        <v>0.0</v>
      </c>
      <c r="G52" s="1279" t="s">
        <v>1612</v>
      </c>
      <c r="H52" s="1281"/>
      <c r="I52" s="1278"/>
      <c r="J52" s="1278"/>
      <c r="K52" s="1278"/>
      <c r="L52" s="1278"/>
    </row>
    <row r="53">
      <c r="A53" s="1278" t="s">
        <v>1616</v>
      </c>
      <c r="B53" s="1287"/>
      <c r="C53" s="1279"/>
      <c r="D53" s="1279"/>
      <c r="E53" s="1284"/>
      <c r="F53" s="1280">
        <v>0.0</v>
      </c>
      <c r="G53" s="1279" t="s">
        <v>1616</v>
      </c>
      <c r="H53" s="1281"/>
      <c r="I53" s="1278"/>
      <c r="J53" s="1278"/>
      <c r="K53" s="1278"/>
      <c r="L53" s="1278"/>
    </row>
    <row r="54">
      <c r="A54" s="1278" t="s">
        <v>1617</v>
      </c>
      <c r="B54" s="1287"/>
      <c r="C54" s="1279"/>
      <c r="D54" s="1279"/>
      <c r="E54" s="1279"/>
      <c r="F54" s="1280">
        <v>1.0</v>
      </c>
      <c r="G54" s="1279" t="s">
        <v>1616</v>
      </c>
      <c r="H54" s="1281"/>
      <c r="I54" s="1278"/>
      <c r="J54" s="1278"/>
      <c r="K54" s="1278"/>
      <c r="L54" s="1278"/>
    </row>
    <row r="55">
      <c r="A55" s="1278" t="s">
        <v>1618</v>
      </c>
      <c r="B55" s="1287"/>
      <c r="C55" s="1279"/>
      <c r="D55" s="1279"/>
      <c r="E55" s="1279"/>
      <c r="F55" s="1280">
        <v>2.0</v>
      </c>
      <c r="G55" s="1279" t="s">
        <v>1616</v>
      </c>
      <c r="H55" s="1281"/>
      <c r="I55" s="1278"/>
      <c r="J55" s="1278"/>
      <c r="K55" s="1278"/>
      <c r="L55" s="1278"/>
    </row>
    <row r="56">
      <c r="A56" s="1287" t="str">
        <f>IF('請先閱讀'!O29=true,"雷筒(文藝復興)","")</f>
        <v/>
      </c>
      <c r="B56" s="1287" t="s">
        <v>1588</v>
      </c>
      <c r="C56" s="1284" t="s">
        <v>1565</v>
      </c>
      <c r="D56" s="1284" t="s">
        <v>1507</v>
      </c>
      <c r="E56" s="1284" t="s">
        <v>1508</v>
      </c>
      <c r="F56" s="1281">
        <v>15.0</v>
      </c>
      <c r="G56" s="1284" t="s">
        <v>1619</v>
      </c>
      <c r="H56" s="1281" t="s">
        <v>1620</v>
      </c>
      <c r="I56" s="1281"/>
      <c r="J56" s="1281"/>
      <c r="K56" s="1281"/>
      <c r="L56" s="1281"/>
    </row>
    <row r="57">
      <c r="A57" s="1287" t="str">
        <f>IF('請先閱讀'!O29=true,"鳥銃(文藝復興)","")</f>
        <v/>
      </c>
      <c r="B57" s="1287" t="s">
        <v>1588</v>
      </c>
      <c r="C57" s="1279" t="s">
        <v>1565</v>
      </c>
      <c r="D57" s="1284" t="s">
        <v>1599</v>
      </c>
      <c r="E57" s="1279" t="s">
        <v>1508</v>
      </c>
      <c r="F57" s="1280">
        <v>10.0</v>
      </c>
      <c r="G57" s="1284" t="s">
        <v>1600</v>
      </c>
      <c r="H57" s="1281" t="s">
        <v>1504</v>
      </c>
      <c r="I57" s="1281"/>
      <c r="J57" s="1281"/>
      <c r="K57" s="1281"/>
      <c r="L57" s="1281"/>
    </row>
    <row r="58">
      <c r="A58" s="1287" t="str">
        <f>IF('請先閱讀'!O29=true,"手銃(文藝復興)","")</f>
        <v/>
      </c>
      <c r="B58" s="1287" t="s">
        <v>1588</v>
      </c>
      <c r="C58" s="1279" t="s">
        <v>1560</v>
      </c>
      <c r="D58" s="1284" t="s">
        <v>1601</v>
      </c>
      <c r="E58" s="1279" t="s">
        <v>1508</v>
      </c>
      <c r="F58" s="1280">
        <v>3.0</v>
      </c>
      <c r="G58" s="1284" t="s">
        <v>1602</v>
      </c>
      <c r="H58" s="1281" t="s">
        <v>1521</v>
      </c>
      <c r="I58" s="1281"/>
      <c r="J58" s="1281"/>
      <c r="K58" s="1281"/>
      <c r="L58" s="1281"/>
    </row>
    <row r="59">
      <c r="A59" s="1287" t="str">
        <f>IF('請先閱讀'!O$29=true,"雙管霰彈槍(工業革命)","")</f>
        <v/>
      </c>
      <c r="B59" s="1287" t="s">
        <v>1546</v>
      </c>
      <c r="C59" s="1284" t="s">
        <v>1569</v>
      </c>
      <c r="D59" s="1284" t="s">
        <v>1507</v>
      </c>
      <c r="E59" s="1284" t="s">
        <v>1508</v>
      </c>
      <c r="F59" s="1281">
        <v>8.0</v>
      </c>
      <c r="G59" s="1284" t="s">
        <v>1621</v>
      </c>
      <c r="H59" s="1281" t="s">
        <v>1620</v>
      </c>
      <c r="I59" s="1278"/>
      <c r="J59" s="1278"/>
      <c r="K59" s="1278"/>
      <c r="L59" s="1278"/>
    </row>
    <row r="60">
      <c r="A60" s="1287" t="str">
        <f>IF('請先閱讀'!O$29=true,"獵槍(工業革命)","")</f>
        <v/>
      </c>
      <c r="B60" s="1287" t="s">
        <v>1546</v>
      </c>
      <c r="C60" s="1284" t="s">
        <v>1569</v>
      </c>
      <c r="D60" s="1284" t="s">
        <v>1549</v>
      </c>
      <c r="E60" s="1284" t="s">
        <v>1508</v>
      </c>
      <c r="F60" s="1281">
        <v>8.0</v>
      </c>
      <c r="G60" s="1284" t="s">
        <v>1622</v>
      </c>
      <c r="H60" s="1281" t="s">
        <v>1623</v>
      </c>
      <c r="I60" s="1278"/>
      <c r="J60" s="1278"/>
      <c r="K60" s="1278"/>
      <c r="L60" s="1278"/>
    </row>
    <row r="61">
      <c r="A61" s="1287" t="str">
        <f>IF('請先閱讀'!O$29=true,"袖珍手槍(工業革命)","")</f>
        <v/>
      </c>
      <c r="B61" s="1287" t="s">
        <v>1546</v>
      </c>
      <c r="C61" s="1284" t="s">
        <v>1624</v>
      </c>
      <c r="D61" s="1284" t="s">
        <v>1524</v>
      </c>
      <c r="E61" s="1284" t="s">
        <v>1508</v>
      </c>
      <c r="F61" s="1281">
        <v>1.0</v>
      </c>
      <c r="G61" s="1284" t="s">
        <v>1625</v>
      </c>
      <c r="H61" s="1281" t="s">
        <v>1521</v>
      </c>
      <c r="I61" s="1278"/>
      <c r="J61" s="1278"/>
      <c r="K61" s="1278"/>
      <c r="L61" s="1278"/>
    </row>
    <row r="62">
      <c r="A62" s="1287" t="str">
        <f>IF('請先閱讀'!O$29=true,"左輪手槍(工業革命)","")</f>
        <v/>
      </c>
      <c r="B62" s="1287" t="s">
        <v>1546</v>
      </c>
      <c r="C62" s="1284" t="s">
        <v>1569</v>
      </c>
      <c r="D62" s="1284" t="s">
        <v>1524</v>
      </c>
      <c r="E62" s="1284" t="s">
        <v>1508</v>
      </c>
      <c r="F62" s="1281">
        <v>3.0</v>
      </c>
      <c r="G62" s="1284" t="s">
        <v>1626</v>
      </c>
      <c r="H62" s="1281" t="s">
        <v>1504</v>
      </c>
      <c r="I62" s="1278"/>
      <c r="J62" s="1278"/>
      <c r="K62" s="1278"/>
      <c r="L62" s="1278"/>
    </row>
    <row r="63">
      <c r="A63" s="1287" t="str">
        <f>IF('請先閱讀'!O$29=true,"加農砲(工業革命)","")</f>
        <v/>
      </c>
      <c r="B63" s="1287" t="s">
        <v>1588</v>
      </c>
      <c r="C63" s="1284" t="s">
        <v>1627</v>
      </c>
      <c r="D63" s="1284" t="s">
        <v>1594</v>
      </c>
      <c r="E63" s="1284" t="s">
        <v>1628</v>
      </c>
      <c r="F63" s="1281">
        <v>225.0</v>
      </c>
      <c r="G63" s="1284" t="s">
        <v>1629</v>
      </c>
      <c r="H63" s="1281" t="s">
        <v>1630</v>
      </c>
      <c r="I63" s="1278"/>
      <c r="J63" s="1278"/>
      <c r="K63" s="1278"/>
      <c r="L63" s="1278"/>
    </row>
    <row r="64">
      <c r="A64" s="1287" t="str">
        <f>IF('請先閱讀'!O$29=true,"加特林機槍(工業革命)","")</f>
        <v/>
      </c>
      <c r="B64" s="1287" t="s">
        <v>1588</v>
      </c>
      <c r="C64" s="1284" t="s">
        <v>1569</v>
      </c>
      <c r="D64" s="1284" t="s">
        <v>1631</v>
      </c>
      <c r="E64" s="1284" t="s">
        <v>1508</v>
      </c>
      <c r="F64" s="1281">
        <v>125.0</v>
      </c>
      <c r="G64" s="1284" t="s">
        <v>1632</v>
      </c>
      <c r="H64" s="1281" t="s">
        <v>1633</v>
      </c>
      <c r="I64" s="1278"/>
      <c r="J64" s="1278"/>
      <c r="K64" s="1278"/>
      <c r="L64" s="1278"/>
    </row>
    <row r="65">
      <c r="A65" s="1287" t="str">
        <f>IF('請先閱讀'!O$29=true,"麥格農(工業革命)","")</f>
        <v/>
      </c>
      <c r="B65" s="1287" t="s">
        <v>1588</v>
      </c>
      <c r="C65" s="1284" t="s">
        <v>1627</v>
      </c>
      <c r="D65" s="1284" t="s">
        <v>1524</v>
      </c>
      <c r="E65" s="1284" t="s">
        <v>1508</v>
      </c>
      <c r="F65" s="1281">
        <v>6.0</v>
      </c>
      <c r="G65" s="1284" t="s">
        <v>1634</v>
      </c>
      <c r="H65" s="1281" t="s">
        <v>1504</v>
      </c>
      <c r="I65" s="1278"/>
      <c r="J65" s="1278"/>
      <c r="K65" s="1278"/>
      <c r="L65" s="1278"/>
    </row>
    <row r="66">
      <c r="A66" s="1287" t="str">
        <f>IF('請先閱讀'!O$29=true,"信號槍(現代)","")</f>
        <v/>
      </c>
      <c r="B66" s="1287" t="s">
        <v>1546</v>
      </c>
      <c r="C66" s="1284" t="s">
        <v>1569</v>
      </c>
      <c r="D66" s="1284" t="s">
        <v>1524</v>
      </c>
      <c r="E66" s="1284" t="s">
        <v>1628</v>
      </c>
      <c r="F66" s="1281">
        <v>1.0</v>
      </c>
      <c r="G66" s="1284" t="s">
        <v>1635</v>
      </c>
      <c r="H66" s="1281" t="s">
        <v>1504</v>
      </c>
      <c r="I66" s="1278"/>
      <c r="J66" s="1278"/>
      <c r="K66" s="1278"/>
      <c r="L66" s="1278"/>
    </row>
    <row r="67">
      <c r="A67" s="1287" t="str">
        <f>IF('請先閱讀'!O$29=true,"手槍(現代)","")</f>
        <v/>
      </c>
      <c r="B67" s="1287" t="s">
        <v>1546</v>
      </c>
      <c r="C67" s="1284" t="s">
        <v>1624</v>
      </c>
      <c r="D67" s="1284" t="s">
        <v>1524</v>
      </c>
      <c r="E67" s="1284" t="s">
        <v>1508</v>
      </c>
      <c r="F67" s="1281">
        <v>3.0</v>
      </c>
      <c r="G67" s="1284" t="s">
        <v>1636</v>
      </c>
      <c r="H67" s="1281" t="s">
        <v>1521</v>
      </c>
      <c r="I67" s="1278"/>
      <c r="J67" s="1278"/>
      <c r="K67" s="1278"/>
      <c r="L67" s="1278"/>
    </row>
    <row r="68">
      <c r="A68" s="1287" t="str">
        <f>IF('請先閱讀'!O$29=true,"突擊步槍(現代)","")</f>
        <v/>
      </c>
      <c r="B68" s="1287" t="s">
        <v>1588</v>
      </c>
      <c r="C68" s="1284" t="s">
        <v>1569</v>
      </c>
      <c r="D68" s="1284" t="s">
        <v>1549</v>
      </c>
      <c r="E68" s="1284" t="s">
        <v>1508</v>
      </c>
      <c r="F68" s="1281">
        <v>7.0</v>
      </c>
      <c r="G68" s="1284" t="s">
        <v>1637</v>
      </c>
      <c r="H68" s="1281" t="s">
        <v>1633</v>
      </c>
      <c r="I68" s="1278"/>
      <c r="J68" s="1278"/>
      <c r="K68" s="1278"/>
      <c r="L68" s="1278"/>
    </row>
    <row r="69">
      <c r="A69" s="1287" t="s">
        <v>1638</v>
      </c>
      <c r="B69" s="1287" t="s">
        <v>1588</v>
      </c>
      <c r="C69" s="1284" t="s">
        <v>1627</v>
      </c>
      <c r="D69" s="1284" t="s">
        <v>1639</v>
      </c>
      <c r="E69" s="1284" t="s">
        <v>1508</v>
      </c>
      <c r="F69" s="1281">
        <v>8.0</v>
      </c>
      <c r="G69" s="1284" t="s">
        <v>1640</v>
      </c>
      <c r="H69" s="1281" t="s">
        <v>1504</v>
      </c>
      <c r="I69" s="1278"/>
      <c r="J69" s="1278"/>
      <c r="K69" s="1278"/>
      <c r="L69" s="1278"/>
    </row>
    <row r="70">
      <c r="A70" s="1287" t="s">
        <v>1641</v>
      </c>
      <c r="B70" s="1287" t="s">
        <v>1588</v>
      </c>
      <c r="C70" s="1284" t="s">
        <v>1642</v>
      </c>
      <c r="D70" s="1284" t="s">
        <v>1639</v>
      </c>
      <c r="E70" s="1284" t="s">
        <v>1508</v>
      </c>
      <c r="F70" s="1281">
        <v>8.0</v>
      </c>
      <c r="G70" s="1284" t="s">
        <v>1643</v>
      </c>
      <c r="H70" s="1281" t="s">
        <v>1504</v>
      </c>
      <c r="I70" s="1278"/>
      <c r="J70" s="1278"/>
      <c r="K70" s="1278"/>
      <c r="L70" s="1278"/>
    </row>
    <row r="71">
      <c r="A71" s="1287" t="str">
        <f>IF('請先閱讀'!O$29=true,"泵動式霰彈槍(現代)","")</f>
        <v/>
      </c>
      <c r="B71" s="1287" t="s">
        <v>1588</v>
      </c>
      <c r="C71" s="1284" t="s">
        <v>1627</v>
      </c>
      <c r="D71" s="1284" t="s">
        <v>1507</v>
      </c>
      <c r="E71" s="1284" t="s">
        <v>1508</v>
      </c>
      <c r="F71" s="1281">
        <v>7.0</v>
      </c>
      <c r="G71" s="1284" t="s">
        <v>1644</v>
      </c>
      <c r="H71" s="1281" t="s">
        <v>1620</v>
      </c>
      <c r="I71" s="1278"/>
      <c r="J71" s="1278"/>
      <c r="K71" s="1278"/>
      <c r="L71" s="1278"/>
    </row>
    <row r="72">
      <c r="A72" s="1287" t="s">
        <v>1645</v>
      </c>
      <c r="B72" s="1287" t="s">
        <v>1588</v>
      </c>
      <c r="C72" s="1284" t="s">
        <v>1627</v>
      </c>
      <c r="D72" s="1284" t="s">
        <v>1599</v>
      </c>
      <c r="E72" s="1284" t="s">
        <v>1508</v>
      </c>
      <c r="F72" s="1281">
        <v>3.0</v>
      </c>
      <c r="G72" s="1284" t="s">
        <v>1646</v>
      </c>
      <c r="H72" s="1281" t="s">
        <v>1530</v>
      </c>
      <c r="I72" s="1278"/>
      <c r="J72" s="1278"/>
      <c r="K72" s="1278"/>
      <c r="L72" s="1278"/>
    </row>
    <row r="73">
      <c r="A73" s="1287" t="s">
        <v>1647</v>
      </c>
      <c r="B73" s="1287" t="s">
        <v>1588</v>
      </c>
      <c r="C73" s="1284" t="s">
        <v>1569</v>
      </c>
      <c r="D73" s="1284" t="s">
        <v>1648</v>
      </c>
      <c r="E73" s="1284" t="s">
        <v>1508</v>
      </c>
      <c r="F73" s="1281">
        <v>3.0</v>
      </c>
      <c r="G73" s="1284" t="s">
        <v>1649</v>
      </c>
      <c r="H73" s="1281" t="s">
        <v>1521</v>
      </c>
      <c r="I73" s="1278"/>
      <c r="J73" s="1278"/>
      <c r="K73" s="1278"/>
      <c r="L73" s="1278"/>
    </row>
    <row r="74">
      <c r="A74" s="1287" t="s">
        <v>1650</v>
      </c>
      <c r="B74" s="1287" t="s">
        <v>1588</v>
      </c>
      <c r="C74" s="1284" t="s">
        <v>1627</v>
      </c>
      <c r="D74" s="1284" t="s">
        <v>1601</v>
      </c>
      <c r="E74" s="1284" t="s">
        <v>1508</v>
      </c>
      <c r="F74" s="1287">
        <v>7.0</v>
      </c>
      <c r="G74" s="1284" t="s">
        <v>1651</v>
      </c>
      <c r="H74" s="1287" t="s">
        <v>1515</v>
      </c>
      <c r="I74" s="1278"/>
      <c r="J74" s="1278"/>
      <c r="K74" s="1278"/>
      <c r="L74" s="1278"/>
    </row>
    <row r="75">
      <c r="A75" s="1287" t="str">
        <f>IF('請先閱讀'!O$29=true,"狙擊槍(現代)","")</f>
        <v/>
      </c>
      <c r="B75" s="1287" t="s">
        <v>1588</v>
      </c>
      <c r="C75" s="1284" t="s">
        <v>1627</v>
      </c>
      <c r="D75" s="1284" t="s">
        <v>1594</v>
      </c>
      <c r="E75" s="1284" t="s">
        <v>1508</v>
      </c>
      <c r="F75" s="1287">
        <v>8.0</v>
      </c>
      <c r="G75" s="1284" t="s">
        <v>1652</v>
      </c>
      <c r="H75" s="1287" t="s">
        <v>1623</v>
      </c>
      <c r="I75" s="1278"/>
      <c r="J75" s="1278"/>
      <c r="K75" s="1278"/>
      <c r="L75" s="1278"/>
    </row>
    <row r="76">
      <c r="A76" s="1287" t="str">
        <f>IF('請先閱讀'!O$29=true,"輕機槍(現代)","")</f>
        <v/>
      </c>
      <c r="B76" s="1287" t="s">
        <v>1588</v>
      </c>
      <c r="C76" s="1284" t="s">
        <v>1624</v>
      </c>
      <c r="D76" s="1284" t="s">
        <v>1507</v>
      </c>
      <c r="E76" s="1284" t="s">
        <v>1508</v>
      </c>
      <c r="F76" s="1287">
        <v>6.0</v>
      </c>
      <c r="G76" s="1284" t="s">
        <v>1653</v>
      </c>
      <c r="H76" s="1287" t="s">
        <v>1633</v>
      </c>
      <c r="I76" s="1278"/>
      <c r="J76" s="1278"/>
      <c r="K76" s="1278"/>
      <c r="L76" s="1278"/>
    </row>
    <row r="77">
      <c r="A77" s="1287" t="s">
        <v>1654</v>
      </c>
      <c r="B77" s="1287" t="s">
        <v>1588</v>
      </c>
      <c r="C77" s="1284" t="s">
        <v>1655</v>
      </c>
      <c r="D77" s="1284" t="s">
        <v>1656</v>
      </c>
      <c r="E77" s="1284" t="s">
        <v>1657</v>
      </c>
      <c r="F77" s="1281">
        <v>10.0</v>
      </c>
      <c r="G77" s="1284" t="s">
        <v>1658</v>
      </c>
      <c r="H77" s="1281" t="s">
        <v>1530</v>
      </c>
      <c r="I77" s="1278"/>
      <c r="J77" s="1278"/>
      <c r="K77" s="1278"/>
      <c r="L77" s="1278"/>
    </row>
    <row r="78">
      <c r="A78" s="1287" t="s">
        <v>1659</v>
      </c>
      <c r="B78" s="1287" t="s">
        <v>1588</v>
      </c>
      <c r="C78" s="1284" t="s">
        <v>1660</v>
      </c>
      <c r="D78" s="1284" t="s">
        <v>1599</v>
      </c>
      <c r="E78" s="1284" t="s">
        <v>1661</v>
      </c>
      <c r="F78" s="1281">
        <v>2.0</v>
      </c>
      <c r="G78" s="1284" t="s">
        <v>1662</v>
      </c>
      <c r="H78" s="1281" t="s">
        <v>1521</v>
      </c>
      <c r="I78" s="1278"/>
      <c r="J78" s="1278"/>
      <c r="K78" s="1278"/>
      <c r="L78" s="1278"/>
    </row>
    <row r="79">
      <c r="A79" s="1287" t="s">
        <v>1663</v>
      </c>
      <c r="B79" s="1287" t="s">
        <v>1588</v>
      </c>
      <c r="C79" s="1284" t="s">
        <v>1664</v>
      </c>
      <c r="D79" s="1284" t="s">
        <v>1665</v>
      </c>
      <c r="E79" s="1284" t="s">
        <v>1661</v>
      </c>
      <c r="F79" s="1281">
        <v>7.0</v>
      </c>
      <c r="G79" s="1284" t="s">
        <v>1666</v>
      </c>
      <c r="H79" s="1281" t="s">
        <v>1504</v>
      </c>
      <c r="I79" s="1278"/>
      <c r="J79" s="1278"/>
      <c r="K79" s="1278"/>
      <c r="L79" s="1278"/>
    </row>
    <row r="80">
      <c r="A80" s="969" t="str">
        <f>IF('請先閱讀'!$O$31=true,"補杖","")</f>
        <v/>
      </c>
      <c r="B80" s="1287" t="s">
        <v>1667</v>
      </c>
      <c r="C80" s="907" t="s">
        <v>1518</v>
      </c>
      <c r="D80" s="1284" t="s">
        <v>1561</v>
      </c>
      <c r="E80" s="907" t="s">
        <v>1508</v>
      </c>
      <c r="F80" s="907">
        <v>5.0</v>
      </c>
      <c r="G80" s="907" t="s">
        <v>1668</v>
      </c>
      <c r="H80" s="907" t="s">
        <v>1669</v>
      </c>
      <c r="I80" s="969"/>
      <c r="J80" s="969"/>
      <c r="K80" s="969"/>
      <c r="L80" s="969"/>
    </row>
    <row r="81">
      <c r="A81" s="907" t="str">
        <f>IF('請先閱讀'!$O$31=true,"騎兵連枷","")</f>
        <v/>
      </c>
      <c r="B81" s="1287" t="s">
        <v>1667</v>
      </c>
      <c r="C81" s="907" t="s">
        <v>1670</v>
      </c>
      <c r="D81" s="907" t="s">
        <v>1501</v>
      </c>
      <c r="E81" s="907" t="s">
        <v>1502</v>
      </c>
      <c r="F81" s="907">
        <v>3.0</v>
      </c>
      <c r="G81" s="907" t="s">
        <v>1671</v>
      </c>
      <c r="H81" s="907" t="s">
        <v>1672</v>
      </c>
      <c r="I81" s="969"/>
      <c r="J81" s="969"/>
      <c r="K81" s="969"/>
      <c r="L81" s="969"/>
    </row>
    <row r="82">
      <c r="A82" s="907" t="str">
        <f>IF('請先閱讀'!$O$31=true,"騎兵鐵鎚","")</f>
        <v/>
      </c>
      <c r="B82" s="1287" t="s">
        <v>1667</v>
      </c>
      <c r="C82" s="907" t="s">
        <v>1670</v>
      </c>
      <c r="D82" s="907" t="s">
        <v>1501</v>
      </c>
      <c r="E82" s="907" t="s">
        <v>1502</v>
      </c>
      <c r="F82" s="907">
        <v>3.0</v>
      </c>
      <c r="G82" s="907" t="s">
        <v>1673</v>
      </c>
      <c r="H82" s="907" t="s">
        <v>1504</v>
      </c>
      <c r="I82" s="969"/>
      <c r="J82" s="969"/>
      <c r="K82" s="969"/>
      <c r="L82" s="969"/>
    </row>
    <row r="83">
      <c r="A83" s="907" t="str">
        <f>IF('請先閱讀'!$O$31=true,"騎兵鎬","")</f>
        <v/>
      </c>
      <c r="B83" s="1287" t="s">
        <v>1667</v>
      </c>
      <c r="C83" s="907" t="s">
        <v>1670</v>
      </c>
      <c r="D83" s="907" t="s">
        <v>1501</v>
      </c>
      <c r="E83" s="907" t="s">
        <v>1508</v>
      </c>
      <c r="F83" s="907">
        <v>3.0</v>
      </c>
      <c r="G83" s="907" t="s">
        <v>1673</v>
      </c>
      <c r="H83" s="907" t="s">
        <v>1530</v>
      </c>
      <c r="I83" s="969"/>
      <c r="J83" s="969"/>
      <c r="K83" s="969"/>
      <c r="L83" s="969"/>
    </row>
    <row r="84">
      <c r="A84" s="907" t="str">
        <f>IF('請先閱讀'!$O$31=true,"飛輪","")</f>
        <v/>
      </c>
      <c r="B84" s="1287" t="s">
        <v>1667</v>
      </c>
      <c r="C84" s="907" t="s">
        <v>1518</v>
      </c>
      <c r="D84" s="907" t="s">
        <v>1524</v>
      </c>
      <c r="E84" s="907" t="s">
        <v>1519</v>
      </c>
      <c r="F84" s="907">
        <v>1.0</v>
      </c>
      <c r="G84" s="907" t="s">
        <v>1509</v>
      </c>
      <c r="H84" s="907" t="s">
        <v>1674</v>
      </c>
      <c r="I84" s="969"/>
      <c r="J84" s="969"/>
      <c r="K84" s="969"/>
      <c r="L84" s="969"/>
    </row>
    <row r="85">
      <c r="A85" s="907" t="str">
        <f>IF('請先閱讀'!$O$31=true,"闊刃大劍","")</f>
        <v/>
      </c>
      <c r="B85" s="1287" t="s">
        <v>1667</v>
      </c>
      <c r="C85" s="907" t="s">
        <v>1569</v>
      </c>
      <c r="D85" s="907" t="s">
        <v>1501</v>
      </c>
      <c r="E85" s="907" t="s">
        <v>1519</v>
      </c>
      <c r="F85" s="907">
        <v>7.0</v>
      </c>
      <c r="G85" s="907" t="s">
        <v>1566</v>
      </c>
      <c r="H85" s="907" t="s">
        <v>1675</v>
      </c>
      <c r="I85" s="969"/>
      <c r="J85" s="969"/>
      <c r="K85" s="969"/>
      <c r="L85" s="969"/>
    </row>
    <row r="86">
      <c r="A86" s="907" t="str">
        <f>IF('請先閱讀'!$O$31=true,"雙頭刃","")</f>
        <v/>
      </c>
      <c r="B86" s="1287" t="s">
        <v>1667</v>
      </c>
      <c r="C86" s="907" t="s">
        <v>1676</v>
      </c>
      <c r="D86" s="907" t="s">
        <v>1501</v>
      </c>
      <c r="E86" s="907" t="s">
        <v>1519</v>
      </c>
      <c r="F86" s="907">
        <v>5.0</v>
      </c>
      <c r="G86" s="907" t="s">
        <v>1677</v>
      </c>
      <c r="H86" s="907" t="s">
        <v>1678</v>
      </c>
      <c r="I86" s="969"/>
      <c r="J86" s="969"/>
      <c r="K86" s="969"/>
      <c r="L86" s="969"/>
    </row>
    <row r="87">
      <c r="A87" s="907" t="str">
        <f>IF('請先閱讀'!$O$31=true,"雙頭矛","")</f>
        <v/>
      </c>
      <c r="B87" s="1287" t="s">
        <v>1667</v>
      </c>
      <c r="C87" s="907" t="s">
        <v>1676</v>
      </c>
      <c r="D87" s="907" t="s">
        <v>1501</v>
      </c>
      <c r="E87" s="907" t="s">
        <v>1508</v>
      </c>
      <c r="F87" s="907">
        <v>4.0</v>
      </c>
      <c r="G87" s="907" t="s">
        <v>1677</v>
      </c>
      <c r="H87" s="907" t="s">
        <v>1678</v>
      </c>
      <c r="I87" s="969"/>
      <c r="J87" s="969"/>
      <c r="K87" s="969"/>
      <c r="L87" s="969"/>
    </row>
    <row r="88">
      <c r="A88" s="907" t="str">
        <f>IF('請先閱讀'!$O$31=true,"菁英刺劍","")</f>
        <v/>
      </c>
      <c r="B88" s="1287" t="s">
        <v>1667</v>
      </c>
      <c r="C88" s="907" t="s">
        <v>1513</v>
      </c>
      <c r="D88" s="907" t="s">
        <v>1501</v>
      </c>
      <c r="E88" s="907" t="s">
        <v>1508</v>
      </c>
      <c r="F88" s="907">
        <v>2.0</v>
      </c>
      <c r="G88" s="907" t="s">
        <v>1578</v>
      </c>
      <c r="H88" s="907" t="s">
        <v>1672</v>
      </c>
      <c r="I88" s="969"/>
      <c r="J88" s="969"/>
      <c r="K88" s="969"/>
      <c r="L88" s="969"/>
    </row>
    <row r="89">
      <c r="A89" s="907" t="str">
        <f>IF('請先閱讀'!$O$31=true,"戰鬥鏈","")</f>
        <v/>
      </c>
      <c r="B89" s="1287" t="s">
        <v>1667</v>
      </c>
      <c r="C89" s="907" t="s">
        <v>1500</v>
      </c>
      <c r="D89" s="907" t="s">
        <v>1501</v>
      </c>
      <c r="E89" s="907" t="s">
        <v>1502</v>
      </c>
      <c r="F89" s="907">
        <v>3.0</v>
      </c>
      <c r="G89" s="907" t="s">
        <v>1679</v>
      </c>
      <c r="H89" s="907" t="s">
        <v>1680</v>
      </c>
      <c r="I89" s="969"/>
      <c r="J89" s="969"/>
      <c r="K89" s="969"/>
      <c r="L89" s="969"/>
    </row>
    <row r="90">
      <c r="A90" s="907" t="str">
        <f>IF('請先閱讀'!$O$31=true,"戰鬥鏈：兇殘","")</f>
        <v/>
      </c>
      <c r="B90" s="1287" t="s">
        <v>1667</v>
      </c>
      <c r="C90" s="907" t="s">
        <v>1518</v>
      </c>
      <c r="D90" s="907" t="s">
        <v>1501</v>
      </c>
      <c r="E90" s="907" t="s">
        <v>1519</v>
      </c>
      <c r="F90" s="907">
        <v>6.0</v>
      </c>
      <c r="G90" s="907" t="s">
        <v>1679</v>
      </c>
      <c r="H90" s="907" t="s">
        <v>1675</v>
      </c>
      <c r="I90" s="969"/>
      <c r="J90" s="969"/>
      <c r="K90" s="969"/>
      <c r="L90" s="969"/>
    </row>
    <row r="91">
      <c r="A91" s="907" t="str">
        <f>IF('請先閱讀'!$O$31=true,"戰鬥鏈：爪鉤","")</f>
        <v/>
      </c>
      <c r="B91" s="1287" t="s">
        <v>1667</v>
      </c>
      <c r="C91" s="907" t="s">
        <v>1500</v>
      </c>
      <c r="D91" s="907" t="s">
        <v>1501</v>
      </c>
      <c r="E91" s="907" t="s">
        <v>1681</v>
      </c>
      <c r="F91" s="907">
        <v>3.0</v>
      </c>
      <c r="G91" s="907" t="s">
        <v>1679</v>
      </c>
      <c r="H91" s="907" t="s">
        <v>1669</v>
      </c>
      <c r="I91" s="969"/>
      <c r="J91" s="969"/>
      <c r="K91" s="969"/>
      <c r="L91" s="969"/>
    </row>
    <row r="92">
      <c r="A92" s="907" t="str">
        <f>IF('請先閱讀'!$O$31=true,"戰鬥鏈：鎖鐮","")</f>
        <v/>
      </c>
      <c r="B92" s="1287" t="s">
        <v>1667</v>
      </c>
      <c r="C92" s="907" t="s">
        <v>1500</v>
      </c>
      <c r="D92" s="907" t="s">
        <v>1501</v>
      </c>
      <c r="E92" s="907" t="s">
        <v>1682</v>
      </c>
      <c r="F92" s="907">
        <v>3.0</v>
      </c>
      <c r="G92" s="907" t="s">
        <v>1679</v>
      </c>
      <c r="H92" s="907" t="s">
        <v>1669</v>
      </c>
      <c r="I92" s="969"/>
      <c r="J92" s="969"/>
      <c r="K92" s="969"/>
      <c r="L92" s="969"/>
    </row>
    <row r="93">
      <c r="A93" s="907" t="str">
        <f>IF('請先閱讀'!$O$31=true,"角鬥士補網","")</f>
        <v/>
      </c>
      <c r="B93" s="1287" t="s">
        <v>1667</v>
      </c>
      <c r="C93" s="907" t="s">
        <v>1518</v>
      </c>
      <c r="D93" s="1288">
        <v>46325.0</v>
      </c>
      <c r="E93" s="907" t="s">
        <v>1502</v>
      </c>
      <c r="F93" s="907">
        <v>5.0</v>
      </c>
      <c r="G93" s="907" t="s">
        <v>1525</v>
      </c>
      <c r="H93" s="907" t="s">
        <v>1669</v>
      </c>
      <c r="I93" s="969"/>
      <c r="J93" s="969"/>
      <c r="K93" s="969"/>
      <c r="L93" s="969"/>
    </row>
    <row r="94">
      <c r="A94" s="907" t="str">
        <f>IF('請先閱讀'!$O$31=true,"衛士長柄斧","")</f>
        <v/>
      </c>
      <c r="B94" s="1287" t="s">
        <v>1667</v>
      </c>
      <c r="C94" s="907" t="s">
        <v>1560</v>
      </c>
      <c r="D94" s="907" t="s">
        <v>1501</v>
      </c>
      <c r="E94" s="907" t="s">
        <v>1683</v>
      </c>
      <c r="F94" s="907">
        <v>9.0</v>
      </c>
      <c r="G94" s="907" t="s">
        <v>1684</v>
      </c>
      <c r="H94" s="907" t="s">
        <v>1678</v>
      </c>
      <c r="I94" s="969"/>
      <c r="J94" s="969"/>
      <c r="K94" s="969"/>
      <c r="L94" s="969"/>
    </row>
    <row r="95">
      <c r="A95" s="907" t="str">
        <f>IF('請先閱讀'!$O$31=true,"騎士騎槍","")</f>
        <v/>
      </c>
      <c r="B95" s="1287" t="s">
        <v>1667</v>
      </c>
      <c r="C95" s="907" t="s">
        <v>1685</v>
      </c>
      <c r="D95" s="907" t="s">
        <v>1501</v>
      </c>
      <c r="E95" s="907" t="s">
        <v>1508</v>
      </c>
      <c r="F95" s="907">
        <v>6.0</v>
      </c>
      <c r="G95" s="907" t="s">
        <v>1686</v>
      </c>
      <c r="H95" s="907" t="s">
        <v>1678</v>
      </c>
      <c r="I95" s="969"/>
      <c r="J95" s="969"/>
      <c r="K95" s="969"/>
      <c r="L95" s="969"/>
    </row>
    <row r="96">
      <c r="A96" s="907" t="str">
        <f>IF('請先閱讀'!$O$31=true,"騎士配劍","")</f>
        <v/>
      </c>
      <c r="B96" s="1287" t="s">
        <v>1667</v>
      </c>
      <c r="C96" s="907" t="s">
        <v>1557</v>
      </c>
      <c r="D96" s="907" t="s">
        <v>1501</v>
      </c>
      <c r="E96" s="907" t="s">
        <v>1519</v>
      </c>
      <c r="F96" s="907">
        <v>3.0</v>
      </c>
      <c r="G96" s="907" t="s">
        <v>1534</v>
      </c>
      <c r="H96" s="907" t="s">
        <v>1687</v>
      </c>
      <c r="I96" s="969"/>
      <c r="J96" s="969"/>
      <c r="K96" s="969"/>
      <c r="L96" s="969"/>
    </row>
    <row r="97">
      <c r="A97" s="907" t="str">
        <f>IF('請先閱讀'!$O$31=true,"軍叉","")</f>
        <v/>
      </c>
      <c r="B97" s="1287" t="s">
        <v>1667</v>
      </c>
      <c r="C97" s="907" t="s">
        <v>1569</v>
      </c>
      <c r="D97" s="907" t="s">
        <v>1501</v>
      </c>
      <c r="E97" s="907" t="s">
        <v>1508</v>
      </c>
      <c r="F97" s="907">
        <v>8.0</v>
      </c>
      <c r="G97" s="907" t="s">
        <v>1684</v>
      </c>
      <c r="H97" s="907" t="s">
        <v>1680</v>
      </c>
      <c r="I97" s="969"/>
      <c r="J97" s="969"/>
      <c r="K97" s="969"/>
      <c r="L97" s="969"/>
    </row>
    <row r="98">
      <c r="A98" s="907" t="str">
        <f>IF('請先閱讀'!$O$31=true,"格擋匕首","")</f>
        <v/>
      </c>
      <c r="B98" s="1287" t="s">
        <v>1667</v>
      </c>
      <c r="C98" s="907" t="s">
        <v>1518</v>
      </c>
      <c r="D98" s="907" t="s">
        <v>1524</v>
      </c>
      <c r="E98" s="907" t="s">
        <v>1519</v>
      </c>
      <c r="F98" s="907">
        <v>1.0</v>
      </c>
      <c r="G98" s="1279" t="s">
        <v>1509</v>
      </c>
      <c r="H98" s="907" t="s">
        <v>1674</v>
      </c>
      <c r="I98" s="969"/>
      <c r="J98" s="969"/>
      <c r="K98" s="969"/>
      <c r="L98" s="969"/>
    </row>
    <row r="99">
      <c r="A99" s="907" t="str">
        <f>IF('請先閱讀'!$O$31=true,"長柄矛","")</f>
        <v/>
      </c>
      <c r="B99" s="1287" t="s">
        <v>1667</v>
      </c>
      <c r="C99" s="907" t="s">
        <v>1565</v>
      </c>
      <c r="D99" s="907" t="s">
        <v>1501</v>
      </c>
      <c r="E99" s="907" t="s">
        <v>1508</v>
      </c>
      <c r="F99" s="907">
        <v>12.0</v>
      </c>
      <c r="G99" s="907" t="s">
        <v>1684</v>
      </c>
      <c r="H99" s="907" t="s">
        <v>1678</v>
      </c>
      <c r="I99" s="969"/>
      <c r="J99" s="969"/>
      <c r="K99" s="969"/>
      <c r="L99" s="969"/>
    </row>
    <row r="100">
      <c r="A100" s="907" t="str">
        <f>IF('請先閱讀'!$O$31=true,"拳刃","")</f>
        <v/>
      </c>
      <c r="B100" s="1287" t="s">
        <v>1667</v>
      </c>
      <c r="C100" s="907" t="s">
        <v>1500</v>
      </c>
      <c r="D100" s="907" t="s">
        <v>1501</v>
      </c>
      <c r="E100" s="907" t="s">
        <v>1508</v>
      </c>
      <c r="F100" s="907">
        <v>1.0</v>
      </c>
      <c r="G100" s="907" t="s">
        <v>1688</v>
      </c>
      <c r="H100" s="907" t="s">
        <v>1687</v>
      </c>
      <c r="I100" s="969"/>
      <c r="J100" s="969"/>
      <c r="K100" s="969"/>
      <c r="L100" s="969"/>
    </row>
    <row r="101">
      <c r="A101" s="907" t="str">
        <f>IF('請先閱讀'!$O$31=true,"迴旋棍","")</f>
        <v/>
      </c>
      <c r="B101" s="1287" t="s">
        <v>1667</v>
      </c>
      <c r="C101" s="907" t="s">
        <v>1500</v>
      </c>
      <c r="D101" s="907" t="s">
        <v>1501</v>
      </c>
      <c r="E101" s="907" t="s">
        <v>1502</v>
      </c>
      <c r="F101" s="907">
        <v>2.0</v>
      </c>
      <c r="G101" s="907" t="s">
        <v>1520</v>
      </c>
      <c r="H101" s="907" t="s">
        <v>1674</v>
      </c>
      <c r="I101" s="969"/>
      <c r="J101" s="969"/>
      <c r="K101" s="969"/>
      <c r="L101" s="969"/>
    </row>
    <row r="102">
      <c r="A102" s="907" t="str">
        <f>IF('請先閱讀'!$O$31=true,"軍刀","")</f>
        <v/>
      </c>
      <c r="B102" s="1287" t="s">
        <v>1667</v>
      </c>
      <c r="C102" s="907" t="s">
        <v>1513</v>
      </c>
      <c r="D102" s="907" t="s">
        <v>1501</v>
      </c>
      <c r="E102" s="907" t="s">
        <v>1519</v>
      </c>
      <c r="F102" s="907">
        <v>2.0</v>
      </c>
      <c r="G102" s="907" t="s">
        <v>1578</v>
      </c>
      <c r="H102" s="907" t="s">
        <v>1672</v>
      </c>
      <c r="I102" s="969"/>
      <c r="J102" s="969"/>
      <c r="K102" s="969"/>
      <c r="L102" s="969"/>
    </row>
    <row r="103">
      <c r="A103" s="907" t="str">
        <f>IF('請先閱讀'!$O$31=true,"鎧杖","")</f>
        <v/>
      </c>
      <c r="B103" s="1287" t="s">
        <v>1667</v>
      </c>
      <c r="C103" s="907" t="s">
        <v>1518</v>
      </c>
      <c r="D103" s="907" t="s">
        <v>1501</v>
      </c>
      <c r="E103" s="907" t="s">
        <v>1502</v>
      </c>
      <c r="F103" s="907">
        <v>6.0</v>
      </c>
      <c r="G103" s="907" t="s">
        <v>1689</v>
      </c>
      <c r="H103" s="907" t="s">
        <v>1535</v>
      </c>
      <c r="I103" s="969"/>
      <c r="J103" s="969"/>
      <c r="K103" s="969"/>
      <c r="L103" s="969"/>
    </row>
    <row r="104">
      <c r="A104" s="907" t="str">
        <f>IF('請先閱讀'!$O$31=true,"側手棍","")</f>
        <v/>
      </c>
      <c r="B104" s="1287" t="s">
        <v>1667</v>
      </c>
      <c r="C104" s="907" t="s">
        <v>1500</v>
      </c>
      <c r="D104" s="907" t="s">
        <v>1501</v>
      </c>
      <c r="E104" s="907" t="s">
        <v>1502</v>
      </c>
      <c r="F104" s="907">
        <v>2.0</v>
      </c>
      <c r="G104" s="1279" t="s">
        <v>1543</v>
      </c>
      <c r="H104" s="907" t="s">
        <v>1672</v>
      </c>
      <c r="I104" s="969"/>
      <c r="J104" s="969"/>
      <c r="K104" s="969"/>
      <c r="L104" s="969"/>
    </row>
    <row r="105">
      <c r="A105" s="907" t="str">
        <f>IF('請先閱讀'!$O$31=true,"破壞斧","")</f>
        <v/>
      </c>
      <c r="B105" s="1287" t="s">
        <v>1667</v>
      </c>
      <c r="C105" s="907" t="s">
        <v>1690</v>
      </c>
      <c r="D105" s="907" t="s">
        <v>1501</v>
      </c>
      <c r="E105" s="907" t="s">
        <v>1519</v>
      </c>
      <c r="F105" s="907">
        <v>12.0</v>
      </c>
      <c r="G105" s="907" t="s">
        <v>1691</v>
      </c>
      <c r="H105" s="907" t="s">
        <v>1675</v>
      </c>
      <c r="I105" s="969"/>
      <c r="J105" s="969"/>
      <c r="K105" s="969"/>
      <c r="L105" s="969"/>
    </row>
    <row r="106">
      <c r="A106" s="907" t="str">
        <f>IF('請先閱讀'!$O$31=true,"破壞錘","")</f>
        <v/>
      </c>
      <c r="B106" s="1287" t="s">
        <v>1667</v>
      </c>
      <c r="C106" s="907" t="s">
        <v>1690</v>
      </c>
      <c r="D106" s="907" t="s">
        <v>1501</v>
      </c>
      <c r="E106" s="907" t="s">
        <v>1502</v>
      </c>
      <c r="F106" s="907">
        <v>15.0</v>
      </c>
      <c r="G106" s="907" t="s">
        <v>1691</v>
      </c>
      <c r="H106" s="907" t="s">
        <v>1675</v>
      </c>
      <c r="I106" s="969"/>
      <c r="J106" s="969"/>
      <c r="K106" s="969"/>
      <c r="L106" s="969"/>
    </row>
    <row r="107">
      <c r="A107" s="907" t="str">
        <f>IF('請先閱讀'!$O$31=true,"鋼弩","")</f>
        <v/>
      </c>
      <c r="B107" s="1287" t="s">
        <v>1692</v>
      </c>
      <c r="C107" s="907" t="s">
        <v>1569</v>
      </c>
      <c r="D107" s="907" t="s">
        <v>1693</v>
      </c>
      <c r="E107" s="907" t="s">
        <v>1508</v>
      </c>
      <c r="F107" s="907">
        <v>20.0</v>
      </c>
      <c r="G107" s="907" t="s">
        <v>1595</v>
      </c>
      <c r="H107" s="907" t="s">
        <v>1694</v>
      </c>
      <c r="I107" s="969"/>
      <c r="J107" s="969"/>
      <c r="K107" s="969"/>
      <c r="L107" s="969"/>
    </row>
    <row r="108">
      <c r="A108" s="907" t="str">
        <f>IF('請先閱讀'!$O$31=true,"黑火藥手銃","")</f>
        <v/>
      </c>
      <c r="B108" s="1287" t="s">
        <v>1692</v>
      </c>
      <c r="C108" s="907" t="s">
        <v>1624</v>
      </c>
      <c r="D108" s="907" t="s">
        <v>1695</v>
      </c>
      <c r="E108" s="907" t="s">
        <v>1508</v>
      </c>
      <c r="F108" s="907">
        <v>4.0</v>
      </c>
      <c r="G108" s="907" t="s">
        <v>1696</v>
      </c>
      <c r="H108" s="907" t="s">
        <v>1521</v>
      </c>
      <c r="I108" s="969"/>
      <c r="J108" s="969"/>
      <c r="K108" s="969"/>
      <c r="L108" s="969"/>
    </row>
    <row r="109">
      <c r="A109" s="907" t="str">
        <f>IF('請先閱讀'!$O$31=true,"黑火藥獵槍","")</f>
        <v/>
      </c>
      <c r="B109" s="1287" t="s">
        <v>1692</v>
      </c>
      <c r="C109" s="907" t="s">
        <v>1569</v>
      </c>
      <c r="D109" s="907" t="s">
        <v>1693</v>
      </c>
      <c r="E109" s="907" t="s">
        <v>1508</v>
      </c>
      <c r="F109" s="907">
        <v>10.0</v>
      </c>
      <c r="G109" s="907" t="s">
        <v>1697</v>
      </c>
      <c r="H109" s="907" t="s">
        <v>1504</v>
      </c>
      <c r="I109" s="969"/>
      <c r="J109" s="969"/>
      <c r="K109" s="969"/>
      <c r="L109" s="969"/>
    </row>
    <row r="110">
      <c r="A110" s="907" t="str">
        <f>IF('請先閱讀'!$O$31=true,"雷筒","")</f>
        <v/>
      </c>
      <c r="B110" s="1287" t="s">
        <v>1692</v>
      </c>
      <c r="C110" s="907" t="s">
        <v>1569</v>
      </c>
      <c r="D110" s="907" t="s">
        <v>1601</v>
      </c>
      <c r="E110" s="907" t="s">
        <v>1508</v>
      </c>
      <c r="F110" s="907">
        <v>10.0</v>
      </c>
      <c r="G110" s="907" t="s">
        <v>1698</v>
      </c>
      <c r="H110" s="907" t="s">
        <v>1620</v>
      </c>
      <c r="I110" s="969"/>
      <c r="J110" s="969"/>
      <c r="K110" s="969"/>
      <c r="L110" s="969"/>
    </row>
    <row r="111">
      <c r="A111" s="907" t="str">
        <f>IF('請先閱讀'!$O$31=true,"雷筒：手持","")</f>
        <v/>
      </c>
      <c r="B111" s="1287" t="s">
        <v>1692</v>
      </c>
      <c r="C111" s="907" t="s">
        <v>1624</v>
      </c>
      <c r="D111" s="907" t="s">
        <v>1699</v>
      </c>
      <c r="E111" s="907" t="s">
        <v>1508</v>
      </c>
      <c r="F111" s="907">
        <v>4.0</v>
      </c>
      <c r="G111" s="907" t="s">
        <v>1700</v>
      </c>
      <c r="H111" s="907" t="s">
        <v>1620</v>
      </c>
      <c r="I111" s="969"/>
      <c r="J111" s="969"/>
      <c r="K111" s="969"/>
      <c r="L111" s="969"/>
    </row>
    <row r="112">
      <c r="A112" s="907" t="str">
        <f>IF('請先閱讀'!$O$31=true,"複合長弓","")</f>
        <v/>
      </c>
      <c r="B112" s="1287" t="s">
        <v>1692</v>
      </c>
      <c r="C112" s="907" t="s">
        <v>1513</v>
      </c>
      <c r="D112" s="907" t="s">
        <v>1701</v>
      </c>
      <c r="E112" s="907" t="s">
        <v>1508</v>
      </c>
      <c r="F112" s="907">
        <v>2.0</v>
      </c>
      <c r="G112" s="907" t="s">
        <v>1598</v>
      </c>
      <c r="H112" s="907" t="s">
        <v>1694</v>
      </c>
      <c r="I112" s="969"/>
      <c r="J112" s="969"/>
      <c r="K112" s="969"/>
      <c r="L112" s="969"/>
    </row>
    <row r="113">
      <c r="A113" s="907" t="str">
        <f>IF('請先閱讀'!$O$31=true,"複合短弓","")</f>
        <v/>
      </c>
      <c r="B113" s="1287" t="s">
        <v>1692</v>
      </c>
      <c r="C113" s="907" t="s">
        <v>1518</v>
      </c>
      <c r="D113" s="907" t="s">
        <v>1594</v>
      </c>
      <c r="E113" s="907" t="s">
        <v>1508</v>
      </c>
      <c r="F113" s="907">
        <v>2.0</v>
      </c>
      <c r="G113" s="1284" t="s">
        <v>1552</v>
      </c>
      <c r="H113" s="907" t="s">
        <v>1694</v>
      </c>
      <c r="I113" s="969"/>
      <c r="J113" s="969"/>
      <c r="K113" s="969"/>
      <c r="L113" s="969"/>
    </row>
    <row r="114">
      <c r="A114" s="907" t="str">
        <f>IF('請先閱讀'!$O$31=true,"龍息手銃","")</f>
        <v/>
      </c>
      <c r="B114" s="1287" t="s">
        <v>1692</v>
      </c>
      <c r="C114" s="907" t="s">
        <v>1624</v>
      </c>
      <c r="D114" s="907">
        <v>20.0</v>
      </c>
      <c r="E114" s="907" t="s">
        <v>1508</v>
      </c>
      <c r="F114" s="907">
        <v>4.0</v>
      </c>
      <c r="G114" s="907" t="s">
        <v>1702</v>
      </c>
      <c r="H114" s="907" t="s">
        <v>1703</v>
      </c>
      <c r="I114" s="969"/>
      <c r="J114" s="969"/>
      <c r="K114" s="969"/>
      <c r="L114" s="969"/>
    </row>
    <row r="115">
      <c r="A115" s="907" t="str">
        <f>IF('請先閱讀'!$O$31=true,"龍息獵槍","")</f>
        <v/>
      </c>
      <c r="B115" s="1287" t="s">
        <v>1692</v>
      </c>
      <c r="C115" s="907" t="s">
        <v>1569</v>
      </c>
      <c r="D115" s="907">
        <v>30.0</v>
      </c>
      <c r="E115" s="907" t="s">
        <v>1508</v>
      </c>
      <c r="F115" s="907">
        <v>4.0</v>
      </c>
      <c r="G115" s="907" t="s">
        <v>1702</v>
      </c>
      <c r="H115" s="907" t="s">
        <v>1704</v>
      </c>
      <c r="I115" s="969"/>
      <c r="J115" s="969"/>
      <c r="K115" s="969"/>
      <c r="L115" s="969"/>
    </row>
    <row r="116">
      <c r="A116" s="907" t="str">
        <f>IF('請先閱讀'!$O$31=true,"火風箱","")</f>
        <v/>
      </c>
      <c r="B116" s="1287" t="s">
        <v>1692</v>
      </c>
      <c r="C116" s="907" t="s">
        <v>1569</v>
      </c>
      <c r="D116" s="907">
        <v>15.0</v>
      </c>
      <c r="E116" s="907" t="s">
        <v>1628</v>
      </c>
      <c r="F116" s="907">
        <v>11.0</v>
      </c>
      <c r="G116" s="907" t="s">
        <v>1705</v>
      </c>
      <c r="H116" s="907" t="s">
        <v>1704</v>
      </c>
      <c r="I116" s="969"/>
      <c r="J116" s="969"/>
      <c r="K116" s="969"/>
      <c r="L116" s="969"/>
    </row>
    <row r="117">
      <c r="A117" s="907" t="str">
        <f>IF('請先閱讀'!$O$31=true,"連弩","")</f>
        <v/>
      </c>
      <c r="B117" s="1287" t="s">
        <v>1692</v>
      </c>
      <c r="C117" s="907" t="s">
        <v>1513</v>
      </c>
      <c r="D117" s="907" t="s">
        <v>1693</v>
      </c>
      <c r="E117" s="907" t="s">
        <v>1508</v>
      </c>
      <c r="F117" s="907">
        <v>7.0</v>
      </c>
      <c r="G117" s="907" t="s">
        <v>1706</v>
      </c>
      <c r="H117" s="907" t="s">
        <v>1504</v>
      </c>
      <c r="I117" s="969"/>
      <c r="J117" s="969"/>
      <c r="K117" s="969"/>
      <c r="L117" s="969"/>
    </row>
    <row r="118">
      <c r="A118" s="907" t="str">
        <f>IF('請先閱讀'!$O$31=true,"連弩：手持","")</f>
        <v/>
      </c>
      <c r="B118" s="1287" t="s">
        <v>1692</v>
      </c>
      <c r="C118" s="907" t="s">
        <v>1518</v>
      </c>
      <c r="D118" s="907" t="s">
        <v>1524</v>
      </c>
      <c r="E118" s="907" t="s">
        <v>1508</v>
      </c>
      <c r="F118" s="907">
        <v>3.0</v>
      </c>
      <c r="G118" s="907" t="s">
        <v>1707</v>
      </c>
      <c r="H118" s="907" t="s">
        <v>1521</v>
      </c>
      <c r="I118" s="969"/>
      <c r="J118" s="969"/>
      <c r="K118" s="969"/>
      <c r="L118" s="969"/>
    </row>
    <row r="119">
      <c r="A119" s="907" t="str">
        <f>IF('請先閱讀'!$O$31=true,"連弩：重型","")</f>
        <v/>
      </c>
      <c r="B119" s="1287" t="s">
        <v>1692</v>
      </c>
      <c r="C119" s="907" t="s">
        <v>1560</v>
      </c>
      <c r="D119" s="907" t="s">
        <v>1594</v>
      </c>
      <c r="E119" s="907" t="s">
        <v>1508</v>
      </c>
      <c r="F119" s="907">
        <v>20.0</v>
      </c>
      <c r="G119" s="907" t="s">
        <v>1708</v>
      </c>
      <c r="H119" s="907" t="s">
        <v>1515</v>
      </c>
      <c r="I119" s="969"/>
      <c r="J119" s="969"/>
      <c r="K119" s="969"/>
      <c r="L119" s="969"/>
    </row>
    <row r="120">
      <c r="A120" s="907" t="str">
        <f>IF('請先閱讀'!$O$31=true,"連釘槍","")</f>
        <v/>
      </c>
      <c r="B120" s="1287" t="s">
        <v>1692</v>
      </c>
      <c r="C120" s="907">
        <v>1.0</v>
      </c>
      <c r="D120" s="907" t="s">
        <v>1524</v>
      </c>
      <c r="E120" s="907" t="s">
        <v>1508</v>
      </c>
      <c r="F120" s="907">
        <v>3.0</v>
      </c>
      <c r="G120" s="907" t="s">
        <v>1709</v>
      </c>
      <c r="H120" s="907" t="s">
        <v>1521</v>
      </c>
      <c r="I120" s="969"/>
      <c r="J120" s="969"/>
      <c r="K120" s="969"/>
      <c r="L120" s="969"/>
    </row>
    <row r="121">
      <c r="A121" s="907" t="str">
        <f>IF('請先閱讀'!$O$31=true,"連彈弓","")</f>
        <v/>
      </c>
      <c r="B121" s="1287" t="s">
        <v>1692</v>
      </c>
      <c r="C121" s="907" t="s">
        <v>1513</v>
      </c>
      <c r="D121" s="907" t="s">
        <v>1693</v>
      </c>
      <c r="E121" s="907" t="s">
        <v>1502</v>
      </c>
      <c r="F121" s="907">
        <v>9.0</v>
      </c>
      <c r="G121" s="1284" t="s">
        <v>1710</v>
      </c>
      <c r="H121" s="907" t="s">
        <v>1504</v>
      </c>
      <c r="I121" s="969"/>
      <c r="J121" s="969"/>
      <c r="K121" s="969"/>
      <c r="L121" s="969"/>
    </row>
    <row r="122">
      <c r="A122" s="969"/>
      <c r="B122" s="1278"/>
      <c r="C122" s="969"/>
      <c r="D122" s="969"/>
      <c r="E122" s="969"/>
      <c r="F122" s="969"/>
      <c r="G122" s="969"/>
      <c r="H122" s="969"/>
      <c r="I122" s="969"/>
      <c r="J122" s="969"/>
      <c r="K122" s="969"/>
      <c r="L122" s="969"/>
    </row>
    <row r="123">
      <c r="A123" s="969"/>
      <c r="B123" s="1278"/>
      <c r="C123" s="969"/>
      <c r="D123" s="969"/>
      <c r="E123" s="969"/>
      <c r="F123" s="969"/>
      <c r="G123" s="969"/>
      <c r="H123" s="969"/>
      <c r="I123" s="969"/>
      <c r="J123" s="969"/>
      <c r="K123" s="969"/>
      <c r="L123" s="969"/>
    </row>
    <row r="124">
      <c r="A124" s="969"/>
      <c r="B124" s="1278"/>
      <c r="C124" s="969"/>
      <c r="D124" s="969"/>
      <c r="E124" s="969"/>
      <c r="F124" s="969"/>
      <c r="G124" s="969"/>
      <c r="H124" s="969"/>
      <c r="I124" s="969"/>
      <c r="J124" s="969"/>
      <c r="K124" s="969"/>
      <c r="L124" s="969"/>
    </row>
    <row r="125">
      <c r="A125" s="969"/>
      <c r="B125" s="1278"/>
      <c r="C125" s="969"/>
      <c r="D125" s="969"/>
      <c r="E125" s="969"/>
      <c r="F125" s="969"/>
      <c r="G125" s="969"/>
      <c r="H125" s="969"/>
      <c r="I125" s="969"/>
      <c r="J125" s="969"/>
      <c r="K125" s="969"/>
      <c r="L125" s="969"/>
    </row>
    <row r="126">
      <c r="A126" s="969"/>
      <c r="B126" s="1278"/>
      <c r="C126" s="969"/>
      <c r="D126" s="969"/>
      <c r="E126" s="969"/>
      <c r="F126" s="969"/>
      <c r="G126" s="969"/>
      <c r="H126" s="969"/>
      <c r="I126" s="969"/>
      <c r="J126" s="969"/>
      <c r="K126" s="969"/>
      <c r="L126" s="969"/>
    </row>
    <row r="127">
      <c r="A127" s="969"/>
      <c r="B127" s="1278"/>
      <c r="C127" s="969"/>
      <c r="D127" s="969"/>
      <c r="E127" s="969"/>
      <c r="F127" s="969"/>
      <c r="G127" s="969"/>
      <c r="H127" s="969"/>
      <c r="I127" s="969"/>
      <c r="J127" s="969"/>
      <c r="K127" s="969"/>
      <c r="L127" s="969"/>
    </row>
    <row r="128">
      <c r="A128" s="969"/>
      <c r="B128" s="1278"/>
      <c r="C128" s="969"/>
      <c r="D128" s="969"/>
      <c r="E128" s="969"/>
      <c r="F128" s="969"/>
      <c r="G128" s="969"/>
      <c r="H128" s="969"/>
      <c r="I128" s="969"/>
      <c r="J128" s="969"/>
      <c r="K128" s="969"/>
      <c r="L128" s="969"/>
    </row>
    <row r="129">
      <c r="A129" s="969"/>
      <c r="B129" s="1278"/>
      <c r="C129" s="969"/>
      <c r="D129" s="969"/>
      <c r="E129" s="969"/>
      <c r="F129" s="969"/>
      <c r="G129" s="969"/>
      <c r="H129" s="969"/>
      <c r="I129" s="969"/>
      <c r="J129" s="969"/>
      <c r="K129" s="969"/>
      <c r="L129" s="969"/>
    </row>
    <row r="130">
      <c r="A130" s="969"/>
      <c r="B130" s="1278"/>
      <c r="C130" s="969"/>
      <c r="D130" s="969"/>
      <c r="E130" s="969"/>
      <c r="F130" s="969"/>
      <c r="G130" s="969"/>
      <c r="H130" s="969"/>
      <c r="I130" s="969"/>
      <c r="J130" s="969"/>
      <c r="K130" s="969"/>
      <c r="L130" s="969"/>
    </row>
    <row r="131">
      <c r="A131" s="969"/>
      <c r="B131" s="1278"/>
      <c r="C131" s="969"/>
      <c r="D131" s="969"/>
      <c r="E131" s="969"/>
      <c r="F131" s="969"/>
      <c r="G131" s="969"/>
      <c r="H131" s="969"/>
      <c r="I131" s="969"/>
      <c r="J131" s="969"/>
      <c r="K131" s="969"/>
      <c r="L131" s="969"/>
    </row>
    <row r="132">
      <c r="A132" s="969"/>
      <c r="B132" s="1278"/>
      <c r="C132" s="969"/>
      <c r="D132" s="969"/>
      <c r="E132" s="969"/>
      <c r="F132" s="969"/>
      <c r="G132" s="969"/>
      <c r="H132" s="969"/>
      <c r="I132" s="969"/>
      <c r="J132" s="969"/>
      <c r="K132" s="969"/>
      <c r="L132" s="969"/>
    </row>
    <row r="133">
      <c r="A133" s="969"/>
      <c r="B133" s="1278"/>
      <c r="C133" s="969"/>
      <c r="D133" s="969"/>
      <c r="E133" s="969"/>
      <c r="F133" s="969"/>
      <c r="G133" s="969"/>
      <c r="H133" s="969"/>
      <c r="I133" s="969"/>
      <c r="J133" s="969"/>
      <c r="K133" s="969"/>
      <c r="L133" s="969"/>
    </row>
    <row r="134">
      <c r="A134" s="969"/>
      <c r="B134" s="1278"/>
      <c r="C134" s="969"/>
      <c r="D134" s="969"/>
      <c r="E134" s="969"/>
      <c r="F134" s="969"/>
      <c r="G134" s="969"/>
      <c r="H134" s="969"/>
      <c r="I134" s="969"/>
      <c r="J134" s="969"/>
      <c r="K134" s="969"/>
      <c r="L134" s="969"/>
    </row>
    <row r="135">
      <c r="A135" s="969"/>
      <c r="B135" s="1278"/>
      <c r="C135" s="969"/>
      <c r="D135" s="969"/>
      <c r="E135" s="969"/>
      <c r="F135" s="969"/>
      <c r="G135" s="969"/>
      <c r="H135" s="969"/>
      <c r="I135" s="969"/>
      <c r="J135" s="969"/>
      <c r="K135" s="969"/>
      <c r="L135" s="969"/>
    </row>
    <row r="136">
      <c r="A136" s="969"/>
      <c r="B136" s="1278"/>
      <c r="C136" s="969"/>
      <c r="D136" s="969"/>
      <c r="E136" s="969"/>
      <c r="F136" s="969"/>
      <c r="G136" s="969"/>
      <c r="H136" s="969"/>
      <c r="I136" s="969"/>
      <c r="J136" s="969"/>
      <c r="K136" s="969"/>
      <c r="L136" s="969"/>
    </row>
    <row r="137">
      <c r="A137" s="969"/>
      <c r="B137" s="1278"/>
      <c r="C137" s="969"/>
      <c r="D137" s="969"/>
      <c r="E137" s="969"/>
      <c r="F137" s="969"/>
      <c r="G137" s="969"/>
      <c r="H137" s="969"/>
      <c r="I137" s="969"/>
      <c r="J137" s="969"/>
      <c r="K137" s="969"/>
      <c r="L137" s="969"/>
    </row>
    <row r="138">
      <c r="A138" s="969"/>
      <c r="B138" s="1278"/>
      <c r="C138" s="969"/>
      <c r="D138" s="969"/>
      <c r="E138" s="969"/>
      <c r="F138" s="969"/>
      <c r="G138" s="969"/>
      <c r="H138" s="969"/>
      <c r="I138" s="969"/>
      <c r="J138" s="969"/>
      <c r="K138" s="969"/>
      <c r="L138" s="969"/>
    </row>
    <row r="139">
      <c r="A139" s="969"/>
      <c r="B139" s="1278"/>
      <c r="C139" s="969"/>
      <c r="D139" s="969"/>
      <c r="E139" s="969"/>
      <c r="F139" s="969"/>
      <c r="G139" s="969"/>
      <c r="H139" s="969"/>
      <c r="I139" s="969"/>
      <c r="J139" s="969"/>
      <c r="K139" s="969"/>
      <c r="L139" s="969"/>
    </row>
    <row r="140">
      <c r="A140" s="969"/>
      <c r="B140" s="1278"/>
      <c r="C140" s="969"/>
      <c r="D140" s="969"/>
      <c r="E140" s="969"/>
      <c r="F140" s="969"/>
      <c r="G140" s="969"/>
      <c r="H140" s="969"/>
      <c r="I140" s="969"/>
      <c r="J140" s="969"/>
      <c r="K140" s="969"/>
      <c r="L140" s="969"/>
    </row>
    <row r="141">
      <c r="A141" s="969"/>
      <c r="B141" s="1278"/>
      <c r="C141" s="969"/>
      <c r="D141" s="969"/>
      <c r="E141" s="969"/>
      <c r="F141" s="969"/>
      <c r="G141" s="969"/>
      <c r="H141" s="969"/>
      <c r="I141" s="969"/>
      <c r="J141" s="969"/>
      <c r="K141" s="969"/>
      <c r="L141" s="969"/>
    </row>
    <row r="142">
      <c r="A142" s="969"/>
      <c r="B142" s="1278"/>
      <c r="C142" s="969"/>
      <c r="D142" s="969"/>
      <c r="E142" s="969"/>
      <c r="F142" s="969"/>
      <c r="G142" s="969"/>
      <c r="H142" s="969"/>
      <c r="I142" s="969"/>
      <c r="J142" s="969"/>
      <c r="K142" s="969"/>
      <c r="L142" s="969"/>
    </row>
    <row r="143">
      <c r="A143" s="969"/>
      <c r="B143" s="1278"/>
      <c r="C143" s="969"/>
      <c r="D143" s="969"/>
      <c r="E143" s="969"/>
      <c r="F143" s="969"/>
      <c r="G143" s="969"/>
      <c r="H143" s="969"/>
      <c r="I143" s="969"/>
      <c r="J143" s="969"/>
      <c r="K143" s="969"/>
      <c r="L143" s="969"/>
    </row>
    <row r="144">
      <c r="A144" s="969"/>
      <c r="B144" s="1278"/>
      <c r="C144" s="969"/>
      <c r="D144" s="969"/>
      <c r="E144" s="969"/>
      <c r="F144" s="969"/>
      <c r="G144" s="969"/>
      <c r="H144" s="969"/>
      <c r="I144" s="969"/>
      <c r="J144" s="969"/>
      <c r="K144" s="969"/>
      <c r="L144" s="969"/>
    </row>
    <row r="145">
      <c r="A145" s="969"/>
      <c r="B145" s="1278"/>
      <c r="C145" s="969"/>
      <c r="D145" s="969"/>
      <c r="E145" s="969"/>
      <c r="F145" s="969"/>
      <c r="G145" s="969"/>
      <c r="H145" s="969"/>
      <c r="I145" s="969"/>
      <c r="J145" s="969"/>
      <c r="K145" s="969"/>
      <c r="L145" s="969"/>
    </row>
    <row r="146">
      <c r="A146" s="969"/>
      <c r="B146" s="1278"/>
      <c r="C146" s="969"/>
      <c r="D146" s="969"/>
      <c r="E146" s="969"/>
      <c r="F146" s="969"/>
      <c r="G146" s="969"/>
      <c r="H146" s="969"/>
      <c r="I146" s="969"/>
      <c r="J146" s="969"/>
      <c r="K146" s="969"/>
      <c r="L146" s="969"/>
    </row>
    <row r="147">
      <c r="A147" s="969"/>
      <c r="B147" s="1278"/>
      <c r="C147" s="969"/>
      <c r="D147" s="969"/>
      <c r="E147" s="969"/>
      <c r="F147" s="969"/>
      <c r="G147" s="969"/>
      <c r="H147" s="969"/>
      <c r="I147" s="969"/>
      <c r="J147" s="969"/>
      <c r="K147" s="969"/>
      <c r="L147" s="969"/>
    </row>
    <row r="148">
      <c r="A148" s="969"/>
      <c r="B148" s="1278"/>
      <c r="C148" s="969"/>
      <c r="D148" s="969"/>
      <c r="E148" s="969"/>
      <c r="F148" s="969"/>
      <c r="G148" s="969"/>
      <c r="H148" s="969"/>
      <c r="I148" s="969"/>
      <c r="J148" s="969"/>
      <c r="K148" s="969"/>
      <c r="L148" s="969"/>
    </row>
    <row r="149">
      <c r="A149" s="969"/>
      <c r="B149" s="1278"/>
      <c r="C149" s="969"/>
      <c r="D149" s="969"/>
      <c r="E149" s="969"/>
      <c r="F149" s="969"/>
      <c r="G149" s="969"/>
      <c r="H149" s="969"/>
      <c r="I149" s="969"/>
      <c r="J149" s="969"/>
      <c r="K149" s="969"/>
      <c r="L149" s="969"/>
    </row>
    <row r="150">
      <c r="A150" s="969"/>
      <c r="B150" s="1278"/>
      <c r="C150" s="969"/>
      <c r="D150" s="969"/>
      <c r="E150" s="969"/>
      <c r="F150" s="969"/>
      <c r="G150" s="969"/>
      <c r="H150" s="969"/>
      <c r="I150" s="969"/>
      <c r="J150" s="969"/>
      <c r="K150" s="969"/>
      <c r="L150" s="969"/>
    </row>
    <row r="151">
      <c r="A151" s="969"/>
      <c r="B151" s="1278"/>
      <c r="C151" s="969"/>
      <c r="D151" s="969"/>
      <c r="E151" s="969"/>
      <c r="F151" s="969"/>
      <c r="G151" s="969"/>
      <c r="H151" s="969"/>
      <c r="I151" s="969"/>
      <c r="J151" s="969"/>
      <c r="K151" s="969"/>
      <c r="L151" s="969"/>
    </row>
    <row r="152">
      <c r="A152" s="969"/>
      <c r="B152" s="1278"/>
      <c r="C152" s="969"/>
      <c r="D152" s="969"/>
      <c r="E152" s="969"/>
      <c r="F152" s="969"/>
      <c r="G152" s="969"/>
      <c r="H152" s="969"/>
      <c r="I152" s="969"/>
      <c r="J152" s="969"/>
      <c r="K152" s="969"/>
      <c r="L152" s="969"/>
    </row>
    <row r="153">
      <c r="A153" s="969"/>
      <c r="B153" s="1278"/>
      <c r="C153" s="969"/>
      <c r="D153" s="969"/>
      <c r="E153" s="969"/>
      <c r="F153" s="969"/>
      <c r="G153" s="969"/>
      <c r="H153" s="969"/>
      <c r="I153" s="969"/>
      <c r="J153" s="969"/>
      <c r="K153" s="969"/>
      <c r="L153" s="969"/>
    </row>
    <row r="154">
      <c r="A154" s="969"/>
      <c r="B154" s="1278"/>
      <c r="C154" s="969"/>
      <c r="D154" s="969"/>
      <c r="E154" s="969"/>
      <c r="F154" s="969"/>
      <c r="G154" s="969"/>
      <c r="H154" s="969"/>
      <c r="I154" s="969"/>
      <c r="J154" s="969"/>
      <c r="K154" s="969"/>
      <c r="L154" s="969"/>
    </row>
    <row r="155">
      <c r="A155" s="969"/>
      <c r="B155" s="1278"/>
      <c r="C155" s="969"/>
      <c r="D155" s="969"/>
      <c r="E155" s="969"/>
      <c r="F155" s="969"/>
      <c r="G155" s="969"/>
      <c r="H155" s="969"/>
      <c r="I155" s="969"/>
      <c r="J155" s="969"/>
      <c r="K155" s="969"/>
      <c r="L155" s="969"/>
    </row>
    <row r="156">
      <c r="A156" s="969"/>
      <c r="B156" s="1278"/>
      <c r="C156" s="969"/>
      <c r="D156" s="969"/>
      <c r="E156" s="969"/>
      <c r="F156" s="969"/>
      <c r="G156" s="969"/>
      <c r="H156" s="969"/>
      <c r="I156" s="969"/>
      <c r="J156" s="969"/>
      <c r="K156" s="969"/>
      <c r="L156" s="969"/>
    </row>
    <row r="157">
      <c r="A157" s="969"/>
      <c r="B157" s="1278"/>
      <c r="C157" s="969"/>
      <c r="D157" s="969"/>
      <c r="E157" s="969"/>
      <c r="F157" s="969"/>
      <c r="G157" s="969"/>
      <c r="H157" s="969"/>
      <c r="I157" s="969"/>
      <c r="J157" s="969"/>
      <c r="K157" s="969"/>
      <c r="L157" s="969"/>
    </row>
    <row r="158">
      <c r="A158" s="969"/>
      <c r="B158" s="1278"/>
      <c r="C158" s="969"/>
      <c r="D158" s="969"/>
      <c r="E158" s="969"/>
      <c r="F158" s="969"/>
      <c r="G158" s="969"/>
      <c r="H158" s="969"/>
      <c r="I158" s="969"/>
      <c r="J158" s="969"/>
      <c r="K158" s="969"/>
      <c r="L158" s="969"/>
    </row>
    <row r="159">
      <c r="A159" s="969"/>
      <c r="B159" s="1278"/>
      <c r="C159" s="969"/>
      <c r="D159" s="969"/>
      <c r="E159" s="969"/>
      <c r="F159" s="969"/>
      <c r="G159" s="969"/>
      <c r="H159" s="969"/>
      <c r="I159" s="969"/>
      <c r="J159" s="969"/>
      <c r="K159" s="969"/>
      <c r="L159" s="969"/>
    </row>
    <row r="160">
      <c r="A160" s="969"/>
      <c r="B160" s="1278"/>
      <c r="C160" s="969"/>
      <c r="D160" s="969"/>
      <c r="E160" s="969"/>
      <c r="F160" s="969"/>
      <c r="G160" s="969"/>
      <c r="H160" s="969"/>
      <c r="I160" s="969"/>
      <c r="J160" s="969"/>
      <c r="K160" s="969"/>
      <c r="L160" s="969"/>
    </row>
    <row r="161">
      <c r="A161" s="969"/>
      <c r="B161" s="1278"/>
      <c r="C161" s="969"/>
      <c r="D161" s="969"/>
      <c r="E161" s="969"/>
      <c r="F161" s="969"/>
      <c r="G161" s="969"/>
      <c r="H161" s="969"/>
      <c r="I161" s="969"/>
      <c r="J161" s="969"/>
      <c r="K161" s="969"/>
      <c r="L161" s="969"/>
    </row>
    <row r="162">
      <c r="A162" s="969"/>
      <c r="B162" s="1278"/>
      <c r="C162" s="969"/>
      <c r="D162" s="969"/>
      <c r="E162" s="969"/>
      <c r="F162" s="969"/>
      <c r="G162" s="969"/>
      <c r="H162" s="969"/>
      <c r="I162" s="969"/>
      <c r="J162" s="969"/>
      <c r="K162" s="969"/>
      <c r="L162" s="969"/>
    </row>
    <row r="163">
      <c r="A163" s="969"/>
      <c r="B163" s="1278"/>
      <c r="C163" s="969"/>
      <c r="D163" s="969"/>
      <c r="E163" s="969"/>
      <c r="F163" s="969"/>
      <c r="G163" s="969"/>
      <c r="H163" s="969"/>
      <c r="I163" s="969"/>
      <c r="J163" s="969"/>
      <c r="K163" s="969"/>
      <c r="L163" s="969"/>
    </row>
    <row r="164">
      <c r="A164" s="969"/>
      <c r="B164" s="1278"/>
      <c r="C164" s="969"/>
      <c r="D164" s="969"/>
      <c r="E164" s="969"/>
      <c r="F164" s="969"/>
      <c r="G164" s="969"/>
      <c r="H164" s="969"/>
      <c r="I164" s="969"/>
      <c r="J164" s="969"/>
      <c r="K164" s="969"/>
      <c r="L164" s="969"/>
    </row>
    <row r="165">
      <c r="A165" s="969"/>
      <c r="B165" s="1278"/>
      <c r="C165" s="969"/>
      <c r="D165" s="969"/>
      <c r="E165" s="969"/>
      <c r="F165" s="969"/>
      <c r="G165" s="969"/>
      <c r="H165" s="969"/>
      <c r="I165" s="969"/>
      <c r="J165" s="969"/>
      <c r="K165" s="969"/>
      <c r="L165" s="969"/>
    </row>
    <row r="166">
      <c r="A166" s="969"/>
      <c r="B166" s="1278"/>
      <c r="C166" s="969"/>
      <c r="D166" s="969"/>
      <c r="E166" s="969"/>
      <c r="F166" s="969"/>
      <c r="G166" s="969"/>
      <c r="H166" s="969"/>
      <c r="I166" s="969"/>
      <c r="J166" s="969"/>
      <c r="K166" s="969"/>
      <c r="L166" s="969"/>
    </row>
    <row r="167">
      <c r="A167" s="969"/>
      <c r="B167" s="1278"/>
      <c r="C167" s="969"/>
      <c r="D167" s="969"/>
      <c r="E167" s="969"/>
      <c r="F167" s="969"/>
      <c r="G167" s="969"/>
      <c r="H167" s="969"/>
      <c r="I167" s="969"/>
      <c r="J167" s="969"/>
      <c r="K167" s="969"/>
      <c r="L167" s="969"/>
    </row>
    <row r="168">
      <c r="A168" s="969"/>
      <c r="B168" s="1278"/>
      <c r="C168" s="969"/>
      <c r="D168" s="969"/>
      <c r="E168" s="969"/>
      <c r="F168" s="969"/>
      <c r="G168" s="969"/>
      <c r="H168" s="969"/>
      <c r="I168" s="969"/>
      <c r="J168" s="969"/>
      <c r="K168" s="969"/>
      <c r="L168" s="969"/>
    </row>
    <row r="169">
      <c r="A169" s="969"/>
      <c r="B169" s="1278"/>
      <c r="C169" s="969"/>
      <c r="D169" s="969"/>
      <c r="E169" s="969"/>
      <c r="F169" s="969"/>
      <c r="G169" s="969"/>
      <c r="H169" s="969"/>
      <c r="I169" s="969"/>
      <c r="J169" s="969"/>
      <c r="K169" s="969"/>
      <c r="L169" s="969"/>
    </row>
    <row r="170">
      <c r="A170" s="969"/>
      <c r="B170" s="1278"/>
      <c r="C170" s="969"/>
      <c r="D170" s="969"/>
      <c r="E170" s="969"/>
      <c r="F170" s="969"/>
      <c r="G170" s="969"/>
      <c r="H170" s="969"/>
      <c r="I170" s="969"/>
      <c r="J170" s="969"/>
      <c r="K170" s="969"/>
      <c r="L170" s="969"/>
    </row>
    <row r="171">
      <c r="A171" s="969"/>
      <c r="B171" s="1278"/>
      <c r="C171" s="969"/>
      <c r="D171" s="969"/>
      <c r="E171" s="969"/>
      <c r="F171" s="969"/>
      <c r="G171" s="969"/>
      <c r="H171" s="969"/>
      <c r="I171" s="969"/>
      <c r="J171" s="969"/>
      <c r="K171" s="969"/>
      <c r="L171" s="969"/>
    </row>
    <row r="172">
      <c r="A172" s="969"/>
      <c r="B172" s="1278"/>
      <c r="C172" s="969"/>
      <c r="D172" s="969"/>
      <c r="E172" s="969"/>
      <c r="F172" s="969"/>
      <c r="G172" s="969"/>
      <c r="H172" s="969"/>
      <c r="I172" s="969"/>
      <c r="J172" s="969"/>
      <c r="K172" s="969"/>
      <c r="L172" s="969"/>
    </row>
    <row r="173">
      <c r="A173" s="969"/>
      <c r="B173" s="1278"/>
      <c r="C173" s="969"/>
      <c r="D173" s="969"/>
      <c r="E173" s="969"/>
      <c r="F173" s="969"/>
      <c r="G173" s="969"/>
      <c r="H173" s="969"/>
      <c r="I173" s="969"/>
      <c r="J173" s="969"/>
      <c r="K173" s="969"/>
      <c r="L173" s="969"/>
    </row>
    <row r="174">
      <c r="A174" s="969"/>
      <c r="B174" s="1278"/>
      <c r="C174" s="969"/>
      <c r="D174" s="969"/>
      <c r="E174" s="969"/>
      <c r="F174" s="969"/>
      <c r="G174" s="969"/>
      <c r="H174" s="969"/>
      <c r="I174" s="969"/>
      <c r="J174" s="969"/>
      <c r="K174" s="969"/>
      <c r="L174" s="969"/>
    </row>
    <row r="175">
      <c r="A175" s="969"/>
      <c r="B175" s="1278"/>
      <c r="C175" s="969"/>
      <c r="D175" s="969"/>
      <c r="E175" s="969"/>
      <c r="F175" s="969"/>
      <c r="G175" s="969"/>
      <c r="H175" s="969"/>
      <c r="I175" s="969"/>
      <c r="J175" s="969"/>
      <c r="K175" s="969"/>
      <c r="L175" s="969"/>
    </row>
    <row r="176">
      <c r="A176" s="969"/>
      <c r="B176" s="1278"/>
      <c r="C176" s="969"/>
      <c r="D176" s="969"/>
      <c r="E176" s="969"/>
      <c r="F176" s="969"/>
      <c r="G176" s="969"/>
      <c r="H176" s="969"/>
      <c r="I176" s="969"/>
      <c r="J176" s="969"/>
      <c r="K176" s="969"/>
      <c r="L176" s="969"/>
    </row>
    <row r="177">
      <c r="A177" s="969"/>
      <c r="B177" s="1278"/>
      <c r="C177" s="969"/>
      <c r="D177" s="969"/>
      <c r="E177" s="969"/>
      <c r="F177" s="969"/>
      <c r="G177" s="969"/>
      <c r="H177" s="969"/>
      <c r="I177" s="969"/>
      <c r="J177" s="969"/>
      <c r="K177" s="969"/>
      <c r="L177" s="969"/>
    </row>
    <row r="178">
      <c r="A178" s="969"/>
      <c r="B178" s="1278"/>
      <c r="C178" s="969"/>
      <c r="D178" s="969"/>
      <c r="E178" s="969"/>
      <c r="F178" s="969"/>
      <c r="G178" s="969"/>
      <c r="H178" s="969"/>
      <c r="I178" s="969"/>
      <c r="J178" s="969"/>
      <c r="K178" s="969"/>
      <c r="L178" s="969"/>
    </row>
    <row r="179">
      <c r="A179" s="969"/>
      <c r="B179" s="1278"/>
      <c r="C179" s="969"/>
      <c r="D179" s="969"/>
      <c r="E179" s="969"/>
      <c r="F179" s="969"/>
      <c r="G179" s="969"/>
      <c r="H179" s="969"/>
      <c r="I179" s="969"/>
      <c r="J179" s="969"/>
      <c r="K179" s="969"/>
      <c r="L179" s="969"/>
    </row>
    <row r="180">
      <c r="A180" s="969"/>
      <c r="B180" s="1278"/>
      <c r="C180" s="969"/>
      <c r="D180" s="969"/>
      <c r="E180" s="969"/>
      <c r="F180" s="969"/>
      <c r="G180" s="969"/>
      <c r="H180" s="969"/>
      <c r="I180" s="969"/>
      <c r="J180" s="969"/>
      <c r="K180" s="969"/>
      <c r="L180" s="969"/>
    </row>
    <row r="181">
      <c r="A181" s="969"/>
      <c r="B181" s="1278"/>
      <c r="C181" s="969"/>
      <c r="D181" s="969"/>
      <c r="E181" s="969"/>
      <c r="F181" s="969"/>
      <c r="G181" s="969"/>
      <c r="H181" s="969"/>
      <c r="I181" s="969"/>
      <c r="J181" s="969"/>
      <c r="K181" s="969"/>
      <c r="L181" s="969"/>
    </row>
    <row r="182">
      <c r="A182" s="969"/>
      <c r="B182" s="1278"/>
      <c r="C182" s="969"/>
      <c r="D182" s="969"/>
      <c r="E182" s="969"/>
      <c r="F182" s="969"/>
      <c r="G182" s="969"/>
      <c r="H182" s="969"/>
      <c r="I182" s="969"/>
      <c r="J182" s="969"/>
      <c r="K182" s="969"/>
      <c r="L182" s="969"/>
    </row>
    <row r="183">
      <c r="A183" s="969"/>
      <c r="B183" s="1278"/>
      <c r="C183" s="969"/>
      <c r="D183" s="969"/>
      <c r="E183" s="969"/>
      <c r="F183" s="969"/>
      <c r="G183" s="969"/>
      <c r="H183" s="969"/>
      <c r="I183" s="969"/>
      <c r="J183" s="969"/>
      <c r="K183" s="969"/>
      <c r="L183" s="969"/>
    </row>
    <row r="184">
      <c r="A184" s="969"/>
      <c r="B184" s="1278"/>
      <c r="C184" s="969"/>
      <c r="D184" s="969"/>
      <c r="E184" s="969"/>
      <c r="F184" s="969"/>
      <c r="G184" s="969"/>
      <c r="H184" s="969"/>
      <c r="I184" s="969"/>
      <c r="J184" s="969"/>
      <c r="K184" s="969"/>
      <c r="L184" s="969"/>
    </row>
    <row r="185">
      <c r="A185" s="969"/>
      <c r="B185" s="1278"/>
      <c r="C185" s="969"/>
      <c r="D185" s="969"/>
      <c r="E185" s="969"/>
      <c r="F185" s="969"/>
      <c r="G185" s="969"/>
      <c r="H185" s="969"/>
      <c r="I185" s="969"/>
      <c r="J185" s="969"/>
      <c r="K185" s="969"/>
      <c r="L185" s="969"/>
    </row>
    <row r="186">
      <c r="A186" s="969"/>
      <c r="B186" s="1278"/>
      <c r="C186" s="969"/>
      <c r="D186" s="969"/>
      <c r="E186" s="969"/>
      <c r="F186" s="969"/>
      <c r="G186" s="969"/>
      <c r="H186" s="969"/>
      <c r="I186" s="969"/>
      <c r="J186" s="969"/>
      <c r="K186" s="969"/>
      <c r="L186" s="969"/>
    </row>
    <row r="187">
      <c r="A187" s="969"/>
      <c r="B187" s="1278"/>
      <c r="C187" s="969"/>
      <c r="D187" s="969"/>
      <c r="E187" s="969"/>
      <c r="F187" s="969"/>
      <c r="G187" s="969"/>
      <c r="H187" s="969"/>
      <c r="I187" s="969"/>
      <c r="J187" s="969"/>
      <c r="K187" s="969"/>
      <c r="L187" s="969"/>
    </row>
    <row r="188">
      <c r="A188" s="969"/>
      <c r="B188" s="1278"/>
      <c r="C188" s="969"/>
      <c r="D188" s="969"/>
      <c r="E188" s="969"/>
      <c r="F188" s="969"/>
      <c r="G188" s="969"/>
      <c r="H188" s="969"/>
      <c r="I188" s="969"/>
      <c r="J188" s="969"/>
      <c r="K188" s="969"/>
      <c r="L188" s="969"/>
    </row>
    <row r="189">
      <c r="A189" s="969"/>
      <c r="B189" s="1278"/>
      <c r="C189" s="969"/>
      <c r="D189" s="969"/>
      <c r="E189" s="969"/>
      <c r="F189" s="969"/>
      <c r="G189" s="969"/>
      <c r="H189" s="969"/>
      <c r="I189" s="969"/>
      <c r="J189" s="969"/>
      <c r="K189" s="969"/>
      <c r="L189" s="969"/>
    </row>
    <row r="190">
      <c r="A190" s="969"/>
      <c r="B190" s="1278"/>
      <c r="C190" s="969"/>
      <c r="D190" s="969"/>
      <c r="E190" s="969"/>
      <c r="F190" s="969"/>
      <c r="G190" s="969"/>
      <c r="H190" s="969"/>
      <c r="I190" s="969"/>
      <c r="J190" s="969"/>
      <c r="K190" s="969"/>
      <c r="L190" s="969"/>
    </row>
    <row r="191">
      <c r="A191" s="969"/>
      <c r="B191" s="1278"/>
      <c r="C191" s="969"/>
      <c r="D191" s="969"/>
      <c r="E191" s="969"/>
      <c r="F191" s="969"/>
      <c r="G191" s="969"/>
      <c r="H191" s="969"/>
      <c r="I191" s="969"/>
      <c r="J191" s="969"/>
      <c r="K191" s="969"/>
      <c r="L191" s="969"/>
    </row>
    <row r="192">
      <c r="A192" s="969"/>
      <c r="B192" s="1278"/>
      <c r="C192" s="969"/>
      <c r="D192" s="969"/>
      <c r="E192" s="969"/>
      <c r="F192" s="969"/>
      <c r="G192" s="969"/>
      <c r="H192" s="969"/>
      <c r="I192" s="969"/>
      <c r="J192" s="969"/>
      <c r="K192" s="969"/>
      <c r="L192" s="969"/>
    </row>
    <row r="193">
      <c r="A193" s="969"/>
      <c r="B193" s="1278"/>
      <c r="C193" s="969"/>
      <c r="D193" s="969"/>
      <c r="E193" s="969"/>
      <c r="F193" s="969"/>
      <c r="G193" s="969"/>
      <c r="H193" s="969"/>
      <c r="I193" s="969"/>
      <c r="J193" s="969"/>
      <c r="K193" s="969"/>
      <c r="L193" s="969"/>
    </row>
    <row r="194">
      <c r="A194" s="969"/>
      <c r="B194" s="1278"/>
      <c r="C194" s="969"/>
      <c r="D194" s="969"/>
      <c r="E194" s="969"/>
      <c r="F194" s="969"/>
      <c r="G194" s="969"/>
      <c r="H194" s="969"/>
      <c r="I194" s="969"/>
      <c r="J194" s="969"/>
      <c r="K194" s="969"/>
      <c r="L194" s="969"/>
    </row>
    <row r="195">
      <c r="A195" s="969"/>
      <c r="B195" s="1278"/>
      <c r="C195" s="969"/>
      <c r="D195" s="969"/>
      <c r="E195" s="969"/>
      <c r="F195" s="969"/>
      <c r="G195" s="969"/>
      <c r="H195" s="969"/>
      <c r="I195" s="969"/>
      <c r="J195" s="969"/>
      <c r="K195" s="969"/>
      <c r="L195" s="969"/>
    </row>
    <row r="196">
      <c r="A196" s="969"/>
      <c r="B196" s="1278"/>
      <c r="C196" s="969"/>
      <c r="D196" s="969"/>
      <c r="E196" s="969"/>
      <c r="F196" s="969"/>
      <c r="G196" s="969"/>
      <c r="H196" s="969"/>
      <c r="I196" s="969"/>
      <c r="J196" s="969"/>
      <c r="K196" s="969"/>
      <c r="L196" s="969"/>
    </row>
    <row r="197">
      <c r="A197" s="969"/>
      <c r="B197" s="1278"/>
      <c r="C197" s="969"/>
      <c r="D197" s="969"/>
      <c r="E197" s="969"/>
      <c r="F197" s="969"/>
      <c r="G197" s="969"/>
      <c r="H197" s="969"/>
      <c r="I197" s="969"/>
      <c r="J197" s="969"/>
      <c r="K197" s="969"/>
      <c r="L197" s="969"/>
    </row>
    <row r="198">
      <c r="A198" s="969"/>
      <c r="B198" s="1278"/>
      <c r="C198" s="969"/>
      <c r="D198" s="969"/>
      <c r="E198" s="969"/>
      <c r="F198" s="969"/>
      <c r="G198" s="969"/>
      <c r="H198" s="969"/>
      <c r="I198" s="969"/>
      <c r="J198" s="969"/>
      <c r="K198" s="969"/>
      <c r="L198" s="969"/>
    </row>
    <row r="199">
      <c r="A199" s="969"/>
      <c r="B199" s="1278"/>
      <c r="C199" s="969"/>
      <c r="D199" s="969"/>
      <c r="E199" s="969"/>
      <c r="F199" s="969"/>
      <c r="G199" s="969"/>
      <c r="H199" s="969"/>
      <c r="I199" s="969"/>
      <c r="J199" s="969"/>
      <c r="K199" s="969"/>
      <c r="L199" s="969"/>
    </row>
    <row r="200">
      <c r="A200" s="969"/>
      <c r="B200" s="1278"/>
      <c r="C200" s="969"/>
      <c r="D200" s="969"/>
      <c r="E200" s="969"/>
      <c r="F200" s="969"/>
      <c r="G200" s="969"/>
      <c r="H200" s="969"/>
      <c r="I200" s="969"/>
      <c r="J200" s="969"/>
      <c r="K200" s="969"/>
      <c r="L200" s="969"/>
    </row>
    <row r="201">
      <c r="A201" s="969"/>
      <c r="B201" s="1278"/>
      <c r="C201" s="969"/>
      <c r="D201" s="969"/>
      <c r="E201" s="969"/>
      <c r="F201" s="969"/>
      <c r="G201" s="969"/>
      <c r="H201" s="969"/>
      <c r="I201" s="969"/>
      <c r="J201" s="969"/>
      <c r="K201" s="969"/>
      <c r="L201" s="969"/>
    </row>
    <row r="202">
      <c r="A202" s="969"/>
      <c r="B202" s="1278"/>
      <c r="C202" s="969"/>
      <c r="D202" s="969"/>
      <c r="E202" s="969"/>
      <c r="F202" s="969"/>
      <c r="G202" s="969"/>
      <c r="H202" s="969"/>
      <c r="I202" s="969"/>
      <c r="J202" s="969"/>
      <c r="K202" s="969"/>
      <c r="L202" s="969"/>
    </row>
    <row r="203">
      <c r="A203" s="969"/>
      <c r="B203" s="1278"/>
      <c r="C203" s="969"/>
      <c r="D203" s="969"/>
      <c r="E203" s="969"/>
      <c r="F203" s="969"/>
      <c r="G203" s="969"/>
      <c r="H203" s="969"/>
      <c r="I203" s="969"/>
      <c r="J203" s="969"/>
      <c r="K203" s="969"/>
      <c r="L203" s="969"/>
    </row>
    <row r="204">
      <c r="A204" s="969"/>
      <c r="B204" s="1278"/>
      <c r="C204" s="969"/>
      <c r="D204" s="969"/>
      <c r="E204" s="969"/>
      <c r="F204" s="969"/>
      <c r="G204" s="969"/>
      <c r="H204" s="969"/>
      <c r="I204" s="969"/>
      <c r="J204" s="969"/>
      <c r="K204" s="969"/>
      <c r="L204" s="969"/>
    </row>
    <row r="205">
      <c r="A205" s="969"/>
      <c r="B205" s="1278"/>
      <c r="C205" s="969"/>
      <c r="D205" s="969"/>
      <c r="E205" s="969"/>
      <c r="F205" s="969"/>
      <c r="G205" s="969"/>
      <c r="H205" s="969"/>
      <c r="I205" s="969"/>
      <c r="J205" s="969"/>
      <c r="K205" s="969"/>
      <c r="L205" s="969"/>
    </row>
    <row r="206">
      <c r="A206" s="969"/>
      <c r="B206" s="1278"/>
      <c r="C206" s="969"/>
      <c r="D206" s="969"/>
      <c r="E206" s="969"/>
      <c r="F206" s="969"/>
      <c r="G206" s="969"/>
      <c r="H206" s="969"/>
      <c r="I206" s="969"/>
      <c r="J206" s="969"/>
      <c r="K206" s="969"/>
      <c r="L206" s="969"/>
    </row>
    <row r="207">
      <c r="A207" s="969"/>
      <c r="B207" s="1278"/>
      <c r="C207" s="969"/>
      <c r="D207" s="969"/>
      <c r="E207" s="969"/>
      <c r="F207" s="969"/>
      <c r="G207" s="969"/>
      <c r="H207" s="969"/>
      <c r="I207" s="969"/>
      <c r="J207" s="969"/>
      <c r="K207" s="969"/>
      <c r="L207" s="969"/>
    </row>
    <row r="208">
      <c r="A208" s="969"/>
      <c r="B208" s="1278"/>
      <c r="C208" s="969"/>
      <c r="D208" s="969"/>
      <c r="E208" s="969"/>
      <c r="F208" s="969"/>
      <c r="G208" s="969"/>
      <c r="H208" s="969"/>
      <c r="I208" s="969"/>
      <c r="J208" s="969"/>
      <c r="K208" s="969"/>
      <c r="L208" s="969"/>
    </row>
    <row r="209">
      <c r="A209" s="969"/>
      <c r="B209" s="1278"/>
      <c r="C209" s="969"/>
      <c r="D209" s="969"/>
      <c r="E209" s="969"/>
      <c r="F209" s="969"/>
      <c r="G209" s="969"/>
      <c r="H209" s="969"/>
      <c r="I209" s="969"/>
      <c r="J209" s="969"/>
      <c r="K209" s="969"/>
      <c r="L209" s="969"/>
    </row>
    <row r="210">
      <c r="A210" s="969"/>
      <c r="B210" s="1278"/>
      <c r="C210" s="969"/>
      <c r="D210" s="969"/>
      <c r="E210" s="969"/>
      <c r="F210" s="969"/>
      <c r="G210" s="969"/>
      <c r="H210" s="969"/>
      <c r="I210" s="969"/>
      <c r="J210" s="969"/>
      <c r="K210" s="969"/>
      <c r="L210" s="969"/>
    </row>
    <row r="211">
      <c r="A211" s="969"/>
      <c r="B211" s="1278"/>
      <c r="C211" s="969"/>
      <c r="D211" s="969"/>
      <c r="E211" s="969"/>
      <c r="F211" s="969"/>
      <c r="G211" s="969"/>
      <c r="H211" s="969"/>
      <c r="I211" s="969"/>
      <c r="J211" s="969"/>
      <c r="K211" s="969"/>
      <c r="L211" s="969"/>
    </row>
    <row r="212">
      <c r="A212" s="969"/>
      <c r="B212" s="1278"/>
      <c r="C212" s="969"/>
      <c r="D212" s="969"/>
      <c r="E212" s="969"/>
      <c r="F212" s="969"/>
      <c r="G212" s="969"/>
      <c r="H212" s="969"/>
      <c r="I212" s="969"/>
      <c r="J212" s="969"/>
      <c r="K212" s="969"/>
      <c r="L212" s="969"/>
    </row>
    <row r="213">
      <c r="A213" s="969"/>
      <c r="B213" s="1278"/>
      <c r="C213" s="969"/>
      <c r="D213" s="969"/>
      <c r="E213" s="969"/>
      <c r="F213" s="969"/>
      <c r="G213" s="969"/>
      <c r="H213" s="969"/>
      <c r="I213" s="969"/>
      <c r="J213" s="969"/>
      <c r="K213" s="969"/>
      <c r="L213" s="969"/>
    </row>
    <row r="214">
      <c r="A214" s="969"/>
      <c r="B214" s="1278"/>
      <c r="C214" s="969"/>
      <c r="D214" s="969"/>
      <c r="E214" s="969"/>
      <c r="F214" s="969"/>
      <c r="G214" s="969"/>
      <c r="H214" s="969"/>
      <c r="I214" s="969"/>
      <c r="J214" s="969"/>
      <c r="K214" s="969"/>
      <c r="L214" s="969"/>
    </row>
    <row r="215">
      <c r="A215" s="969"/>
      <c r="B215" s="1278"/>
      <c r="C215" s="969"/>
      <c r="D215" s="969"/>
      <c r="E215" s="969"/>
      <c r="F215" s="969"/>
      <c r="G215" s="969"/>
      <c r="H215" s="969"/>
      <c r="I215" s="969"/>
      <c r="J215" s="969"/>
      <c r="K215" s="969"/>
      <c r="L215" s="969"/>
    </row>
    <row r="216">
      <c r="A216" s="969"/>
      <c r="B216" s="1278"/>
      <c r="C216" s="969"/>
      <c r="D216" s="969"/>
      <c r="E216" s="969"/>
      <c r="F216" s="969"/>
      <c r="G216" s="969"/>
      <c r="H216" s="969"/>
      <c r="I216" s="969"/>
      <c r="J216" s="969"/>
      <c r="K216" s="969"/>
      <c r="L216" s="969"/>
    </row>
    <row r="217">
      <c r="A217" s="969"/>
      <c r="B217" s="1278"/>
      <c r="C217" s="969"/>
      <c r="D217" s="969"/>
      <c r="E217" s="969"/>
      <c r="F217" s="969"/>
      <c r="G217" s="969"/>
      <c r="H217" s="969"/>
      <c r="I217" s="969"/>
      <c r="J217" s="969"/>
      <c r="K217" s="969"/>
      <c r="L217" s="969"/>
    </row>
    <row r="218">
      <c r="A218" s="969"/>
      <c r="B218" s="1278"/>
      <c r="C218" s="969"/>
      <c r="D218" s="969"/>
      <c r="E218" s="969"/>
      <c r="F218" s="969"/>
      <c r="G218" s="969"/>
      <c r="H218" s="969"/>
      <c r="I218" s="969"/>
      <c r="J218" s="969"/>
      <c r="K218" s="969"/>
      <c r="L218" s="969"/>
    </row>
    <row r="219">
      <c r="A219" s="969"/>
      <c r="B219" s="1278"/>
      <c r="C219" s="969"/>
      <c r="D219" s="969"/>
      <c r="E219" s="969"/>
      <c r="F219" s="969"/>
      <c r="G219" s="969"/>
      <c r="H219" s="969"/>
      <c r="I219" s="969"/>
      <c r="J219" s="969"/>
      <c r="K219" s="969"/>
      <c r="L219" s="969"/>
    </row>
    <row r="220">
      <c r="A220" s="969"/>
      <c r="B220" s="1278"/>
      <c r="C220" s="969"/>
      <c r="D220" s="969"/>
      <c r="E220" s="969"/>
      <c r="F220" s="969"/>
      <c r="G220" s="969"/>
      <c r="H220" s="969"/>
      <c r="I220" s="969"/>
      <c r="J220" s="969"/>
      <c r="K220" s="969"/>
      <c r="L220" s="969"/>
    </row>
    <row r="221">
      <c r="A221" s="969"/>
      <c r="B221" s="1278"/>
      <c r="C221" s="969"/>
      <c r="D221" s="969"/>
      <c r="E221" s="969"/>
      <c r="F221" s="969"/>
      <c r="G221" s="969"/>
      <c r="H221" s="969"/>
      <c r="I221" s="969"/>
      <c r="J221" s="969"/>
      <c r="K221" s="969"/>
      <c r="L221" s="969"/>
    </row>
    <row r="222">
      <c r="A222" s="969"/>
      <c r="B222" s="1278"/>
      <c r="C222" s="969"/>
      <c r="D222" s="969"/>
      <c r="E222" s="969"/>
      <c r="F222" s="969"/>
      <c r="G222" s="969"/>
      <c r="H222" s="969"/>
      <c r="I222" s="969"/>
      <c r="J222" s="969"/>
      <c r="K222" s="969"/>
      <c r="L222" s="969"/>
    </row>
    <row r="223">
      <c r="A223" s="969"/>
      <c r="B223" s="1278"/>
      <c r="C223" s="969"/>
      <c r="D223" s="969"/>
      <c r="E223" s="969"/>
      <c r="F223" s="969"/>
      <c r="G223" s="969"/>
      <c r="H223" s="969"/>
      <c r="I223" s="969"/>
      <c r="J223" s="969"/>
      <c r="K223" s="969"/>
      <c r="L223" s="969"/>
    </row>
    <row r="224">
      <c r="A224" s="969"/>
      <c r="B224" s="1278"/>
      <c r="C224" s="969"/>
      <c r="D224" s="969"/>
      <c r="E224" s="969"/>
      <c r="F224" s="969"/>
      <c r="G224" s="969"/>
      <c r="H224" s="969"/>
      <c r="I224" s="969"/>
      <c r="J224" s="969"/>
      <c r="K224" s="969"/>
      <c r="L224" s="969"/>
    </row>
    <row r="225">
      <c r="A225" s="969"/>
      <c r="B225" s="1278"/>
      <c r="C225" s="969"/>
      <c r="D225" s="969"/>
      <c r="E225" s="969"/>
      <c r="F225" s="969"/>
      <c r="G225" s="969"/>
      <c r="H225" s="969"/>
      <c r="I225" s="969"/>
      <c r="J225" s="969"/>
      <c r="K225" s="969"/>
      <c r="L225" s="969"/>
    </row>
    <row r="226">
      <c r="A226" s="969"/>
      <c r="B226" s="1278"/>
      <c r="C226" s="969"/>
      <c r="D226" s="969"/>
      <c r="E226" s="969"/>
      <c r="F226" s="969"/>
      <c r="G226" s="969"/>
      <c r="H226" s="969"/>
      <c r="I226" s="969"/>
      <c r="J226" s="969"/>
      <c r="K226" s="969"/>
      <c r="L226" s="969"/>
    </row>
    <row r="227">
      <c r="A227" s="969"/>
      <c r="B227" s="1278"/>
      <c r="C227" s="969"/>
      <c r="D227" s="969"/>
      <c r="E227" s="969"/>
      <c r="F227" s="969"/>
      <c r="G227" s="969"/>
      <c r="H227" s="969"/>
      <c r="I227" s="969"/>
      <c r="J227" s="969"/>
      <c r="K227" s="969"/>
      <c r="L227" s="969"/>
    </row>
    <row r="228">
      <c r="A228" s="969"/>
      <c r="B228" s="1278"/>
      <c r="C228" s="969"/>
      <c r="D228" s="969"/>
      <c r="E228" s="969"/>
      <c r="F228" s="969"/>
      <c r="G228" s="969"/>
      <c r="H228" s="969"/>
      <c r="I228" s="969"/>
      <c r="J228" s="969"/>
      <c r="K228" s="969"/>
      <c r="L228" s="969"/>
    </row>
    <row r="229">
      <c r="A229" s="969"/>
      <c r="B229" s="1278"/>
      <c r="C229" s="969"/>
      <c r="D229" s="969"/>
      <c r="E229" s="969"/>
      <c r="F229" s="969"/>
      <c r="G229" s="969"/>
      <c r="H229" s="969"/>
      <c r="I229" s="969"/>
      <c r="J229" s="969"/>
      <c r="K229" s="969"/>
      <c r="L229" s="969"/>
    </row>
    <row r="230">
      <c r="A230" s="969"/>
      <c r="B230" s="1278"/>
      <c r="C230" s="969"/>
      <c r="D230" s="969"/>
      <c r="E230" s="969"/>
      <c r="F230" s="969"/>
      <c r="G230" s="969"/>
      <c r="H230" s="969"/>
      <c r="I230" s="969"/>
      <c r="J230" s="969"/>
      <c r="K230" s="969"/>
      <c r="L230" s="969"/>
    </row>
    <row r="231">
      <c r="A231" s="969"/>
      <c r="B231" s="1278"/>
      <c r="C231" s="969"/>
      <c r="D231" s="969"/>
      <c r="E231" s="969"/>
      <c r="F231" s="969"/>
      <c r="G231" s="969"/>
      <c r="H231" s="969"/>
      <c r="I231" s="969"/>
      <c r="J231" s="969"/>
      <c r="K231" s="969"/>
      <c r="L231" s="969"/>
    </row>
    <row r="232">
      <c r="A232" s="969"/>
      <c r="B232" s="1278"/>
      <c r="C232" s="969"/>
      <c r="D232" s="969"/>
      <c r="E232" s="969"/>
      <c r="F232" s="969"/>
      <c r="G232" s="969"/>
      <c r="H232" s="969"/>
      <c r="I232" s="969"/>
      <c r="J232" s="969"/>
      <c r="K232" s="969"/>
      <c r="L232" s="969"/>
    </row>
    <row r="233">
      <c r="A233" s="969"/>
      <c r="B233" s="1278"/>
      <c r="C233" s="969"/>
      <c r="D233" s="969"/>
      <c r="E233" s="969"/>
      <c r="F233" s="969"/>
      <c r="G233" s="969"/>
      <c r="H233" s="969"/>
      <c r="I233" s="969"/>
      <c r="J233" s="969"/>
      <c r="K233" s="969"/>
      <c r="L233" s="969"/>
    </row>
    <row r="234">
      <c r="A234" s="969"/>
      <c r="B234" s="1278"/>
      <c r="C234" s="969"/>
      <c r="D234" s="969"/>
      <c r="E234" s="969"/>
      <c r="F234" s="969"/>
      <c r="G234" s="969"/>
      <c r="H234" s="969"/>
      <c r="I234" s="969"/>
      <c r="J234" s="969"/>
      <c r="K234" s="969"/>
      <c r="L234" s="969"/>
    </row>
    <row r="235">
      <c r="A235" s="969"/>
      <c r="B235" s="1278"/>
      <c r="C235" s="969"/>
      <c r="D235" s="969"/>
      <c r="E235" s="969"/>
      <c r="F235" s="969"/>
      <c r="G235" s="969"/>
      <c r="H235" s="969"/>
      <c r="I235" s="969"/>
      <c r="J235" s="969"/>
      <c r="K235" s="969"/>
      <c r="L235" s="969"/>
    </row>
    <row r="236">
      <c r="A236" s="969"/>
      <c r="B236" s="1278"/>
      <c r="C236" s="969"/>
      <c r="D236" s="969"/>
      <c r="E236" s="969"/>
      <c r="F236" s="969"/>
      <c r="G236" s="969"/>
      <c r="H236" s="969"/>
      <c r="I236" s="969"/>
      <c r="J236" s="969"/>
      <c r="K236" s="969"/>
      <c r="L236" s="969"/>
    </row>
    <row r="237">
      <c r="A237" s="969"/>
      <c r="B237" s="1278"/>
      <c r="C237" s="969"/>
      <c r="D237" s="969"/>
      <c r="E237" s="969"/>
      <c r="F237" s="969"/>
      <c r="G237" s="969"/>
      <c r="H237" s="969"/>
      <c r="I237" s="969"/>
      <c r="J237" s="969"/>
      <c r="K237" s="969"/>
      <c r="L237" s="969"/>
    </row>
    <row r="238">
      <c r="A238" s="969"/>
      <c r="B238" s="1278"/>
      <c r="C238" s="969"/>
      <c r="D238" s="969"/>
      <c r="E238" s="969"/>
      <c r="F238" s="969"/>
      <c r="G238" s="969"/>
      <c r="H238" s="969"/>
      <c r="I238" s="969"/>
      <c r="J238" s="969"/>
      <c r="K238" s="969"/>
      <c r="L238" s="969"/>
    </row>
    <row r="239">
      <c r="A239" s="969"/>
      <c r="B239" s="1278"/>
      <c r="C239" s="969"/>
      <c r="D239" s="969"/>
      <c r="E239" s="969"/>
      <c r="F239" s="969"/>
      <c r="G239" s="969"/>
      <c r="H239" s="969"/>
      <c r="I239" s="969"/>
      <c r="J239" s="969"/>
      <c r="K239" s="969"/>
      <c r="L239" s="969"/>
    </row>
    <row r="240">
      <c r="A240" s="969"/>
      <c r="B240" s="1278"/>
      <c r="C240" s="969"/>
      <c r="D240" s="969"/>
      <c r="E240" s="969"/>
      <c r="F240" s="969"/>
      <c r="G240" s="969"/>
      <c r="H240" s="969"/>
      <c r="I240" s="969"/>
      <c r="J240" s="969"/>
      <c r="K240" s="969"/>
      <c r="L240" s="969"/>
    </row>
    <row r="241">
      <c r="A241" s="969"/>
      <c r="B241" s="1278"/>
      <c r="C241" s="969"/>
      <c r="D241" s="969"/>
      <c r="E241" s="969"/>
      <c r="F241" s="969"/>
      <c r="G241" s="969"/>
      <c r="H241" s="969"/>
      <c r="I241" s="969"/>
      <c r="J241" s="969"/>
      <c r="K241" s="969"/>
      <c r="L241" s="969"/>
    </row>
    <row r="242">
      <c r="A242" s="969"/>
      <c r="B242" s="1278"/>
      <c r="C242" s="969"/>
      <c r="D242" s="969"/>
      <c r="E242" s="969"/>
      <c r="F242" s="969"/>
      <c r="G242" s="969"/>
      <c r="H242" s="969"/>
      <c r="I242" s="969"/>
      <c r="J242" s="969"/>
      <c r="K242" s="969"/>
      <c r="L242" s="969"/>
    </row>
    <row r="243">
      <c r="A243" s="969"/>
      <c r="B243" s="1278"/>
      <c r="C243" s="969"/>
      <c r="D243" s="969"/>
      <c r="E243" s="969"/>
      <c r="F243" s="969"/>
      <c r="G243" s="969"/>
      <c r="H243" s="969"/>
      <c r="I243" s="969"/>
      <c r="J243" s="969"/>
      <c r="K243" s="969"/>
      <c r="L243" s="969"/>
    </row>
    <row r="244">
      <c r="A244" s="969"/>
      <c r="B244" s="1278"/>
      <c r="C244" s="969"/>
      <c r="D244" s="969"/>
      <c r="E244" s="969"/>
      <c r="F244" s="969"/>
      <c r="G244" s="969"/>
      <c r="H244" s="969"/>
      <c r="I244" s="969"/>
      <c r="J244" s="969"/>
      <c r="K244" s="969"/>
      <c r="L244" s="969"/>
    </row>
    <row r="245">
      <c r="A245" s="969"/>
      <c r="B245" s="1278"/>
      <c r="C245" s="969"/>
      <c r="D245" s="969"/>
      <c r="E245" s="969"/>
      <c r="F245" s="969"/>
      <c r="G245" s="969"/>
      <c r="H245" s="969"/>
      <c r="I245" s="969"/>
      <c r="J245" s="969"/>
      <c r="K245" s="969"/>
      <c r="L245" s="969"/>
    </row>
    <row r="246">
      <c r="A246" s="969"/>
      <c r="B246" s="1278"/>
      <c r="C246" s="969"/>
      <c r="D246" s="969"/>
      <c r="E246" s="969"/>
      <c r="F246" s="969"/>
      <c r="G246" s="969"/>
      <c r="H246" s="969"/>
      <c r="I246" s="969"/>
      <c r="J246" s="969"/>
      <c r="K246" s="969"/>
      <c r="L246" s="969"/>
    </row>
    <row r="247">
      <c r="A247" s="969"/>
      <c r="B247" s="1278"/>
      <c r="C247" s="969"/>
      <c r="D247" s="969"/>
      <c r="E247" s="969"/>
      <c r="F247" s="969"/>
      <c r="G247" s="969"/>
      <c r="H247" s="969"/>
      <c r="I247" s="969"/>
      <c r="J247" s="969"/>
      <c r="K247" s="969"/>
      <c r="L247" s="969"/>
    </row>
    <row r="248">
      <c r="A248" s="969"/>
      <c r="B248" s="1278"/>
      <c r="C248" s="969"/>
      <c r="D248" s="969"/>
      <c r="E248" s="969"/>
      <c r="F248" s="969"/>
      <c r="G248" s="969"/>
      <c r="H248" s="969"/>
      <c r="I248" s="969"/>
      <c r="J248" s="969"/>
      <c r="K248" s="969"/>
      <c r="L248" s="969"/>
    </row>
    <row r="249">
      <c r="A249" s="969"/>
      <c r="B249" s="1278"/>
      <c r="C249" s="969"/>
      <c r="D249" s="969"/>
      <c r="E249" s="969"/>
      <c r="F249" s="969"/>
      <c r="G249" s="969"/>
      <c r="H249" s="969"/>
      <c r="I249" s="969"/>
      <c r="J249" s="969"/>
      <c r="K249" s="969"/>
      <c r="L249" s="969"/>
    </row>
    <row r="250">
      <c r="A250" s="969"/>
      <c r="B250" s="1278"/>
      <c r="C250" s="969"/>
      <c r="D250" s="969"/>
      <c r="E250" s="969"/>
      <c r="F250" s="969"/>
      <c r="G250" s="969"/>
      <c r="H250" s="969"/>
      <c r="I250" s="969"/>
      <c r="J250" s="969"/>
      <c r="K250" s="969"/>
      <c r="L250" s="969"/>
    </row>
    <row r="251">
      <c r="A251" s="969"/>
      <c r="B251" s="1278"/>
      <c r="C251" s="969"/>
      <c r="D251" s="969"/>
      <c r="E251" s="969"/>
      <c r="F251" s="969"/>
      <c r="G251" s="969"/>
      <c r="H251" s="969"/>
      <c r="I251" s="969"/>
      <c r="J251" s="969"/>
      <c r="K251" s="969"/>
      <c r="L251" s="969"/>
    </row>
    <row r="252">
      <c r="A252" s="969"/>
      <c r="B252" s="1278"/>
      <c r="C252" s="969"/>
      <c r="D252" s="969"/>
      <c r="E252" s="969"/>
      <c r="F252" s="969"/>
      <c r="G252" s="969"/>
      <c r="H252" s="969"/>
      <c r="I252" s="969"/>
      <c r="J252" s="969"/>
      <c r="K252" s="969"/>
      <c r="L252" s="969"/>
    </row>
    <row r="253">
      <c r="A253" s="969"/>
      <c r="B253" s="1278"/>
      <c r="C253" s="969"/>
      <c r="D253" s="969"/>
      <c r="E253" s="969"/>
      <c r="F253" s="969"/>
      <c r="G253" s="969"/>
      <c r="H253" s="969"/>
      <c r="I253" s="969"/>
      <c r="J253" s="969"/>
      <c r="K253" s="969"/>
      <c r="L253" s="969"/>
    </row>
    <row r="254">
      <c r="A254" s="969"/>
      <c r="B254" s="1278"/>
      <c r="C254" s="969"/>
      <c r="D254" s="969"/>
      <c r="E254" s="969"/>
      <c r="F254" s="969"/>
      <c r="G254" s="969"/>
      <c r="H254" s="969"/>
      <c r="I254" s="969"/>
      <c r="J254" s="969"/>
      <c r="K254" s="969"/>
      <c r="L254" s="969"/>
    </row>
    <row r="255">
      <c r="A255" s="969"/>
      <c r="B255" s="1278"/>
      <c r="C255" s="969"/>
      <c r="D255" s="969"/>
      <c r="E255" s="969"/>
      <c r="F255" s="969"/>
      <c r="G255" s="969"/>
      <c r="H255" s="969"/>
      <c r="I255" s="969"/>
      <c r="J255" s="969"/>
      <c r="K255" s="969"/>
      <c r="L255" s="969"/>
    </row>
    <row r="256">
      <c r="A256" s="969"/>
      <c r="B256" s="1278"/>
      <c r="C256" s="969"/>
      <c r="D256" s="969"/>
      <c r="E256" s="969"/>
      <c r="F256" s="969"/>
      <c r="G256" s="969"/>
      <c r="H256" s="969"/>
      <c r="I256" s="969"/>
      <c r="J256" s="969"/>
      <c r="K256" s="969"/>
      <c r="L256" s="969"/>
    </row>
    <row r="257">
      <c r="A257" s="969"/>
      <c r="B257" s="1278"/>
      <c r="C257" s="969"/>
      <c r="D257" s="969"/>
      <c r="E257" s="969"/>
      <c r="F257" s="969"/>
      <c r="G257" s="969"/>
      <c r="H257" s="969"/>
      <c r="I257" s="969"/>
      <c r="J257" s="969"/>
      <c r="K257" s="969"/>
      <c r="L257" s="969"/>
    </row>
    <row r="258">
      <c r="A258" s="969"/>
      <c r="B258" s="1278"/>
      <c r="C258" s="969"/>
      <c r="D258" s="969"/>
      <c r="E258" s="969"/>
      <c r="F258" s="969"/>
      <c r="G258" s="969"/>
      <c r="H258" s="969"/>
      <c r="I258" s="969"/>
      <c r="J258" s="969"/>
      <c r="K258" s="969"/>
      <c r="L258" s="969"/>
    </row>
    <row r="259">
      <c r="A259" s="969"/>
      <c r="B259" s="1278"/>
      <c r="C259" s="969"/>
      <c r="D259" s="969"/>
      <c r="E259" s="969"/>
      <c r="F259" s="969"/>
      <c r="G259" s="969"/>
      <c r="H259" s="969"/>
      <c r="I259" s="969"/>
      <c r="J259" s="969"/>
      <c r="K259" s="969"/>
      <c r="L259" s="969"/>
    </row>
    <row r="260">
      <c r="A260" s="969"/>
      <c r="B260" s="1278"/>
      <c r="C260" s="969"/>
      <c r="D260" s="969"/>
      <c r="E260" s="969"/>
      <c r="F260" s="969"/>
      <c r="G260" s="969"/>
      <c r="H260" s="969"/>
      <c r="I260" s="969"/>
      <c r="J260" s="969"/>
      <c r="K260" s="969"/>
      <c r="L260" s="969"/>
    </row>
    <row r="261">
      <c r="A261" s="969"/>
      <c r="B261" s="1278"/>
      <c r="C261" s="969"/>
      <c r="D261" s="969"/>
      <c r="E261" s="969"/>
      <c r="F261" s="969"/>
      <c r="G261" s="969"/>
      <c r="H261" s="969"/>
      <c r="I261" s="969"/>
      <c r="J261" s="969"/>
      <c r="K261" s="969"/>
      <c r="L261" s="969"/>
    </row>
    <row r="262">
      <c r="A262" s="969"/>
      <c r="B262" s="1278"/>
      <c r="C262" s="969"/>
      <c r="D262" s="969"/>
      <c r="E262" s="969"/>
      <c r="F262" s="969"/>
      <c r="G262" s="969"/>
      <c r="H262" s="969"/>
      <c r="I262" s="969"/>
      <c r="J262" s="969"/>
      <c r="K262" s="969"/>
      <c r="L262" s="969"/>
    </row>
    <row r="263">
      <c r="A263" s="969"/>
      <c r="B263" s="1278"/>
      <c r="C263" s="969"/>
      <c r="D263" s="969"/>
      <c r="E263" s="969"/>
      <c r="F263" s="969"/>
      <c r="G263" s="969"/>
      <c r="H263" s="969"/>
      <c r="I263" s="969"/>
      <c r="J263" s="969"/>
      <c r="K263" s="969"/>
      <c r="L263" s="969"/>
    </row>
    <row r="264">
      <c r="A264" s="969"/>
      <c r="B264" s="1278"/>
      <c r="C264" s="969"/>
      <c r="D264" s="969"/>
      <c r="E264" s="969"/>
      <c r="F264" s="969"/>
      <c r="G264" s="969"/>
      <c r="H264" s="969"/>
      <c r="I264" s="969"/>
      <c r="J264" s="969"/>
      <c r="K264" s="969"/>
      <c r="L264" s="969"/>
    </row>
    <row r="265">
      <c r="A265" s="969"/>
      <c r="B265" s="1278"/>
      <c r="C265" s="969"/>
      <c r="D265" s="969"/>
      <c r="E265" s="969"/>
      <c r="F265" s="969"/>
      <c r="G265" s="969"/>
      <c r="H265" s="969"/>
      <c r="I265" s="969"/>
      <c r="J265" s="969"/>
      <c r="K265" s="969"/>
      <c r="L265" s="969"/>
    </row>
    <row r="266">
      <c r="A266" s="969"/>
      <c r="B266" s="1278"/>
      <c r="C266" s="969"/>
      <c r="D266" s="969"/>
      <c r="E266" s="969"/>
      <c r="F266" s="969"/>
      <c r="G266" s="969"/>
      <c r="H266" s="969"/>
      <c r="I266" s="969"/>
      <c r="J266" s="969"/>
      <c r="K266" s="969"/>
      <c r="L266" s="969"/>
    </row>
    <row r="267">
      <c r="A267" s="969"/>
      <c r="B267" s="1278"/>
      <c r="C267" s="969"/>
      <c r="D267" s="969"/>
      <c r="E267" s="969"/>
      <c r="F267" s="969"/>
      <c r="G267" s="969"/>
      <c r="H267" s="969"/>
      <c r="I267" s="969"/>
      <c r="J267" s="969"/>
      <c r="K267" s="969"/>
      <c r="L267" s="969"/>
    </row>
    <row r="268">
      <c r="A268" s="969"/>
      <c r="B268" s="1278"/>
      <c r="C268" s="969"/>
      <c r="D268" s="969"/>
      <c r="E268" s="969"/>
      <c r="F268" s="969"/>
      <c r="G268" s="969"/>
      <c r="H268" s="969"/>
      <c r="I268" s="969"/>
      <c r="J268" s="969"/>
      <c r="K268" s="969"/>
      <c r="L268" s="969"/>
    </row>
    <row r="269">
      <c r="A269" s="969"/>
      <c r="B269" s="1278"/>
      <c r="C269" s="969"/>
      <c r="D269" s="969"/>
      <c r="E269" s="969"/>
      <c r="F269" s="969"/>
      <c r="G269" s="969"/>
      <c r="H269" s="969"/>
      <c r="I269" s="969"/>
      <c r="J269" s="969"/>
      <c r="K269" s="969"/>
      <c r="L269" s="969"/>
    </row>
    <row r="270">
      <c r="A270" s="969"/>
      <c r="B270" s="1278"/>
      <c r="C270" s="969"/>
      <c r="D270" s="969"/>
      <c r="E270" s="969"/>
      <c r="F270" s="969"/>
      <c r="G270" s="969"/>
      <c r="H270" s="969"/>
      <c r="I270" s="969"/>
      <c r="J270" s="969"/>
      <c r="K270" s="969"/>
      <c r="L270" s="969"/>
    </row>
    <row r="271">
      <c r="A271" s="969"/>
      <c r="B271" s="1278"/>
      <c r="C271" s="969"/>
      <c r="D271" s="969"/>
      <c r="E271" s="969"/>
      <c r="F271" s="969"/>
      <c r="G271" s="969"/>
      <c r="H271" s="969"/>
      <c r="I271" s="969"/>
      <c r="J271" s="969"/>
      <c r="K271" s="969"/>
      <c r="L271" s="969"/>
    </row>
    <row r="272">
      <c r="A272" s="969"/>
      <c r="B272" s="1278"/>
      <c r="C272" s="969"/>
      <c r="D272" s="969"/>
      <c r="E272" s="969"/>
      <c r="F272" s="969"/>
      <c r="G272" s="969"/>
      <c r="H272" s="969"/>
      <c r="I272" s="969"/>
      <c r="J272" s="969"/>
      <c r="K272" s="969"/>
      <c r="L272" s="969"/>
    </row>
    <row r="273">
      <c r="A273" s="969"/>
      <c r="B273" s="1278"/>
      <c r="C273" s="969"/>
      <c r="D273" s="969"/>
      <c r="E273" s="969"/>
      <c r="F273" s="969"/>
      <c r="G273" s="969"/>
      <c r="H273" s="969"/>
      <c r="I273" s="969"/>
      <c r="J273" s="969"/>
      <c r="K273" s="969"/>
      <c r="L273" s="969"/>
    </row>
    <row r="274">
      <c r="A274" s="969"/>
      <c r="B274" s="1278"/>
      <c r="C274" s="969"/>
      <c r="D274" s="969"/>
      <c r="E274" s="969"/>
      <c r="F274" s="969"/>
      <c r="G274" s="969"/>
      <c r="H274" s="969"/>
      <c r="I274" s="969"/>
      <c r="J274" s="969"/>
      <c r="K274" s="969"/>
      <c r="L274" s="969"/>
    </row>
    <row r="275">
      <c r="A275" s="969"/>
      <c r="B275" s="1278"/>
      <c r="C275" s="969"/>
      <c r="D275" s="969"/>
      <c r="E275" s="969"/>
      <c r="F275" s="969"/>
      <c r="G275" s="969"/>
      <c r="H275" s="969"/>
      <c r="I275" s="969"/>
      <c r="J275" s="969"/>
      <c r="K275" s="969"/>
      <c r="L275" s="969"/>
    </row>
    <row r="276">
      <c r="A276" s="969"/>
      <c r="B276" s="1278"/>
      <c r="C276" s="969"/>
      <c r="D276" s="969"/>
      <c r="E276" s="969"/>
      <c r="F276" s="969"/>
      <c r="G276" s="969"/>
      <c r="H276" s="969"/>
      <c r="I276" s="969"/>
      <c r="J276" s="969"/>
      <c r="K276" s="969"/>
      <c r="L276" s="969"/>
    </row>
    <row r="277">
      <c r="A277" s="969"/>
      <c r="B277" s="1278"/>
      <c r="C277" s="969"/>
      <c r="D277" s="969"/>
      <c r="E277" s="969"/>
      <c r="F277" s="969"/>
      <c r="G277" s="969"/>
      <c r="H277" s="969"/>
      <c r="I277" s="969"/>
      <c r="J277" s="969"/>
      <c r="K277" s="969"/>
      <c r="L277" s="969"/>
    </row>
    <row r="278">
      <c r="A278" s="969"/>
      <c r="B278" s="1278"/>
      <c r="C278" s="969"/>
      <c r="D278" s="969"/>
      <c r="E278" s="969"/>
      <c r="F278" s="969"/>
      <c r="G278" s="969"/>
      <c r="H278" s="969"/>
      <c r="I278" s="969"/>
      <c r="J278" s="969"/>
      <c r="K278" s="969"/>
      <c r="L278" s="969"/>
    </row>
    <row r="279">
      <c r="A279" s="969"/>
      <c r="B279" s="1278"/>
      <c r="C279" s="969"/>
      <c r="D279" s="969"/>
      <c r="E279" s="969"/>
      <c r="F279" s="969"/>
      <c r="G279" s="969"/>
      <c r="H279" s="969"/>
      <c r="I279" s="969"/>
      <c r="J279" s="969"/>
      <c r="K279" s="969"/>
      <c r="L279" s="969"/>
    </row>
    <row r="280">
      <c r="A280" s="969"/>
      <c r="B280" s="1278"/>
      <c r="C280" s="969"/>
      <c r="D280" s="969"/>
      <c r="E280" s="969"/>
      <c r="F280" s="969"/>
      <c r="G280" s="969"/>
      <c r="H280" s="969"/>
      <c r="I280" s="969"/>
      <c r="J280" s="969"/>
      <c r="K280" s="969"/>
      <c r="L280" s="969"/>
    </row>
    <row r="281">
      <c r="A281" s="969"/>
      <c r="B281" s="1278"/>
      <c r="C281" s="969"/>
      <c r="D281" s="969"/>
      <c r="E281" s="969"/>
      <c r="F281" s="969"/>
      <c r="G281" s="969"/>
      <c r="H281" s="969"/>
      <c r="I281" s="969"/>
      <c r="J281" s="969"/>
      <c r="K281" s="969"/>
      <c r="L281" s="969"/>
    </row>
    <row r="282">
      <c r="A282" s="969"/>
      <c r="B282" s="1278"/>
      <c r="C282" s="969"/>
      <c r="D282" s="969"/>
      <c r="E282" s="969"/>
      <c r="F282" s="969"/>
      <c r="G282" s="969"/>
      <c r="H282" s="969"/>
      <c r="I282" s="969"/>
      <c r="J282" s="969"/>
      <c r="K282" s="969"/>
      <c r="L282" s="969"/>
    </row>
    <row r="283">
      <c r="A283" s="969"/>
      <c r="B283" s="1278"/>
      <c r="C283" s="969"/>
      <c r="D283" s="969"/>
      <c r="E283" s="969"/>
      <c r="F283" s="969"/>
      <c r="G283" s="969"/>
      <c r="H283" s="969"/>
      <c r="I283" s="969"/>
      <c r="J283" s="969"/>
      <c r="K283" s="969"/>
      <c r="L283" s="969"/>
    </row>
    <row r="284">
      <c r="A284" s="969"/>
      <c r="B284" s="1278"/>
      <c r="C284" s="969"/>
      <c r="D284" s="969"/>
      <c r="E284" s="969"/>
      <c r="F284" s="969"/>
      <c r="G284" s="969"/>
      <c r="H284" s="969"/>
      <c r="I284" s="969"/>
      <c r="J284" s="969"/>
      <c r="K284" s="969"/>
      <c r="L284" s="969"/>
    </row>
    <row r="285">
      <c r="A285" s="969"/>
      <c r="B285" s="1278"/>
      <c r="C285" s="969"/>
      <c r="D285" s="969"/>
      <c r="E285" s="969"/>
      <c r="F285" s="969"/>
      <c r="G285" s="969"/>
      <c r="H285" s="969"/>
      <c r="I285" s="969"/>
      <c r="J285" s="969"/>
      <c r="K285" s="969"/>
      <c r="L285" s="969"/>
    </row>
    <row r="286">
      <c r="A286" s="969"/>
      <c r="B286" s="1278"/>
      <c r="C286" s="969"/>
      <c r="D286" s="969"/>
      <c r="E286" s="969"/>
      <c r="F286" s="969"/>
      <c r="G286" s="969"/>
      <c r="H286" s="969"/>
      <c r="I286" s="969"/>
      <c r="J286" s="969"/>
      <c r="K286" s="969"/>
      <c r="L286" s="969"/>
    </row>
    <row r="287">
      <c r="A287" s="969"/>
      <c r="B287" s="1278"/>
      <c r="C287" s="969"/>
      <c r="D287" s="969"/>
      <c r="E287" s="969"/>
      <c r="F287" s="969"/>
      <c r="G287" s="969"/>
      <c r="H287" s="969"/>
      <c r="I287" s="969"/>
      <c r="J287" s="969"/>
      <c r="K287" s="969"/>
      <c r="L287" s="969"/>
    </row>
    <row r="288">
      <c r="A288" s="969"/>
      <c r="B288" s="1278"/>
      <c r="C288" s="969"/>
      <c r="D288" s="969"/>
      <c r="E288" s="969"/>
      <c r="F288" s="969"/>
      <c r="G288" s="969"/>
      <c r="H288" s="969"/>
      <c r="I288" s="969"/>
      <c r="J288" s="969"/>
      <c r="K288" s="969"/>
      <c r="L288" s="969"/>
    </row>
    <row r="289">
      <c r="A289" s="969"/>
      <c r="B289" s="1278"/>
      <c r="C289" s="969"/>
      <c r="D289" s="969"/>
      <c r="E289" s="969"/>
      <c r="F289" s="969"/>
      <c r="G289" s="969"/>
      <c r="H289" s="969"/>
      <c r="I289" s="969"/>
      <c r="J289" s="969"/>
      <c r="K289" s="969"/>
      <c r="L289" s="969"/>
    </row>
    <row r="290">
      <c r="A290" s="969"/>
      <c r="B290" s="1278"/>
      <c r="C290" s="969"/>
      <c r="D290" s="969"/>
      <c r="E290" s="969"/>
      <c r="F290" s="969"/>
      <c r="G290" s="969"/>
      <c r="H290" s="969"/>
      <c r="I290" s="969"/>
      <c r="J290" s="969"/>
      <c r="K290" s="969"/>
      <c r="L290" s="969"/>
    </row>
    <row r="291">
      <c r="A291" s="969"/>
      <c r="B291" s="1278"/>
      <c r="C291" s="969"/>
      <c r="D291" s="969"/>
      <c r="E291" s="969"/>
      <c r="F291" s="969"/>
      <c r="G291" s="969"/>
      <c r="H291" s="969"/>
      <c r="I291" s="969"/>
      <c r="J291" s="969"/>
      <c r="K291" s="969"/>
      <c r="L291" s="969"/>
    </row>
    <row r="292">
      <c r="A292" s="969"/>
      <c r="B292" s="1278"/>
      <c r="C292" s="969"/>
      <c r="D292" s="969"/>
      <c r="E292" s="969"/>
      <c r="F292" s="969"/>
      <c r="G292" s="969"/>
      <c r="H292" s="969"/>
      <c r="I292" s="969"/>
      <c r="J292" s="969"/>
      <c r="K292" s="969"/>
      <c r="L292" s="969"/>
    </row>
    <row r="293">
      <c r="A293" s="969"/>
      <c r="B293" s="1278"/>
      <c r="C293" s="969"/>
      <c r="D293" s="969"/>
      <c r="E293" s="969"/>
      <c r="F293" s="969"/>
      <c r="G293" s="969"/>
      <c r="H293" s="969"/>
      <c r="I293" s="969"/>
      <c r="J293" s="969"/>
      <c r="K293" s="969"/>
      <c r="L293" s="969"/>
    </row>
    <row r="294">
      <c r="A294" s="969"/>
      <c r="B294" s="1278"/>
      <c r="C294" s="969"/>
      <c r="D294" s="969"/>
      <c r="E294" s="969"/>
      <c r="F294" s="969"/>
      <c r="G294" s="969"/>
      <c r="H294" s="969"/>
      <c r="I294" s="969"/>
      <c r="J294" s="969"/>
      <c r="K294" s="969"/>
      <c r="L294" s="969"/>
    </row>
    <row r="295">
      <c r="A295" s="969"/>
      <c r="B295" s="1278"/>
      <c r="C295" s="969"/>
      <c r="D295" s="969"/>
      <c r="E295" s="969"/>
      <c r="F295" s="969"/>
      <c r="G295" s="969"/>
      <c r="H295" s="969"/>
      <c r="I295" s="969"/>
      <c r="J295" s="969"/>
      <c r="K295" s="969"/>
      <c r="L295" s="969"/>
    </row>
    <row r="296">
      <c r="A296" s="969"/>
      <c r="B296" s="1278"/>
      <c r="C296" s="969"/>
      <c r="D296" s="969"/>
      <c r="E296" s="969"/>
      <c r="F296" s="969"/>
      <c r="G296" s="969"/>
      <c r="H296" s="969"/>
      <c r="I296" s="969"/>
      <c r="J296" s="969"/>
      <c r="K296" s="969"/>
      <c r="L296" s="969"/>
    </row>
    <row r="297">
      <c r="A297" s="969"/>
      <c r="B297" s="1278"/>
      <c r="C297" s="969"/>
      <c r="D297" s="969"/>
      <c r="E297" s="969"/>
      <c r="F297" s="969"/>
      <c r="G297" s="969"/>
      <c r="H297" s="969"/>
      <c r="I297" s="969"/>
      <c r="J297" s="969"/>
      <c r="K297" s="969"/>
      <c r="L297" s="969"/>
    </row>
    <row r="298">
      <c r="A298" s="969"/>
      <c r="B298" s="1278"/>
      <c r="C298" s="969"/>
      <c r="D298" s="969"/>
      <c r="E298" s="969"/>
      <c r="F298" s="969"/>
      <c r="G298" s="969"/>
      <c r="H298" s="969"/>
      <c r="I298" s="969"/>
      <c r="J298" s="969"/>
      <c r="K298" s="969"/>
      <c r="L298" s="969"/>
    </row>
    <row r="299">
      <c r="A299" s="969"/>
      <c r="B299" s="1278"/>
      <c r="C299" s="969"/>
      <c r="D299" s="969"/>
      <c r="E299" s="969"/>
      <c r="F299" s="969"/>
      <c r="G299" s="969"/>
      <c r="H299" s="969"/>
      <c r="I299" s="969"/>
      <c r="J299" s="969"/>
      <c r="K299" s="969"/>
      <c r="L299" s="969"/>
    </row>
    <row r="300">
      <c r="A300" s="969"/>
      <c r="B300" s="1278"/>
      <c r="C300" s="969"/>
      <c r="D300" s="969"/>
      <c r="E300" s="969"/>
      <c r="F300" s="969"/>
      <c r="G300" s="969"/>
      <c r="H300" s="969"/>
      <c r="I300" s="969"/>
      <c r="J300" s="969"/>
      <c r="K300" s="969"/>
      <c r="L300" s="969"/>
    </row>
    <row r="301">
      <c r="A301" s="969"/>
      <c r="B301" s="1278"/>
      <c r="C301" s="969"/>
      <c r="D301" s="969"/>
      <c r="E301" s="969"/>
      <c r="F301" s="969"/>
      <c r="G301" s="969"/>
      <c r="H301" s="969"/>
      <c r="I301" s="969"/>
      <c r="J301" s="969"/>
      <c r="K301" s="969"/>
      <c r="L301" s="969"/>
    </row>
    <row r="302">
      <c r="A302" s="969"/>
      <c r="B302" s="1278"/>
      <c r="C302" s="969"/>
      <c r="D302" s="969"/>
      <c r="E302" s="969"/>
      <c r="F302" s="969"/>
      <c r="G302" s="969"/>
      <c r="H302" s="969"/>
      <c r="I302" s="969"/>
      <c r="J302" s="969"/>
      <c r="K302" s="969"/>
      <c r="L302" s="969"/>
    </row>
    <row r="303">
      <c r="A303" s="969"/>
      <c r="B303" s="1278"/>
      <c r="C303" s="969"/>
      <c r="D303" s="969"/>
      <c r="E303" s="969"/>
      <c r="F303" s="969"/>
      <c r="G303" s="969"/>
      <c r="H303" s="969"/>
      <c r="I303" s="969"/>
      <c r="J303" s="969"/>
      <c r="K303" s="969"/>
      <c r="L303" s="969"/>
    </row>
    <row r="304">
      <c r="A304" s="969"/>
      <c r="B304" s="1278"/>
      <c r="C304" s="969"/>
      <c r="D304" s="969"/>
      <c r="E304" s="969"/>
      <c r="F304" s="969"/>
      <c r="G304" s="969"/>
      <c r="H304" s="969"/>
      <c r="I304" s="969"/>
      <c r="J304" s="969"/>
      <c r="K304" s="969"/>
      <c r="L304" s="969"/>
    </row>
    <row r="305">
      <c r="A305" s="969"/>
      <c r="B305" s="1278"/>
      <c r="C305" s="969"/>
      <c r="D305" s="969"/>
      <c r="E305" s="969"/>
      <c r="F305" s="969"/>
      <c r="G305" s="969"/>
      <c r="H305" s="969"/>
      <c r="I305" s="969"/>
      <c r="J305" s="969"/>
      <c r="K305" s="969"/>
      <c r="L305" s="969"/>
    </row>
    <row r="306">
      <c r="A306" s="969"/>
      <c r="B306" s="1278"/>
      <c r="C306" s="969"/>
      <c r="D306" s="969"/>
      <c r="E306" s="969"/>
      <c r="F306" s="969"/>
      <c r="G306" s="969"/>
      <c r="H306" s="969"/>
      <c r="I306" s="969"/>
      <c r="J306" s="969"/>
      <c r="K306" s="969"/>
      <c r="L306" s="969"/>
    </row>
    <row r="307">
      <c r="A307" s="969"/>
      <c r="B307" s="1278"/>
      <c r="C307" s="969"/>
      <c r="D307" s="969"/>
      <c r="E307" s="969"/>
      <c r="F307" s="969"/>
      <c r="G307" s="969"/>
      <c r="H307" s="969"/>
      <c r="I307" s="969"/>
      <c r="J307" s="969"/>
      <c r="K307" s="969"/>
      <c r="L307" s="969"/>
    </row>
    <row r="308">
      <c r="A308" s="969"/>
      <c r="B308" s="1278"/>
      <c r="C308" s="969"/>
      <c r="D308" s="969"/>
      <c r="E308" s="969"/>
      <c r="F308" s="969"/>
      <c r="G308" s="969"/>
      <c r="H308" s="969"/>
      <c r="I308" s="969"/>
      <c r="J308" s="969"/>
      <c r="K308" s="969"/>
      <c r="L308" s="969"/>
    </row>
    <row r="309">
      <c r="A309" s="969"/>
      <c r="B309" s="1278"/>
      <c r="C309" s="969"/>
      <c r="D309" s="969"/>
      <c r="E309" s="969"/>
      <c r="F309" s="969"/>
      <c r="G309" s="969"/>
      <c r="H309" s="969"/>
      <c r="I309" s="969"/>
      <c r="J309" s="969"/>
      <c r="K309" s="969"/>
      <c r="L309" s="969"/>
    </row>
    <row r="310">
      <c r="A310" s="969"/>
      <c r="B310" s="1278"/>
      <c r="C310" s="969"/>
      <c r="D310" s="969"/>
      <c r="E310" s="969"/>
      <c r="F310" s="969"/>
      <c r="G310" s="969"/>
      <c r="H310" s="969"/>
      <c r="I310" s="969"/>
      <c r="J310" s="969"/>
      <c r="K310" s="969"/>
      <c r="L310" s="969"/>
    </row>
    <row r="311">
      <c r="A311" s="969"/>
      <c r="B311" s="1278"/>
      <c r="C311" s="969"/>
      <c r="D311" s="969"/>
      <c r="E311" s="969"/>
      <c r="F311" s="969"/>
      <c r="G311" s="969"/>
      <c r="H311" s="969"/>
      <c r="I311" s="969"/>
      <c r="J311" s="969"/>
      <c r="K311" s="969"/>
      <c r="L311" s="969"/>
    </row>
    <row r="312">
      <c r="A312" s="969"/>
      <c r="B312" s="1278"/>
      <c r="C312" s="969"/>
      <c r="D312" s="969"/>
      <c r="E312" s="969"/>
      <c r="F312" s="969"/>
      <c r="G312" s="969"/>
      <c r="H312" s="969"/>
      <c r="I312" s="969"/>
      <c r="J312" s="969"/>
      <c r="K312" s="969"/>
      <c r="L312" s="969"/>
    </row>
    <row r="313">
      <c r="A313" s="969"/>
      <c r="B313" s="1278"/>
      <c r="C313" s="969"/>
      <c r="D313" s="969"/>
      <c r="E313" s="969"/>
      <c r="F313" s="969"/>
      <c r="G313" s="969"/>
      <c r="H313" s="969"/>
      <c r="I313" s="969"/>
      <c r="J313" s="969"/>
      <c r="K313" s="969"/>
      <c r="L313" s="969"/>
    </row>
    <row r="314">
      <c r="A314" s="969"/>
      <c r="B314" s="1278"/>
      <c r="C314" s="969"/>
      <c r="D314" s="969"/>
      <c r="E314" s="969"/>
      <c r="F314" s="969"/>
      <c r="G314" s="969"/>
      <c r="H314" s="969"/>
      <c r="I314" s="969"/>
      <c r="J314" s="969"/>
      <c r="K314" s="969"/>
      <c r="L314" s="969"/>
    </row>
    <row r="315">
      <c r="A315" s="969"/>
      <c r="B315" s="1278"/>
      <c r="C315" s="969"/>
      <c r="D315" s="969"/>
      <c r="E315" s="969"/>
      <c r="F315" s="969"/>
      <c r="G315" s="969"/>
      <c r="H315" s="969"/>
      <c r="I315" s="969"/>
      <c r="J315" s="969"/>
      <c r="K315" s="969"/>
      <c r="L315" s="969"/>
    </row>
    <row r="316">
      <c r="A316" s="969"/>
      <c r="B316" s="1278"/>
      <c r="C316" s="969"/>
      <c r="D316" s="969"/>
      <c r="E316" s="969"/>
      <c r="F316" s="969"/>
      <c r="G316" s="969"/>
      <c r="H316" s="969"/>
      <c r="I316" s="969"/>
      <c r="J316" s="969"/>
      <c r="K316" s="969"/>
      <c r="L316" s="969"/>
    </row>
    <row r="317">
      <c r="A317" s="969"/>
      <c r="B317" s="1278"/>
      <c r="C317" s="969"/>
      <c r="D317" s="969"/>
      <c r="E317" s="969"/>
      <c r="F317" s="969"/>
      <c r="G317" s="969"/>
      <c r="H317" s="969"/>
      <c r="I317" s="969"/>
      <c r="J317" s="969"/>
      <c r="K317" s="969"/>
      <c r="L317" s="969"/>
    </row>
    <row r="318">
      <c r="A318" s="969"/>
      <c r="B318" s="1278"/>
      <c r="C318" s="969"/>
      <c r="D318" s="969"/>
      <c r="E318" s="969"/>
      <c r="F318" s="969"/>
      <c r="G318" s="969"/>
      <c r="H318" s="969"/>
      <c r="I318" s="969"/>
      <c r="J318" s="969"/>
      <c r="K318" s="969"/>
      <c r="L318" s="969"/>
    </row>
    <row r="319">
      <c r="A319" s="969"/>
      <c r="B319" s="1278"/>
      <c r="C319" s="969"/>
      <c r="D319" s="969"/>
      <c r="E319" s="969"/>
      <c r="F319" s="969"/>
      <c r="G319" s="969"/>
      <c r="H319" s="969"/>
      <c r="I319" s="969"/>
      <c r="J319" s="969"/>
      <c r="K319" s="969"/>
      <c r="L319" s="969"/>
    </row>
    <row r="320">
      <c r="A320" s="969"/>
      <c r="B320" s="1278"/>
      <c r="C320" s="969"/>
      <c r="D320" s="969"/>
      <c r="E320" s="969"/>
      <c r="F320" s="969"/>
      <c r="G320" s="969"/>
      <c r="H320" s="969"/>
      <c r="I320" s="969"/>
      <c r="J320" s="969"/>
      <c r="K320" s="969"/>
      <c r="L320" s="969"/>
    </row>
    <row r="321">
      <c r="A321" s="969"/>
      <c r="B321" s="1278"/>
      <c r="C321" s="969"/>
      <c r="D321" s="969"/>
      <c r="E321" s="969"/>
      <c r="F321" s="969"/>
      <c r="G321" s="969"/>
      <c r="H321" s="969"/>
      <c r="I321" s="969"/>
      <c r="J321" s="969"/>
      <c r="K321" s="969"/>
      <c r="L321" s="969"/>
    </row>
    <row r="322">
      <c r="A322" s="969"/>
      <c r="B322" s="1278"/>
      <c r="C322" s="969"/>
      <c r="D322" s="969"/>
      <c r="E322" s="969"/>
      <c r="F322" s="969"/>
      <c r="G322" s="969"/>
      <c r="H322" s="969"/>
      <c r="I322" s="969"/>
      <c r="J322" s="969"/>
      <c r="K322" s="969"/>
      <c r="L322" s="969"/>
    </row>
    <row r="323">
      <c r="A323" s="969"/>
      <c r="B323" s="1278"/>
      <c r="C323" s="969"/>
      <c r="D323" s="969"/>
      <c r="E323" s="969"/>
      <c r="F323" s="969"/>
      <c r="G323" s="969"/>
      <c r="H323" s="969"/>
      <c r="I323" s="969"/>
      <c r="J323" s="969"/>
      <c r="K323" s="969"/>
      <c r="L323" s="969"/>
    </row>
    <row r="324">
      <c r="A324" s="969"/>
      <c r="B324" s="1278"/>
      <c r="C324" s="969"/>
      <c r="D324" s="969"/>
      <c r="E324" s="969"/>
      <c r="F324" s="969"/>
      <c r="G324" s="969"/>
      <c r="H324" s="969"/>
      <c r="I324" s="969"/>
      <c r="J324" s="969"/>
      <c r="K324" s="969"/>
      <c r="L324" s="969"/>
    </row>
    <row r="325">
      <c r="A325" s="969"/>
      <c r="B325" s="1278"/>
      <c r="C325" s="969"/>
      <c r="D325" s="969"/>
      <c r="E325" s="969"/>
      <c r="F325" s="969"/>
      <c r="G325" s="969"/>
      <c r="H325" s="969"/>
      <c r="I325" s="969"/>
      <c r="J325" s="969"/>
      <c r="K325" s="969"/>
      <c r="L325" s="969"/>
    </row>
    <row r="326">
      <c r="A326" s="969"/>
      <c r="B326" s="1278"/>
      <c r="C326" s="969"/>
      <c r="D326" s="969"/>
      <c r="E326" s="969"/>
      <c r="F326" s="969"/>
      <c r="G326" s="969"/>
      <c r="H326" s="969"/>
      <c r="I326" s="969"/>
      <c r="J326" s="969"/>
      <c r="K326" s="969"/>
      <c r="L326" s="969"/>
    </row>
    <row r="327">
      <c r="A327" s="969"/>
      <c r="B327" s="1278"/>
      <c r="C327" s="969"/>
      <c r="D327" s="969"/>
      <c r="E327" s="969"/>
      <c r="F327" s="969"/>
      <c r="G327" s="969"/>
      <c r="H327" s="969"/>
      <c r="I327" s="969"/>
      <c r="J327" s="969"/>
      <c r="K327" s="969"/>
      <c r="L327" s="969"/>
    </row>
    <row r="328">
      <c r="A328" s="969"/>
      <c r="B328" s="1278"/>
      <c r="C328" s="969"/>
      <c r="D328" s="969"/>
      <c r="E328" s="969"/>
      <c r="F328" s="969"/>
      <c r="G328" s="969"/>
      <c r="H328" s="969"/>
      <c r="I328" s="969"/>
      <c r="J328" s="969"/>
      <c r="K328" s="969"/>
      <c r="L328" s="969"/>
    </row>
    <row r="329">
      <c r="A329" s="969"/>
      <c r="B329" s="1278"/>
      <c r="C329" s="969"/>
      <c r="D329" s="969"/>
      <c r="E329" s="969"/>
      <c r="F329" s="969"/>
      <c r="G329" s="969"/>
      <c r="H329" s="969"/>
      <c r="I329" s="969"/>
      <c r="J329" s="969"/>
      <c r="K329" s="969"/>
      <c r="L329" s="969"/>
    </row>
    <row r="330">
      <c r="A330" s="969"/>
      <c r="B330" s="1278"/>
      <c r="C330" s="969"/>
      <c r="D330" s="969"/>
      <c r="E330" s="969"/>
      <c r="F330" s="969"/>
      <c r="G330" s="969"/>
      <c r="H330" s="969"/>
      <c r="I330" s="969"/>
      <c r="J330" s="969"/>
      <c r="K330" s="969"/>
      <c r="L330" s="969"/>
    </row>
    <row r="331">
      <c r="A331" s="969"/>
      <c r="B331" s="1278"/>
      <c r="C331" s="969"/>
      <c r="D331" s="969"/>
      <c r="E331" s="969"/>
      <c r="F331" s="969"/>
      <c r="G331" s="969"/>
      <c r="H331" s="969"/>
      <c r="I331" s="969"/>
      <c r="J331" s="969"/>
      <c r="K331" s="969"/>
      <c r="L331" s="969"/>
    </row>
    <row r="332">
      <c r="A332" s="969"/>
      <c r="B332" s="1278"/>
      <c r="C332" s="969"/>
      <c r="D332" s="969"/>
      <c r="E332" s="969"/>
      <c r="F332" s="969"/>
      <c r="G332" s="969"/>
      <c r="H332" s="969"/>
      <c r="I332" s="969"/>
      <c r="J332" s="969"/>
      <c r="K332" s="969"/>
      <c r="L332" s="969"/>
    </row>
    <row r="333">
      <c r="A333" s="969"/>
      <c r="B333" s="1278"/>
      <c r="C333" s="969"/>
      <c r="D333" s="969"/>
      <c r="E333" s="969"/>
      <c r="F333" s="969"/>
      <c r="G333" s="969"/>
      <c r="H333" s="969"/>
      <c r="I333" s="969"/>
      <c r="J333" s="969"/>
      <c r="K333" s="969"/>
      <c r="L333" s="969"/>
    </row>
    <row r="334">
      <c r="A334" s="969"/>
      <c r="B334" s="1278"/>
      <c r="C334" s="969"/>
      <c r="D334" s="969"/>
      <c r="E334" s="969"/>
      <c r="F334" s="969"/>
      <c r="G334" s="969"/>
      <c r="H334" s="969"/>
      <c r="I334" s="969"/>
      <c r="J334" s="969"/>
      <c r="K334" s="969"/>
      <c r="L334" s="969"/>
    </row>
    <row r="335">
      <c r="A335" s="969"/>
      <c r="B335" s="1278"/>
      <c r="C335" s="969"/>
      <c r="D335" s="969"/>
      <c r="E335" s="969"/>
      <c r="F335" s="969"/>
      <c r="G335" s="969"/>
      <c r="H335" s="969"/>
      <c r="I335" s="969"/>
      <c r="J335" s="969"/>
      <c r="K335" s="969"/>
      <c r="L335" s="969"/>
    </row>
    <row r="336">
      <c r="A336" s="969"/>
      <c r="B336" s="1278"/>
      <c r="C336" s="969"/>
      <c r="D336" s="969"/>
      <c r="E336" s="969"/>
      <c r="F336" s="969"/>
      <c r="G336" s="969"/>
      <c r="H336" s="969"/>
      <c r="I336" s="969"/>
      <c r="J336" s="969"/>
      <c r="K336" s="969"/>
      <c r="L336" s="969"/>
    </row>
    <row r="337">
      <c r="A337" s="969"/>
      <c r="B337" s="1278"/>
      <c r="C337" s="969"/>
      <c r="D337" s="969"/>
      <c r="E337" s="969"/>
      <c r="F337" s="969"/>
      <c r="G337" s="969"/>
      <c r="H337" s="969"/>
      <c r="I337" s="969"/>
      <c r="J337" s="969"/>
      <c r="K337" s="969"/>
      <c r="L337" s="969"/>
    </row>
    <row r="338">
      <c r="A338" s="969"/>
      <c r="B338" s="1278"/>
      <c r="C338" s="969"/>
      <c r="D338" s="969"/>
      <c r="E338" s="969"/>
      <c r="F338" s="969"/>
      <c r="G338" s="969"/>
      <c r="H338" s="969"/>
      <c r="I338" s="969"/>
      <c r="J338" s="969"/>
      <c r="K338" s="969"/>
      <c r="L338" s="969"/>
    </row>
    <row r="339">
      <c r="A339" s="969"/>
      <c r="B339" s="1278"/>
      <c r="C339" s="969"/>
      <c r="D339" s="969"/>
      <c r="E339" s="969"/>
      <c r="F339" s="969"/>
      <c r="G339" s="969"/>
      <c r="H339" s="969"/>
      <c r="I339" s="969"/>
      <c r="J339" s="969"/>
      <c r="K339" s="969"/>
      <c r="L339" s="969"/>
    </row>
    <row r="340">
      <c r="A340" s="969"/>
      <c r="B340" s="1278"/>
      <c r="C340" s="969"/>
      <c r="D340" s="969"/>
      <c r="E340" s="969"/>
      <c r="F340" s="969"/>
      <c r="G340" s="969"/>
      <c r="H340" s="969"/>
      <c r="I340" s="969"/>
      <c r="J340" s="969"/>
      <c r="K340" s="969"/>
      <c r="L340" s="969"/>
    </row>
    <row r="341">
      <c r="A341" s="969"/>
      <c r="B341" s="1278"/>
      <c r="C341" s="969"/>
      <c r="D341" s="969"/>
      <c r="E341" s="969"/>
      <c r="F341" s="969"/>
      <c r="G341" s="969"/>
      <c r="H341" s="969"/>
      <c r="I341" s="969"/>
      <c r="J341" s="969"/>
      <c r="K341" s="969"/>
      <c r="L341" s="969"/>
    </row>
    <row r="342">
      <c r="A342" s="969"/>
      <c r="B342" s="1278"/>
      <c r="C342" s="969"/>
      <c r="D342" s="969"/>
      <c r="E342" s="969"/>
      <c r="F342" s="969"/>
      <c r="G342" s="969"/>
      <c r="H342" s="969"/>
      <c r="I342" s="969"/>
      <c r="J342" s="969"/>
      <c r="K342" s="969"/>
      <c r="L342" s="969"/>
    </row>
    <row r="343">
      <c r="A343" s="969"/>
      <c r="B343" s="1278"/>
      <c r="C343" s="969"/>
      <c r="D343" s="969"/>
      <c r="E343" s="969"/>
      <c r="F343" s="969"/>
      <c r="G343" s="969"/>
      <c r="H343" s="969"/>
      <c r="I343" s="969"/>
      <c r="J343" s="969"/>
      <c r="K343" s="969"/>
      <c r="L343" s="969"/>
    </row>
    <row r="344">
      <c r="A344" s="969"/>
      <c r="B344" s="1278"/>
      <c r="C344" s="969"/>
      <c r="D344" s="969"/>
      <c r="E344" s="969"/>
      <c r="F344" s="969"/>
      <c r="G344" s="969"/>
      <c r="H344" s="969"/>
      <c r="I344" s="969"/>
      <c r="J344" s="969"/>
      <c r="K344" s="969"/>
      <c r="L344" s="969"/>
    </row>
    <row r="345">
      <c r="A345" s="969"/>
      <c r="B345" s="1278"/>
      <c r="C345" s="969"/>
      <c r="D345" s="969"/>
      <c r="E345" s="969"/>
      <c r="F345" s="969"/>
      <c r="G345" s="969"/>
      <c r="H345" s="969"/>
      <c r="I345" s="969"/>
      <c r="J345" s="969"/>
      <c r="K345" s="969"/>
      <c r="L345" s="969"/>
    </row>
    <row r="346">
      <c r="A346" s="969"/>
      <c r="B346" s="1278"/>
      <c r="C346" s="969"/>
      <c r="D346" s="969"/>
      <c r="E346" s="969"/>
      <c r="F346" s="969"/>
      <c r="G346" s="969"/>
      <c r="H346" s="969"/>
      <c r="I346" s="969"/>
      <c r="J346" s="969"/>
      <c r="K346" s="969"/>
      <c r="L346" s="969"/>
    </row>
    <row r="347">
      <c r="A347" s="969"/>
      <c r="B347" s="1278"/>
      <c r="C347" s="969"/>
      <c r="D347" s="969"/>
      <c r="E347" s="969"/>
      <c r="F347" s="969"/>
      <c r="G347" s="969"/>
      <c r="H347" s="969"/>
      <c r="I347" s="969"/>
      <c r="J347" s="969"/>
      <c r="K347" s="969"/>
      <c r="L347" s="969"/>
    </row>
    <row r="348">
      <c r="A348" s="969"/>
      <c r="B348" s="1278"/>
      <c r="C348" s="969"/>
      <c r="D348" s="969"/>
      <c r="E348" s="969"/>
      <c r="F348" s="969"/>
      <c r="G348" s="969"/>
      <c r="H348" s="969"/>
      <c r="I348" s="969"/>
      <c r="J348" s="969"/>
      <c r="K348" s="969"/>
      <c r="L348" s="969"/>
    </row>
    <row r="349">
      <c r="A349" s="969"/>
      <c r="B349" s="1278"/>
      <c r="C349" s="969"/>
      <c r="D349" s="969"/>
      <c r="E349" s="969"/>
      <c r="F349" s="969"/>
      <c r="G349" s="969"/>
      <c r="H349" s="969"/>
      <c r="I349" s="969"/>
      <c r="J349" s="969"/>
      <c r="K349" s="969"/>
      <c r="L349" s="969"/>
    </row>
    <row r="350">
      <c r="A350" s="969"/>
      <c r="B350" s="1278"/>
      <c r="C350" s="969"/>
      <c r="D350" s="969"/>
      <c r="E350" s="969"/>
      <c r="F350" s="969"/>
      <c r="G350" s="969"/>
      <c r="H350" s="969"/>
      <c r="I350" s="969"/>
      <c r="J350" s="969"/>
      <c r="K350" s="969"/>
      <c r="L350" s="969"/>
    </row>
    <row r="351">
      <c r="A351" s="969"/>
      <c r="B351" s="1278"/>
      <c r="C351" s="969"/>
      <c r="D351" s="969"/>
      <c r="E351" s="969"/>
      <c r="F351" s="969"/>
      <c r="G351" s="969"/>
      <c r="H351" s="969"/>
      <c r="I351" s="969"/>
      <c r="J351" s="969"/>
      <c r="K351" s="969"/>
      <c r="L351" s="969"/>
    </row>
    <row r="352">
      <c r="A352" s="969"/>
      <c r="B352" s="1278"/>
      <c r="C352" s="969"/>
      <c r="D352" s="969"/>
      <c r="E352" s="969"/>
      <c r="F352" s="969"/>
      <c r="G352" s="969"/>
      <c r="H352" s="969"/>
      <c r="I352" s="969"/>
      <c r="J352" s="969"/>
      <c r="K352" s="969"/>
      <c r="L352" s="969"/>
    </row>
    <row r="353">
      <c r="A353" s="969"/>
      <c r="B353" s="1278"/>
      <c r="C353" s="969"/>
      <c r="D353" s="969"/>
      <c r="E353" s="969"/>
      <c r="F353" s="969"/>
      <c r="G353" s="969"/>
      <c r="H353" s="969"/>
      <c r="I353" s="969"/>
      <c r="J353" s="969"/>
      <c r="K353" s="969"/>
      <c r="L353" s="969"/>
    </row>
    <row r="354">
      <c r="A354" s="969"/>
      <c r="B354" s="1278"/>
      <c r="C354" s="969"/>
      <c r="D354" s="969"/>
      <c r="E354" s="969"/>
      <c r="F354" s="969"/>
      <c r="G354" s="969"/>
      <c r="H354" s="969"/>
      <c r="I354" s="969"/>
      <c r="J354" s="969"/>
      <c r="K354" s="969"/>
      <c r="L354" s="969"/>
    </row>
    <row r="355">
      <c r="A355" s="969"/>
      <c r="B355" s="1278"/>
      <c r="C355" s="969"/>
      <c r="D355" s="969"/>
      <c r="E355" s="969"/>
      <c r="F355" s="969"/>
      <c r="G355" s="969"/>
      <c r="H355" s="969"/>
      <c r="I355" s="969"/>
      <c r="J355" s="969"/>
      <c r="K355" s="969"/>
      <c r="L355" s="969"/>
    </row>
    <row r="356">
      <c r="A356" s="969"/>
      <c r="B356" s="1278"/>
      <c r="C356" s="969"/>
      <c r="D356" s="969"/>
      <c r="E356" s="969"/>
      <c r="F356" s="969"/>
      <c r="G356" s="969"/>
      <c r="H356" s="969"/>
      <c r="I356" s="969"/>
      <c r="J356" s="969"/>
      <c r="K356" s="969"/>
      <c r="L356" s="969"/>
    </row>
    <row r="357">
      <c r="A357" s="969"/>
      <c r="B357" s="1278"/>
      <c r="C357" s="969"/>
      <c r="D357" s="969"/>
      <c r="E357" s="969"/>
      <c r="F357" s="969"/>
      <c r="G357" s="969"/>
      <c r="H357" s="969"/>
      <c r="I357" s="969"/>
      <c r="J357" s="969"/>
      <c r="K357" s="969"/>
      <c r="L357" s="969"/>
    </row>
    <row r="358">
      <c r="A358" s="969"/>
      <c r="B358" s="1278"/>
      <c r="C358" s="969"/>
      <c r="D358" s="969"/>
      <c r="E358" s="969"/>
      <c r="F358" s="969"/>
      <c r="G358" s="969"/>
      <c r="H358" s="969"/>
      <c r="I358" s="969"/>
      <c r="J358" s="969"/>
      <c r="K358" s="969"/>
      <c r="L358" s="969"/>
    </row>
    <row r="359">
      <c r="A359" s="969"/>
      <c r="B359" s="1278"/>
      <c r="C359" s="969"/>
      <c r="D359" s="969"/>
      <c r="E359" s="969"/>
      <c r="F359" s="969"/>
      <c r="G359" s="969"/>
      <c r="H359" s="969"/>
      <c r="I359" s="969"/>
      <c r="J359" s="969"/>
      <c r="K359" s="969"/>
      <c r="L359" s="969"/>
    </row>
    <row r="360">
      <c r="A360" s="969"/>
      <c r="B360" s="1278"/>
      <c r="C360" s="969"/>
      <c r="D360" s="969"/>
      <c r="E360" s="969"/>
      <c r="F360" s="969"/>
      <c r="G360" s="969"/>
      <c r="H360" s="969"/>
      <c r="I360" s="969"/>
      <c r="J360" s="969"/>
      <c r="K360" s="969"/>
      <c r="L360" s="969"/>
    </row>
    <row r="361">
      <c r="A361" s="969"/>
      <c r="B361" s="1278"/>
      <c r="C361" s="969"/>
      <c r="D361" s="969"/>
      <c r="E361" s="969"/>
      <c r="F361" s="969"/>
      <c r="G361" s="969"/>
      <c r="H361" s="969"/>
      <c r="I361" s="969"/>
      <c r="J361" s="969"/>
      <c r="K361" s="969"/>
      <c r="L361" s="969"/>
    </row>
    <row r="362">
      <c r="A362" s="969"/>
      <c r="B362" s="1278"/>
      <c r="C362" s="969"/>
      <c r="D362" s="969"/>
      <c r="E362" s="969"/>
      <c r="F362" s="969"/>
      <c r="G362" s="969"/>
      <c r="H362" s="969"/>
      <c r="I362" s="969"/>
      <c r="J362" s="969"/>
      <c r="K362" s="969"/>
      <c r="L362" s="969"/>
    </row>
    <row r="363">
      <c r="A363" s="969"/>
      <c r="B363" s="1278"/>
      <c r="C363" s="969"/>
      <c r="D363" s="969"/>
      <c r="E363" s="969"/>
      <c r="F363" s="969"/>
      <c r="G363" s="969"/>
      <c r="H363" s="969"/>
      <c r="I363" s="969"/>
      <c r="J363" s="969"/>
      <c r="K363" s="969"/>
      <c r="L363" s="969"/>
    </row>
    <row r="364">
      <c r="A364" s="969"/>
      <c r="B364" s="1278"/>
      <c r="C364" s="969"/>
      <c r="D364" s="969"/>
      <c r="E364" s="969"/>
      <c r="F364" s="969"/>
      <c r="G364" s="969"/>
      <c r="H364" s="969"/>
      <c r="I364" s="969"/>
      <c r="J364" s="969"/>
      <c r="K364" s="969"/>
      <c r="L364" s="969"/>
    </row>
    <row r="365">
      <c r="A365" s="969"/>
      <c r="B365" s="1278"/>
      <c r="C365" s="969"/>
      <c r="D365" s="969"/>
      <c r="E365" s="969"/>
      <c r="F365" s="969"/>
      <c r="G365" s="969"/>
      <c r="H365" s="969"/>
      <c r="I365" s="969"/>
      <c r="J365" s="969"/>
      <c r="K365" s="969"/>
      <c r="L365" s="969"/>
    </row>
    <row r="366">
      <c r="A366" s="969"/>
      <c r="B366" s="1278"/>
      <c r="C366" s="969"/>
      <c r="D366" s="969"/>
      <c r="E366" s="969"/>
      <c r="F366" s="969"/>
      <c r="G366" s="969"/>
      <c r="H366" s="969"/>
      <c r="I366" s="969"/>
      <c r="J366" s="969"/>
      <c r="K366" s="969"/>
      <c r="L366" s="969"/>
    </row>
    <row r="367">
      <c r="A367" s="969"/>
      <c r="B367" s="1278"/>
      <c r="C367" s="969"/>
      <c r="D367" s="969"/>
      <c r="E367" s="969"/>
      <c r="F367" s="969"/>
      <c r="G367" s="969"/>
      <c r="H367" s="969"/>
      <c r="I367" s="969"/>
      <c r="J367" s="969"/>
      <c r="K367" s="969"/>
      <c r="L367" s="969"/>
    </row>
    <row r="368">
      <c r="A368" s="969"/>
      <c r="B368" s="1278"/>
      <c r="C368" s="969"/>
      <c r="D368" s="969"/>
      <c r="E368" s="969"/>
      <c r="F368" s="969"/>
      <c r="G368" s="969"/>
      <c r="H368" s="969"/>
      <c r="I368" s="969"/>
      <c r="J368" s="969"/>
      <c r="K368" s="969"/>
      <c r="L368" s="969"/>
    </row>
    <row r="369">
      <c r="A369" s="969"/>
      <c r="B369" s="1278"/>
      <c r="C369" s="969"/>
      <c r="D369" s="969"/>
      <c r="E369" s="969"/>
      <c r="F369" s="969"/>
      <c r="G369" s="969"/>
      <c r="H369" s="969"/>
      <c r="I369" s="969"/>
      <c r="J369" s="969"/>
      <c r="K369" s="969"/>
      <c r="L369" s="969"/>
    </row>
    <row r="370">
      <c r="A370" s="969"/>
      <c r="B370" s="1278"/>
      <c r="C370" s="969"/>
      <c r="D370" s="969"/>
      <c r="E370" s="969"/>
      <c r="F370" s="969"/>
      <c r="G370" s="969"/>
      <c r="H370" s="969"/>
      <c r="I370" s="969"/>
      <c r="J370" s="969"/>
      <c r="K370" s="969"/>
      <c r="L370" s="969"/>
    </row>
    <row r="371">
      <c r="A371" s="969"/>
      <c r="B371" s="1278"/>
      <c r="C371" s="969"/>
      <c r="D371" s="969"/>
      <c r="E371" s="969"/>
      <c r="F371" s="969"/>
      <c r="G371" s="969"/>
      <c r="H371" s="969"/>
      <c r="I371" s="969"/>
      <c r="J371" s="969"/>
      <c r="K371" s="969"/>
      <c r="L371" s="969"/>
    </row>
    <row r="372">
      <c r="A372" s="969"/>
      <c r="B372" s="1278"/>
      <c r="C372" s="969"/>
      <c r="D372" s="969"/>
      <c r="E372" s="969"/>
      <c r="F372" s="969"/>
      <c r="G372" s="969"/>
      <c r="H372" s="969"/>
      <c r="I372" s="969"/>
      <c r="J372" s="969"/>
      <c r="K372" s="969"/>
      <c r="L372" s="969"/>
    </row>
    <row r="373">
      <c r="A373" s="969"/>
      <c r="B373" s="1278"/>
      <c r="C373" s="969"/>
      <c r="D373" s="969"/>
      <c r="E373" s="969"/>
      <c r="F373" s="969"/>
      <c r="G373" s="969"/>
      <c r="H373" s="969"/>
      <c r="I373" s="969"/>
      <c r="J373" s="969"/>
      <c r="K373" s="969"/>
      <c r="L373" s="969"/>
    </row>
    <row r="374">
      <c r="A374" s="969"/>
      <c r="B374" s="1278"/>
      <c r="C374" s="969"/>
      <c r="D374" s="969"/>
      <c r="E374" s="969"/>
      <c r="F374" s="969"/>
      <c r="G374" s="969"/>
      <c r="H374" s="969"/>
      <c r="I374" s="969"/>
      <c r="J374" s="969"/>
      <c r="K374" s="969"/>
      <c r="L374" s="969"/>
    </row>
    <row r="375">
      <c r="A375" s="969"/>
      <c r="B375" s="1278"/>
      <c r="C375" s="969"/>
      <c r="D375" s="969"/>
      <c r="E375" s="969"/>
      <c r="F375" s="969"/>
      <c r="G375" s="969"/>
      <c r="H375" s="969"/>
      <c r="I375" s="969"/>
      <c r="J375" s="969"/>
      <c r="K375" s="969"/>
      <c r="L375" s="969"/>
    </row>
    <row r="376">
      <c r="A376" s="969"/>
      <c r="B376" s="1278"/>
      <c r="C376" s="969"/>
      <c r="D376" s="969"/>
      <c r="E376" s="969"/>
      <c r="F376" s="969"/>
      <c r="G376" s="969"/>
      <c r="H376" s="969"/>
      <c r="I376" s="969"/>
      <c r="J376" s="969"/>
      <c r="K376" s="969"/>
      <c r="L376" s="969"/>
    </row>
    <row r="377">
      <c r="A377" s="969"/>
      <c r="B377" s="1278"/>
      <c r="C377" s="969"/>
      <c r="D377" s="969"/>
      <c r="E377" s="969"/>
      <c r="F377" s="969"/>
      <c r="G377" s="969"/>
      <c r="H377" s="969"/>
      <c r="I377" s="969"/>
      <c r="J377" s="969"/>
      <c r="K377" s="969"/>
      <c r="L377" s="969"/>
    </row>
    <row r="378">
      <c r="A378" s="969"/>
      <c r="B378" s="1278"/>
      <c r="C378" s="969"/>
      <c r="D378" s="969"/>
      <c r="E378" s="969"/>
      <c r="F378" s="969"/>
      <c r="G378" s="969"/>
      <c r="H378" s="969"/>
      <c r="I378" s="969"/>
      <c r="J378" s="969"/>
      <c r="K378" s="969"/>
      <c r="L378" s="969"/>
    </row>
    <row r="379">
      <c r="A379" s="969"/>
      <c r="B379" s="1278"/>
      <c r="C379" s="969"/>
      <c r="D379" s="969"/>
      <c r="E379" s="969"/>
      <c r="F379" s="969"/>
      <c r="G379" s="969"/>
      <c r="H379" s="969"/>
      <c r="I379" s="969"/>
      <c r="J379" s="969"/>
      <c r="K379" s="969"/>
      <c r="L379" s="969"/>
    </row>
    <row r="380">
      <c r="A380" s="969"/>
      <c r="B380" s="1278"/>
      <c r="C380" s="969"/>
      <c r="D380" s="969"/>
      <c r="E380" s="969"/>
      <c r="F380" s="969"/>
      <c r="G380" s="969"/>
      <c r="H380" s="969"/>
      <c r="I380" s="969"/>
      <c r="J380" s="969"/>
      <c r="K380" s="969"/>
      <c r="L380" s="969"/>
    </row>
    <row r="381">
      <c r="A381" s="969"/>
      <c r="B381" s="1278"/>
      <c r="C381" s="969"/>
      <c r="D381" s="969"/>
      <c r="E381" s="969"/>
      <c r="F381" s="969"/>
      <c r="G381" s="969"/>
      <c r="H381" s="969"/>
      <c r="I381" s="969"/>
      <c r="J381" s="969"/>
      <c r="K381" s="969"/>
      <c r="L381" s="969"/>
    </row>
    <row r="382">
      <c r="A382" s="969"/>
      <c r="B382" s="1278"/>
      <c r="C382" s="969"/>
      <c r="D382" s="969"/>
      <c r="E382" s="969"/>
      <c r="F382" s="969"/>
      <c r="G382" s="969"/>
      <c r="H382" s="969"/>
      <c r="I382" s="969"/>
      <c r="J382" s="969"/>
      <c r="K382" s="969"/>
      <c r="L382" s="969"/>
    </row>
    <row r="383">
      <c r="A383" s="969"/>
      <c r="B383" s="1278"/>
      <c r="C383" s="969"/>
      <c r="D383" s="969"/>
      <c r="E383" s="969"/>
      <c r="F383" s="969"/>
      <c r="G383" s="969"/>
      <c r="H383" s="969"/>
      <c r="I383" s="969"/>
      <c r="J383" s="969"/>
      <c r="K383" s="969"/>
      <c r="L383" s="969"/>
    </row>
    <row r="384">
      <c r="A384" s="969"/>
      <c r="B384" s="1278"/>
      <c r="C384" s="969"/>
      <c r="D384" s="969"/>
      <c r="E384" s="969"/>
      <c r="F384" s="969"/>
      <c r="G384" s="969"/>
      <c r="H384" s="969"/>
      <c r="I384" s="969"/>
      <c r="J384" s="969"/>
      <c r="K384" s="969"/>
      <c r="L384" s="969"/>
    </row>
    <row r="385">
      <c r="A385" s="969"/>
      <c r="B385" s="1278"/>
      <c r="C385" s="969"/>
      <c r="D385" s="969"/>
      <c r="E385" s="969"/>
      <c r="F385" s="969"/>
      <c r="G385" s="969"/>
      <c r="H385" s="969"/>
      <c r="I385" s="969"/>
      <c r="J385" s="969"/>
      <c r="K385" s="969"/>
      <c r="L385" s="969"/>
    </row>
    <row r="386">
      <c r="A386" s="969"/>
      <c r="B386" s="1278"/>
      <c r="C386" s="969"/>
      <c r="D386" s="969"/>
      <c r="E386" s="969"/>
      <c r="F386" s="969"/>
      <c r="G386" s="969"/>
      <c r="H386" s="969"/>
      <c r="I386" s="969"/>
      <c r="J386" s="969"/>
      <c r="K386" s="969"/>
      <c r="L386" s="969"/>
    </row>
    <row r="387">
      <c r="A387" s="969"/>
      <c r="B387" s="1278"/>
      <c r="C387" s="969"/>
      <c r="D387" s="969"/>
      <c r="E387" s="969"/>
      <c r="F387" s="969"/>
      <c r="G387" s="969"/>
      <c r="H387" s="969"/>
      <c r="I387" s="969"/>
      <c r="J387" s="969"/>
      <c r="K387" s="969"/>
      <c r="L387" s="969"/>
    </row>
    <row r="388">
      <c r="A388" s="969"/>
      <c r="B388" s="1278"/>
      <c r="C388" s="969"/>
      <c r="D388" s="969"/>
      <c r="E388" s="969"/>
      <c r="F388" s="969"/>
      <c r="G388" s="969"/>
      <c r="H388" s="969"/>
      <c r="I388" s="969"/>
      <c r="J388" s="969"/>
      <c r="K388" s="969"/>
      <c r="L388" s="969"/>
    </row>
    <row r="389">
      <c r="A389" s="969"/>
      <c r="B389" s="1278"/>
      <c r="C389" s="969"/>
      <c r="D389" s="969"/>
      <c r="E389" s="969"/>
      <c r="F389" s="969"/>
      <c r="G389" s="969"/>
      <c r="H389" s="969"/>
      <c r="I389" s="969"/>
      <c r="J389" s="969"/>
      <c r="K389" s="969"/>
      <c r="L389" s="969"/>
    </row>
    <row r="390">
      <c r="A390" s="969"/>
      <c r="B390" s="1278"/>
      <c r="C390" s="969"/>
      <c r="D390" s="969"/>
      <c r="E390" s="969"/>
      <c r="F390" s="969"/>
      <c r="G390" s="969"/>
      <c r="H390" s="969"/>
      <c r="I390" s="969"/>
      <c r="J390" s="969"/>
      <c r="K390" s="969"/>
      <c r="L390" s="969"/>
    </row>
    <row r="391">
      <c r="A391" s="969"/>
      <c r="B391" s="1278"/>
      <c r="C391" s="969"/>
      <c r="D391" s="969"/>
      <c r="E391" s="969"/>
      <c r="F391" s="969"/>
      <c r="G391" s="969"/>
      <c r="H391" s="969"/>
      <c r="I391" s="969"/>
      <c r="J391" s="969"/>
      <c r="K391" s="969"/>
      <c r="L391" s="969"/>
    </row>
    <row r="392">
      <c r="A392" s="969"/>
      <c r="B392" s="1278"/>
      <c r="C392" s="969"/>
      <c r="D392" s="969"/>
      <c r="E392" s="969"/>
      <c r="F392" s="969"/>
      <c r="G392" s="969"/>
      <c r="H392" s="969"/>
      <c r="I392" s="969"/>
      <c r="J392" s="969"/>
      <c r="K392" s="969"/>
      <c r="L392" s="969"/>
    </row>
    <row r="393">
      <c r="A393" s="969"/>
      <c r="B393" s="1278"/>
      <c r="C393" s="969"/>
      <c r="D393" s="969"/>
      <c r="E393" s="969"/>
      <c r="F393" s="969"/>
      <c r="G393" s="969"/>
      <c r="H393" s="969"/>
      <c r="I393" s="969"/>
      <c r="J393" s="969"/>
      <c r="K393" s="969"/>
      <c r="L393" s="969"/>
    </row>
    <row r="394">
      <c r="A394" s="969"/>
      <c r="B394" s="1278"/>
      <c r="C394" s="969"/>
      <c r="D394" s="969"/>
      <c r="E394" s="969"/>
      <c r="F394" s="969"/>
      <c r="G394" s="969"/>
      <c r="H394" s="969"/>
      <c r="I394" s="969"/>
      <c r="J394" s="969"/>
      <c r="K394" s="969"/>
      <c r="L394" s="969"/>
    </row>
    <row r="395">
      <c r="A395" s="969"/>
      <c r="B395" s="1278"/>
      <c r="C395" s="969"/>
      <c r="D395" s="969"/>
      <c r="E395" s="969"/>
      <c r="F395" s="969"/>
      <c r="G395" s="969"/>
      <c r="H395" s="969"/>
      <c r="I395" s="969"/>
      <c r="J395" s="969"/>
      <c r="K395" s="969"/>
      <c r="L395" s="969"/>
    </row>
    <row r="396">
      <c r="A396" s="969"/>
      <c r="B396" s="1278"/>
      <c r="C396" s="969"/>
      <c r="D396" s="969"/>
      <c r="E396" s="969"/>
      <c r="F396" s="969"/>
      <c r="G396" s="969"/>
      <c r="H396" s="969"/>
      <c r="I396" s="969"/>
      <c r="J396" s="969"/>
      <c r="K396" s="969"/>
      <c r="L396" s="969"/>
    </row>
    <row r="397">
      <c r="A397" s="969"/>
      <c r="B397" s="1278"/>
      <c r="C397" s="969"/>
      <c r="D397" s="969"/>
      <c r="E397" s="969"/>
      <c r="F397" s="969"/>
      <c r="G397" s="969"/>
      <c r="H397" s="969"/>
      <c r="I397" s="969"/>
      <c r="J397" s="969"/>
      <c r="K397" s="969"/>
      <c r="L397" s="969"/>
    </row>
    <row r="398">
      <c r="A398" s="969"/>
      <c r="B398" s="1278"/>
      <c r="C398" s="969"/>
      <c r="D398" s="969"/>
      <c r="E398" s="969"/>
      <c r="F398" s="969"/>
      <c r="G398" s="969"/>
      <c r="H398" s="969"/>
      <c r="I398" s="969"/>
      <c r="J398" s="969"/>
      <c r="K398" s="969"/>
      <c r="L398" s="969"/>
    </row>
    <row r="399">
      <c r="A399" s="969"/>
      <c r="B399" s="1278"/>
      <c r="C399" s="969"/>
      <c r="D399" s="969"/>
      <c r="E399" s="969"/>
      <c r="F399" s="969"/>
      <c r="G399" s="969"/>
      <c r="H399" s="969"/>
      <c r="I399" s="969"/>
      <c r="J399" s="969"/>
      <c r="K399" s="969"/>
      <c r="L399" s="969"/>
    </row>
    <row r="400">
      <c r="A400" s="969"/>
      <c r="B400" s="1278"/>
      <c r="C400" s="969"/>
      <c r="D400" s="969"/>
      <c r="E400" s="969"/>
      <c r="F400" s="969"/>
      <c r="G400" s="969"/>
      <c r="H400" s="969"/>
      <c r="I400" s="969"/>
      <c r="J400" s="969"/>
      <c r="K400" s="969"/>
      <c r="L400" s="969"/>
    </row>
    <row r="401">
      <c r="A401" s="969"/>
      <c r="B401" s="1278"/>
      <c r="C401" s="969"/>
      <c r="D401" s="969"/>
      <c r="E401" s="969"/>
      <c r="F401" s="969"/>
      <c r="G401" s="969"/>
      <c r="H401" s="969"/>
      <c r="I401" s="969"/>
      <c r="J401" s="969"/>
      <c r="K401" s="969"/>
      <c r="L401" s="969"/>
    </row>
    <row r="402">
      <c r="A402" s="969"/>
      <c r="B402" s="1278"/>
      <c r="C402" s="969"/>
      <c r="D402" s="969"/>
      <c r="E402" s="969"/>
      <c r="F402" s="969"/>
      <c r="G402" s="969"/>
      <c r="H402" s="969"/>
      <c r="I402" s="969"/>
      <c r="J402" s="969"/>
      <c r="K402" s="969"/>
      <c r="L402" s="969"/>
    </row>
    <row r="403">
      <c r="A403" s="969"/>
      <c r="B403" s="1278"/>
      <c r="C403" s="969"/>
      <c r="D403" s="969"/>
      <c r="E403" s="969"/>
      <c r="F403" s="969"/>
      <c r="G403" s="969"/>
      <c r="H403" s="969"/>
      <c r="I403" s="969"/>
      <c r="J403" s="969"/>
      <c r="K403" s="969"/>
      <c r="L403" s="969"/>
    </row>
    <row r="404">
      <c r="A404" s="969"/>
      <c r="B404" s="1278"/>
      <c r="C404" s="969"/>
      <c r="D404" s="969"/>
      <c r="E404" s="969"/>
      <c r="F404" s="969"/>
      <c r="G404" s="969"/>
      <c r="H404" s="969"/>
      <c r="I404" s="969"/>
      <c r="J404" s="969"/>
      <c r="K404" s="969"/>
      <c r="L404" s="969"/>
    </row>
    <row r="405">
      <c r="A405" s="969"/>
      <c r="B405" s="1278"/>
      <c r="C405" s="969"/>
      <c r="D405" s="969"/>
      <c r="E405" s="969"/>
      <c r="F405" s="969"/>
      <c r="G405" s="969"/>
      <c r="H405" s="969"/>
      <c r="I405" s="969"/>
      <c r="J405" s="969"/>
      <c r="K405" s="969"/>
      <c r="L405" s="969"/>
    </row>
    <row r="406">
      <c r="A406" s="969"/>
      <c r="B406" s="1278"/>
      <c r="C406" s="969"/>
      <c r="D406" s="969"/>
      <c r="E406" s="969"/>
      <c r="F406" s="969"/>
      <c r="G406" s="969"/>
      <c r="H406" s="969"/>
      <c r="I406" s="969"/>
      <c r="J406" s="969"/>
      <c r="K406" s="969"/>
      <c r="L406" s="969"/>
    </row>
    <row r="407">
      <c r="A407" s="969"/>
      <c r="B407" s="1278"/>
      <c r="C407" s="969"/>
      <c r="D407" s="969"/>
      <c r="E407" s="969"/>
      <c r="F407" s="969"/>
      <c r="G407" s="969"/>
      <c r="H407" s="969"/>
      <c r="I407" s="969"/>
      <c r="J407" s="969"/>
      <c r="K407" s="969"/>
      <c r="L407" s="969"/>
    </row>
    <row r="408">
      <c r="A408" s="969"/>
      <c r="B408" s="1278"/>
      <c r="C408" s="969"/>
      <c r="D408" s="969"/>
      <c r="E408" s="969"/>
      <c r="F408" s="969"/>
      <c r="G408" s="969"/>
      <c r="H408" s="969"/>
      <c r="I408" s="969"/>
      <c r="J408" s="969"/>
      <c r="K408" s="969"/>
      <c r="L408" s="969"/>
    </row>
    <row r="409">
      <c r="A409" s="969"/>
      <c r="B409" s="1278"/>
      <c r="C409" s="969"/>
      <c r="D409" s="969"/>
      <c r="E409" s="969"/>
      <c r="F409" s="969"/>
      <c r="G409" s="969"/>
      <c r="H409" s="969"/>
      <c r="I409" s="969"/>
      <c r="J409" s="969"/>
      <c r="K409" s="969"/>
      <c r="L409" s="969"/>
    </row>
    <row r="410">
      <c r="A410" s="969"/>
      <c r="B410" s="1278"/>
      <c r="C410" s="969"/>
      <c r="D410" s="969"/>
      <c r="E410" s="969"/>
      <c r="F410" s="969"/>
      <c r="G410" s="969"/>
      <c r="H410" s="969"/>
      <c r="I410" s="969"/>
      <c r="J410" s="969"/>
      <c r="K410" s="969"/>
      <c r="L410" s="969"/>
    </row>
    <row r="411">
      <c r="A411" s="969"/>
      <c r="B411" s="1278"/>
      <c r="C411" s="969"/>
      <c r="D411" s="969"/>
      <c r="E411" s="969"/>
      <c r="F411" s="969"/>
      <c r="G411" s="969"/>
      <c r="H411" s="969"/>
      <c r="I411" s="969"/>
      <c r="J411" s="969"/>
      <c r="K411" s="969"/>
      <c r="L411" s="969"/>
    </row>
    <row r="412">
      <c r="A412" s="969"/>
      <c r="B412" s="1278"/>
      <c r="C412" s="969"/>
      <c r="D412" s="969"/>
      <c r="E412" s="969"/>
      <c r="F412" s="969"/>
      <c r="G412" s="969"/>
      <c r="H412" s="969"/>
      <c r="I412" s="969"/>
      <c r="J412" s="969"/>
      <c r="K412" s="969"/>
      <c r="L412" s="969"/>
    </row>
    <row r="413">
      <c r="A413" s="969"/>
      <c r="B413" s="1278"/>
      <c r="C413" s="969"/>
      <c r="D413" s="969"/>
      <c r="E413" s="969"/>
      <c r="F413" s="969"/>
      <c r="G413" s="969"/>
      <c r="H413" s="969"/>
      <c r="I413" s="969"/>
      <c r="J413" s="969"/>
      <c r="K413" s="969"/>
      <c r="L413" s="969"/>
    </row>
    <row r="414">
      <c r="A414" s="969"/>
      <c r="B414" s="1278"/>
      <c r="C414" s="969"/>
      <c r="D414" s="969"/>
      <c r="E414" s="969"/>
      <c r="F414" s="969"/>
      <c r="G414" s="969"/>
      <c r="H414" s="969"/>
      <c r="I414" s="969"/>
      <c r="J414" s="969"/>
      <c r="K414" s="969"/>
      <c r="L414" s="969"/>
    </row>
    <row r="415">
      <c r="A415" s="969"/>
      <c r="B415" s="1278"/>
      <c r="C415" s="969"/>
      <c r="D415" s="969"/>
      <c r="E415" s="969"/>
      <c r="F415" s="969"/>
      <c r="G415" s="969"/>
      <c r="H415" s="969"/>
      <c r="I415" s="969"/>
      <c r="J415" s="969"/>
      <c r="K415" s="969"/>
      <c r="L415" s="969"/>
    </row>
    <row r="416">
      <c r="A416" s="969"/>
      <c r="B416" s="1278"/>
      <c r="C416" s="969"/>
      <c r="D416" s="969"/>
      <c r="E416" s="969"/>
      <c r="F416" s="969"/>
      <c r="G416" s="969"/>
      <c r="H416" s="969"/>
      <c r="I416" s="969"/>
      <c r="J416" s="969"/>
      <c r="K416" s="969"/>
      <c r="L416" s="969"/>
    </row>
    <row r="417">
      <c r="A417" s="969"/>
      <c r="B417" s="1278"/>
      <c r="C417" s="969"/>
      <c r="D417" s="969"/>
      <c r="E417" s="969"/>
      <c r="F417" s="969"/>
      <c r="G417" s="969"/>
      <c r="H417" s="969"/>
      <c r="I417" s="969"/>
      <c r="J417" s="969"/>
      <c r="K417" s="969"/>
      <c r="L417" s="969"/>
    </row>
    <row r="418">
      <c r="A418" s="969"/>
      <c r="B418" s="1278"/>
      <c r="C418" s="969"/>
      <c r="D418" s="969"/>
      <c r="E418" s="969"/>
      <c r="F418" s="969"/>
      <c r="G418" s="969"/>
      <c r="H418" s="969"/>
      <c r="I418" s="969"/>
      <c r="J418" s="969"/>
      <c r="K418" s="969"/>
      <c r="L418" s="969"/>
    </row>
    <row r="419">
      <c r="A419" s="969"/>
      <c r="B419" s="1278"/>
      <c r="C419" s="969"/>
      <c r="D419" s="969"/>
      <c r="E419" s="969"/>
      <c r="F419" s="969"/>
      <c r="G419" s="969"/>
      <c r="H419" s="969"/>
      <c r="I419" s="969"/>
      <c r="J419" s="969"/>
      <c r="K419" s="969"/>
      <c r="L419" s="969"/>
    </row>
    <row r="420">
      <c r="A420" s="969"/>
      <c r="B420" s="1278"/>
      <c r="C420" s="969"/>
      <c r="D420" s="969"/>
      <c r="E420" s="969"/>
      <c r="F420" s="969"/>
      <c r="G420" s="969"/>
      <c r="H420" s="969"/>
      <c r="I420" s="969"/>
      <c r="J420" s="969"/>
      <c r="K420" s="969"/>
      <c r="L420" s="969"/>
    </row>
    <row r="421">
      <c r="A421" s="969"/>
      <c r="B421" s="1278"/>
      <c r="C421" s="969"/>
      <c r="D421" s="969"/>
      <c r="E421" s="969"/>
      <c r="F421" s="969"/>
      <c r="G421" s="969"/>
      <c r="H421" s="969"/>
      <c r="I421" s="969"/>
      <c r="J421" s="969"/>
      <c r="K421" s="969"/>
      <c r="L421" s="969"/>
    </row>
    <row r="422">
      <c r="A422" s="969"/>
      <c r="B422" s="1278"/>
      <c r="C422" s="969"/>
      <c r="D422" s="969"/>
      <c r="E422" s="969"/>
      <c r="F422" s="969"/>
      <c r="G422" s="969"/>
      <c r="H422" s="969"/>
      <c r="I422" s="969"/>
      <c r="J422" s="969"/>
      <c r="K422" s="969"/>
      <c r="L422" s="969"/>
    </row>
    <row r="423">
      <c r="A423" s="969"/>
      <c r="B423" s="1278"/>
      <c r="C423" s="969"/>
      <c r="D423" s="969"/>
      <c r="E423" s="969"/>
      <c r="F423" s="969"/>
      <c r="G423" s="969"/>
      <c r="H423" s="969"/>
      <c r="I423" s="969"/>
      <c r="J423" s="969"/>
      <c r="K423" s="969"/>
      <c r="L423" s="969"/>
    </row>
    <row r="424">
      <c r="A424" s="969"/>
      <c r="B424" s="1278"/>
      <c r="C424" s="969"/>
      <c r="D424" s="969"/>
      <c r="E424" s="969"/>
      <c r="F424" s="969"/>
      <c r="G424" s="969"/>
      <c r="H424" s="969"/>
      <c r="I424" s="969"/>
      <c r="J424" s="969"/>
      <c r="K424" s="969"/>
      <c r="L424" s="969"/>
    </row>
    <row r="425">
      <c r="A425" s="969"/>
      <c r="B425" s="1278"/>
      <c r="C425" s="969"/>
      <c r="D425" s="969"/>
      <c r="E425" s="969"/>
      <c r="F425" s="969"/>
      <c r="G425" s="969"/>
      <c r="H425" s="969"/>
      <c r="I425" s="969"/>
      <c r="J425" s="969"/>
      <c r="K425" s="969"/>
      <c r="L425" s="969"/>
    </row>
    <row r="426">
      <c r="A426" s="969"/>
      <c r="B426" s="1278"/>
      <c r="C426" s="969"/>
      <c r="D426" s="969"/>
      <c r="E426" s="969"/>
      <c r="F426" s="969"/>
      <c r="G426" s="969"/>
      <c r="H426" s="969"/>
      <c r="I426" s="969"/>
      <c r="J426" s="969"/>
      <c r="K426" s="969"/>
      <c r="L426" s="969"/>
    </row>
    <row r="427">
      <c r="A427" s="969"/>
      <c r="B427" s="1278"/>
      <c r="C427" s="969"/>
      <c r="D427" s="969"/>
      <c r="E427" s="969"/>
      <c r="F427" s="969"/>
      <c r="G427" s="969"/>
      <c r="H427" s="969"/>
      <c r="I427" s="969"/>
      <c r="J427" s="969"/>
      <c r="K427" s="969"/>
      <c r="L427" s="969"/>
    </row>
    <row r="428">
      <c r="A428" s="969"/>
      <c r="B428" s="1278"/>
      <c r="C428" s="969"/>
      <c r="D428" s="969"/>
      <c r="E428" s="969"/>
      <c r="F428" s="969"/>
      <c r="G428" s="969"/>
      <c r="H428" s="969"/>
      <c r="I428" s="969"/>
      <c r="J428" s="969"/>
      <c r="K428" s="969"/>
      <c r="L428" s="969"/>
    </row>
    <row r="429">
      <c r="A429" s="969"/>
      <c r="B429" s="1278"/>
      <c r="C429" s="969"/>
      <c r="D429" s="969"/>
      <c r="E429" s="969"/>
      <c r="F429" s="969"/>
      <c r="G429" s="969"/>
      <c r="H429" s="969"/>
      <c r="I429" s="969"/>
      <c r="J429" s="969"/>
      <c r="K429" s="969"/>
      <c r="L429" s="969"/>
    </row>
    <row r="430">
      <c r="A430" s="969"/>
      <c r="B430" s="1278"/>
      <c r="C430" s="969"/>
      <c r="D430" s="969"/>
      <c r="E430" s="969"/>
      <c r="F430" s="969"/>
      <c r="G430" s="969"/>
      <c r="H430" s="969"/>
      <c r="I430" s="969"/>
      <c r="J430" s="969"/>
      <c r="K430" s="969"/>
      <c r="L430" s="969"/>
    </row>
    <row r="431">
      <c r="A431" s="969"/>
      <c r="B431" s="1278"/>
      <c r="C431" s="969"/>
      <c r="D431" s="969"/>
      <c r="E431" s="969"/>
      <c r="F431" s="969"/>
      <c r="G431" s="969"/>
      <c r="H431" s="969"/>
      <c r="I431" s="969"/>
      <c r="J431" s="969"/>
      <c r="K431" s="969"/>
      <c r="L431" s="969"/>
    </row>
    <row r="432">
      <c r="A432" s="969"/>
      <c r="B432" s="1278"/>
      <c r="C432" s="969"/>
      <c r="D432" s="969"/>
      <c r="E432" s="969"/>
      <c r="F432" s="969"/>
      <c r="G432" s="969"/>
      <c r="H432" s="969"/>
      <c r="I432" s="969"/>
      <c r="J432" s="969"/>
      <c r="K432" s="969"/>
      <c r="L432" s="969"/>
    </row>
    <row r="433">
      <c r="A433" s="969"/>
      <c r="B433" s="1278"/>
      <c r="C433" s="969"/>
      <c r="D433" s="969"/>
      <c r="E433" s="969"/>
      <c r="F433" s="969"/>
      <c r="G433" s="969"/>
      <c r="H433" s="969"/>
      <c r="I433" s="969"/>
      <c r="J433" s="969"/>
      <c r="K433" s="969"/>
      <c r="L433" s="969"/>
    </row>
    <row r="434">
      <c r="A434" s="969"/>
      <c r="B434" s="1278"/>
      <c r="C434" s="969"/>
      <c r="D434" s="969"/>
      <c r="E434" s="969"/>
      <c r="F434" s="969"/>
      <c r="G434" s="969"/>
      <c r="H434" s="969"/>
      <c r="I434" s="969"/>
      <c r="J434" s="969"/>
      <c r="K434" s="969"/>
      <c r="L434" s="969"/>
    </row>
    <row r="435">
      <c r="A435" s="969"/>
      <c r="B435" s="1278"/>
      <c r="C435" s="969"/>
      <c r="D435" s="969"/>
      <c r="E435" s="969"/>
      <c r="F435" s="969"/>
      <c r="G435" s="969"/>
      <c r="H435" s="969"/>
      <c r="I435" s="969"/>
      <c r="J435" s="969"/>
      <c r="K435" s="969"/>
      <c r="L435" s="969"/>
    </row>
    <row r="436">
      <c r="A436" s="969"/>
      <c r="B436" s="1278"/>
      <c r="C436" s="969"/>
      <c r="D436" s="969"/>
      <c r="E436" s="969"/>
      <c r="F436" s="969"/>
      <c r="G436" s="969"/>
      <c r="H436" s="969"/>
      <c r="I436" s="969"/>
      <c r="J436" s="969"/>
      <c r="K436" s="969"/>
      <c r="L436" s="969"/>
    </row>
    <row r="437">
      <c r="A437" s="969"/>
      <c r="B437" s="1278"/>
      <c r="C437" s="969"/>
      <c r="D437" s="969"/>
      <c r="E437" s="969"/>
      <c r="F437" s="969"/>
      <c r="G437" s="969"/>
      <c r="H437" s="969"/>
      <c r="I437" s="969"/>
      <c r="J437" s="969"/>
      <c r="K437" s="969"/>
      <c r="L437" s="969"/>
    </row>
    <row r="438">
      <c r="A438" s="969"/>
      <c r="B438" s="1278"/>
      <c r="C438" s="969"/>
      <c r="D438" s="969"/>
      <c r="E438" s="969"/>
      <c r="F438" s="969"/>
      <c r="G438" s="969"/>
      <c r="H438" s="969"/>
      <c r="I438" s="969"/>
      <c r="J438" s="969"/>
      <c r="K438" s="969"/>
      <c r="L438" s="969"/>
    </row>
    <row r="439">
      <c r="A439" s="969"/>
      <c r="B439" s="1278"/>
      <c r="C439" s="969"/>
      <c r="D439" s="969"/>
      <c r="E439" s="969"/>
      <c r="F439" s="969"/>
      <c r="G439" s="969"/>
      <c r="H439" s="969"/>
      <c r="I439" s="969"/>
      <c r="J439" s="969"/>
      <c r="K439" s="969"/>
      <c r="L439" s="969"/>
    </row>
    <row r="440">
      <c r="A440" s="969"/>
      <c r="B440" s="1278"/>
      <c r="C440" s="969"/>
      <c r="D440" s="969"/>
      <c r="E440" s="969"/>
      <c r="F440" s="969"/>
      <c r="G440" s="969"/>
      <c r="H440" s="969"/>
      <c r="I440" s="969"/>
      <c r="J440" s="969"/>
      <c r="K440" s="969"/>
      <c r="L440" s="969"/>
    </row>
    <row r="441">
      <c r="A441" s="969"/>
      <c r="B441" s="1278"/>
      <c r="C441" s="969"/>
      <c r="D441" s="969"/>
      <c r="E441" s="969"/>
      <c r="F441" s="969"/>
      <c r="G441" s="969"/>
      <c r="H441" s="969"/>
      <c r="I441" s="969"/>
      <c r="J441" s="969"/>
      <c r="K441" s="969"/>
      <c r="L441" s="969"/>
    </row>
    <row r="442">
      <c r="A442" s="969"/>
      <c r="B442" s="1278"/>
      <c r="C442" s="969"/>
      <c r="D442" s="969"/>
      <c r="E442" s="969"/>
      <c r="F442" s="969"/>
      <c r="G442" s="969"/>
      <c r="H442" s="969"/>
      <c r="I442" s="969"/>
      <c r="J442" s="969"/>
      <c r="K442" s="969"/>
      <c r="L442" s="969"/>
    </row>
    <row r="443">
      <c r="A443" s="969"/>
      <c r="B443" s="1278"/>
      <c r="C443" s="969"/>
      <c r="D443" s="969"/>
      <c r="E443" s="969"/>
      <c r="F443" s="969"/>
      <c r="G443" s="969"/>
      <c r="H443" s="969"/>
      <c r="I443" s="969"/>
      <c r="J443" s="969"/>
      <c r="K443" s="969"/>
      <c r="L443" s="969"/>
    </row>
    <row r="444">
      <c r="A444" s="969"/>
      <c r="B444" s="1278"/>
      <c r="C444" s="969"/>
      <c r="D444" s="969"/>
      <c r="E444" s="969"/>
      <c r="F444" s="969"/>
      <c r="G444" s="969"/>
      <c r="H444" s="969"/>
      <c r="I444" s="969"/>
      <c r="J444" s="969"/>
      <c r="K444" s="969"/>
      <c r="L444" s="969"/>
    </row>
    <row r="445">
      <c r="A445" s="969"/>
      <c r="B445" s="1278"/>
      <c r="C445" s="969"/>
      <c r="D445" s="969"/>
      <c r="E445" s="969"/>
      <c r="F445" s="969"/>
      <c r="G445" s="969"/>
      <c r="H445" s="969"/>
      <c r="I445" s="969"/>
      <c r="J445" s="969"/>
      <c r="K445" s="969"/>
      <c r="L445" s="969"/>
    </row>
    <row r="446">
      <c r="A446" s="969"/>
      <c r="B446" s="1278"/>
      <c r="C446" s="969"/>
      <c r="D446" s="969"/>
      <c r="E446" s="969"/>
      <c r="F446" s="969"/>
      <c r="G446" s="969"/>
      <c r="H446" s="969"/>
      <c r="I446" s="969"/>
      <c r="J446" s="969"/>
      <c r="K446" s="969"/>
      <c r="L446" s="969"/>
    </row>
    <row r="447">
      <c r="A447" s="969"/>
      <c r="B447" s="1278"/>
      <c r="C447" s="969"/>
      <c r="D447" s="969"/>
      <c r="E447" s="969"/>
      <c r="F447" s="969"/>
      <c r="G447" s="969"/>
      <c r="H447" s="969"/>
      <c r="I447" s="969"/>
      <c r="J447" s="969"/>
      <c r="K447" s="969"/>
      <c r="L447" s="969"/>
    </row>
    <row r="448">
      <c r="A448" s="969"/>
      <c r="B448" s="1278"/>
      <c r="C448" s="969"/>
      <c r="D448" s="969"/>
      <c r="E448" s="969"/>
      <c r="F448" s="969"/>
      <c r="G448" s="969"/>
      <c r="H448" s="969"/>
      <c r="I448" s="969"/>
      <c r="J448" s="969"/>
      <c r="K448" s="969"/>
      <c r="L448" s="969"/>
    </row>
    <row r="449">
      <c r="A449" s="969"/>
      <c r="B449" s="1278"/>
      <c r="C449" s="969"/>
      <c r="D449" s="969"/>
      <c r="E449" s="969"/>
      <c r="F449" s="969"/>
      <c r="G449" s="969"/>
      <c r="H449" s="969"/>
      <c r="I449" s="969"/>
      <c r="J449" s="969"/>
      <c r="K449" s="969"/>
      <c r="L449" s="969"/>
    </row>
    <row r="450">
      <c r="A450" s="969"/>
      <c r="B450" s="1278"/>
      <c r="C450" s="969"/>
      <c r="D450" s="969"/>
      <c r="E450" s="969"/>
      <c r="F450" s="969"/>
      <c r="G450" s="969"/>
      <c r="H450" s="969"/>
      <c r="I450" s="969"/>
      <c r="J450" s="969"/>
      <c r="K450" s="969"/>
      <c r="L450" s="969"/>
    </row>
    <row r="451">
      <c r="A451" s="969"/>
      <c r="B451" s="1278"/>
      <c r="C451" s="969"/>
      <c r="D451" s="969"/>
      <c r="E451" s="969"/>
      <c r="F451" s="969"/>
      <c r="G451" s="969"/>
      <c r="H451" s="969"/>
      <c r="I451" s="969"/>
      <c r="J451" s="969"/>
      <c r="K451" s="969"/>
      <c r="L451" s="969"/>
    </row>
    <row r="452">
      <c r="A452" s="969"/>
      <c r="B452" s="1278"/>
      <c r="C452" s="969"/>
      <c r="D452" s="969"/>
      <c r="E452" s="969"/>
      <c r="F452" s="969"/>
      <c r="G452" s="969"/>
      <c r="H452" s="969"/>
      <c r="I452" s="969"/>
      <c r="J452" s="969"/>
      <c r="K452" s="969"/>
      <c r="L452" s="969"/>
    </row>
    <row r="453">
      <c r="A453" s="969"/>
      <c r="B453" s="1278"/>
      <c r="C453" s="969"/>
      <c r="D453" s="969"/>
      <c r="E453" s="969"/>
      <c r="F453" s="969"/>
      <c r="G453" s="969"/>
      <c r="H453" s="969"/>
      <c r="I453" s="969"/>
      <c r="J453" s="969"/>
      <c r="K453" s="969"/>
      <c r="L453" s="969"/>
    </row>
    <row r="454">
      <c r="A454" s="969"/>
      <c r="B454" s="1278"/>
      <c r="C454" s="969"/>
      <c r="D454" s="969"/>
      <c r="E454" s="969"/>
      <c r="F454" s="969"/>
      <c r="G454" s="969"/>
      <c r="H454" s="969"/>
      <c r="I454" s="969"/>
      <c r="J454" s="969"/>
      <c r="K454" s="969"/>
      <c r="L454" s="969"/>
    </row>
    <row r="455">
      <c r="A455" s="969"/>
      <c r="B455" s="1278"/>
      <c r="C455" s="969"/>
      <c r="D455" s="969"/>
      <c r="E455" s="969"/>
      <c r="F455" s="969"/>
      <c r="G455" s="969"/>
      <c r="H455" s="969"/>
      <c r="I455" s="969"/>
      <c r="J455" s="969"/>
      <c r="K455" s="969"/>
      <c r="L455" s="969"/>
    </row>
    <row r="456">
      <c r="A456" s="969"/>
      <c r="B456" s="1278"/>
      <c r="C456" s="969"/>
      <c r="D456" s="969"/>
      <c r="E456" s="969"/>
      <c r="F456" s="969"/>
      <c r="G456" s="969"/>
      <c r="H456" s="969"/>
      <c r="I456" s="969"/>
      <c r="J456" s="969"/>
      <c r="K456" s="969"/>
      <c r="L456" s="969"/>
    </row>
    <row r="457">
      <c r="A457" s="969"/>
      <c r="B457" s="1278"/>
      <c r="C457" s="969"/>
      <c r="D457" s="969"/>
      <c r="E457" s="969"/>
      <c r="F457" s="969"/>
      <c r="G457" s="969"/>
      <c r="H457" s="969"/>
      <c r="I457" s="969"/>
      <c r="J457" s="969"/>
      <c r="K457" s="969"/>
      <c r="L457" s="969"/>
    </row>
    <row r="458">
      <c r="A458" s="969"/>
      <c r="B458" s="1278"/>
      <c r="C458" s="969"/>
      <c r="D458" s="969"/>
      <c r="E458" s="969"/>
      <c r="F458" s="969"/>
      <c r="G458" s="969"/>
      <c r="H458" s="969"/>
      <c r="I458" s="969"/>
      <c r="J458" s="969"/>
      <c r="K458" s="969"/>
      <c r="L458" s="969"/>
    </row>
    <row r="459">
      <c r="A459" s="969"/>
      <c r="B459" s="1278"/>
      <c r="C459" s="969"/>
      <c r="D459" s="969"/>
      <c r="E459" s="969"/>
      <c r="F459" s="969"/>
      <c r="G459" s="969"/>
      <c r="H459" s="969"/>
      <c r="I459" s="969"/>
      <c r="J459" s="969"/>
      <c r="K459" s="969"/>
      <c r="L459" s="969"/>
    </row>
    <row r="460">
      <c r="A460" s="969"/>
      <c r="B460" s="1278"/>
      <c r="C460" s="969"/>
      <c r="D460" s="969"/>
      <c r="E460" s="969"/>
      <c r="F460" s="969"/>
      <c r="G460" s="969"/>
      <c r="H460" s="969"/>
      <c r="I460" s="969"/>
      <c r="J460" s="969"/>
      <c r="K460" s="969"/>
      <c r="L460" s="969"/>
    </row>
    <row r="461">
      <c r="A461" s="969"/>
      <c r="B461" s="1278"/>
      <c r="C461" s="969"/>
      <c r="D461" s="969"/>
      <c r="E461" s="969"/>
      <c r="F461" s="969"/>
      <c r="G461" s="969"/>
      <c r="H461" s="969"/>
      <c r="I461" s="969"/>
      <c r="J461" s="969"/>
      <c r="K461" s="969"/>
      <c r="L461" s="969"/>
    </row>
    <row r="462">
      <c r="A462" s="969"/>
      <c r="B462" s="1278"/>
      <c r="C462" s="969"/>
      <c r="D462" s="969"/>
      <c r="E462" s="969"/>
      <c r="F462" s="969"/>
      <c r="G462" s="969"/>
      <c r="H462" s="969"/>
      <c r="I462" s="969"/>
      <c r="J462" s="969"/>
      <c r="K462" s="969"/>
      <c r="L462" s="969"/>
    </row>
    <row r="463">
      <c r="A463" s="969"/>
      <c r="B463" s="1278"/>
      <c r="C463" s="969"/>
      <c r="D463" s="969"/>
      <c r="E463" s="969"/>
      <c r="F463" s="969"/>
      <c r="G463" s="969"/>
      <c r="H463" s="969"/>
      <c r="I463" s="969"/>
      <c r="J463" s="969"/>
      <c r="K463" s="969"/>
      <c r="L463" s="969"/>
    </row>
    <row r="464">
      <c r="A464" s="969"/>
      <c r="B464" s="1278"/>
      <c r="C464" s="969"/>
      <c r="D464" s="969"/>
      <c r="E464" s="969"/>
      <c r="F464" s="969"/>
      <c r="G464" s="969"/>
      <c r="H464" s="969"/>
      <c r="I464" s="969"/>
      <c r="J464" s="969"/>
      <c r="K464" s="969"/>
      <c r="L464" s="969"/>
    </row>
    <row r="465">
      <c r="A465" s="969"/>
      <c r="B465" s="1278"/>
      <c r="C465" s="969"/>
      <c r="D465" s="969"/>
      <c r="E465" s="969"/>
      <c r="F465" s="969"/>
      <c r="G465" s="969"/>
      <c r="H465" s="969"/>
      <c r="I465" s="969"/>
      <c r="J465" s="969"/>
      <c r="K465" s="969"/>
      <c r="L465" s="969"/>
    </row>
    <row r="466">
      <c r="A466" s="969"/>
      <c r="B466" s="1278"/>
      <c r="C466" s="969"/>
      <c r="D466" s="969"/>
      <c r="E466" s="969"/>
      <c r="F466" s="969"/>
      <c r="G466" s="969"/>
      <c r="H466" s="969"/>
      <c r="I466" s="969"/>
      <c r="J466" s="969"/>
      <c r="K466" s="969"/>
      <c r="L466" s="969"/>
    </row>
    <row r="467">
      <c r="A467" s="969"/>
      <c r="B467" s="1278"/>
      <c r="C467" s="969"/>
      <c r="D467" s="969"/>
      <c r="E467" s="969"/>
      <c r="F467" s="969"/>
      <c r="G467" s="969"/>
      <c r="H467" s="969"/>
      <c r="I467" s="969"/>
      <c r="J467" s="969"/>
      <c r="K467" s="969"/>
      <c r="L467" s="969"/>
    </row>
    <row r="468">
      <c r="A468" s="969"/>
      <c r="B468" s="1278"/>
      <c r="C468" s="969"/>
      <c r="D468" s="969"/>
      <c r="E468" s="969"/>
      <c r="F468" s="969"/>
      <c r="G468" s="969"/>
      <c r="H468" s="969"/>
      <c r="I468" s="969"/>
      <c r="J468" s="969"/>
      <c r="K468" s="969"/>
      <c r="L468" s="969"/>
    </row>
    <row r="469">
      <c r="A469" s="969"/>
      <c r="B469" s="1278"/>
      <c r="C469" s="969"/>
      <c r="D469" s="969"/>
      <c r="E469" s="969"/>
      <c r="F469" s="969"/>
      <c r="G469" s="969"/>
      <c r="H469" s="969"/>
      <c r="I469" s="969"/>
      <c r="J469" s="969"/>
      <c r="K469" s="969"/>
      <c r="L469" s="969"/>
    </row>
    <row r="470">
      <c r="A470" s="969"/>
      <c r="B470" s="1278"/>
      <c r="C470" s="969"/>
      <c r="D470" s="969"/>
      <c r="E470" s="969"/>
      <c r="F470" s="969"/>
      <c r="G470" s="969"/>
      <c r="H470" s="969"/>
      <c r="I470" s="969"/>
      <c r="J470" s="969"/>
      <c r="K470" s="969"/>
      <c r="L470" s="969"/>
    </row>
    <row r="471">
      <c r="A471" s="969"/>
      <c r="B471" s="1278"/>
      <c r="C471" s="969"/>
      <c r="D471" s="969"/>
      <c r="E471" s="969"/>
      <c r="F471" s="969"/>
      <c r="G471" s="969"/>
      <c r="H471" s="969"/>
      <c r="I471" s="969"/>
      <c r="J471" s="969"/>
      <c r="K471" s="969"/>
      <c r="L471" s="969"/>
    </row>
    <row r="472">
      <c r="A472" s="969"/>
      <c r="B472" s="1278"/>
      <c r="C472" s="969"/>
      <c r="D472" s="969"/>
      <c r="E472" s="969"/>
      <c r="F472" s="969"/>
      <c r="G472" s="969"/>
      <c r="H472" s="969"/>
      <c r="I472" s="969"/>
      <c r="J472" s="969"/>
      <c r="K472" s="969"/>
      <c r="L472" s="969"/>
    </row>
    <row r="473">
      <c r="A473" s="969"/>
      <c r="B473" s="1278"/>
      <c r="C473" s="969"/>
      <c r="D473" s="969"/>
      <c r="E473" s="969"/>
      <c r="F473" s="969"/>
      <c r="G473" s="969"/>
      <c r="H473" s="969"/>
      <c r="I473" s="969"/>
      <c r="J473" s="969"/>
      <c r="K473" s="969"/>
      <c r="L473" s="969"/>
    </row>
    <row r="474">
      <c r="A474" s="969"/>
      <c r="B474" s="1278"/>
      <c r="C474" s="969"/>
      <c r="D474" s="969"/>
      <c r="E474" s="969"/>
      <c r="F474" s="969"/>
      <c r="G474" s="969"/>
      <c r="H474" s="969"/>
      <c r="I474" s="969"/>
      <c r="J474" s="969"/>
      <c r="K474" s="969"/>
      <c r="L474" s="969"/>
    </row>
    <row r="475">
      <c r="A475" s="969"/>
      <c r="B475" s="1278"/>
      <c r="C475" s="969"/>
      <c r="D475" s="969"/>
      <c r="E475" s="969"/>
      <c r="F475" s="969"/>
      <c r="G475" s="969"/>
      <c r="H475" s="969"/>
      <c r="I475" s="969"/>
      <c r="J475" s="969"/>
      <c r="K475" s="969"/>
      <c r="L475" s="969"/>
    </row>
    <row r="476">
      <c r="A476" s="969"/>
      <c r="B476" s="1278"/>
      <c r="C476" s="969"/>
      <c r="D476" s="969"/>
      <c r="E476" s="969"/>
      <c r="F476" s="969"/>
      <c r="G476" s="969"/>
      <c r="H476" s="969"/>
      <c r="I476" s="969"/>
      <c r="J476" s="969"/>
      <c r="K476" s="969"/>
      <c r="L476" s="969"/>
    </row>
    <row r="477">
      <c r="A477" s="969"/>
      <c r="B477" s="1278"/>
      <c r="C477" s="969"/>
      <c r="D477" s="969"/>
      <c r="E477" s="969"/>
      <c r="F477" s="969"/>
      <c r="G477" s="969"/>
      <c r="H477" s="969"/>
      <c r="I477" s="969"/>
      <c r="J477" s="969"/>
      <c r="K477" s="969"/>
      <c r="L477" s="969"/>
    </row>
    <row r="478">
      <c r="A478" s="969"/>
      <c r="B478" s="1278"/>
      <c r="C478" s="969"/>
      <c r="D478" s="969"/>
      <c r="E478" s="969"/>
      <c r="F478" s="969"/>
      <c r="G478" s="969"/>
      <c r="H478" s="969"/>
      <c r="I478" s="969"/>
      <c r="J478" s="969"/>
      <c r="K478" s="969"/>
      <c r="L478" s="969"/>
    </row>
    <row r="479">
      <c r="A479" s="969"/>
      <c r="B479" s="1278"/>
      <c r="C479" s="969"/>
      <c r="D479" s="969"/>
      <c r="E479" s="969"/>
      <c r="F479" s="969"/>
      <c r="G479" s="969"/>
      <c r="H479" s="969"/>
      <c r="I479" s="969"/>
      <c r="J479" s="969"/>
      <c r="K479" s="969"/>
      <c r="L479" s="969"/>
    </row>
    <row r="480">
      <c r="A480" s="969"/>
      <c r="B480" s="1278"/>
      <c r="C480" s="969"/>
      <c r="D480" s="969"/>
      <c r="E480" s="969"/>
      <c r="F480" s="969"/>
      <c r="G480" s="969"/>
      <c r="H480" s="969"/>
      <c r="I480" s="969"/>
      <c r="J480" s="969"/>
      <c r="K480" s="969"/>
      <c r="L480" s="969"/>
    </row>
    <row r="481">
      <c r="A481" s="969"/>
      <c r="B481" s="1278"/>
      <c r="C481" s="969"/>
      <c r="D481" s="969"/>
      <c r="E481" s="969"/>
      <c r="F481" s="969"/>
      <c r="G481" s="969"/>
      <c r="H481" s="969"/>
      <c r="I481" s="969"/>
      <c r="J481" s="969"/>
      <c r="K481" s="969"/>
      <c r="L481" s="969"/>
    </row>
    <row r="482">
      <c r="A482" s="969"/>
      <c r="B482" s="1278"/>
      <c r="C482" s="969"/>
      <c r="D482" s="969"/>
      <c r="E482" s="969"/>
      <c r="F482" s="969"/>
      <c r="G482" s="969"/>
      <c r="H482" s="969"/>
      <c r="I482" s="969"/>
      <c r="J482" s="969"/>
      <c r="K482" s="969"/>
      <c r="L482" s="969"/>
    </row>
    <row r="483">
      <c r="A483" s="969"/>
      <c r="B483" s="1278"/>
      <c r="C483" s="969"/>
      <c r="D483" s="969"/>
      <c r="E483" s="969"/>
      <c r="F483" s="969"/>
      <c r="G483" s="969"/>
      <c r="H483" s="969"/>
      <c r="I483" s="969"/>
      <c r="J483" s="969"/>
      <c r="K483" s="969"/>
      <c r="L483" s="969"/>
    </row>
    <row r="484">
      <c r="A484" s="969"/>
      <c r="B484" s="1278"/>
      <c r="C484" s="969"/>
      <c r="D484" s="969"/>
      <c r="E484" s="969"/>
      <c r="F484" s="969"/>
      <c r="G484" s="969"/>
      <c r="H484" s="969"/>
      <c r="I484" s="969"/>
      <c r="J484" s="969"/>
      <c r="K484" s="969"/>
      <c r="L484" s="969"/>
    </row>
    <row r="485">
      <c r="A485" s="969"/>
      <c r="B485" s="1278"/>
      <c r="C485" s="969"/>
      <c r="D485" s="969"/>
      <c r="E485" s="969"/>
      <c r="F485" s="969"/>
      <c r="G485" s="969"/>
      <c r="H485" s="969"/>
      <c r="I485" s="969"/>
      <c r="J485" s="969"/>
      <c r="K485" s="969"/>
      <c r="L485" s="969"/>
    </row>
    <row r="486">
      <c r="A486" s="969"/>
      <c r="B486" s="1278"/>
      <c r="C486" s="969"/>
      <c r="D486" s="969"/>
      <c r="E486" s="969"/>
      <c r="F486" s="969"/>
      <c r="G486" s="969"/>
      <c r="H486" s="969"/>
      <c r="I486" s="969"/>
      <c r="J486" s="969"/>
      <c r="K486" s="969"/>
      <c r="L486" s="969"/>
    </row>
    <row r="487">
      <c r="A487" s="969"/>
      <c r="B487" s="1278"/>
      <c r="C487" s="969"/>
      <c r="D487" s="969"/>
      <c r="E487" s="969"/>
      <c r="F487" s="969"/>
      <c r="G487" s="969"/>
      <c r="H487" s="969"/>
      <c r="I487" s="969"/>
      <c r="J487" s="969"/>
      <c r="K487" s="969"/>
      <c r="L487" s="969"/>
    </row>
    <row r="488">
      <c r="A488" s="969"/>
      <c r="B488" s="1278"/>
      <c r="C488" s="969"/>
      <c r="D488" s="969"/>
      <c r="E488" s="969"/>
      <c r="F488" s="969"/>
      <c r="G488" s="969"/>
      <c r="H488" s="969"/>
      <c r="I488" s="969"/>
      <c r="J488" s="969"/>
      <c r="K488" s="969"/>
      <c r="L488" s="969"/>
    </row>
    <row r="489">
      <c r="A489" s="969"/>
      <c r="B489" s="1278"/>
      <c r="C489" s="969"/>
      <c r="D489" s="969"/>
      <c r="E489" s="969"/>
      <c r="F489" s="969"/>
      <c r="G489" s="969"/>
      <c r="H489" s="969"/>
      <c r="I489" s="969"/>
      <c r="J489" s="969"/>
      <c r="K489" s="969"/>
      <c r="L489" s="969"/>
    </row>
    <row r="490">
      <c r="A490" s="969"/>
      <c r="B490" s="1278"/>
      <c r="C490" s="969"/>
      <c r="D490" s="969"/>
      <c r="E490" s="969"/>
      <c r="F490" s="969"/>
      <c r="G490" s="969"/>
      <c r="H490" s="969"/>
      <c r="I490" s="969"/>
      <c r="J490" s="969"/>
      <c r="K490" s="969"/>
      <c r="L490" s="969"/>
    </row>
    <row r="491">
      <c r="A491" s="969"/>
      <c r="B491" s="1278"/>
      <c r="C491" s="969"/>
      <c r="D491" s="969"/>
      <c r="E491" s="969"/>
      <c r="F491" s="969"/>
      <c r="G491" s="969"/>
      <c r="H491" s="969"/>
      <c r="I491" s="969"/>
      <c r="J491" s="969"/>
      <c r="K491" s="969"/>
      <c r="L491" s="969"/>
    </row>
    <row r="492">
      <c r="A492" s="969"/>
      <c r="B492" s="1278"/>
      <c r="C492" s="969"/>
      <c r="D492" s="969"/>
      <c r="E492" s="969"/>
      <c r="F492" s="969"/>
      <c r="G492" s="969"/>
      <c r="H492" s="969"/>
      <c r="I492" s="969"/>
      <c r="J492" s="969"/>
      <c r="K492" s="969"/>
      <c r="L492" s="969"/>
    </row>
    <row r="493">
      <c r="A493" s="969"/>
      <c r="B493" s="1278"/>
      <c r="C493" s="969"/>
      <c r="D493" s="969"/>
      <c r="E493" s="969"/>
      <c r="F493" s="969"/>
      <c r="G493" s="969"/>
      <c r="H493" s="969"/>
      <c r="I493" s="969"/>
      <c r="J493" s="969"/>
      <c r="K493" s="969"/>
      <c r="L493" s="969"/>
    </row>
    <row r="494">
      <c r="A494" s="969"/>
      <c r="B494" s="1278"/>
      <c r="C494" s="969"/>
      <c r="D494" s="969"/>
      <c r="E494" s="969"/>
      <c r="F494" s="969"/>
      <c r="G494" s="969"/>
      <c r="H494" s="969"/>
      <c r="I494" s="969"/>
      <c r="J494" s="969"/>
      <c r="K494" s="969"/>
      <c r="L494" s="969"/>
    </row>
    <row r="495">
      <c r="A495" s="969"/>
      <c r="B495" s="1278"/>
      <c r="C495" s="969"/>
      <c r="D495" s="969"/>
      <c r="E495" s="969"/>
      <c r="F495" s="969"/>
      <c r="G495" s="969"/>
      <c r="H495" s="969"/>
      <c r="I495" s="969"/>
      <c r="J495" s="969"/>
      <c r="K495" s="969"/>
      <c r="L495" s="969"/>
    </row>
    <row r="496">
      <c r="A496" s="969"/>
      <c r="B496" s="1278"/>
      <c r="C496" s="969"/>
      <c r="D496" s="969"/>
      <c r="E496" s="969"/>
      <c r="F496" s="969"/>
      <c r="G496" s="969"/>
      <c r="H496" s="969"/>
      <c r="I496" s="969"/>
      <c r="J496" s="969"/>
      <c r="K496" s="969"/>
      <c r="L496" s="969"/>
    </row>
    <row r="497">
      <c r="A497" s="969"/>
      <c r="B497" s="1278"/>
      <c r="C497" s="969"/>
      <c r="D497" s="969"/>
      <c r="E497" s="969"/>
      <c r="F497" s="969"/>
      <c r="G497" s="969"/>
      <c r="H497" s="969"/>
      <c r="I497" s="969"/>
      <c r="J497" s="969"/>
      <c r="K497" s="969"/>
      <c r="L497" s="969"/>
    </row>
    <row r="498">
      <c r="A498" s="969"/>
      <c r="B498" s="1278"/>
      <c r="C498" s="969"/>
      <c r="D498" s="969"/>
      <c r="E498" s="969"/>
      <c r="F498" s="969"/>
      <c r="G498" s="969"/>
      <c r="H498" s="969"/>
      <c r="I498" s="969"/>
      <c r="J498" s="969"/>
      <c r="K498" s="969"/>
      <c r="L498" s="969"/>
    </row>
    <row r="499">
      <c r="A499" s="969"/>
      <c r="B499" s="1278"/>
      <c r="C499" s="969"/>
      <c r="D499" s="969"/>
      <c r="E499" s="969"/>
      <c r="F499" s="969"/>
      <c r="G499" s="969"/>
      <c r="H499" s="969"/>
      <c r="I499" s="969"/>
      <c r="J499" s="969"/>
      <c r="K499" s="969"/>
      <c r="L499" s="969"/>
    </row>
    <row r="500">
      <c r="A500" s="969"/>
      <c r="B500" s="1278"/>
      <c r="C500" s="969"/>
      <c r="D500" s="969"/>
      <c r="E500" s="969"/>
      <c r="F500" s="969"/>
      <c r="G500" s="969"/>
      <c r="H500" s="969"/>
      <c r="I500" s="969"/>
      <c r="J500" s="969"/>
      <c r="K500" s="969"/>
      <c r="L500" s="969"/>
    </row>
    <row r="501">
      <c r="A501" s="969"/>
      <c r="B501" s="1278"/>
      <c r="C501" s="969"/>
      <c r="D501" s="969"/>
      <c r="E501" s="969"/>
      <c r="F501" s="969"/>
      <c r="G501" s="969"/>
      <c r="H501" s="969"/>
      <c r="I501" s="969"/>
      <c r="J501" s="969"/>
      <c r="K501" s="969"/>
      <c r="L501" s="969"/>
    </row>
    <row r="502">
      <c r="A502" s="969"/>
      <c r="B502" s="1278"/>
      <c r="C502" s="969"/>
      <c r="D502" s="969"/>
      <c r="E502" s="969"/>
      <c r="F502" s="969"/>
      <c r="G502" s="969"/>
      <c r="H502" s="969"/>
      <c r="I502" s="969"/>
      <c r="J502" s="969"/>
      <c r="K502" s="969"/>
      <c r="L502" s="969"/>
    </row>
    <row r="503">
      <c r="A503" s="969"/>
      <c r="B503" s="1278"/>
      <c r="C503" s="969"/>
      <c r="D503" s="969"/>
      <c r="E503" s="969"/>
      <c r="F503" s="969"/>
      <c r="G503" s="969"/>
      <c r="H503" s="969"/>
      <c r="I503" s="969"/>
      <c r="J503" s="969"/>
      <c r="K503" s="969"/>
      <c r="L503" s="969"/>
    </row>
    <row r="504">
      <c r="A504" s="969"/>
      <c r="B504" s="1278"/>
      <c r="C504" s="969"/>
      <c r="D504" s="969"/>
      <c r="E504" s="969"/>
      <c r="F504" s="969"/>
      <c r="G504" s="969"/>
      <c r="H504" s="969"/>
      <c r="I504" s="969"/>
      <c r="J504" s="969"/>
      <c r="K504" s="969"/>
      <c r="L504" s="969"/>
    </row>
    <row r="505">
      <c r="A505" s="969"/>
      <c r="B505" s="1278"/>
      <c r="C505" s="969"/>
      <c r="D505" s="969"/>
      <c r="E505" s="969"/>
      <c r="F505" s="969"/>
      <c r="G505" s="969"/>
      <c r="H505" s="969"/>
      <c r="I505" s="969"/>
      <c r="J505" s="969"/>
      <c r="K505" s="969"/>
      <c r="L505" s="969"/>
    </row>
    <row r="506">
      <c r="A506" s="969"/>
      <c r="B506" s="1278"/>
      <c r="C506" s="969"/>
      <c r="D506" s="969"/>
      <c r="E506" s="969"/>
      <c r="F506" s="969"/>
      <c r="G506" s="969"/>
      <c r="H506" s="969"/>
      <c r="I506" s="969"/>
      <c r="J506" s="969"/>
      <c r="K506" s="969"/>
      <c r="L506" s="969"/>
    </row>
    <row r="507">
      <c r="A507" s="969"/>
      <c r="B507" s="1278"/>
      <c r="C507" s="969"/>
      <c r="D507" s="969"/>
      <c r="E507" s="969"/>
      <c r="F507" s="969"/>
      <c r="G507" s="969"/>
      <c r="H507" s="969"/>
      <c r="I507" s="969"/>
      <c r="J507" s="969"/>
      <c r="K507" s="969"/>
      <c r="L507" s="969"/>
    </row>
    <row r="508">
      <c r="A508" s="969"/>
      <c r="B508" s="1278"/>
      <c r="C508" s="969"/>
      <c r="D508" s="969"/>
      <c r="E508" s="969"/>
      <c r="F508" s="969"/>
      <c r="G508" s="969"/>
      <c r="H508" s="969"/>
      <c r="I508" s="969"/>
      <c r="J508" s="969"/>
      <c r="K508" s="969"/>
      <c r="L508" s="969"/>
    </row>
    <row r="509">
      <c r="A509" s="969"/>
      <c r="B509" s="1278"/>
      <c r="C509" s="969"/>
      <c r="D509" s="969"/>
      <c r="E509" s="969"/>
      <c r="F509" s="969"/>
      <c r="G509" s="969"/>
      <c r="H509" s="969"/>
      <c r="I509" s="969"/>
      <c r="J509" s="969"/>
      <c r="K509" s="969"/>
      <c r="L509" s="969"/>
    </row>
    <row r="510">
      <c r="A510" s="969"/>
      <c r="B510" s="1278"/>
      <c r="C510" s="969"/>
      <c r="D510" s="969"/>
      <c r="E510" s="969"/>
      <c r="F510" s="969"/>
      <c r="G510" s="969"/>
      <c r="H510" s="969"/>
      <c r="I510" s="969"/>
      <c r="J510" s="969"/>
      <c r="K510" s="969"/>
      <c r="L510" s="969"/>
    </row>
    <row r="511">
      <c r="A511" s="969"/>
      <c r="B511" s="1278"/>
      <c r="C511" s="969"/>
      <c r="D511" s="969"/>
      <c r="E511" s="969"/>
      <c r="F511" s="969"/>
      <c r="G511" s="969"/>
      <c r="H511" s="969"/>
      <c r="I511" s="969"/>
      <c r="J511" s="969"/>
      <c r="K511" s="969"/>
      <c r="L511" s="969"/>
    </row>
    <row r="512">
      <c r="A512" s="969"/>
      <c r="B512" s="1278"/>
      <c r="C512" s="969"/>
      <c r="D512" s="969"/>
      <c r="E512" s="969"/>
      <c r="F512" s="969"/>
      <c r="G512" s="969"/>
      <c r="H512" s="969"/>
      <c r="I512" s="969"/>
      <c r="J512" s="969"/>
      <c r="K512" s="969"/>
      <c r="L512" s="969"/>
    </row>
    <row r="513">
      <c r="A513" s="969"/>
      <c r="B513" s="1278"/>
      <c r="C513" s="969"/>
      <c r="D513" s="969"/>
      <c r="E513" s="969"/>
      <c r="F513" s="969"/>
      <c r="G513" s="969"/>
      <c r="H513" s="969"/>
      <c r="I513" s="969"/>
      <c r="J513" s="969"/>
      <c r="K513" s="969"/>
      <c r="L513" s="969"/>
    </row>
    <row r="514">
      <c r="A514" s="969"/>
      <c r="B514" s="1278"/>
      <c r="C514" s="969"/>
      <c r="D514" s="969"/>
      <c r="E514" s="969"/>
      <c r="F514" s="969"/>
      <c r="G514" s="969"/>
      <c r="H514" s="969"/>
      <c r="I514" s="969"/>
      <c r="J514" s="969"/>
      <c r="K514" s="969"/>
      <c r="L514" s="969"/>
    </row>
    <row r="515">
      <c r="A515" s="969"/>
      <c r="B515" s="1278"/>
      <c r="C515" s="969"/>
      <c r="D515" s="969"/>
      <c r="E515" s="969"/>
      <c r="F515" s="969"/>
      <c r="G515" s="969"/>
      <c r="H515" s="969"/>
      <c r="I515" s="969"/>
      <c r="J515" s="969"/>
      <c r="K515" s="969"/>
      <c r="L515" s="969"/>
    </row>
    <row r="516">
      <c r="A516" s="969"/>
      <c r="B516" s="1278"/>
      <c r="C516" s="969"/>
      <c r="D516" s="969"/>
      <c r="E516" s="969"/>
      <c r="F516" s="969"/>
      <c r="G516" s="969"/>
      <c r="H516" s="969"/>
      <c r="I516" s="969"/>
      <c r="J516" s="969"/>
      <c r="K516" s="969"/>
      <c r="L516" s="969"/>
    </row>
    <row r="517">
      <c r="A517" s="969"/>
      <c r="B517" s="1278"/>
      <c r="C517" s="969"/>
      <c r="D517" s="969"/>
      <c r="E517" s="969"/>
      <c r="F517" s="969"/>
      <c r="G517" s="969"/>
      <c r="H517" s="969"/>
      <c r="I517" s="969"/>
      <c r="J517" s="969"/>
      <c r="K517" s="969"/>
      <c r="L517" s="969"/>
    </row>
    <row r="518">
      <c r="A518" s="969"/>
      <c r="B518" s="1278"/>
      <c r="C518" s="969"/>
      <c r="D518" s="969"/>
      <c r="E518" s="969"/>
      <c r="F518" s="969"/>
      <c r="G518" s="969"/>
      <c r="H518" s="969"/>
      <c r="I518" s="969"/>
      <c r="J518" s="969"/>
      <c r="K518" s="969"/>
      <c r="L518" s="969"/>
    </row>
    <row r="519">
      <c r="A519" s="969"/>
      <c r="B519" s="1278"/>
      <c r="C519" s="969"/>
      <c r="D519" s="969"/>
      <c r="E519" s="969"/>
      <c r="F519" s="969"/>
      <c r="G519" s="969"/>
      <c r="H519" s="969"/>
      <c r="I519" s="969"/>
      <c r="J519" s="969"/>
      <c r="K519" s="969"/>
      <c r="L519" s="969"/>
    </row>
    <row r="520">
      <c r="A520" s="969"/>
      <c r="B520" s="1278"/>
      <c r="C520" s="969"/>
      <c r="D520" s="969"/>
      <c r="E520" s="969"/>
      <c r="F520" s="969"/>
      <c r="G520" s="969"/>
      <c r="H520" s="969"/>
      <c r="I520" s="969"/>
      <c r="J520" s="969"/>
      <c r="K520" s="969"/>
      <c r="L520" s="969"/>
    </row>
    <row r="521">
      <c r="A521" s="969"/>
      <c r="B521" s="1278"/>
      <c r="C521" s="969"/>
      <c r="D521" s="969"/>
      <c r="E521" s="969"/>
      <c r="F521" s="969"/>
      <c r="G521" s="969"/>
      <c r="H521" s="969"/>
      <c r="I521" s="969"/>
      <c r="J521" s="969"/>
      <c r="K521" s="969"/>
      <c r="L521" s="969"/>
    </row>
    <row r="522">
      <c r="A522" s="969"/>
      <c r="B522" s="1278"/>
      <c r="C522" s="969"/>
      <c r="D522" s="969"/>
      <c r="E522" s="969"/>
      <c r="F522" s="969"/>
      <c r="G522" s="969"/>
      <c r="H522" s="969"/>
      <c r="I522" s="969"/>
      <c r="J522" s="969"/>
      <c r="K522" s="969"/>
      <c r="L522" s="969"/>
    </row>
    <row r="523">
      <c r="A523" s="969"/>
      <c r="B523" s="1278"/>
      <c r="C523" s="969"/>
      <c r="D523" s="969"/>
      <c r="E523" s="969"/>
      <c r="F523" s="969"/>
      <c r="G523" s="969"/>
      <c r="H523" s="969"/>
      <c r="I523" s="969"/>
      <c r="J523" s="969"/>
      <c r="K523" s="969"/>
      <c r="L523" s="969"/>
    </row>
    <row r="524">
      <c r="A524" s="969"/>
      <c r="B524" s="1278"/>
      <c r="C524" s="969"/>
      <c r="D524" s="969"/>
      <c r="E524" s="969"/>
      <c r="F524" s="969"/>
      <c r="G524" s="969"/>
      <c r="H524" s="969"/>
      <c r="I524" s="969"/>
      <c r="J524" s="969"/>
      <c r="K524" s="969"/>
      <c r="L524" s="969"/>
    </row>
    <row r="525">
      <c r="A525" s="969"/>
      <c r="B525" s="1278"/>
      <c r="C525" s="969"/>
      <c r="D525" s="969"/>
      <c r="E525" s="969"/>
      <c r="F525" s="969"/>
      <c r="G525" s="969"/>
      <c r="H525" s="969"/>
      <c r="I525" s="969"/>
      <c r="J525" s="969"/>
      <c r="K525" s="969"/>
      <c r="L525" s="969"/>
    </row>
    <row r="526">
      <c r="A526" s="969"/>
      <c r="B526" s="1278"/>
      <c r="C526" s="969"/>
      <c r="D526" s="969"/>
      <c r="E526" s="969"/>
      <c r="F526" s="969"/>
      <c r="G526" s="969"/>
      <c r="H526" s="969"/>
      <c r="I526" s="969"/>
      <c r="J526" s="969"/>
      <c r="K526" s="969"/>
      <c r="L526" s="969"/>
    </row>
    <row r="527">
      <c r="A527" s="969"/>
      <c r="B527" s="1278"/>
      <c r="C527" s="969"/>
      <c r="D527" s="969"/>
      <c r="E527" s="969"/>
      <c r="F527" s="969"/>
      <c r="G527" s="969"/>
      <c r="H527" s="969"/>
      <c r="I527" s="969"/>
      <c r="J527" s="969"/>
      <c r="K527" s="969"/>
      <c r="L527" s="969"/>
    </row>
    <row r="528">
      <c r="A528" s="969"/>
      <c r="B528" s="1278"/>
      <c r="C528" s="969"/>
      <c r="D528" s="969"/>
      <c r="E528" s="969"/>
      <c r="F528" s="969"/>
      <c r="G528" s="969"/>
      <c r="H528" s="969"/>
      <c r="I528" s="969"/>
      <c r="J528" s="969"/>
      <c r="K528" s="969"/>
      <c r="L528" s="969"/>
    </row>
    <row r="529">
      <c r="A529" s="969"/>
      <c r="B529" s="1278"/>
      <c r="C529" s="969"/>
      <c r="D529" s="969"/>
      <c r="E529" s="969"/>
      <c r="F529" s="969"/>
      <c r="G529" s="969"/>
      <c r="H529" s="969"/>
      <c r="I529" s="969"/>
      <c r="J529" s="969"/>
      <c r="K529" s="969"/>
      <c r="L529" s="969"/>
    </row>
    <row r="530">
      <c r="A530" s="969"/>
      <c r="B530" s="1278"/>
      <c r="C530" s="969"/>
      <c r="D530" s="969"/>
      <c r="E530" s="969"/>
      <c r="F530" s="969"/>
      <c r="G530" s="969"/>
      <c r="H530" s="969"/>
      <c r="I530" s="969"/>
      <c r="J530" s="969"/>
      <c r="K530" s="969"/>
      <c r="L530" s="969"/>
    </row>
    <row r="531">
      <c r="A531" s="969"/>
      <c r="B531" s="1278"/>
      <c r="C531" s="969"/>
      <c r="D531" s="969"/>
      <c r="E531" s="969"/>
      <c r="F531" s="969"/>
      <c r="G531" s="969"/>
      <c r="H531" s="969"/>
      <c r="I531" s="969"/>
      <c r="J531" s="969"/>
      <c r="K531" s="969"/>
      <c r="L531" s="969"/>
    </row>
    <row r="532">
      <c r="A532" s="969"/>
      <c r="B532" s="1278"/>
      <c r="C532" s="969"/>
      <c r="D532" s="969"/>
      <c r="E532" s="969"/>
      <c r="F532" s="969"/>
      <c r="G532" s="969"/>
      <c r="H532" s="969"/>
      <c r="I532" s="969"/>
      <c r="J532" s="969"/>
      <c r="K532" s="969"/>
      <c r="L532" s="969"/>
    </row>
    <row r="533">
      <c r="A533" s="969"/>
      <c r="B533" s="1278"/>
      <c r="C533" s="969"/>
      <c r="D533" s="969"/>
      <c r="E533" s="969"/>
      <c r="F533" s="969"/>
      <c r="G533" s="969"/>
      <c r="H533" s="969"/>
      <c r="I533" s="969"/>
      <c r="J533" s="969"/>
      <c r="K533" s="969"/>
      <c r="L533" s="969"/>
    </row>
    <row r="534">
      <c r="A534" s="969"/>
      <c r="B534" s="1278"/>
      <c r="C534" s="969"/>
      <c r="D534" s="969"/>
      <c r="E534" s="969"/>
      <c r="F534" s="969"/>
      <c r="G534" s="969"/>
      <c r="H534" s="969"/>
      <c r="I534" s="969"/>
      <c r="J534" s="969"/>
      <c r="K534" s="969"/>
      <c r="L534" s="969"/>
    </row>
    <row r="535">
      <c r="A535" s="969"/>
      <c r="B535" s="1278"/>
      <c r="C535" s="969"/>
      <c r="D535" s="969"/>
      <c r="E535" s="969"/>
      <c r="F535" s="969"/>
      <c r="G535" s="969"/>
      <c r="H535" s="969"/>
      <c r="I535" s="969"/>
      <c r="J535" s="969"/>
      <c r="K535" s="969"/>
      <c r="L535" s="969"/>
    </row>
    <row r="536">
      <c r="A536" s="969"/>
      <c r="B536" s="1278"/>
      <c r="C536" s="969"/>
      <c r="D536" s="969"/>
      <c r="E536" s="969"/>
      <c r="F536" s="969"/>
      <c r="G536" s="969"/>
      <c r="H536" s="969"/>
      <c r="I536" s="969"/>
      <c r="J536" s="969"/>
      <c r="K536" s="969"/>
      <c r="L536" s="969"/>
    </row>
    <row r="537">
      <c r="A537" s="969"/>
      <c r="B537" s="1278"/>
      <c r="C537" s="969"/>
      <c r="D537" s="969"/>
      <c r="E537" s="969"/>
      <c r="F537" s="969"/>
      <c r="G537" s="969"/>
      <c r="H537" s="969"/>
      <c r="I537" s="969"/>
      <c r="J537" s="969"/>
      <c r="K537" s="969"/>
      <c r="L537" s="969"/>
    </row>
    <row r="538">
      <c r="A538" s="969"/>
      <c r="B538" s="1278"/>
      <c r="C538" s="969"/>
      <c r="D538" s="969"/>
      <c r="E538" s="969"/>
      <c r="F538" s="969"/>
      <c r="G538" s="969"/>
      <c r="H538" s="969"/>
      <c r="I538" s="969"/>
      <c r="J538" s="969"/>
      <c r="K538" s="969"/>
      <c r="L538" s="969"/>
    </row>
    <row r="539">
      <c r="A539" s="969"/>
      <c r="B539" s="1278"/>
      <c r="C539" s="969"/>
      <c r="D539" s="969"/>
      <c r="E539" s="969"/>
      <c r="F539" s="969"/>
      <c r="G539" s="969"/>
      <c r="H539" s="969"/>
      <c r="I539" s="969"/>
      <c r="J539" s="969"/>
      <c r="K539" s="969"/>
      <c r="L539" s="969"/>
    </row>
    <row r="540">
      <c r="A540" s="969"/>
      <c r="B540" s="1278"/>
      <c r="C540" s="969"/>
      <c r="D540" s="969"/>
      <c r="E540" s="969"/>
      <c r="F540" s="969"/>
      <c r="G540" s="969"/>
      <c r="H540" s="969"/>
      <c r="I540" s="969"/>
      <c r="J540" s="969"/>
      <c r="K540" s="969"/>
      <c r="L540" s="969"/>
    </row>
    <row r="541">
      <c r="A541" s="969"/>
      <c r="B541" s="1278"/>
      <c r="C541" s="969"/>
      <c r="D541" s="969"/>
      <c r="E541" s="969"/>
      <c r="F541" s="969"/>
      <c r="G541" s="969"/>
      <c r="H541" s="969"/>
      <c r="I541" s="969"/>
      <c r="J541" s="969"/>
      <c r="K541" s="969"/>
      <c r="L541" s="969"/>
    </row>
    <row r="542">
      <c r="A542" s="969"/>
      <c r="B542" s="1278"/>
      <c r="C542" s="969"/>
      <c r="D542" s="969"/>
      <c r="E542" s="969"/>
      <c r="F542" s="969"/>
      <c r="G542" s="969"/>
      <c r="H542" s="969"/>
      <c r="I542" s="969"/>
      <c r="J542" s="969"/>
      <c r="K542" s="969"/>
      <c r="L542" s="969"/>
    </row>
    <row r="543">
      <c r="A543" s="969"/>
      <c r="B543" s="1278"/>
      <c r="C543" s="969"/>
      <c r="D543" s="969"/>
      <c r="E543" s="969"/>
      <c r="F543" s="969"/>
      <c r="G543" s="969"/>
      <c r="H543" s="969"/>
      <c r="I543" s="969"/>
      <c r="J543" s="969"/>
      <c r="K543" s="969"/>
      <c r="L543" s="969"/>
    </row>
    <row r="544">
      <c r="A544" s="969"/>
      <c r="B544" s="1278"/>
      <c r="C544" s="969"/>
      <c r="D544" s="969"/>
      <c r="E544" s="969"/>
      <c r="F544" s="969"/>
      <c r="G544" s="969"/>
      <c r="H544" s="969"/>
      <c r="I544" s="969"/>
      <c r="J544" s="969"/>
      <c r="K544" s="969"/>
      <c r="L544" s="969"/>
    </row>
    <row r="545">
      <c r="A545" s="969"/>
      <c r="B545" s="1278"/>
      <c r="C545" s="969"/>
      <c r="D545" s="969"/>
      <c r="E545" s="969"/>
      <c r="F545" s="969"/>
      <c r="G545" s="969"/>
      <c r="H545" s="969"/>
      <c r="I545" s="969"/>
      <c r="J545" s="969"/>
      <c r="K545" s="969"/>
      <c r="L545" s="969"/>
    </row>
    <row r="546">
      <c r="A546" s="969"/>
      <c r="B546" s="1278"/>
      <c r="C546" s="969"/>
      <c r="D546" s="969"/>
      <c r="E546" s="969"/>
      <c r="F546" s="969"/>
      <c r="G546" s="969"/>
      <c r="H546" s="969"/>
      <c r="I546" s="969"/>
      <c r="J546" s="969"/>
      <c r="K546" s="969"/>
      <c r="L546" s="969"/>
    </row>
    <row r="547">
      <c r="A547" s="969"/>
      <c r="B547" s="1278"/>
      <c r="C547" s="969"/>
      <c r="D547" s="969"/>
      <c r="E547" s="969"/>
      <c r="F547" s="969"/>
      <c r="G547" s="969"/>
      <c r="H547" s="969"/>
      <c r="I547" s="969"/>
      <c r="J547" s="969"/>
      <c r="K547" s="969"/>
      <c r="L547" s="969"/>
    </row>
    <row r="548">
      <c r="A548" s="969"/>
      <c r="B548" s="1278"/>
      <c r="C548" s="969"/>
      <c r="D548" s="969"/>
      <c r="E548" s="969"/>
      <c r="F548" s="969"/>
      <c r="G548" s="969"/>
      <c r="H548" s="969"/>
      <c r="I548" s="969"/>
      <c r="J548" s="969"/>
      <c r="K548" s="969"/>
      <c r="L548" s="969"/>
    </row>
    <row r="549">
      <c r="A549" s="969"/>
      <c r="B549" s="1278"/>
      <c r="C549" s="969"/>
      <c r="D549" s="969"/>
      <c r="E549" s="969"/>
      <c r="F549" s="969"/>
      <c r="G549" s="969"/>
      <c r="H549" s="969"/>
      <c r="I549" s="969"/>
      <c r="J549" s="969"/>
      <c r="K549" s="969"/>
      <c r="L549" s="969"/>
    </row>
    <row r="550">
      <c r="A550" s="969"/>
      <c r="B550" s="1278"/>
      <c r="C550" s="969"/>
      <c r="D550" s="969"/>
      <c r="E550" s="969"/>
      <c r="F550" s="969"/>
      <c r="G550" s="969"/>
      <c r="H550" s="969"/>
      <c r="I550" s="969"/>
      <c r="J550" s="969"/>
      <c r="K550" s="969"/>
      <c r="L550" s="969"/>
    </row>
    <row r="551">
      <c r="A551" s="969"/>
      <c r="B551" s="1278"/>
      <c r="C551" s="969"/>
      <c r="D551" s="969"/>
      <c r="E551" s="969"/>
      <c r="F551" s="969"/>
      <c r="G551" s="969"/>
      <c r="H551" s="969"/>
      <c r="I551" s="969"/>
      <c r="J551" s="969"/>
      <c r="K551" s="969"/>
      <c r="L551" s="969"/>
    </row>
    <row r="552">
      <c r="A552" s="969"/>
      <c r="B552" s="1278"/>
      <c r="C552" s="969"/>
      <c r="D552" s="969"/>
      <c r="E552" s="969"/>
      <c r="F552" s="969"/>
      <c r="G552" s="969"/>
      <c r="H552" s="969"/>
      <c r="I552" s="969"/>
      <c r="J552" s="969"/>
      <c r="K552" s="969"/>
      <c r="L552" s="969"/>
    </row>
    <row r="553">
      <c r="A553" s="969"/>
      <c r="B553" s="1278"/>
      <c r="C553" s="969"/>
      <c r="D553" s="969"/>
      <c r="E553" s="969"/>
      <c r="F553" s="969"/>
      <c r="G553" s="969"/>
      <c r="H553" s="969"/>
      <c r="I553" s="969"/>
      <c r="J553" s="969"/>
      <c r="K553" s="969"/>
      <c r="L553" s="969"/>
    </row>
    <row r="554">
      <c r="A554" s="969"/>
      <c r="B554" s="1278"/>
      <c r="C554" s="969"/>
      <c r="D554" s="969"/>
      <c r="E554" s="969"/>
      <c r="F554" s="969"/>
      <c r="G554" s="969"/>
      <c r="H554" s="969"/>
      <c r="I554" s="969"/>
      <c r="J554" s="969"/>
      <c r="K554" s="969"/>
      <c r="L554" s="969"/>
    </row>
    <row r="555">
      <c r="A555" s="969"/>
      <c r="B555" s="1278"/>
      <c r="C555" s="969"/>
      <c r="D555" s="969"/>
      <c r="E555" s="969"/>
      <c r="F555" s="969"/>
      <c r="G555" s="969"/>
      <c r="H555" s="969"/>
      <c r="I555" s="969"/>
      <c r="J555" s="969"/>
      <c r="K555" s="969"/>
      <c r="L555" s="969"/>
    </row>
    <row r="556">
      <c r="A556" s="969"/>
      <c r="B556" s="1278"/>
      <c r="C556" s="969"/>
      <c r="D556" s="969"/>
      <c r="E556" s="969"/>
      <c r="F556" s="969"/>
      <c r="G556" s="969"/>
      <c r="H556" s="969"/>
      <c r="I556" s="969"/>
      <c r="J556" s="969"/>
      <c r="K556" s="969"/>
      <c r="L556" s="969"/>
    </row>
    <row r="557">
      <c r="A557" s="969"/>
      <c r="B557" s="1278"/>
      <c r="C557" s="969"/>
      <c r="D557" s="969"/>
      <c r="E557" s="969"/>
      <c r="F557" s="969"/>
      <c r="G557" s="969"/>
      <c r="H557" s="969"/>
      <c r="I557" s="969"/>
      <c r="J557" s="969"/>
      <c r="K557" s="969"/>
      <c r="L557" s="969"/>
    </row>
    <row r="558">
      <c r="A558" s="969"/>
      <c r="B558" s="1278"/>
      <c r="C558" s="969"/>
      <c r="D558" s="969"/>
      <c r="E558" s="969"/>
      <c r="F558" s="969"/>
      <c r="G558" s="969"/>
      <c r="H558" s="969"/>
      <c r="I558" s="969"/>
      <c r="J558" s="969"/>
      <c r="K558" s="969"/>
      <c r="L558" s="969"/>
    </row>
    <row r="559">
      <c r="A559" s="969"/>
      <c r="B559" s="1278"/>
      <c r="C559" s="969"/>
      <c r="D559" s="969"/>
      <c r="E559" s="969"/>
      <c r="F559" s="969"/>
      <c r="G559" s="969"/>
      <c r="H559" s="969"/>
      <c r="I559" s="969"/>
      <c r="J559" s="969"/>
      <c r="K559" s="969"/>
      <c r="L559" s="969"/>
    </row>
    <row r="560">
      <c r="A560" s="969"/>
      <c r="B560" s="1278"/>
      <c r="C560" s="969"/>
      <c r="D560" s="969"/>
      <c r="E560" s="969"/>
      <c r="F560" s="969"/>
      <c r="G560" s="969"/>
      <c r="H560" s="969"/>
      <c r="I560" s="969"/>
      <c r="J560" s="969"/>
      <c r="K560" s="969"/>
      <c r="L560" s="969"/>
    </row>
    <row r="561">
      <c r="A561" s="969"/>
      <c r="B561" s="1278"/>
      <c r="C561" s="969"/>
      <c r="D561" s="969"/>
      <c r="E561" s="969"/>
      <c r="F561" s="969"/>
      <c r="G561" s="969"/>
      <c r="H561" s="969"/>
      <c r="I561" s="969"/>
      <c r="J561" s="969"/>
      <c r="K561" s="969"/>
      <c r="L561" s="969"/>
    </row>
    <row r="562">
      <c r="A562" s="969"/>
      <c r="B562" s="1278"/>
      <c r="C562" s="969"/>
      <c r="D562" s="969"/>
      <c r="E562" s="969"/>
      <c r="F562" s="969"/>
      <c r="G562" s="969"/>
      <c r="H562" s="969"/>
      <c r="I562" s="969"/>
      <c r="J562" s="969"/>
      <c r="K562" s="969"/>
      <c r="L562" s="969"/>
    </row>
    <row r="563">
      <c r="A563" s="969"/>
      <c r="B563" s="1278"/>
      <c r="C563" s="969"/>
      <c r="D563" s="969"/>
      <c r="E563" s="969"/>
      <c r="F563" s="969"/>
      <c r="G563" s="969"/>
      <c r="H563" s="969"/>
      <c r="I563" s="969"/>
      <c r="J563" s="969"/>
      <c r="K563" s="969"/>
      <c r="L563" s="969"/>
    </row>
    <row r="564">
      <c r="A564" s="969"/>
      <c r="B564" s="1278"/>
      <c r="C564" s="969"/>
      <c r="D564" s="969"/>
      <c r="E564" s="969"/>
      <c r="F564" s="969"/>
      <c r="G564" s="969"/>
      <c r="H564" s="969"/>
      <c r="I564" s="969"/>
      <c r="J564" s="969"/>
      <c r="K564" s="969"/>
      <c r="L564" s="969"/>
    </row>
    <row r="565">
      <c r="A565" s="969"/>
      <c r="B565" s="1278"/>
      <c r="C565" s="969"/>
      <c r="D565" s="969"/>
      <c r="E565" s="969"/>
      <c r="F565" s="969"/>
      <c r="G565" s="969"/>
      <c r="H565" s="969"/>
      <c r="I565" s="969"/>
      <c r="J565" s="969"/>
      <c r="K565" s="969"/>
      <c r="L565" s="969"/>
    </row>
    <row r="566">
      <c r="A566" s="969"/>
      <c r="B566" s="1278"/>
      <c r="C566" s="969"/>
      <c r="D566" s="969"/>
      <c r="E566" s="969"/>
      <c r="F566" s="969"/>
      <c r="G566" s="969"/>
      <c r="H566" s="969"/>
      <c r="I566" s="969"/>
      <c r="J566" s="969"/>
      <c r="K566" s="969"/>
      <c r="L566" s="969"/>
    </row>
    <row r="567">
      <c r="A567" s="969"/>
      <c r="B567" s="1278"/>
      <c r="C567" s="969"/>
      <c r="D567" s="969"/>
      <c r="E567" s="969"/>
      <c r="F567" s="969"/>
      <c r="G567" s="969"/>
      <c r="H567" s="969"/>
      <c r="I567" s="969"/>
      <c r="J567" s="969"/>
      <c r="K567" s="969"/>
      <c r="L567" s="969"/>
    </row>
    <row r="568">
      <c r="A568" s="969"/>
      <c r="B568" s="1278"/>
      <c r="C568" s="969"/>
      <c r="D568" s="969"/>
      <c r="E568" s="969"/>
      <c r="F568" s="969"/>
      <c r="G568" s="969"/>
      <c r="H568" s="969"/>
      <c r="I568" s="969"/>
      <c r="J568" s="969"/>
      <c r="K568" s="969"/>
      <c r="L568" s="969"/>
    </row>
    <row r="569">
      <c r="A569" s="969"/>
      <c r="B569" s="1278"/>
      <c r="C569" s="969"/>
      <c r="D569" s="969"/>
      <c r="E569" s="969"/>
      <c r="F569" s="969"/>
      <c r="G569" s="969"/>
      <c r="H569" s="969"/>
      <c r="I569" s="969"/>
      <c r="J569" s="969"/>
      <c r="K569" s="969"/>
      <c r="L569" s="969"/>
    </row>
    <row r="570">
      <c r="A570" s="969"/>
      <c r="B570" s="1278"/>
      <c r="C570" s="969"/>
      <c r="D570" s="969"/>
      <c r="E570" s="969"/>
      <c r="F570" s="969"/>
      <c r="G570" s="969"/>
      <c r="H570" s="969"/>
      <c r="I570" s="969"/>
      <c r="J570" s="969"/>
      <c r="K570" s="969"/>
      <c r="L570" s="969"/>
    </row>
    <row r="571">
      <c r="A571" s="969"/>
      <c r="B571" s="1278"/>
      <c r="C571" s="969"/>
      <c r="D571" s="969"/>
      <c r="E571" s="969"/>
      <c r="F571" s="969"/>
      <c r="G571" s="969"/>
      <c r="H571" s="969"/>
      <c r="I571" s="969"/>
      <c r="J571" s="969"/>
      <c r="K571" s="969"/>
      <c r="L571" s="969"/>
    </row>
    <row r="572">
      <c r="A572" s="969"/>
      <c r="B572" s="1278"/>
      <c r="C572" s="969"/>
      <c r="D572" s="969"/>
      <c r="E572" s="969"/>
      <c r="F572" s="969"/>
      <c r="G572" s="969"/>
      <c r="H572" s="969"/>
      <c r="I572" s="969"/>
      <c r="J572" s="969"/>
      <c r="K572" s="969"/>
      <c r="L572" s="969"/>
    </row>
    <row r="573">
      <c r="A573" s="969"/>
      <c r="B573" s="1278"/>
      <c r="C573" s="969"/>
      <c r="D573" s="969"/>
      <c r="E573" s="969"/>
      <c r="F573" s="969"/>
      <c r="G573" s="969"/>
      <c r="H573" s="969"/>
      <c r="I573" s="969"/>
      <c r="J573" s="969"/>
      <c r="K573" s="969"/>
      <c r="L573" s="969"/>
    </row>
    <row r="574">
      <c r="A574" s="969"/>
      <c r="B574" s="1278"/>
      <c r="C574" s="969"/>
      <c r="D574" s="969"/>
      <c r="E574" s="969"/>
      <c r="F574" s="969"/>
      <c r="G574" s="969"/>
      <c r="H574" s="969"/>
      <c r="I574" s="969"/>
      <c r="J574" s="969"/>
      <c r="K574" s="969"/>
      <c r="L574" s="969"/>
    </row>
    <row r="575">
      <c r="A575" s="969"/>
      <c r="B575" s="1278"/>
      <c r="C575" s="969"/>
      <c r="D575" s="969"/>
      <c r="E575" s="969"/>
      <c r="F575" s="969"/>
      <c r="G575" s="969"/>
      <c r="H575" s="969"/>
      <c r="I575" s="969"/>
      <c r="J575" s="969"/>
      <c r="K575" s="969"/>
      <c r="L575" s="969"/>
    </row>
    <row r="576">
      <c r="A576" s="969"/>
      <c r="B576" s="1278"/>
      <c r="C576" s="969"/>
      <c r="D576" s="969"/>
      <c r="E576" s="969"/>
      <c r="F576" s="969"/>
      <c r="G576" s="969"/>
      <c r="H576" s="969"/>
      <c r="I576" s="969"/>
      <c r="J576" s="969"/>
      <c r="K576" s="969"/>
      <c r="L576" s="969"/>
    </row>
    <row r="577">
      <c r="A577" s="969"/>
      <c r="B577" s="1278"/>
      <c r="C577" s="969"/>
      <c r="D577" s="969"/>
      <c r="E577" s="969"/>
      <c r="F577" s="969"/>
      <c r="G577" s="969"/>
      <c r="H577" s="969"/>
      <c r="I577" s="969"/>
      <c r="J577" s="969"/>
      <c r="K577" s="969"/>
      <c r="L577" s="969"/>
    </row>
    <row r="578">
      <c r="A578" s="969"/>
      <c r="B578" s="1278"/>
      <c r="C578" s="969"/>
      <c r="D578" s="969"/>
      <c r="E578" s="969"/>
      <c r="F578" s="969"/>
      <c r="G578" s="969"/>
      <c r="H578" s="969"/>
      <c r="I578" s="969"/>
      <c r="J578" s="969"/>
      <c r="K578" s="969"/>
      <c r="L578" s="969"/>
    </row>
    <row r="579">
      <c r="A579" s="969"/>
      <c r="B579" s="1278"/>
      <c r="C579" s="969"/>
      <c r="D579" s="969"/>
      <c r="E579" s="969"/>
      <c r="F579" s="969"/>
      <c r="G579" s="969"/>
      <c r="H579" s="969"/>
      <c r="I579" s="969"/>
      <c r="J579" s="969"/>
      <c r="K579" s="969"/>
      <c r="L579" s="969"/>
    </row>
    <row r="580">
      <c r="A580" s="969"/>
      <c r="B580" s="1278"/>
      <c r="C580" s="969"/>
      <c r="D580" s="969"/>
      <c r="E580" s="969"/>
      <c r="F580" s="969"/>
      <c r="G580" s="969"/>
      <c r="H580" s="969"/>
      <c r="I580" s="969"/>
      <c r="J580" s="969"/>
      <c r="K580" s="969"/>
      <c r="L580" s="969"/>
    </row>
    <row r="581">
      <c r="A581" s="969"/>
      <c r="B581" s="1278"/>
      <c r="C581" s="969"/>
      <c r="D581" s="969"/>
      <c r="E581" s="969"/>
      <c r="F581" s="969"/>
      <c r="G581" s="969"/>
      <c r="H581" s="969"/>
      <c r="I581" s="969"/>
      <c r="J581" s="969"/>
      <c r="K581" s="969"/>
      <c r="L581" s="969"/>
    </row>
    <row r="582">
      <c r="A582" s="969"/>
      <c r="B582" s="1278"/>
      <c r="C582" s="969"/>
      <c r="D582" s="969"/>
      <c r="E582" s="969"/>
      <c r="F582" s="969"/>
      <c r="G582" s="969"/>
      <c r="H582" s="969"/>
      <c r="I582" s="969"/>
      <c r="J582" s="969"/>
      <c r="K582" s="969"/>
      <c r="L582" s="969"/>
    </row>
    <row r="583">
      <c r="A583" s="969"/>
      <c r="B583" s="1278"/>
      <c r="C583" s="969"/>
      <c r="D583" s="969"/>
      <c r="E583" s="969"/>
      <c r="F583" s="969"/>
      <c r="G583" s="969"/>
      <c r="H583" s="969"/>
      <c r="I583" s="969"/>
      <c r="J583" s="969"/>
      <c r="K583" s="969"/>
      <c r="L583" s="969"/>
    </row>
    <row r="584">
      <c r="A584" s="969"/>
      <c r="B584" s="1278"/>
      <c r="C584" s="969"/>
      <c r="D584" s="969"/>
      <c r="E584" s="969"/>
      <c r="F584" s="969"/>
      <c r="G584" s="969"/>
      <c r="H584" s="969"/>
      <c r="I584" s="969"/>
      <c r="J584" s="969"/>
      <c r="K584" s="969"/>
      <c r="L584" s="969"/>
    </row>
    <row r="585">
      <c r="A585" s="969"/>
      <c r="B585" s="1278"/>
      <c r="C585" s="969"/>
      <c r="D585" s="969"/>
      <c r="E585" s="969"/>
      <c r="F585" s="969"/>
      <c r="G585" s="969"/>
      <c r="H585" s="969"/>
      <c r="I585" s="969"/>
      <c r="J585" s="969"/>
      <c r="K585" s="969"/>
      <c r="L585" s="969"/>
    </row>
    <row r="586">
      <c r="A586" s="969"/>
      <c r="B586" s="1278"/>
      <c r="C586" s="969"/>
      <c r="D586" s="969"/>
      <c r="E586" s="969"/>
      <c r="F586" s="969"/>
      <c r="G586" s="969"/>
      <c r="H586" s="969"/>
      <c r="I586" s="969"/>
      <c r="J586" s="969"/>
      <c r="K586" s="969"/>
      <c r="L586" s="969"/>
    </row>
    <row r="587">
      <c r="A587" s="969"/>
      <c r="B587" s="1278"/>
      <c r="C587" s="969"/>
      <c r="D587" s="969"/>
      <c r="E587" s="969"/>
      <c r="F587" s="969"/>
      <c r="G587" s="969"/>
      <c r="H587" s="969"/>
      <c r="I587" s="969"/>
      <c r="J587" s="969"/>
      <c r="K587" s="969"/>
      <c r="L587" s="969"/>
    </row>
    <row r="588">
      <c r="A588" s="969"/>
      <c r="B588" s="1278"/>
      <c r="C588" s="969"/>
      <c r="D588" s="969"/>
      <c r="E588" s="969"/>
      <c r="F588" s="969"/>
      <c r="G588" s="969"/>
      <c r="H588" s="969"/>
      <c r="I588" s="969"/>
      <c r="J588" s="969"/>
      <c r="K588" s="969"/>
      <c r="L588" s="969"/>
    </row>
    <row r="589">
      <c r="A589" s="969"/>
      <c r="B589" s="1278"/>
      <c r="C589" s="969"/>
      <c r="D589" s="969"/>
      <c r="E589" s="969"/>
      <c r="F589" s="969"/>
      <c r="G589" s="969"/>
      <c r="H589" s="969"/>
      <c r="I589" s="969"/>
      <c r="J589" s="969"/>
      <c r="K589" s="969"/>
      <c r="L589" s="969"/>
    </row>
    <row r="590">
      <c r="A590" s="969"/>
      <c r="B590" s="1278"/>
      <c r="C590" s="969"/>
      <c r="D590" s="969"/>
      <c r="E590" s="969"/>
      <c r="F590" s="969"/>
      <c r="G590" s="969"/>
      <c r="H590" s="969"/>
      <c r="I590" s="969"/>
      <c r="J590" s="969"/>
      <c r="K590" s="969"/>
      <c r="L590" s="969"/>
    </row>
    <row r="591">
      <c r="A591" s="969"/>
      <c r="B591" s="1278"/>
      <c r="C591" s="969"/>
      <c r="D591" s="969"/>
      <c r="E591" s="969"/>
      <c r="F591" s="969"/>
      <c r="G591" s="969"/>
      <c r="H591" s="969"/>
      <c r="I591" s="969"/>
      <c r="J591" s="969"/>
      <c r="K591" s="969"/>
      <c r="L591" s="969"/>
    </row>
    <row r="592">
      <c r="A592" s="969"/>
      <c r="B592" s="1278"/>
      <c r="C592" s="969"/>
      <c r="D592" s="969"/>
      <c r="E592" s="969"/>
      <c r="F592" s="969"/>
      <c r="G592" s="969"/>
      <c r="H592" s="969"/>
      <c r="I592" s="969"/>
      <c r="J592" s="969"/>
      <c r="K592" s="969"/>
      <c r="L592" s="969"/>
    </row>
    <row r="593">
      <c r="A593" s="969"/>
      <c r="B593" s="1278"/>
      <c r="C593" s="969"/>
      <c r="D593" s="969"/>
      <c r="E593" s="969"/>
      <c r="F593" s="969"/>
      <c r="G593" s="969"/>
      <c r="H593" s="969"/>
      <c r="I593" s="969"/>
      <c r="J593" s="969"/>
      <c r="K593" s="969"/>
      <c r="L593" s="969"/>
    </row>
    <row r="594">
      <c r="A594" s="969"/>
      <c r="B594" s="1278"/>
      <c r="C594" s="969"/>
      <c r="D594" s="969"/>
      <c r="E594" s="969"/>
      <c r="F594" s="969"/>
      <c r="G594" s="969"/>
      <c r="H594" s="969"/>
      <c r="I594" s="969"/>
      <c r="J594" s="969"/>
      <c r="K594" s="969"/>
      <c r="L594" s="969"/>
    </row>
    <row r="595">
      <c r="A595" s="969"/>
      <c r="B595" s="1278"/>
      <c r="C595" s="969"/>
      <c r="D595" s="969"/>
      <c r="E595" s="969"/>
      <c r="F595" s="969"/>
      <c r="G595" s="969"/>
      <c r="H595" s="969"/>
      <c r="I595" s="969"/>
      <c r="J595" s="969"/>
      <c r="K595" s="969"/>
      <c r="L595" s="969"/>
    </row>
    <row r="596">
      <c r="A596" s="969"/>
      <c r="B596" s="1278"/>
      <c r="C596" s="969"/>
      <c r="D596" s="969"/>
      <c r="E596" s="969"/>
      <c r="F596" s="969"/>
      <c r="G596" s="969"/>
      <c r="H596" s="969"/>
      <c r="I596" s="969"/>
      <c r="J596" s="969"/>
      <c r="K596" s="969"/>
      <c r="L596" s="969"/>
    </row>
    <row r="597">
      <c r="A597" s="969"/>
      <c r="B597" s="1278"/>
      <c r="C597" s="969"/>
      <c r="D597" s="969"/>
      <c r="E597" s="969"/>
      <c r="F597" s="969"/>
      <c r="G597" s="969"/>
      <c r="H597" s="969"/>
      <c r="I597" s="969"/>
      <c r="J597" s="969"/>
      <c r="K597" s="969"/>
      <c r="L597" s="969"/>
    </row>
    <row r="598">
      <c r="A598" s="969"/>
      <c r="B598" s="1278"/>
      <c r="C598" s="969"/>
      <c r="D598" s="969"/>
      <c r="E598" s="969"/>
      <c r="F598" s="969"/>
      <c r="G598" s="969"/>
      <c r="H598" s="969"/>
      <c r="I598" s="969"/>
      <c r="J598" s="969"/>
      <c r="K598" s="969"/>
      <c r="L598" s="969"/>
    </row>
    <row r="599">
      <c r="A599" s="969"/>
      <c r="B599" s="1278"/>
      <c r="C599" s="969"/>
      <c r="D599" s="969"/>
      <c r="E599" s="969"/>
      <c r="F599" s="969"/>
      <c r="G599" s="969"/>
      <c r="H599" s="969"/>
      <c r="I599" s="969"/>
      <c r="J599" s="969"/>
      <c r="K599" s="969"/>
      <c r="L599" s="969"/>
    </row>
    <row r="600">
      <c r="A600" s="969"/>
      <c r="B600" s="1278"/>
      <c r="C600" s="969"/>
      <c r="D600" s="969"/>
      <c r="E600" s="969"/>
      <c r="F600" s="969"/>
      <c r="G600" s="969"/>
      <c r="H600" s="969"/>
      <c r="I600" s="969"/>
      <c r="J600" s="969"/>
      <c r="K600" s="969"/>
      <c r="L600" s="969"/>
    </row>
    <row r="601">
      <c r="A601" s="969"/>
      <c r="B601" s="1278"/>
      <c r="C601" s="969"/>
      <c r="D601" s="969"/>
      <c r="E601" s="969"/>
      <c r="F601" s="969"/>
      <c r="G601" s="969"/>
      <c r="H601" s="969"/>
      <c r="I601" s="969"/>
      <c r="J601" s="969"/>
      <c r="K601" s="969"/>
      <c r="L601" s="969"/>
    </row>
    <row r="602">
      <c r="A602" s="969"/>
      <c r="B602" s="1278"/>
      <c r="C602" s="969"/>
      <c r="D602" s="969"/>
      <c r="E602" s="969"/>
      <c r="F602" s="969"/>
      <c r="G602" s="969"/>
      <c r="H602" s="969"/>
      <c r="I602" s="969"/>
      <c r="J602" s="969"/>
      <c r="K602" s="969"/>
      <c r="L602" s="969"/>
    </row>
    <row r="603">
      <c r="A603" s="969"/>
      <c r="B603" s="1278"/>
      <c r="C603" s="969"/>
      <c r="D603" s="969"/>
      <c r="E603" s="969"/>
      <c r="F603" s="969"/>
      <c r="G603" s="969"/>
      <c r="H603" s="969"/>
      <c r="I603" s="969"/>
      <c r="J603" s="969"/>
      <c r="K603" s="969"/>
      <c r="L603" s="969"/>
    </row>
    <row r="604">
      <c r="A604" s="969"/>
      <c r="B604" s="1278"/>
      <c r="C604" s="969"/>
      <c r="D604" s="969"/>
      <c r="E604" s="969"/>
      <c r="F604" s="969"/>
      <c r="G604" s="969"/>
      <c r="H604" s="969"/>
      <c r="I604" s="969"/>
      <c r="J604" s="969"/>
      <c r="K604" s="969"/>
      <c r="L604" s="969"/>
    </row>
    <row r="605">
      <c r="A605" s="969"/>
      <c r="B605" s="1278"/>
      <c r="C605" s="969"/>
      <c r="D605" s="969"/>
      <c r="E605" s="969"/>
      <c r="F605" s="969"/>
      <c r="G605" s="969"/>
      <c r="H605" s="969"/>
      <c r="I605" s="969"/>
      <c r="J605" s="969"/>
      <c r="K605" s="969"/>
      <c r="L605" s="969"/>
    </row>
    <row r="606">
      <c r="A606" s="969"/>
      <c r="B606" s="1278"/>
      <c r="C606" s="969"/>
      <c r="D606" s="969"/>
      <c r="E606" s="969"/>
      <c r="F606" s="969"/>
      <c r="G606" s="969"/>
      <c r="H606" s="969"/>
      <c r="I606" s="969"/>
      <c r="J606" s="969"/>
      <c r="K606" s="969"/>
      <c r="L606" s="969"/>
    </row>
    <row r="607">
      <c r="A607" s="969"/>
      <c r="B607" s="1278"/>
      <c r="C607" s="969"/>
      <c r="D607" s="969"/>
      <c r="E607" s="969"/>
      <c r="F607" s="969"/>
      <c r="G607" s="969"/>
      <c r="H607" s="969"/>
      <c r="I607" s="969"/>
      <c r="J607" s="969"/>
      <c r="K607" s="969"/>
      <c r="L607" s="969"/>
    </row>
    <row r="608">
      <c r="A608" s="969"/>
      <c r="B608" s="1278"/>
      <c r="C608" s="969"/>
      <c r="D608" s="969"/>
      <c r="E608" s="969"/>
      <c r="F608" s="969"/>
      <c r="G608" s="969"/>
      <c r="H608" s="969"/>
      <c r="I608" s="969"/>
      <c r="J608" s="969"/>
      <c r="K608" s="969"/>
      <c r="L608" s="969"/>
    </row>
    <row r="609">
      <c r="A609" s="969"/>
      <c r="B609" s="1278"/>
      <c r="C609" s="969"/>
      <c r="D609" s="969"/>
      <c r="E609" s="969"/>
      <c r="F609" s="969"/>
      <c r="G609" s="969"/>
      <c r="H609" s="969"/>
      <c r="I609" s="969"/>
      <c r="J609" s="969"/>
      <c r="K609" s="969"/>
      <c r="L609" s="969"/>
    </row>
    <row r="610">
      <c r="A610" s="969"/>
      <c r="B610" s="1278"/>
      <c r="C610" s="969"/>
      <c r="D610" s="969"/>
      <c r="E610" s="969"/>
      <c r="F610" s="969"/>
      <c r="G610" s="969"/>
      <c r="H610" s="969"/>
      <c r="I610" s="969"/>
      <c r="J610" s="969"/>
      <c r="K610" s="969"/>
      <c r="L610" s="969"/>
    </row>
    <row r="611">
      <c r="A611" s="969"/>
      <c r="B611" s="1278"/>
      <c r="C611" s="969"/>
      <c r="D611" s="969"/>
      <c r="E611" s="969"/>
      <c r="F611" s="969"/>
      <c r="G611" s="969"/>
      <c r="H611" s="969"/>
      <c r="I611" s="969"/>
      <c r="J611" s="969"/>
      <c r="K611" s="969"/>
      <c r="L611" s="969"/>
    </row>
    <row r="612">
      <c r="A612" s="969"/>
      <c r="B612" s="1278"/>
      <c r="C612" s="969"/>
      <c r="D612" s="969"/>
      <c r="E612" s="969"/>
      <c r="F612" s="969"/>
      <c r="G612" s="969"/>
      <c r="H612" s="969"/>
      <c r="I612" s="969"/>
      <c r="J612" s="969"/>
      <c r="K612" s="969"/>
      <c r="L612" s="969"/>
    </row>
    <row r="613">
      <c r="A613" s="969"/>
      <c r="B613" s="1278"/>
      <c r="C613" s="969"/>
      <c r="D613" s="969"/>
      <c r="E613" s="969"/>
      <c r="F613" s="969"/>
      <c r="G613" s="969"/>
      <c r="H613" s="969"/>
      <c r="I613" s="969"/>
      <c r="J613" s="969"/>
      <c r="K613" s="969"/>
      <c r="L613" s="969"/>
    </row>
    <row r="614">
      <c r="A614" s="969"/>
      <c r="B614" s="1278"/>
      <c r="C614" s="969"/>
      <c r="D614" s="969"/>
      <c r="E614" s="969"/>
      <c r="F614" s="969"/>
      <c r="G614" s="969"/>
      <c r="H614" s="969"/>
      <c r="I614" s="969"/>
      <c r="J614" s="969"/>
      <c r="K614" s="969"/>
      <c r="L614" s="969"/>
    </row>
    <row r="615">
      <c r="A615" s="969"/>
      <c r="B615" s="1278"/>
      <c r="C615" s="969"/>
      <c r="D615" s="969"/>
      <c r="E615" s="969"/>
      <c r="F615" s="969"/>
      <c r="G615" s="969"/>
      <c r="H615" s="969"/>
      <c r="I615" s="969"/>
      <c r="J615" s="969"/>
      <c r="K615" s="969"/>
      <c r="L615" s="969"/>
    </row>
    <row r="616">
      <c r="A616" s="969"/>
      <c r="B616" s="1278"/>
      <c r="C616" s="969"/>
      <c r="D616" s="969"/>
      <c r="E616" s="969"/>
      <c r="F616" s="969"/>
      <c r="G616" s="969"/>
      <c r="H616" s="969"/>
      <c r="I616" s="969"/>
      <c r="J616" s="969"/>
      <c r="K616" s="969"/>
      <c r="L616" s="969"/>
    </row>
    <row r="617">
      <c r="A617" s="969"/>
      <c r="B617" s="1278"/>
      <c r="C617" s="969"/>
      <c r="D617" s="969"/>
      <c r="E617" s="969"/>
      <c r="F617" s="969"/>
      <c r="G617" s="969"/>
      <c r="H617" s="969"/>
      <c r="I617" s="969"/>
      <c r="J617" s="969"/>
      <c r="K617" s="969"/>
      <c r="L617" s="969"/>
    </row>
    <row r="618">
      <c r="A618" s="969"/>
      <c r="B618" s="1278"/>
      <c r="C618" s="969"/>
      <c r="D618" s="969"/>
      <c r="E618" s="969"/>
      <c r="F618" s="969"/>
      <c r="G618" s="969"/>
      <c r="H618" s="969"/>
      <c r="I618" s="969"/>
      <c r="J618" s="969"/>
      <c r="K618" s="969"/>
      <c r="L618" s="969"/>
    </row>
    <row r="619">
      <c r="A619" s="969"/>
      <c r="B619" s="1278"/>
      <c r="C619" s="969"/>
      <c r="D619" s="969"/>
      <c r="E619" s="969"/>
      <c r="F619" s="969"/>
      <c r="G619" s="969"/>
      <c r="H619" s="969"/>
      <c r="I619" s="969"/>
      <c r="J619" s="969"/>
      <c r="K619" s="969"/>
      <c r="L619" s="969"/>
    </row>
    <row r="620">
      <c r="A620" s="969"/>
      <c r="B620" s="1278"/>
      <c r="C620" s="969"/>
      <c r="D620" s="969"/>
      <c r="E620" s="969"/>
      <c r="F620" s="969"/>
      <c r="G620" s="969"/>
      <c r="H620" s="969"/>
      <c r="I620" s="969"/>
      <c r="J620" s="969"/>
      <c r="K620" s="969"/>
      <c r="L620" s="969"/>
    </row>
    <row r="621">
      <c r="A621" s="969"/>
      <c r="B621" s="1278"/>
      <c r="C621" s="969"/>
      <c r="D621" s="969"/>
      <c r="E621" s="969"/>
      <c r="F621" s="969"/>
      <c r="G621" s="969"/>
      <c r="H621" s="969"/>
      <c r="I621" s="969"/>
      <c r="J621" s="969"/>
      <c r="K621" s="969"/>
      <c r="L621" s="969"/>
    </row>
    <row r="622">
      <c r="A622" s="969"/>
      <c r="B622" s="1278"/>
      <c r="C622" s="969"/>
      <c r="D622" s="969"/>
      <c r="E622" s="969"/>
      <c r="F622" s="969"/>
      <c r="G622" s="969"/>
      <c r="H622" s="969"/>
      <c r="I622" s="969"/>
      <c r="J622" s="969"/>
      <c r="K622" s="969"/>
      <c r="L622" s="969"/>
    </row>
    <row r="623">
      <c r="A623" s="969"/>
      <c r="B623" s="1278"/>
      <c r="C623" s="969"/>
      <c r="D623" s="969"/>
      <c r="E623" s="969"/>
      <c r="F623" s="969"/>
      <c r="G623" s="969"/>
      <c r="H623" s="969"/>
      <c r="I623" s="969"/>
      <c r="J623" s="969"/>
      <c r="K623" s="969"/>
      <c r="L623" s="969"/>
    </row>
    <row r="624">
      <c r="A624" s="969"/>
      <c r="B624" s="1278"/>
      <c r="C624" s="969"/>
      <c r="D624" s="969"/>
      <c r="E624" s="969"/>
      <c r="F624" s="969"/>
      <c r="G624" s="969"/>
      <c r="H624" s="969"/>
      <c r="I624" s="969"/>
      <c r="J624" s="969"/>
      <c r="K624" s="969"/>
      <c r="L624" s="969"/>
    </row>
    <row r="625">
      <c r="A625" s="969"/>
      <c r="B625" s="1278"/>
      <c r="C625" s="969"/>
      <c r="D625" s="969"/>
      <c r="E625" s="969"/>
      <c r="F625" s="969"/>
      <c r="G625" s="969"/>
      <c r="H625" s="969"/>
      <c r="I625" s="969"/>
      <c r="J625" s="969"/>
      <c r="K625" s="969"/>
      <c r="L625" s="969"/>
    </row>
    <row r="626">
      <c r="A626" s="969"/>
      <c r="B626" s="1278"/>
      <c r="C626" s="969"/>
      <c r="D626" s="969"/>
      <c r="E626" s="969"/>
      <c r="F626" s="969"/>
      <c r="G626" s="969"/>
      <c r="H626" s="969"/>
      <c r="I626" s="969"/>
      <c r="J626" s="969"/>
      <c r="K626" s="969"/>
      <c r="L626" s="969"/>
    </row>
    <row r="627">
      <c r="A627" s="969"/>
      <c r="B627" s="1278"/>
      <c r="C627" s="969"/>
      <c r="D627" s="969"/>
      <c r="E627" s="969"/>
      <c r="F627" s="969"/>
      <c r="G627" s="969"/>
      <c r="H627" s="969"/>
      <c r="I627" s="969"/>
      <c r="J627" s="969"/>
      <c r="K627" s="969"/>
      <c r="L627" s="969"/>
    </row>
    <row r="628">
      <c r="A628" s="969"/>
      <c r="B628" s="1278"/>
      <c r="C628" s="969"/>
      <c r="D628" s="969"/>
      <c r="E628" s="969"/>
      <c r="F628" s="969"/>
      <c r="G628" s="969"/>
      <c r="H628" s="969"/>
      <c r="I628" s="969"/>
      <c r="J628" s="969"/>
      <c r="K628" s="969"/>
      <c r="L628" s="969"/>
    </row>
    <row r="629">
      <c r="A629" s="969"/>
      <c r="B629" s="1278"/>
      <c r="C629" s="969"/>
      <c r="D629" s="969"/>
      <c r="E629" s="969"/>
      <c r="F629" s="969"/>
      <c r="G629" s="969"/>
      <c r="H629" s="969"/>
      <c r="I629" s="969"/>
      <c r="J629" s="969"/>
      <c r="K629" s="969"/>
      <c r="L629" s="969"/>
    </row>
    <row r="630">
      <c r="A630" s="969"/>
      <c r="B630" s="1278"/>
      <c r="C630" s="969"/>
      <c r="D630" s="969"/>
      <c r="E630" s="969"/>
      <c r="F630" s="969"/>
      <c r="G630" s="969"/>
      <c r="H630" s="969"/>
      <c r="I630" s="969"/>
      <c r="J630" s="969"/>
      <c r="K630" s="969"/>
      <c r="L630" s="969"/>
    </row>
    <row r="631">
      <c r="A631" s="969"/>
      <c r="B631" s="1278"/>
      <c r="C631" s="969"/>
      <c r="D631" s="969"/>
      <c r="E631" s="969"/>
      <c r="F631" s="969"/>
      <c r="G631" s="969"/>
      <c r="H631" s="969"/>
      <c r="I631" s="969"/>
      <c r="J631" s="969"/>
      <c r="K631" s="969"/>
      <c r="L631" s="969"/>
    </row>
    <row r="632">
      <c r="A632" s="969"/>
      <c r="B632" s="1278"/>
      <c r="C632" s="969"/>
      <c r="D632" s="969"/>
      <c r="E632" s="969"/>
      <c r="F632" s="969"/>
      <c r="G632" s="969"/>
      <c r="H632" s="969"/>
      <c r="I632" s="969"/>
      <c r="J632" s="969"/>
      <c r="K632" s="969"/>
      <c r="L632" s="969"/>
    </row>
    <row r="633">
      <c r="A633" s="969"/>
      <c r="B633" s="1278"/>
      <c r="C633" s="969"/>
      <c r="D633" s="969"/>
      <c r="E633" s="969"/>
      <c r="F633" s="969"/>
      <c r="G633" s="969"/>
      <c r="H633" s="969"/>
      <c r="I633" s="969"/>
      <c r="J633" s="969"/>
      <c r="K633" s="969"/>
      <c r="L633" s="969"/>
    </row>
    <row r="634">
      <c r="A634" s="969"/>
      <c r="B634" s="1278"/>
      <c r="C634" s="969"/>
      <c r="D634" s="969"/>
      <c r="E634" s="969"/>
      <c r="F634" s="969"/>
      <c r="G634" s="969"/>
      <c r="H634" s="969"/>
      <c r="I634" s="969"/>
      <c r="J634" s="969"/>
      <c r="K634" s="969"/>
      <c r="L634" s="969"/>
    </row>
    <row r="635">
      <c r="A635" s="969"/>
      <c r="B635" s="1278"/>
      <c r="C635" s="969"/>
      <c r="D635" s="969"/>
      <c r="E635" s="969"/>
      <c r="F635" s="969"/>
      <c r="G635" s="969"/>
      <c r="H635" s="969"/>
      <c r="I635" s="969"/>
      <c r="J635" s="969"/>
      <c r="K635" s="969"/>
      <c r="L635" s="969"/>
    </row>
    <row r="636">
      <c r="A636" s="969"/>
      <c r="B636" s="1278"/>
      <c r="C636" s="969"/>
      <c r="D636" s="969"/>
      <c r="E636" s="969"/>
      <c r="F636" s="969"/>
      <c r="G636" s="969"/>
      <c r="H636" s="969"/>
      <c r="I636" s="969"/>
      <c r="J636" s="969"/>
      <c r="K636" s="969"/>
      <c r="L636" s="969"/>
    </row>
    <row r="637">
      <c r="A637" s="969"/>
      <c r="B637" s="1278"/>
      <c r="C637" s="969"/>
      <c r="D637" s="969"/>
      <c r="E637" s="969"/>
      <c r="F637" s="969"/>
      <c r="G637" s="969"/>
      <c r="H637" s="969"/>
      <c r="I637" s="969"/>
      <c r="J637" s="969"/>
      <c r="K637" s="969"/>
      <c r="L637" s="969"/>
    </row>
    <row r="638">
      <c r="A638" s="969"/>
      <c r="B638" s="1278"/>
      <c r="C638" s="969"/>
      <c r="D638" s="969"/>
      <c r="E638" s="969"/>
      <c r="F638" s="969"/>
      <c r="G638" s="969"/>
      <c r="H638" s="969"/>
      <c r="I638" s="969"/>
      <c r="J638" s="969"/>
      <c r="K638" s="969"/>
      <c r="L638" s="969"/>
    </row>
    <row r="639">
      <c r="A639" s="969"/>
      <c r="B639" s="1278"/>
      <c r="C639" s="969"/>
      <c r="D639" s="969"/>
      <c r="E639" s="969"/>
      <c r="F639" s="969"/>
      <c r="G639" s="969"/>
      <c r="H639" s="969"/>
      <c r="I639" s="969"/>
      <c r="J639" s="969"/>
      <c r="K639" s="969"/>
      <c r="L639" s="969"/>
    </row>
    <row r="640">
      <c r="A640" s="969"/>
      <c r="B640" s="1278"/>
      <c r="C640" s="969"/>
      <c r="D640" s="969"/>
      <c r="E640" s="969"/>
      <c r="F640" s="969"/>
      <c r="G640" s="969"/>
      <c r="H640" s="969"/>
      <c r="I640" s="969"/>
      <c r="J640" s="969"/>
      <c r="K640" s="969"/>
      <c r="L640" s="969"/>
    </row>
    <row r="641">
      <c r="A641" s="969"/>
      <c r="B641" s="1278"/>
      <c r="C641" s="969"/>
      <c r="D641" s="969"/>
      <c r="E641" s="969"/>
      <c r="F641" s="969"/>
      <c r="G641" s="969"/>
      <c r="H641" s="969"/>
      <c r="I641" s="969"/>
      <c r="J641" s="969"/>
      <c r="K641" s="969"/>
      <c r="L641" s="969"/>
    </row>
    <row r="642">
      <c r="A642" s="969"/>
      <c r="B642" s="1278"/>
      <c r="C642" s="969"/>
      <c r="D642" s="969"/>
      <c r="E642" s="969"/>
      <c r="F642" s="969"/>
      <c r="G642" s="969"/>
      <c r="H642" s="969"/>
      <c r="I642" s="969"/>
      <c r="J642" s="969"/>
      <c r="K642" s="969"/>
      <c r="L642" s="969"/>
    </row>
    <row r="643">
      <c r="A643" s="969"/>
      <c r="B643" s="1278"/>
      <c r="C643" s="969"/>
      <c r="D643" s="969"/>
      <c r="E643" s="969"/>
      <c r="F643" s="969"/>
      <c r="G643" s="969"/>
      <c r="H643" s="969"/>
      <c r="I643" s="969"/>
      <c r="J643" s="969"/>
      <c r="K643" s="969"/>
      <c r="L643" s="969"/>
    </row>
    <row r="644">
      <c r="A644" s="969"/>
      <c r="B644" s="1278"/>
      <c r="C644" s="969"/>
      <c r="D644" s="969"/>
      <c r="E644" s="969"/>
      <c r="F644" s="969"/>
      <c r="G644" s="969"/>
      <c r="H644" s="969"/>
      <c r="I644" s="969"/>
      <c r="J644" s="969"/>
      <c r="K644" s="969"/>
      <c r="L644" s="969"/>
    </row>
    <row r="645">
      <c r="A645" s="969"/>
      <c r="B645" s="1278"/>
      <c r="C645" s="969"/>
      <c r="D645" s="969"/>
      <c r="E645" s="969"/>
      <c r="F645" s="969"/>
      <c r="G645" s="969"/>
      <c r="H645" s="969"/>
      <c r="I645" s="969"/>
      <c r="J645" s="969"/>
      <c r="K645" s="969"/>
      <c r="L645" s="969"/>
    </row>
    <row r="646">
      <c r="A646" s="969"/>
      <c r="B646" s="1278"/>
      <c r="C646" s="969"/>
      <c r="D646" s="969"/>
      <c r="E646" s="969"/>
      <c r="F646" s="969"/>
      <c r="G646" s="969"/>
      <c r="H646" s="969"/>
      <c r="I646" s="969"/>
      <c r="J646" s="969"/>
      <c r="K646" s="969"/>
      <c r="L646" s="969"/>
    </row>
    <row r="647">
      <c r="A647" s="969"/>
      <c r="B647" s="1278"/>
      <c r="C647" s="969"/>
      <c r="D647" s="969"/>
      <c r="E647" s="969"/>
      <c r="F647" s="969"/>
      <c r="G647" s="969"/>
      <c r="H647" s="969"/>
      <c r="I647" s="969"/>
      <c r="J647" s="969"/>
      <c r="K647" s="969"/>
      <c r="L647" s="969"/>
    </row>
    <row r="648">
      <c r="A648" s="969"/>
      <c r="B648" s="1278"/>
      <c r="C648" s="969"/>
      <c r="D648" s="969"/>
      <c r="E648" s="969"/>
      <c r="F648" s="969"/>
      <c r="G648" s="969"/>
      <c r="H648" s="969"/>
      <c r="I648" s="969"/>
      <c r="J648" s="969"/>
      <c r="K648" s="969"/>
      <c r="L648" s="969"/>
    </row>
    <row r="649">
      <c r="A649" s="969"/>
      <c r="B649" s="1278"/>
      <c r="C649" s="969"/>
      <c r="D649" s="969"/>
      <c r="E649" s="969"/>
      <c r="F649" s="969"/>
      <c r="G649" s="969"/>
      <c r="H649" s="969"/>
      <c r="I649" s="969"/>
      <c r="J649" s="969"/>
      <c r="K649" s="969"/>
      <c r="L649" s="969"/>
    </row>
    <row r="650">
      <c r="A650" s="969"/>
      <c r="B650" s="1278"/>
      <c r="C650" s="969"/>
      <c r="D650" s="969"/>
      <c r="E650" s="969"/>
      <c r="F650" s="969"/>
      <c r="G650" s="969"/>
      <c r="H650" s="969"/>
      <c r="I650" s="969"/>
      <c r="J650" s="969"/>
      <c r="K650" s="969"/>
      <c r="L650" s="969"/>
    </row>
    <row r="651">
      <c r="A651" s="969"/>
      <c r="B651" s="1278"/>
      <c r="C651" s="969"/>
      <c r="D651" s="969"/>
      <c r="E651" s="969"/>
      <c r="F651" s="969"/>
      <c r="G651" s="969"/>
      <c r="H651" s="969"/>
      <c r="I651" s="969"/>
      <c r="J651" s="969"/>
      <c r="K651" s="969"/>
      <c r="L651" s="969"/>
    </row>
    <row r="652">
      <c r="A652" s="969"/>
      <c r="B652" s="1278"/>
      <c r="C652" s="969"/>
      <c r="D652" s="969"/>
      <c r="E652" s="969"/>
      <c r="F652" s="969"/>
      <c r="G652" s="969"/>
      <c r="H652" s="969"/>
      <c r="I652" s="969"/>
      <c r="J652" s="969"/>
      <c r="K652" s="969"/>
      <c r="L652" s="969"/>
    </row>
    <row r="653">
      <c r="A653" s="969"/>
      <c r="B653" s="1278"/>
      <c r="C653" s="969"/>
      <c r="D653" s="969"/>
      <c r="E653" s="969"/>
      <c r="F653" s="969"/>
      <c r="G653" s="969"/>
      <c r="H653" s="969"/>
      <c r="I653" s="969"/>
      <c r="J653" s="969"/>
      <c r="K653" s="969"/>
      <c r="L653" s="969"/>
    </row>
    <row r="654">
      <c r="A654" s="969"/>
      <c r="B654" s="1278"/>
      <c r="C654" s="969"/>
      <c r="D654" s="969"/>
      <c r="E654" s="969"/>
      <c r="F654" s="969"/>
      <c r="G654" s="969"/>
      <c r="H654" s="969"/>
      <c r="I654" s="969"/>
      <c r="J654" s="969"/>
      <c r="K654" s="969"/>
      <c r="L654" s="969"/>
    </row>
    <row r="655">
      <c r="A655" s="969"/>
      <c r="B655" s="1278"/>
      <c r="C655" s="969"/>
      <c r="D655" s="969"/>
      <c r="E655" s="969"/>
      <c r="F655" s="969"/>
      <c r="G655" s="969"/>
      <c r="H655" s="969"/>
      <c r="I655" s="969"/>
      <c r="J655" s="969"/>
      <c r="K655" s="969"/>
      <c r="L655" s="969"/>
    </row>
    <row r="656">
      <c r="A656" s="969"/>
      <c r="B656" s="1278"/>
      <c r="C656" s="969"/>
      <c r="D656" s="969"/>
      <c r="E656" s="969"/>
      <c r="F656" s="969"/>
      <c r="G656" s="969"/>
      <c r="H656" s="969"/>
      <c r="I656" s="969"/>
      <c r="J656" s="969"/>
      <c r="K656" s="969"/>
      <c r="L656" s="969"/>
    </row>
    <row r="657">
      <c r="A657" s="969"/>
      <c r="B657" s="1278"/>
      <c r="C657" s="969"/>
      <c r="D657" s="969"/>
      <c r="E657" s="969"/>
      <c r="F657" s="969"/>
      <c r="G657" s="969"/>
      <c r="H657" s="969"/>
      <c r="I657" s="969"/>
      <c r="J657" s="969"/>
      <c r="K657" s="969"/>
      <c r="L657" s="969"/>
    </row>
    <row r="658">
      <c r="A658" s="969"/>
      <c r="B658" s="1278"/>
      <c r="C658" s="969"/>
      <c r="D658" s="969"/>
      <c r="E658" s="969"/>
      <c r="F658" s="969"/>
      <c r="G658" s="969"/>
      <c r="H658" s="969"/>
      <c r="I658" s="969"/>
      <c r="J658" s="969"/>
      <c r="K658" s="969"/>
      <c r="L658" s="969"/>
    </row>
    <row r="659">
      <c r="A659" s="969"/>
      <c r="B659" s="1278"/>
      <c r="C659" s="969"/>
      <c r="D659" s="969"/>
      <c r="E659" s="969"/>
      <c r="F659" s="969"/>
      <c r="G659" s="969"/>
      <c r="H659" s="969"/>
      <c r="I659" s="969"/>
      <c r="J659" s="969"/>
      <c r="K659" s="969"/>
      <c r="L659" s="969"/>
    </row>
    <row r="660">
      <c r="A660" s="969"/>
      <c r="B660" s="1278"/>
      <c r="C660" s="969"/>
      <c r="D660" s="969"/>
      <c r="E660" s="969"/>
      <c r="F660" s="969"/>
      <c r="G660" s="969"/>
      <c r="H660" s="969"/>
      <c r="I660" s="969"/>
      <c r="J660" s="969"/>
      <c r="K660" s="969"/>
      <c r="L660" s="969"/>
    </row>
    <row r="661">
      <c r="A661" s="969"/>
      <c r="B661" s="1278"/>
      <c r="C661" s="969"/>
      <c r="D661" s="969"/>
      <c r="E661" s="969"/>
      <c r="F661" s="969"/>
      <c r="G661" s="969"/>
      <c r="H661" s="969"/>
      <c r="I661" s="969"/>
      <c r="J661" s="969"/>
      <c r="K661" s="969"/>
      <c r="L661" s="969"/>
    </row>
    <row r="662">
      <c r="A662" s="969"/>
      <c r="B662" s="1278"/>
      <c r="C662" s="969"/>
      <c r="D662" s="969"/>
      <c r="E662" s="969"/>
      <c r="F662" s="969"/>
      <c r="G662" s="969"/>
      <c r="H662" s="969"/>
      <c r="I662" s="969"/>
      <c r="J662" s="969"/>
      <c r="K662" s="969"/>
      <c r="L662" s="969"/>
    </row>
    <row r="663">
      <c r="A663" s="969"/>
      <c r="B663" s="1278"/>
      <c r="C663" s="969"/>
      <c r="D663" s="969"/>
      <c r="E663" s="969"/>
      <c r="F663" s="969"/>
      <c r="G663" s="969"/>
      <c r="H663" s="969"/>
      <c r="I663" s="969"/>
      <c r="J663" s="969"/>
      <c r="K663" s="969"/>
      <c r="L663" s="969"/>
    </row>
    <row r="664">
      <c r="A664" s="969"/>
      <c r="B664" s="1278"/>
      <c r="C664" s="969"/>
      <c r="D664" s="969"/>
      <c r="E664" s="969"/>
      <c r="F664" s="969"/>
      <c r="G664" s="969"/>
      <c r="H664" s="969"/>
      <c r="I664" s="969"/>
      <c r="J664" s="969"/>
      <c r="K664" s="969"/>
      <c r="L664" s="969"/>
    </row>
    <row r="665">
      <c r="A665" s="969"/>
      <c r="B665" s="1278"/>
      <c r="C665" s="969"/>
      <c r="D665" s="969"/>
      <c r="E665" s="969"/>
      <c r="F665" s="969"/>
      <c r="G665" s="969"/>
      <c r="H665" s="969"/>
      <c r="I665" s="969"/>
      <c r="J665" s="969"/>
      <c r="K665" s="969"/>
      <c r="L665" s="969"/>
    </row>
    <row r="666">
      <c r="A666" s="969"/>
      <c r="B666" s="1278"/>
      <c r="C666" s="969"/>
      <c r="D666" s="969"/>
      <c r="E666" s="969"/>
      <c r="F666" s="969"/>
      <c r="G666" s="969"/>
      <c r="H666" s="969"/>
      <c r="I666" s="969"/>
      <c r="J666" s="969"/>
      <c r="K666" s="969"/>
      <c r="L666" s="969"/>
    </row>
    <row r="667">
      <c r="A667" s="969"/>
      <c r="B667" s="1278"/>
      <c r="C667" s="969"/>
      <c r="D667" s="969"/>
      <c r="E667" s="969"/>
      <c r="F667" s="969"/>
      <c r="G667" s="969"/>
      <c r="H667" s="969"/>
      <c r="I667" s="969"/>
      <c r="J667" s="969"/>
      <c r="K667" s="969"/>
      <c r="L667" s="969"/>
    </row>
    <row r="668">
      <c r="A668" s="969"/>
      <c r="B668" s="1278"/>
      <c r="C668" s="969"/>
      <c r="D668" s="969"/>
      <c r="E668" s="969"/>
      <c r="F668" s="969"/>
      <c r="G668" s="969"/>
      <c r="H668" s="969"/>
      <c r="I668" s="969"/>
      <c r="J668" s="969"/>
      <c r="K668" s="969"/>
      <c r="L668" s="969"/>
    </row>
    <row r="669">
      <c r="A669" s="969"/>
      <c r="B669" s="1278"/>
      <c r="C669" s="969"/>
      <c r="D669" s="969"/>
      <c r="E669" s="969"/>
      <c r="F669" s="969"/>
      <c r="G669" s="969"/>
      <c r="H669" s="969"/>
      <c r="I669" s="969"/>
      <c r="J669" s="969"/>
      <c r="K669" s="969"/>
      <c r="L669" s="969"/>
    </row>
    <row r="670">
      <c r="A670" s="969"/>
      <c r="B670" s="1278"/>
      <c r="C670" s="969"/>
      <c r="D670" s="969"/>
      <c r="E670" s="969"/>
      <c r="F670" s="969"/>
      <c r="G670" s="969"/>
      <c r="H670" s="969"/>
      <c r="I670" s="969"/>
      <c r="J670" s="969"/>
      <c r="K670" s="969"/>
      <c r="L670" s="969"/>
    </row>
    <row r="671">
      <c r="A671" s="969"/>
      <c r="B671" s="1278"/>
      <c r="C671" s="969"/>
      <c r="D671" s="969"/>
      <c r="E671" s="969"/>
      <c r="F671" s="969"/>
      <c r="G671" s="969"/>
      <c r="H671" s="969"/>
      <c r="I671" s="969"/>
      <c r="J671" s="969"/>
      <c r="K671" s="969"/>
      <c r="L671" s="969"/>
    </row>
    <row r="672">
      <c r="A672" s="969"/>
      <c r="B672" s="1278"/>
      <c r="C672" s="969"/>
      <c r="D672" s="969"/>
      <c r="E672" s="969"/>
      <c r="F672" s="969"/>
      <c r="G672" s="969"/>
      <c r="H672" s="969"/>
      <c r="I672" s="969"/>
      <c r="J672" s="969"/>
      <c r="K672" s="969"/>
      <c r="L672" s="969"/>
    </row>
    <row r="673">
      <c r="A673" s="969"/>
      <c r="B673" s="1278"/>
      <c r="C673" s="969"/>
      <c r="D673" s="969"/>
      <c r="E673" s="969"/>
      <c r="F673" s="969"/>
      <c r="G673" s="969"/>
      <c r="H673" s="969"/>
      <c r="I673" s="969"/>
      <c r="J673" s="969"/>
      <c r="K673" s="969"/>
      <c r="L673" s="969"/>
    </row>
    <row r="674">
      <c r="A674" s="969"/>
      <c r="B674" s="1278"/>
      <c r="C674" s="969"/>
      <c r="D674" s="969"/>
      <c r="E674" s="969"/>
      <c r="F674" s="969"/>
      <c r="G674" s="969"/>
      <c r="H674" s="969"/>
      <c r="I674" s="969"/>
      <c r="J674" s="969"/>
      <c r="K674" s="969"/>
      <c r="L674" s="969"/>
    </row>
    <row r="675">
      <c r="A675" s="969"/>
      <c r="B675" s="1278"/>
      <c r="C675" s="969"/>
      <c r="D675" s="969"/>
      <c r="E675" s="969"/>
      <c r="F675" s="969"/>
      <c r="G675" s="969"/>
      <c r="H675" s="969"/>
      <c r="I675" s="969"/>
      <c r="J675" s="969"/>
      <c r="K675" s="969"/>
      <c r="L675" s="969"/>
    </row>
    <row r="676">
      <c r="A676" s="969"/>
      <c r="B676" s="1278"/>
      <c r="C676" s="969"/>
      <c r="D676" s="969"/>
      <c r="E676" s="969"/>
      <c r="F676" s="969"/>
      <c r="G676" s="969"/>
      <c r="H676" s="969"/>
      <c r="I676" s="969"/>
      <c r="J676" s="969"/>
      <c r="K676" s="969"/>
      <c r="L676" s="969"/>
    </row>
    <row r="677">
      <c r="A677" s="969"/>
      <c r="B677" s="1278"/>
      <c r="C677" s="969"/>
      <c r="D677" s="969"/>
      <c r="E677" s="969"/>
      <c r="F677" s="969"/>
      <c r="G677" s="969"/>
      <c r="H677" s="969"/>
      <c r="I677" s="969"/>
      <c r="J677" s="969"/>
      <c r="K677" s="969"/>
      <c r="L677" s="969"/>
    </row>
    <row r="678">
      <c r="A678" s="969"/>
      <c r="B678" s="1278"/>
      <c r="C678" s="969"/>
      <c r="D678" s="969"/>
      <c r="E678" s="969"/>
      <c r="F678" s="969"/>
      <c r="G678" s="969"/>
      <c r="H678" s="969"/>
      <c r="I678" s="969"/>
      <c r="J678" s="969"/>
      <c r="K678" s="969"/>
      <c r="L678" s="969"/>
    </row>
    <row r="679">
      <c r="A679" s="969"/>
      <c r="B679" s="1278"/>
      <c r="C679" s="969"/>
      <c r="D679" s="969"/>
      <c r="E679" s="969"/>
      <c r="F679" s="969"/>
      <c r="G679" s="969"/>
      <c r="H679" s="969"/>
      <c r="I679" s="969"/>
      <c r="J679" s="969"/>
      <c r="K679" s="969"/>
      <c r="L679" s="969"/>
    </row>
    <row r="680">
      <c r="A680" s="969"/>
      <c r="B680" s="1278"/>
      <c r="C680" s="969"/>
      <c r="D680" s="969"/>
      <c r="E680" s="969"/>
      <c r="F680" s="969"/>
      <c r="G680" s="969"/>
      <c r="H680" s="969"/>
      <c r="I680" s="969"/>
      <c r="J680" s="969"/>
      <c r="K680" s="969"/>
      <c r="L680" s="969"/>
    </row>
    <row r="681">
      <c r="A681" s="969"/>
      <c r="B681" s="1278"/>
      <c r="C681" s="969"/>
      <c r="D681" s="969"/>
      <c r="E681" s="969"/>
      <c r="F681" s="969"/>
      <c r="G681" s="969"/>
      <c r="H681" s="969"/>
      <c r="I681" s="969"/>
      <c r="J681" s="969"/>
      <c r="K681" s="969"/>
      <c r="L681" s="969"/>
    </row>
    <row r="682">
      <c r="A682" s="969"/>
      <c r="B682" s="1278"/>
      <c r="C682" s="969"/>
      <c r="D682" s="969"/>
      <c r="E682" s="969"/>
      <c r="F682" s="969"/>
      <c r="G682" s="969"/>
      <c r="H682" s="969"/>
      <c r="I682" s="969"/>
      <c r="J682" s="969"/>
      <c r="K682" s="969"/>
      <c r="L682" s="969"/>
    </row>
    <row r="683">
      <c r="A683" s="969"/>
      <c r="B683" s="1278"/>
      <c r="C683" s="969"/>
      <c r="D683" s="969"/>
      <c r="E683" s="969"/>
      <c r="F683" s="969"/>
      <c r="G683" s="969"/>
      <c r="H683" s="969"/>
      <c r="I683" s="969"/>
      <c r="J683" s="969"/>
      <c r="K683" s="969"/>
      <c r="L683" s="969"/>
    </row>
    <row r="684">
      <c r="A684" s="969"/>
      <c r="B684" s="1278"/>
      <c r="C684" s="969"/>
      <c r="D684" s="969"/>
      <c r="E684" s="969"/>
      <c r="F684" s="969"/>
      <c r="G684" s="969"/>
      <c r="H684" s="969"/>
      <c r="I684" s="969"/>
      <c r="J684" s="969"/>
      <c r="K684" s="969"/>
      <c r="L684" s="969"/>
    </row>
    <row r="685">
      <c r="A685" s="969"/>
      <c r="B685" s="1278"/>
      <c r="C685" s="969"/>
      <c r="D685" s="969"/>
      <c r="E685" s="969"/>
      <c r="F685" s="969"/>
      <c r="G685" s="969"/>
      <c r="H685" s="969"/>
      <c r="I685" s="969"/>
      <c r="J685" s="969"/>
      <c r="K685" s="969"/>
      <c r="L685" s="969"/>
    </row>
    <row r="686">
      <c r="A686" s="969"/>
      <c r="B686" s="1278"/>
      <c r="C686" s="969"/>
      <c r="D686" s="969"/>
      <c r="E686" s="969"/>
      <c r="F686" s="969"/>
      <c r="G686" s="969"/>
      <c r="H686" s="969"/>
      <c r="I686" s="969"/>
      <c r="J686" s="969"/>
      <c r="K686" s="969"/>
      <c r="L686" s="969"/>
    </row>
    <row r="687">
      <c r="A687" s="969"/>
      <c r="B687" s="1278"/>
      <c r="C687" s="969"/>
      <c r="D687" s="969"/>
      <c r="E687" s="969"/>
      <c r="F687" s="969"/>
      <c r="G687" s="969"/>
      <c r="H687" s="969"/>
      <c r="I687" s="969"/>
      <c r="J687" s="969"/>
      <c r="K687" s="969"/>
      <c r="L687" s="969"/>
    </row>
    <row r="688">
      <c r="A688" s="969"/>
      <c r="B688" s="1278"/>
      <c r="C688" s="969"/>
      <c r="D688" s="969"/>
      <c r="E688" s="969"/>
      <c r="F688" s="969"/>
      <c r="G688" s="969"/>
      <c r="H688" s="969"/>
      <c r="I688" s="969"/>
      <c r="J688" s="969"/>
      <c r="K688" s="969"/>
      <c r="L688" s="969"/>
    </row>
    <row r="689">
      <c r="A689" s="969"/>
      <c r="B689" s="1278"/>
      <c r="C689" s="969"/>
      <c r="D689" s="969"/>
      <c r="E689" s="969"/>
      <c r="F689" s="969"/>
      <c r="G689" s="969"/>
      <c r="H689" s="969"/>
      <c r="I689" s="969"/>
      <c r="J689" s="969"/>
      <c r="K689" s="969"/>
      <c r="L689" s="969"/>
    </row>
    <row r="690">
      <c r="A690" s="969"/>
      <c r="B690" s="1278"/>
      <c r="C690" s="969"/>
      <c r="D690" s="969"/>
      <c r="E690" s="969"/>
      <c r="F690" s="969"/>
      <c r="G690" s="969"/>
      <c r="H690" s="969"/>
      <c r="I690" s="969"/>
      <c r="J690" s="969"/>
      <c r="K690" s="969"/>
      <c r="L690" s="969"/>
    </row>
    <row r="691">
      <c r="A691" s="969"/>
      <c r="B691" s="1278"/>
      <c r="C691" s="969"/>
      <c r="D691" s="969"/>
      <c r="E691" s="969"/>
      <c r="F691" s="969"/>
      <c r="G691" s="969"/>
      <c r="H691" s="969"/>
      <c r="I691" s="969"/>
      <c r="J691" s="969"/>
      <c r="K691" s="969"/>
      <c r="L691" s="969"/>
    </row>
    <row r="692">
      <c r="A692" s="969"/>
      <c r="B692" s="1278"/>
      <c r="C692" s="969"/>
      <c r="D692" s="969"/>
      <c r="E692" s="969"/>
      <c r="F692" s="969"/>
      <c r="G692" s="969"/>
      <c r="H692" s="969"/>
      <c r="I692" s="969"/>
      <c r="J692" s="969"/>
      <c r="K692" s="969"/>
      <c r="L692" s="969"/>
    </row>
    <row r="693">
      <c r="A693" s="969"/>
      <c r="B693" s="1278"/>
      <c r="C693" s="969"/>
      <c r="D693" s="969"/>
      <c r="E693" s="969"/>
      <c r="F693" s="969"/>
      <c r="G693" s="969"/>
      <c r="H693" s="969"/>
      <c r="I693" s="969"/>
      <c r="J693" s="969"/>
      <c r="K693" s="969"/>
      <c r="L693" s="969"/>
    </row>
    <row r="694">
      <c r="A694" s="969"/>
      <c r="B694" s="1278"/>
      <c r="C694" s="969"/>
      <c r="D694" s="969"/>
      <c r="E694" s="969"/>
      <c r="F694" s="969"/>
      <c r="G694" s="969"/>
      <c r="H694" s="969"/>
      <c r="I694" s="969"/>
      <c r="J694" s="969"/>
      <c r="K694" s="969"/>
      <c r="L694" s="969"/>
    </row>
    <row r="695">
      <c r="A695" s="969"/>
      <c r="B695" s="1278"/>
      <c r="C695" s="969"/>
      <c r="D695" s="969"/>
      <c r="E695" s="969"/>
      <c r="F695" s="969"/>
      <c r="G695" s="969"/>
      <c r="H695" s="969"/>
      <c r="I695" s="969"/>
      <c r="J695" s="969"/>
      <c r="K695" s="969"/>
      <c r="L695" s="969"/>
    </row>
    <row r="696">
      <c r="A696" s="969"/>
      <c r="B696" s="1278"/>
      <c r="C696" s="969"/>
      <c r="D696" s="969"/>
      <c r="E696" s="969"/>
      <c r="F696" s="969"/>
      <c r="G696" s="969"/>
      <c r="H696" s="969"/>
      <c r="I696" s="969"/>
      <c r="J696" s="969"/>
      <c r="K696" s="969"/>
      <c r="L696" s="969"/>
    </row>
    <row r="697">
      <c r="A697" s="969"/>
      <c r="B697" s="1278"/>
      <c r="C697" s="969"/>
      <c r="D697" s="969"/>
      <c r="E697" s="969"/>
      <c r="F697" s="969"/>
      <c r="G697" s="969"/>
      <c r="H697" s="969"/>
      <c r="I697" s="969"/>
      <c r="J697" s="969"/>
      <c r="K697" s="969"/>
      <c r="L697" s="969"/>
    </row>
    <row r="698">
      <c r="A698" s="969"/>
      <c r="B698" s="1278"/>
      <c r="C698" s="969"/>
      <c r="D698" s="969"/>
      <c r="E698" s="969"/>
      <c r="F698" s="969"/>
      <c r="G698" s="969"/>
      <c r="H698" s="969"/>
      <c r="I698" s="969"/>
      <c r="J698" s="969"/>
      <c r="K698" s="969"/>
      <c r="L698" s="969"/>
    </row>
    <row r="699">
      <c r="A699" s="969"/>
      <c r="B699" s="1278"/>
      <c r="C699" s="969"/>
      <c r="D699" s="969"/>
      <c r="E699" s="969"/>
      <c r="F699" s="969"/>
      <c r="G699" s="969"/>
      <c r="H699" s="969"/>
      <c r="I699" s="969"/>
      <c r="J699" s="969"/>
      <c r="K699" s="969"/>
      <c r="L699" s="969"/>
    </row>
    <row r="700">
      <c r="A700" s="969"/>
      <c r="B700" s="1278"/>
      <c r="C700" s="969"/>
      <c r="D700" s="969"/>
      <c r="E700" s="969"/>
      <c r="F700" s="969"/>
      <c r="G700" s="969"/>
      <c r="H700" s="969"/>
      <c r="I700" s="969"/>
      <c r="J700" s="969"/>
      <c r="K700" s="969"/>
      <c r="L700" s="969"/>
    </row>
    <row r="701">
      <c r="A701" s="969"/>
      <c r="B701" s="1278"/>
      <c r="C701" s="969"/>
      <c r="D701" s="969"/>
      <c r="E701" s="969"/>
      <c r="F701" s="969"/>
      <c r="G701" s="969"/>
      <c r="H701" s="969"/>
      <c r="I701" s="969"/>
      <c r="J701" s="969"/>
      <c r="K701" s="969"/>
      <c r="L701" s="969"/>
    </row>
    <row r="702">
      <c r="A702" s="969"/>
      <c r="B702" s="1278"/>
      <c r="C702" s="969"/>
      <c r="D702" s="969"/>
      <c r="E702" s="969"/>
      <c r="F702" s="969"/>
      <c r="G702" s="969"/>
      <c r="H702" s="969"/>
      <c r="I702" s="969"/>
      <c r="J702" s="969"/>
      <c r="K702" s="969"/>
      <c r="L702" s="969"/>
    </row>
    <row r="703">
      <c r="A703" s="969"/>
      <c r="B703" s="1278"/>
      <c r="C703" s="969"/>
      <c r="D703" s="969"/>
      <c r="E703" s="969"/>
      <c r="F703" s="969"/>
      <c r="G703" s="969"/>
      <c r="H703" s="969"/>
      <c r="I703" s="969"/>
      <c r="J703" s="969"/>
      <c r="K703" s="969"/>
      <c r="L703" s="969"/>
    </row>
    <row r="704">
      <c r="A704" s="969"/>
      <c r="B704" s="1278"/>
      <c r="C704" s="969"/>
      <c r="D704" s="969"/>
      <c r="E704" s="969"/>
      <c r="F704" s="969"/>
      <c r="G704" s="969"/>
      <c r="H704" s="969"/>
      <c r="I704" s="969"/>
      <c r="J704" s="969"/>
      <c r="K704" s="969"/>
      <c r="L704" s="969"/>
    </row>
    <row r="705">
      <c r="A705" s="969"/>
      <c r="B705" s="1278"/>
      <c r="C705" s="969"/>
      <c r="D705" s="969"/>
      <c r="E705" s="969"/>
      <c r="F705" s="969"/>
      <c r="G705" s="969"/>
      <c r="H705" s="969"/>
      <c r="I705" s="969"/>
      <c r="J705" s="969"/>
      <c r="K705" s="969"/>
      <c r="L705" s="969"/>
    </row>
    <row r="706">
      <c r="A706" s="969"/>
      <c r="B706" s="1278"/>
      <c r="C706" s="969"/>
      <c r="D706" s="969"/>
      <c r="E706" s="969"/>
      <c r="F706" s="969"/>
      <c r="G706" s="969"/>
      <c r="H706" s="969"/>
      <c r="I706" s="969"/>
      <c r="J706" s="969"/>
      <c r="K706" s="969"/>
      <c r="L706" s="969"/>
    </row>
    <row r="707">
      <c r="A707" s="969"/>
      <c r="B707" s="1278"/>
      <c r="C707" s="969"/>
      <c r="D707" s="969"/>
      <c r="E707" s="969"/>
      <c r="F707" s="969"/>
      <c r="G707" s="969"/>
      <c r="H707" s="969"/>
      <c r="I707" s="969"/>
      <c r="J707" s="969"/>
      <c r="K707" s="969"/>
      <c r="L707" s="969"/>
    </row>
    <row r="708">
      <c r="A708" s="969"/>
      <c r="B708" s="1278"/>
      <c r="C708" s="969"/>
      <c r="D708" s="969"/>
      <c r="E708" s="969"/>
      <c r="F708" s="969"/>
      <c r="G708" s="969"/>
      <c r="H708" s="969"/>
      <c r="I708" s="969"/>
      <c r="J708" s="969"/>
      <c r="K708" s="969"/>
      <c r="L708" s="969"/>
    </row>
    <row r="709">
      <c r="A709" s="969"/>
      <c r="B709" s="1278"/>
      <c r="C709" s="969"/>
      <c r="D709" s="969"/>
      <c r="E709" s="969"/>
      <c r="F709" s="969"/>
      <c r="G709" s="969"/>
      <c r="H709" s="969"/>
      <c r="I709" s="969"/>
      <c r="J709" s="969"/>
      <c r="K709" s="969"/>
      <c r="L709" s="969"/>
    </row>
    <row r="710">
      <c r="A710" s="969"/>
      <c r="B710" s="1278"/>
      <c r="C710" s="969"/>
      <c r="D710" s="969"/>
      <c r="E710" s="969"/>
      <c r="F710" s="969"/>
      <c r="G710" s="969"/>
      <c r="H710" s="969"/>
      <c r="I710" s="969"/>
      <c r="J710" s="969"/>
      <c r="K710" s="969"/>
      <c r="L710" s="969"/>
    </row>
    <row r="711">
      <c r="A711" s="969"/>
      <c r="B711" s="1278"/>
      <c r="C711" s="969"/>
      <c r="D711" s="969"/>
      <c r="E711" s="969"/>
      <c r="F711" s="969"/>
      <c r="G711" s="969"/>
      <c r="H711" s="969"/>
      <c r="I711" s="969"/>
      <c r="J711" s="969"/>
      <c r="K711" s="969"/>
      <c r="L711" s="969"/>
    </row>
    <row r="712">
      <c r="A712" s="969"/>
      <c r="B712" s="1278"/>
      <c r="C712" s="969"/>
      <c r="D712" s="969"/>
      <c r="E712" s="969"/>
      <c r="F712" s="969"/>
      <c r="G712" s="969"/>
      <c r="H712" s="969"/>
      <c r="I712" s="969"/>
      <c r="J712" s="969"/>
      <c r="K712" s="969"/>
      <c r="L712" s="969"/>
    </row>
    <row r="713">
      <c r="A713" s="969"/>
      <c r="B713" s="1278"/>
      <c r="C713" s="969"/>
      <c r="D713" s="969"/>
      <c r="E713" s="969"/>
      <c r="F713" s="969"/>
      <c r="G713" s="969"/>
      <c r="H713" s="969"/>
      <c r="I713" s="969"/>
      <c r="J713" s="969"/>
      <c r="K713" s="969"/>
      <c r="L713" s="969"/>
    </row>
    <row r="714">
      <c r="A714" s="969"/>
      <c r="B714" s="1278"/>
      <c r="C714" s="969"/>
      <c r="D714" s="969"/>
      <c r="E714" s="969"/>
      <c r="F714" s="969"/>
      <c r="G714" s="969"/>
      <c r="H714" s="969"/>
      <c r="I714" s="969"/>
      <c r="J714" s="969"/>
      <c r="K714" s="969"/>
      <c r="L714" s="969"/>
    </row>
    <row r="715">
      <c r="A715" s="969"/>
      <c r="B715" s="1278"/>
      <c r="C715" s="969"/>
      <c r="D715" s="969"/>
      <c r="E715" s="969"/>
      <c r="F715" s="969"/>
      <c r="G715" s="969"/>
      <c r="H715" s="969"/>
      <c r="I715" s="969"/>
      <c r="J715" s="969"/>
      <c r="K715" s="969"/>
      <c r="L715" s="969"/>
    </row>
    <row r="716">
      <c r="A716" s="969"/>
      <c r="B716" s="1278"/>
      <c r="C716" s="969"/>
      <c r="D716" s="969"/>
      <c r="E716" s="969"/>
      <c r="F716" s="969"/>
      <c r="G716" s="969"/>
      <c r="H716" s="969"/>
      <c r="I716" s="969"/>
      <c r="J716" s="969"/>
      <c r="K716" s="969"/>
      <c r="L716" s="969"/>
    </row>
    <row r="717">
      <c r="A717" s="969"/>
      <c r="B717" s="1278"/>
      <c r="C717" s="969"/>
      <c r="D717" s="969"/>
      <c r="E717" s="969"/>
      <c r="F717" s="969"/>
      <c r="G717" s="969"/>
      <c r="H717" s="969"/>
      <c r="I717" s="969"/>
      <c r="J717" s="969"/>
      <c r="K717" s="969"/>
      <c r="L717" s="969"/>
    </row>
    <row r="718">
      <c r="A718" s="969"/>
      <c r="B718" s="1278"/>
      <c r="C718" s="969"/>
      <c r="D718" s="969"/>
      <c r="E718" s="969"/>
      <c r="F718" s="969"/>
      <c r="G718" s="969"/>
      <c r="H718" s="969"/>
      <c r="I718" s="969"/>
      <c r="J718" s="969"/>
      <c r="K718" s="969"/>
      <c r="L718" s="969"/>
    </row>
    <row r="719">
      <c r="A719" s="969"/>
      <c r="B719" s="1278"/>
      <c r="C719" s="969"/>
      <c r="D719" s="969"/>
      <c r="E719" s="969"/>
      <c r="F719" s="969"/>
      <c r="G719" s="969"/>
      <c r="H719" s="969"/>
      <c r="I719" s="969"/>
      <c r="J719" s="969"/>
      <c r="K719" s="969"/>
      <c r="L719" s="969"/>
    </row>
    <row r="720">
      <c r="A720" s="969"/>
      <c r="B720" s="1278"/>
      <c r="C720" s="969"/>
      <c r="D720" s="969"/>
      <c r="E720" s="969"/>
      <c r="F720" s="969"/>
      <c r="G720" s="969"/>
      <c r="H720" s="969"/>
      <c r="I720" s="969"/>
      <c r="J720" s="969"/>
      <c r="K720" s="969"/>
      <c r="L720" s="969"/>
    </row>
    <row r="721">
      <c r="A721" s="969"/>
      <c r="B721" s="1278"/>
      <c r="C721" s="969"/>
      <c r="D721" s="969"/>
      <c r="E721" s="969"/>
      <c r="F721" s="969"/>
      <c r="G721" s="969"/>
      <c r="H721" s="969"/>
      <c r="I721" s="969"/>
      <c r="J721" s="969"/>
      <c r="K721" s="969"/>
      <c r="L721" s="969"/>
    </row>
    <row r="722">
      <c r="A722" s="969"/>
      <c r="B722" s="1278"/>
      <c r="C722" s="969"/>
      <c r="D722" s="969"/>
      <c r="E722" s="969"/>
      <c r="F722" s="969"/>
      <c r="G722" s="969"/>
      <c r="H722" s="969"/>
      <c r="I722" s="969"/>
      <c r="J722" s="969"/>
      <c r="K722" s="969"/>
      <c r="L722" s="969"/>
    </row>
    <row r="723">
      <c r="A723" s="969"/>
      <c r="B723" s="1278"/>
      <c r="C723" s="969"/>
      <c r="D723" s="969"/>
      <c r="E723" s="969"/>
      <c r="F723" s="969"/>
      <c r="G723" s="969"/>
      <c r="H723" s="969"/>
      <c r="I723" s="969"/>
      <c r="J723" s="969"/>
      <c r="K723" s="969"/>
      <c r="L723" s="969"/>
    </row>
    <row r="724">
      <c r="A724" s="969"/>
      <c r="B724" s="1278"/>
      <c r="C724" s="969"/>
      <c r="D724" s="969"/>
      <c r="E724" s="969"/>
      <c r="F724" s="969"/>
      <c r="G724" s="969"/>
      <c r="H724" s="969"/>
      <c r="I724" s="969"/>
      <c r="J724" s="969"/>
      <c r="K724" s="969"/>
      <c r="L724" s="969"/>
    </row>
    <row r="725">
      <c r="A725" s="969"/>
      <c r="B725" s="1278"/>
      <c r="C725" s="969"/>
      <c r="D725" s="969"/>
      <c r="E725" s="969"/>
      <c r="F725" s="969"/>
      <c r="G725" s="969"/>
      <c r="H725" s="969"/>
      <c r="I725" s="969"/>
      <c r="J725" s="969"/>
      <c r="K725" s="969"/>
      <c r="L725" s="969"/>
    </row>
    <row r="726">
      <c r="A726" s="969"/>
      <c r="B726" s="1278"/>
      <c r="C726" s="969"/>
      <c r="D726" s="969"/>
      <c r="E726" s="969"/>
      <c r="F726" s="969"/>
      <c r="G726" s="969"/>
      <c r="H726" s="969"/>
      <c r="I726" s="969"/>
      <c r="J726" s="969"/>
      <c r="K726" s="969"/>
      <c r="L726" s="969"/>
    </row>
    <row r="727">
      <c r="A727" s="969"/>
      <c r="B727" s="1278"/>
      <c r="C727" s="969"/>
      <c r="D727" s="969"/>
      <c r="E727" s="969"/>
      <c r="F727" s="969"/>
      <c r="G727" s="969"/>
      <c r="H727" s="969"/>
      <c r="I727" s="969"/>
      <c r="J727" s="969"/>
      <c r="K727" s="969"/>
      <c r="L727" s="969"/>
    </row>
    <row r="728">
      <c r="A728" s="969"/>
      <c r="B728" s="1278"/>
      <c r="C728" s="969"/>
      <c r="D728" s="969"/>
      <c r="E728" s="969"/>
      <c r="F728" s="969"/>
      <c r="G728" s="969"/>
      <c r="H728" s="969"/>
      <c r="I728" s="969"/>
      <c r="J728" s="969"/>
      <c r="K728" s="969"/>
      <c r="L728" s="969"/>
    </row>
    <row r="729">
      <c r="A729" s="969"/>
      <c r="B729" s="1278"/>
      <c r="C729" s="969"/>
      <c r="D729" s="969"/>
      <c r="E729" s="969"/>
      <c r="F729" s="969"/>
      <c r="G729" s="969"/>
      <c r="H729" s="969"/>
      <c r="I729" s="969"/>
      <c r="J729" s="969"/>
      <c r="K729" s="969"/>
      <c r="L729" s="969"/>
    </row>
    <row r="730">
      <c r="A730" s="969"/>
      <c r="B730" s="1278"/>
      <c r="C730" s="969"/>
      <c r="D730" s="969"/>
      <c r="E730" s="969"/>
      <c r="F730" s="969"/>
      <c r="G730" s="969"/>
      <c r="H730" s="969"/>
      <c r="I730" s="969"/>
      <c r="J730" s="969"/>
      <c r="K730" s="969"/>
      <c r="L730" s="969"/>
    </row>
    <row r="731">
      <c r="A731" s="969"/>
      <c r="B731" s="1278"/>
      <c r="C731" s="969"/>
      <c r="D731" s="969"/>
      <c r="E731" s="969"/>
      <c r="F731" s="969"/>
      <c r="G731" s="969"/>
      <c r="H731" s="969"/>
      <c r="I731" s="969"/>
      <c r="J731" s="969"/>
      <c r="K731" s="969"/>
      <c r="L731" s="969"/>
    </row>
    <row r="732">
      <c r="A732" s="969"/>
      <c r="B732" s="1278"/>
      <c r="C732" s="969"/>
      <c r="D732" s="969"/>
      <c r="E732" s="969"/>
      <c r="F732" s="969"/>
      <c r="G732" s="969"/>
      <c r="H732" s="969"/>
      <c r="I732" s="969"/>
      <c r="J732" s="969"/>
      <c r="K732" s="969"/>
      <c r="L732" s="969"/>
    </row>
    <row r="733">
      <c r="A733" s="969"/>
      <c r="B733" s="1278"/>
      <c r="C733" s="969"/>
      <c r="D733" s="969"/>
      <c r="E733" s="969"/>
      <c r="F733" s="969"/>
      <c r="G733" s="969"/>
      <c r="H733" s="969"/>
      <c r="I733" s="969"/>
      <c r="J733" s="969"/>
      <c r="K733" s="969"/>
      <c r="L733" s="969"/>
    </row>
    <row r="734">
      <c r="A734" s="969"/>
      <c r="B734" s="1278"/>
      <c r="C734" s="969"/>
      <c r="D734" s="969"/>
      <c r="E734" s="969"/>
      <c r="F734" s="969"/>
      <c r="G734" s="969"/>
      <c r="H734" s="969"/>
      <c r="I734" s="969"/>
      <c r="J734" s="969"/>
      <c r="K734" s="969"/>
      <c r="L734" s="969"/>
    </row>
    <row r="735">
      <c r="A735" s="969"/>
      <c r="B735" s="1278"/>
      <c r="C735" s="969"/>
      <c r="D735" s="969"/>
      <c r="E735" s="969"/>
      <c r="F735" s="969"/>
      <c r="G735" s="969"/>
      <c r="H735" s="969"/>
      <c r="I735" s="969"/>
      <c r="J735" s="969"/>
      <c r="K735" s="969"/>
      <c r="L735" s="969"/>
    </row>
    <row r="736">
      <c r="A736" s="969"/>
      <c r="B736" s="1278"/>
      <c r="C736" s="969"/>
      <c r="D736" s="969"/>
      <c r="E736" s="969"/>
      <c r="F736" s="969"/>
      <c r="G736" s="969"/>
      <c r="H736" s="969"/>
      <c r="I736" s="969"/>
      <c r="J736" s="969"/>
      <c r="K736" s="969"/>
      <c r="L736" s="969"/>
    </row>
    <row r="737">
      <c r="A737" s="969"/>
      <c r="B737" s="1278"/>
      <c r="C737" s="969"/>
      <c r="D737" s="969"/>
      <c r="E737" s="969"/>
      <c r="F737" s="969"/>
      <c r="G737" s="969"/>
      <c r="H737" s="969"/>
      <c r="I737" s="969"/>
      <c r="J737" s="969"/>
      <c r="K737" s="969"/>
      <c r="L737" s="969"/>
    </row>
    <row r="738">
      <c r="A738" s="969"/>
      <c r="B738" s="1278"/>
      <c r="C738" s="969"/>
      <c r="D738" s="969"/>
      <c r="E738" s="969"/>
      <c r="F738" s="969"/>
      <c r="G738" s="969"/>
      <c r="H738" s="969"/>
      <c r="I738" s="969"/>
      <c r="J738" s="969"/>
      <c r="K738" s="969"/>
      <c r="L738" s="969"/>
    </row>
    <row r="739">
      <c r="A739" s="969"/>
      <c r="B739" s="1278"/>
      <c r="C739" s="969"/>
      <c r="D739" s="969"/>
      <c r="E739" s="969"/>
      <c r="F739" s="969"/>
      <c r="G739" s="969"/>
      <c r="H739" s="969"/>
      <c r="I739" s="969"/>
      <c r="J739" s="969"/>
      <c r="K739" s="969"/>
      <c r="L739" s="969"/>
    </row>
    <row r="740">
      <c r="A740" s="969"/>
      <c r="B740" s="1278"/>
      <c r="C740" s="969"/>
      <c r="D740" s="969"/>
      <c r="E740" s="969"/>
      <c r="F740" s="969"/>
      <c r="G740" s="969"/>
      <c r="H740" s="969"/>
      <c r="I740" s="969"/>
      <c r="J740" s="969"/>
      <c r="K740" s="969"/>
      <c r="L740" s="969"/>
    </row>
    <row r="741">
      <c r="A741" s="969"/>
      <c r="B741" s="1278"/>
      <c r="C741" s="969"/>
      <c r="D741" s="969"/>
      <c r="E741" s="969"/>
      <c r="F741" s="969"/>
      <c r="G741" s="969"/>
      <c r="H741" s="969"/>
      <c r="I741" s="969"/>
      <c r="J741" s="969"/>
      <c r="K741" s="969"/>
      <c r="L741" s="969"/>
    </row>
    <row r="742">
      <c r="A742" s="969"/>
      <c r="B742" s="1278"/>
      <c r="C742" s="969"/>
      <c r="D742" s="969"/>
      <c r="E742" s="969"/>
      <c r="F742" s="969"/>
      <c r="G742" s="969"/>
      <c r="H742" s="969"/>
      <c r="I742" s="969"/>
      <c r="J742" s="969"/>
      <c r="K742" s="969"/>
      <c r="L742" s="969"/>
    </row>
    <row r="743">
      <c r="A743" s="969"/>
      <c r="B743" s="1278"/>
      <c r="C743" s="969"/>
      <c r="D743" s="969"/>
      <c r="E743" s="969"/>
      <c r="F743" s="969"/>
      <c r="G743" s="969"/>
      <c r="H743" s="969"/>
      <c r="I743" s="969"/>
      <c r="J743" s="969"/>
      <c r="K743" s="969"/>
      <c r="L743" s="969"/>
    </row>
    <row r="744">
      <c r="A744" s="969"/>
      <c r="B744" s="1278"/>
      <c r="C744" s="969"/>
      <c r="D744" s="969"/>
      <c r="E744" s="969"/>
      <c r="F744" s="969"/>
      <c r="G744" s="969"/>
      <c r="H744" s="969"/>
      <c r="I744" s="969"/>
      <c r="J744" s="969"/>
      <c r="K744" s="969"/>
      <c r="L744" s="969"/>
    </row>
    <row r="745">
      <c r="A745" s="969"/>
      <c r="B745" s="1278"/>
      <c r="C745" s="969"/>
      <c r="D745" s="969"/>
      <c r="E745" s="969"/>
      <c r="F745" s="969"/>
      <c r="G745" s="969"/>
      <c r="H745" s="969"/>
      <c r="I745" s="969"/>
      <c r="J745" s="969"/>
      <c r="K745" s="969"/>
      <c r="L745" s="969"/>
    </row>
    <row r="746">
      <c r="A746" s="969"/>
      <c r="B746" s="1278"/>
      <c r="C746" s="969"/>
      <c r="D746" s="969"/>
      <c r="E746" s="969"/>
      <c r="F746" s="969"/>
      <c r="G746" s="969"/>
      <c r="H746" s="969"/>
      <c r="I746" s="969"/>
      <c r="J746" s="969"/>
      <c r="K746" s="969"/>
      <c r="L746" s="969"/>
    </row>
    <row r="747">
      <c r="A747" s="969"/>
      <c r="B747" s="1278"/>
      <c r="C747" s="969"/>
      <c r="D747" s="969"/>
      <c r="E747" s="969"/>
      <c r="F747" s="969"/>
      <c r="G747" s="969"/>
      <c r="H747" s="969"/>
      <c r="I747" s="969"/>
      <c r="J747" s="969"/>
      <c r="K747" s="969"/>
      <c r="L747" s="969"/>
    </row>
    <row r="748">
      <c r="A748" s="969"/>
      <c r="B748" s="1278"/>
      <c r="C748" s="969"/>
      <c r="D748" s="969"/>
      <c r="E748" s="969"/>
      <c r="F748" s="969"/>
      <c r="G748" s="969"/>
      <c r="H748" s="969"/>
      <c r="I748" s="969"/>
      <c r="J748" s="969"/>
      <c r="K748" s="969"/>
      <c r="L748" s="969"/>
    </row>
    <row r="749">
      <c r="A749" s="969"/>
      <c r="B749" s="1278"/>
      <c r="C749" s="969"/>
      <c r="D749" s="969"/>
      <c r="E749" s="969"/>
      <c r="F749" s="969"/>
      <c r="G749" s="969"/>
      <c r="H749" s="969"/>
      <c r="I749" s="969"/>
      <c r="J749" s="969"/>
      <c r="K749" s="969"/>
      <c r="L749" s="969"/>
    </row>
    <row r="750">
      <c r="A750" s="969"/>
      <c r="B750" s="1278"/>
      <c r="C750" s="969"/>
      <c r="D750" s="969"/>
      <c r="E750" s="969"/>
      <c r="F750" s="969"/>
      <c r="G750" s="969"/>
      <c r="H750" s="969"/>
      <c r="I750" s="969"/>
      <c r="J750" s="969"/>
      <c r="K750" s="969"/>
      <c r="L750" s="969"/>
    </row>
    <row r="751">
      <c r="A751" s="969"/>
      <c r="B751" s="1278"/>
      <c r="C751" s="969"/>
      <c r="D751" s="969"/>
      <c r="E751" s="969"/>
      <c r="F751" s="969"/>
      <c r="G751" s="969"/>
      <c r="H751" s="969"/>
      <c r="I751" s="969"/>
      <c r="J751" s="969"/>
      <c r="K751" s="969"/>
      <c r="L751" s="969"/>
    </row>
    <row r="752">
      <c r="A752" s="969"/>
      <c r="B752" s="1278"/>
      <c r="C752" s="969"/>
      <c r="D752" s="969"/>
      <c r="E752" s="969"/>
      <c r="F752" s="969"/>
      <c r="G752" s="969"/>
      <c r="H752" s="969"/>
      <c r="I752" s="969"/>
      <c r="J752" s="969"/>
      <c r="K752" s="969"/>
      <c r="L752" s="969"/>
    </row>
    <row r="753">
      <c r="A753" s="969"/>
      <c r="B753" s="1278"/>
      <c r="C753" s="969"/>
      <c r="D753" s="969"/>
      <c r="E753" s="969"/>
      <c r="F753" s="969"/>
      <c r="G753" s="969"/>
      <c r="H753" s="969"/>
      <c r="I753" s="969"/>
      <c r="J753" s="969"/>
      <c r="K753" s="969"/>
      <c r="L753" s="969"/>
    </row>
    <row r="754">
      <c r="A754" s="969"/>
      <c r="B754" s="1278"/>
      <c r="C754" s="969"/>
      <c r="D754" s="969"/>
      <c r="E754" s="969"/>
      <c r="F754" s="969"/>
      <c r="G754" s="969"/>
      <c r="H754" s="969"/>
      <c r="I754" s="969"/>
      <c r="J754" s="969"/>
      <c r="K754" s="969"/>
      <c r="L754" s="969"/>
    </row>
    <row r="755">
      <c r="A755" s="969"/>
      <c r="B755" s="1278"/>
      <c r="C755" s="969"/>
      <c r="D755" s="969"/>
      <c r="E755" s="969"/>
      <c r="F755" s="969"/>
      <c r="G755" s="969"/>
      <c r="H755" s="969"/>
      <c r="I755" s="969"/>
      <c r="J755" s="969"/>
      <c r="K755" s="969"/>
      <c r="L755" s="969"/>
    </row>
    <row r="756">
      <c r="A756" s="969"/>
      <c r="B756" s="1278"/>
      <c r="C756" s="969"/>
      <c r="D756" s="969"/>
      <c r="E756" s="969"/>
      <c r="F756" s="969"/>
      <c r="G756" s="969"/>
      <c r="H756" s="969"/>
      <c r="I756" s="969"/>
      <c r="J756" s="969"/>
      <c r="K756" s="969"/>
      <c r="L756" s="969"/>
    </row>
    <row r="757">
      <c r="A757" s="969"/>
      <c r="B757" s="1278"/>
      <c r="C757" s="969"/>
      <c r="D757" s="969"/>
      <c r="E757" s="969"/>
      <c r="F757" s="969"/>
      <c r="G757" s="969"/>
      <c r="H757" s="969"/>
      <c r="I757" s="969"/>
      <c r="J757" s="969"/>
      <c r="K757" s="969"/>
      <c r="L757" s="969"/>
    </row>
    <row r="758">
      <c r="A758" s="969"/>
      <c r="B758" s="1278"/>
      <c r="C758" s="969"/>
      <c r="D758" s="969"/>
      <c r="E758" s="969"/>
      <c r="F758" s="969"/>
      <c r="G758" s="969"/>
      <c r="H758" s="969"/>
      <c r="I758" s="969"/>
      <c r="J758" s="969"/>
      <c r="K758" s="969"/>
      <c r="L758" s="969"/>
    </row>
    <row r="759">
      <c r="A759" s="969"/>
      <c r="B759" s="1278"/>
      <c r="C759" s="969"/>
      <c r="D759" s="969"/>
      <c r="E759" s="969"/>
      <c r="F759" s="969"/>
      <c r="G759" s="969"/>
      <c r="H759" s="969"/>
      <c r="I759" s="969"/>
      <c r="J759" s="969"/>
      <c r="K759" s="969"/>
      <c r="L759" s="969"/>
    </row>
    <row r="760">
      <c r="A760" s="969"/>
      <c r="B760" s="1278"/>
      <c r="C760" s="969"/>
      <c r="D760" s="969"/>
      <c r="E760" s="969"/>
      <c r="F760" s="969"/>
      <c r="G760" s="969"/>
      <c r="H760" s="969"/>
      <c r="I760" s="969"/>
      <c r="J760" s="969"/>
      <c r="K760" s="969"/>
      <c r="L760" s="969"/>
    </row>
    <row r="761">
      <c r="A761" s="969"/>
      <c r="B761" s="1278"/>
      <c r="C761" s="969"/>
      <c r="D761" s="969"/>
      <c r="E761" s="969"/>
      <c r="F761" s="969"/>
      <c r="G761" s="969"/>
      <c r="H761" s="969"/>
      <c r="I761" s="969"/>
      <c r="J761" s="969"/>
      <c r="K761" s="969"/>
      <c r="L761" s="969"/>
    </row>
    <row r="762">
      <c r="A762" s="969"/>
      <c r="B762" s="1278"/>
      <c r="C762" s="969"/>
      <c r="D762" s="969"/>
      <c r="E762" s="969"/>
      <c r="F762" s="969"/>
      <c r="G762" s="969"/>
      <c r="H762" s="969"/>
      <c r="I762" s="969"/>
      <c r="J762" s="969"/>
      <c r="K762" s="969"/>
      <c r="L762" s="969"/>
    </row>
    <row r="763">
      <c r="A763" s="969"/>
      <c r="B763" s="1278"/>
      <c r="C763" s="969"/>
      <c r="D763" s="969"/>
      <c r="E763" s="969"/>
      <c r="F763" s="969"/>
      <c r="G763" s="969"/>
      <c r="H763" s="969"/>
      <c r="I763" s="969"/>
      <c r="J763" s="969"/>
      <c r="K763" s="969"/>
      <c r="L763" s="969"/>
    </row>
    <row r="764">
      <c r="A764" s="969"/>
      <c r="B764" s="1278"/>
      <c r="C764" s="969"/>
      <c r="D764" s="969"/>
      <c r="E764" s="969"/>
      <c r="F764" s="969"/>
      <c r="G764" s="969"/>
      <c r="H764" s="969"/>
      <c r="I764" s="969"/>
      <c r="J764" s="969"/>
      <c r="K764" s="969"/>
      <c r="L764" s="969"/>
    </row>
    <row r="765">
      <c r="A765" s="969"/>
      <c r="B765" s="1278"/>
      <c r="C765" s="969"/>
      <c r="D765" s="969"/>
      <c r="E765" s="969"/>
      <c r="F765" s="969"/>
      <c r="G765" s="969"/>
      <c r="H765" s="969"/>
      <c r="I765" s="969"/>
      <c r="J765" s="969"/>
      <c r="K765" s="969"/>
      <c r="L765" s="969"/>
    </row>
    <row r="766">
      <c r="A766" s="969"/>
      <c r="B766" s="1278"/>
      <c r="C766" s="969"/>
      <c r="D766" s="969"/>
      <c r="E766" s="969"/>
      <c r="F766" s="969"/>
      <c r="G766" s="969"/>
      <c r="H766" s="969"/>
      <c r="I766" s="969"/>
      <c r="J766" s="969"/>
      <c r="K766" s="969"/>
      <c r="L766" s="969"/>
    </row>
    <row r="767">
      <c r="A767" s="969"/>
      <c r="B767" s="1278"/>
      <c r="C767" s="969"/>
      <c r="D767" s="969"/>
      <c r="E767" s="969"/>
      <c r="F767" s="969"/>
      <c r="G767" s="969"/>
      <c r="H767" s="969"/>
      <c r="I767" s="969"/>
      <c r="J767" s="969"/>
      <c r="K767" s="969"/>
      <c r="L767" s="969"/>
    </row>
    <row r="768">
      <c r="A768" s="969"/>
      <c r="B768" s="1278"/>
      <c r="C768" s="969"/>
      <c r="D768" s="969"/>
      <c r="E768" s="969"/>
      <c r="F768" s="969"/>
      <c r="G768" s="969"/>
      <c r="H768" s="969"/>
      <c r="I768" s="969"/>
      <c r="J768" s="969"/>
      <c r="K768" s="969"/>
      <c r="L768" s="969"/>
    </row>
    <row r="769">
      <c r="A769" s="969"/>
      <c r="B769" s="1278"/>
      <c r="C769" s="969"/>
      <c r="D769" s="969"/>
      <c r="E769" s="969"/>
      <c r="F769" s="969"/>
      <c r="G769" s="969"/>
      <c r="H769" s="969"/>
      <c r="I769" s="969"/>
      <c r="J769" s="969"/>
      <c r="K769" s="969"/>
      <c r="L769" s="969"/>
    </row>
    <row r="770">
      <c r="A770" s="969"/>
      <c r="B770" s="1278"/>
      <c r="C770" s="969"/>
      <c r="D770" s="969"/>
      <c r="E770" s="969"/>
      <c r="F770" s="969"/>
      <c r="G770" s="969"/>
      <c r="H770" s="969"/>
      <c r="I770" s="969"/>
      <c r="J770" s="969"/>
      <c r="K770" s="969"/>
      <c r="L770" s="969"/>
    </row>
    <row r="771">
      <c r="A771" s="969"/>
      <c r="B771" s="1278"/>
      <c r="C771" s="969"/>
      <c r="D771" s="969"/>
      <c r="E771" s="969"/>
      <c r="F771" s="969"/>
      <c r="G771" s="969"/>
      <c r="H771" s="969"/>
      <c r="I771" s="969"/>
      <c r="J771" s="969"/>
      <c r="K771" s="969"/>
      <c r="L771" s="969"/>
    </row>
    <row r="772">
      <c r="A772" s="969"/>
      <c r="B772" s="1278"/>
      <c r="C772" s="969"/>
      <c r="D772" s="969"/>
      <c r="E772" s="969"/>
      <c r="F772" s="969"/>
      <c r="G772" s="969"/>
      <c r="H772" s="969"/>
      <c r="I772" s="969"/>
      <c r="J772" s="969"/>
      <c r="K772" s="969"/>
      <c r="L772" s="969"/>
    </row>
    <row r="773">
      <c r="A773" s="969"/>
      <c r="B773" s="1278"/>
      <c r="C773" s="969"/>
      <c r="D773" s="969"/>
      <c r="E773" s="969"/>
      <c r="F773" s="969"/>
      <c r="G773" s="969"/>
      <c r="H773" s="969"/>
      <c r="I773" s="969"/>
      <c r="J773" s="969"/>
      <c r="K773" s="969"/>
      <c r="L773" s="969"/>
    </row>
    <row r="774">
      <c r="A774" s="969"/>
      <c r="B774" s="1278"/>
      <c r="C774" s="969"/>
      <c r="D774" s="969"/>
      <c r="E774" s="969"/>
      <c r="F774" s="969"/>
      <c r="G774" s="969"/>
      <c r="H774" s="969"/>
      <c r="I774" s="969"/>
      <c r="J774" s="969"/>
      <c r="K774" s="969"/>
      <c r="L774" s="969"/>
    </row>
    <row r="775">
      <c r="A775" s="969"/>
      <c r="B775" s="1278"/>
      <c r="C775" s="969"/>
      <c r="D775" s="969"/>
      <c r="E775" s="969"/>
      <c r="F775" s="969"/>
      <c r="G775" s="969"/>
      <c r="H775" s="969"/>
      <c r="I775" s="969"/>
      <c r="J775" s="969"/>
      <c r="K775" s="969"/>
      <c r="L775" s="969"/>
    </row>
    <row r="776">
      <c r="A776" s="969"/>
      <c r="B776" s="1278"/>
      <c r="C776" s="969"/>
      <c r="D776" s="969"/>
      <c r="E776" s="969"/>
      <c r="F776" s="969"/>
      <c r="G776" s="969"/>
      <c r="H776" s="969"/>
      <c r="I776" s="969"/>
      <c r="J776" s="969"/>
      <c r="K776" s="969"/>
      <c r="L776" s="969"/>
    </row>
    <row r="777">
      <c r="A777" s="969"/>
      <c r="B777" s="1278"/>
      <c r="C777" s="969"/>
      <c r="D777" s="969"/>
      <c r="E777" s="969"/>
      <c r="F777" s="969"/>
      <c r="G777" s="969"/>
      <c r="H777" s="969"/>
      <c r="I777" s="969"/>
      <c r="J777" s="969"/>
      <c r="K777" s="969"/>
      <c r="L777" s="969"/>
    </row>
    <row r="778">
      <c r="A778" s="969"/>
      <c r="B778" s="1278"/>
      <c r="C778" s="969"/>
      <c r="D778" s="969"/>
      <c r="E778" s="969"/>
      <c r="F778" s="969"/>
      <c r="G778" s="969"/>
      <c r="H778" s="969"/>
      <c r="I778" s="969"/>
      <c r="J778" s="969"/>
      <c r="K778" s="969"/>
      <c r="L778" s="969"/>
    </row>
    <row r="779">
      <c r="A779" s="969"/>
      <c r="B779" s="1278"/>
      <c r="C779" s="969"/>
      <c r="D779" s="969"/>
      <c r="E779" s="969"/>
      <c r="F779" s="969"/>
      <c r="G779" s="969"/>
      <c r="H779" s="969"/>
      <c r="I779" s="969"/>
      <c r="J779" s="969"/>
      <c r="K779" s="969"/>
      <c r="L779" s="969"/>
    </row>
    <row r="780">
      <c r="A780" s="969"/>
      <c r="B780" s="1278"/>
      <c r="C780" s="969"/>
      <c r="D780" s="969"/>
      <c r="E780" s="969"/>
      <c r="F780" s="969"/>
      <c r="G780" s="969"/>
      <c r="H780" s="969"/>
      <c r="I780" s="969"/>
      <c r="J780" s="969"/>
      <c r="K780" s="969"/>
      <c r="L780" s="969"/>
    </row>
    <row r="781">
      <c r="A781" s="969"/>
      <c r="B781" s="1278"/>
      <c r="C781" s="969"/>
      <c r="D781" s="969"/>
      <c r="E781" s="969"/>
      <c r="F781" s="969"/>
      <c r="G781" s="969"/>
      <c r="H781" s="969"/>
      <c r="I781" s="969"/>
      <c r="J781" s="969"/>
      <c r="K781" s="969"/>
      <c r="L781" s="969"/>
    </row>
    <row r="782">
      <c r="A782" s="969"/>
      <c r="B782" s="1278"/>
      <c r="C782" s="969"/>
      <c r="D782" s="969"/>
      <c r="E782" s="969"/>
      <c r="F782" s="969"/>
      <c r="G782" s="969"/>
      <c r="H782" s="969"/>
      <c r="I782" s="969"/>
      <c r="J782" s="969"/>
      <c r="K782" s="969"/>
      <c r="L782" s="969"/>
    </row>
    <row r="783">
      <c r="A783" s="969"/>
      <c r="B783" s="1278"/>
      <c r="C783" s="969"/>
      <c r="D783" s="969"/>
      <c r="E783" s="969"/>
      <c r="F783" s="969"/>
      <c r="G783" s="969"/>
      <c r="H783" s="969"/>
      <c r="I783" s="969"/>
      <c r="J783" s="969"/>
      <c r="K783" s="969"/>
      <c r="L783" s="969"/>
    </row>
    <row r="784">
      <c r="A784" s="969"/>
      <c r="B784" s="1278"/>
      <c r="C784" s="969"/>
      <c r="D784" s="969"/>
      <c r="E784" s="969"/>
      <c r="F784" s="969"/>
      <c r="G784" s="969"/>
      <c r="H784" s="969"/>
      <c r="I784" s="969"/>
      <c r="J784" s="969"/>
      <c r="K784" s="969"/>
      <c r="L784" s="969"/>
    </row>
    <row r="785">
      <c r="A785" s="969"/>
      <c r="B785" s="1278"/>
      <c r="C785" s="969"/>
      <c r="D785" s="969"/>
      <c r="E785" s="969"/>
      <c r="F785" s="969"/>
      <c r="G785" s="969"/>
      <c r="H785" s="969"/>
      <c r="I785" s="969"/>
      <c r="J785" s="969"/>
      <c r="K785" s="969"/>
      <c r="L785" s="969"/>
    </row>
    <row r="786">
      <c r="A786" s="969"/>
      <c r="B786" s="1278"/>
      <c r="C786" s="969"/>
      <c r="D786" s="969"/>
      <c r="E786" s="969"/>
      <c r="F786" s="969"/>
      <c r="G786" s="969"/>
      <c r="H786" s="969"/>
      <c r="I786" s="969"/>
      <c r="J786" s="969"/>
      <c r="K786" s="969"/>
      <c r="L786" s="969"/>
    </row>
    <row r="787">
      <c r="A787" s="969"/>
      <c r="B787" s="1278"/>
      <c r="C787" s="969"/>
      <c r="D787" s="969"/>
      <c r="E787" s="969"/>
      <c r="F787" s="969"/>
      <c r="G787" s="969"/>
      <c r="H787" s="969"/>
      <c r="I787" s="969"/>
      <c r="J787" s="969"/>
      <c r="K787" s="969"/>
      <c r="L787" s="969"/>
    </row>
    <row r="788">
      <c r="A788" s="969"/>
      <c r="B788" s="1278"/>
      <c r="C788" s="969"/>
      <c r="D788" s="969"/>
      <c r="E788" s="969"/>
      <c r="F788" s="969"/>
      <c r="G788" s="969"/>
      <c r="H788" s="969"/>
      <c r="I788" s="969"/>
      <c r="J788" s="969"/>
      <c r="K788" s="969"/>
      <c r="L788" s="969"/>
    </row>
    <row r="789">
      <c r="A789" s="969"/>
      <c r="B789" s="1278"/>
      <c r="C789" s="969"/>
      <c r="D789" s="969"/>
      <c r="E789" s="969"/>
      <c r="F789" s="969"/>
      <c r="G789" s="969"/>
      <c r="H789" s="969"/>
      <c r="I789" s="969"/>
      <c r="J789" s="969"/>
      <c r="K789" s="969"/>
      <c r="L789" s="969"/>
    </row>
    <row r="790">
      <c r="A790" s="969"/>
      <c r="B790" s="1278"/>
      <c r="C790" s="969"/>
      <c r="D790" s="969"/>
      <c r="E790" s="969"/>
      <c r="F790" s="969"/>
      <c r="G790" s="969"/>
      <c r="H790" s="969"/>
      <c r="I790" s="969"/>
      <c r="J790" s="969"/>
      <c r="K790" s="969"/>
      <c r="L790" s="969"/>
    </row>
    <row r="791">
      <c r="A791" s="969"/>
      <c r="B791" s="1278"/>
      <c r="C791" s="969"/>
      <c r="D791" s="969"/>
      <c r="E791" s="969"/>
      <c r="F791" s="969"/>
      <c r="G791" s="969"/>
      <c r="H791" s="969"/>
      <c r="I791" s="969"/>
      <c r="J791" s="969"/>
      <c r="K791" s="969"/>
      <c r="L791" s="969"/>
    </row>
    <row r="792">
      <c r="A792" s="969"/>
      <c r="B792" s="1278"/>
      <c r="C792" s="969"/>
      <c r="D792" s="969"/>
      <c r="E792" s="969"/>
      <c r="F792" s="969"/>
      <c r="G792" s="969"/>
      <c r="H792" s="969"/>
      <c r="I792" s="969"/>
      <c r="J792" s="969"/>
      <c r="K792" s="969"/>
      <c r="L792" s="969"/>
    </row>
    <row r="793">
      <c r="A793" s="969"/>
      <c r="B793" s="1278"/>
      <c r="C793" s="969"/>
      <c r="D793" s="969"/>
      <c r="E793" s="969"/>
      <c r="F793" s="969"/>
      <c r="G793" s="969"/>
      <c r="H793" s="969"/>
      <c r="I793" s="969"/>
      <c r="J793" s="969"/>
      <c r="K793" s="969"/>
      <c r="L793" s="969"/>
    </row>
    <row r="794">
      <c r="A794" s="969"/>
      <c r="B794" s="1278"/>
      <c r="C794" s="969"/>
      <c r="D794" s="969"/>
      <c r="E794" s="969"/>
      <c r="F794" s="969"/>
      <c r="G794" s="969"/>
      <c r="H794" s="969"/>
      <c r="I794" s="969"/>
      <c r="J794" s="969"/>
      <c r="K794" s="969"/>
      <c r="L794" s="969"/>
    </row>
    <row r="795">
      <c r="A795" s="969"/>
      <c r="B795" s="1278"/>
      <c r="C795" s="969"/>
      <c r="D795" s="969"/>
      <c r="E795" s="969"/>
      <c r="F795" s="969"/>
      <c r="G795" s="969"/>
      <c r="H795" s="969"/>
      <c r="I795" s="969"/>
      <c r="J795" s="969"/>
      <c r="K795" s="969"/>
      <c r="L795" s="969"/>
    </row>
    <row r="796">
      <c r="A796" s="969"/>
      <c r="B796" s="1278"/>
      <c r="C796" s="969"/>
      <c r="D796" s="969"/>
      <c r="E796" s="969"/>
      <c r="F796" s="969"/>
      <c r="G796" s="969"/>
      <c r="H796" s="969"/>
      <c r="I796" s="969"/>
      <c r="J796" s="969"/>
      <c r="K796" s="969"/>
      <c r="L796" s="969"/>
    </row>
    <row r="797">
      <c r="A797" s="969"/>
      <c r="B797" s="1278"/>
      <c r="C797" s="969"/>
      <c r="D797" s="969"/>
      <c r="E797" s="969"/>
      <c r="F797" s="969"/>
      <c r="G797" s="969"/>
      <c r="H797" s="969"/>
      <c r="I797" s="969"/>
      <c r="J797" s="969"/>
      <c r="K797" s="969"/>
      <c r="L797" s="969"/>
    </row>
    <row r="798">
      <c r="A798" s="969"/>
      <c r="B798" s="1278"/>
      <c r="C798" s="969"/>
      <c r="D798" s="969"/>
      <c r="E798" s="969"/>
      <c r="F798" s="969"/>
      <c r="G798" s="969"/>
      <c r="H798" s="969"/>
      <c r="I798" s="969"/>
      <c r="J798" s="969"/>
      <c r="K798" s="969"/>
      <c r="L798" s="969"/>
    </row>
    <row r="799">
      <c r="A799" s="969"/>
      <c r="B799" s="1278"/>
      <c r="C799" s="969"/>
      <c r="D799" s="969"/>
      <c r="E799" s="969"/>
      <c r="F799" s="969"/>
      <c r="G799" s="969"/>
      <c r="H799" s="969"/>
      <c r="I799" s="969"/>
      <c r="J799" s="969"/>
      <c r="K799" s="969"/>
      <c r="L799" s="969"/>
    </row>
    <row r="800">
      <c r="A800" s="969"/>
      <c r="B800" s="1278"/>
      <c r="C800" s="969"/>
      <c r="D800" s="969"/>
      <c r="E800" s="969"/>
      <c r="F800" s="969"/>
      <c r="G800" s="969"/>
      <c r="H800" s="969"/>
      <c r="I800" s="969"/>
      <c r="J800" s="969"/>
      <c r="K800" s="969"/>
      <c r="L800" s="969"/>
    </row>
    <row r="801">
      <c r="A801" s="969"/>
      <c r="B801" s="1278"/>
      <c r="C801" s="969"/>
      <c r="D801" s="969"/>
      <c r="E801" s="969"/>
      <c r="F801" s="969"/>
      <c r="G801" s="969"/>
      <c r="H801" s="969"/>
      <c r="I801" s="969"/>
      <c r="J801" s="969"/>
      <c r="K801" s="969"/>
      <c r="L801" s="969"/>
    </row>
    <row r="802">
      <c r="A802" s="969"/>
      <c r="B802" s="1278"/>
      <c r="C802" s="969"/>
      <c r="D802" s="969"/>
      <c r="E802" s="969"/>
      <c r="F802" s="969"/>
      <c r="G802" s="969"/>
      <c r="H802" s="969"/>
      <c r="I802" s="969"/>
      <c r="J802" s="969"/>
      <c r="K802" s="969"/>
      <c r="L802" s="969"/>
    </row>
    <row r="803">
      <c r="A803" s="969"/>
      <c r="B803" s="1278"/>
      <c r="C803" s="969"/>
      <c r="D803" s="969"/>
      <c r="E803" s="969"/>
      <c r="F803" s="969"/>
      <c r="G803" s="969"/>
      <c r="H803" s="969"/>
      <c r="I803" s="969"/>
      <c r="J803" s="969"/>
      <c r="K803" s="969"/>
      <c r="L803" s="969"/>
    </row>
    <row r="804">
      <c r="A804" s="969"/>
      <c r="B804" s="1278"/>
      <c r="C804" s="969"/>
      <c r="D804" s="969"/>
      <c r="E804" s="969"/>
      <c r="F804" s="969"/>
      <c r="G804" s="969"/>
      <c r="H804" s="969"/>
      <c r="I804" s="969"/>
      <c r="J804" s="969"/>
      <c r="K804" s="969"/>
      <c r="L804" s="969"/>
    </row>
    <row r="805">
      <c r="A805" s="969"/>
      <c r="B805" s="1278"/>
      <c r="C805" s="969"/>
      <c r="D805" s="969"/>
      <c r="E805" s="969"/>
      <c r="F805" s="969"/>
      <c r="G805" s="969"/>
      <c r="H805" s="969"/>
      <c r="I805" s="969"/>
      <c r="J805" s="969"/>
      <c r="K805" s="969"/>
      <c r="L805" s="969"/>
    </row>
    <row r="806">
      <c r="A806" s="969"/>
      <c r="B806" s="1278"/>
      <c r="C806" s="969"/>
      <c r="D806" s="969"/>
      <c r="E806" s="969"/>
      <c r="F806" s="969"/>
      <c r="G806" s="969"/>
      <c r="H806" s="969"/>
      <c r="I806" s="969"/>
      <c r="J806" s="969"/>
      <c r="K806" s="969"/>
      <c r="L806" s="969"/>
    </row>
    <row r="807">
      <c r="A807" s="969"/>
      <c r="B807" s="1278"/>
      <c r="C807" s="969"/>
      <c r="D807" s="969"/>
      <c r="E807" s="969"/>
      <c r="F807" s="969"/>
      <c r="G807" s="969"/>
      <c r="H807" s="969"/>
      <c r="I807" s="969"/>
      <c r="J807" s="969"/>
      <c r="K807" s="969"/>
      <c r="L807" s="969"/>
    </row>
    <row r="808">
      <c r="A808" s="969"/>
      <c r="B808" s="1278"/>
      <c r="C808" s="969"/>
      <c r="D808" s="969"/>
      <c r="E808" s="969"/>
      <c r="F808" s="969"/>
      <c r="G808" s="969"/>
      <c r="H808" s="969"/>
      <c r="I808" s="969"/>
      <c r="J808" s="969"/>
      <c r="K808" s="969"/>
      <c r="L808" s="969"/>
    </row>
    <row r="809">
      <c r="A809" s="969"/>
      <c r="B809" s="1278"/>
      <c r="C809" s="969"/>
      <c r="D809" s="969"/>
      <c r="E809" s="969"/>
      <c r="F809" s="969"/>
      <c r="G809" s="969"/>
      <c r="H809" s="969"/>
      <c r="I809" s="969"/>
      <c r="J809" s="969"/>
      <c r="K809" s="969"/>
      <c r="L809" s="969"/>
    </row>
    <row r="810">
      <c r="A810" s="969"/>
      <c r="B810" s="1278"/>
      <c r="C810" s="969"/>
      <c r="D810" s="969"/>
      <c r="E810" s="969"/>
      <c r="F810" s="969"/>
      <c r="G810" s="969"/>
      <c r="H810" s="969"/>
      <c r="I810" s="969"/>
      <c r="J810" s="969"/>
      <c r="K810" s="969"/>
      <c r="L810" s="969"/>
    </row>
    <row r="811">
      <c r="A811" s="969"/>
      <c r="B811" s="1278"/>
      <c r="C811" s="969"/>
      <c r="D811" s="969"/>
      <c r="E811" s="969"/>
      <c r="F811" s="969"/>
      <c r="G811" s="969"/>
      <c r="H811" s="969"/>
      <c r="I811" s="969"/>
      <c r="J811" s="969"/>
      <c r="K811" s="969"/>
      <c r="L811" s="969"/>
    </row>
    <row r="812">
      <c r="A812" s="969"/>
      <c r="B812" s="1278"/>
      <c r="C812" s="969"/>
      <c r="D812" s="969"/>
      <c r="E812" s="969"/>
      <c r="F812" s="969"/>
      <c r="G812" s="969"/>
      <c r="H812" s="969"/>
      <c r="I812" s="969"/>
      <c r="J812" s="969"/>
      <c r="K812" s="969"/>
      <c r="L812" s="969"/>
    </row>
    <row r="813">
      <c r="A813" s="969"/>
      <c r="B813" s="1278"/>
      <c r="C813" s="969"/>
      <c r="D813" s="969"/>
      <c r="E813" s="969"/>
      <c r="F813" s="969"/>
      <c r="G813" s="969"/>
      <c r="H813" s="969"/>
      <c r="I813" s="969"/>
      <c r="J813" s="969"/>
      <c r="K813" s="969"/>
      <c r="L813" s="969"/>
    </row>
    <row r="814">
      <c r="A814" s="969"/>
      <c r="B814" s="1278"/>
      <c r="C814" s="969"/>
      <c r="D814" s="969"/>
      <c r="E814" s="969"/>
      <c r="F814" s="969"/>
      <c r="G814" s="969"/>
      <c r="H814" s="969"/>
      <c r="I814" s="969"/>
      <c r="J814" s="969"/>
      <c r="K814" s="969"/>
      <c r="L814" s="969"/>
    </row>
    <row r="815">
      <c r="A815" s="969"/>
      <c r="B815" s="1278"/>
      <c r="C815" s="969"/>
      <c r="D815" s="969"/>
      <c r="E815" s="969"/>
      <c r="F815" s="969"/>
      <c r="G815" s="969"/>
      <c r="H815" s="969"/>
      <c r="I815" s="969"/>
      <c r="J815" s="969"/>
      <c r="K815" s="969"/>
      <c r="L815" s="969"/>
    </row>
    <row r="816">
      <c r="A816" s="969"/>
      <c r="B816" s="1278"/>
      <c r="C816" s="969"/>
      <c r="D816" s="969"/>
      <c r="E816" s="969"/>
      <c r="F816" s="969"/>
      <c r="G816" s="969"/>
      <c r="H816" s="969"/>
      <c r="I816" s="969"/>
      <c r="J816" s="969"/>
      <c r="K816" s="969"/>
      <c r="L816" s="969"/>
    </row>
    <row r="817">
      <c r="A817" s="969"/>
      <c r="B817" s="1278"/>
      <c r="C817" s="969"/>
      <c r="D817" s="969"/>
      <c r="E817" s="969"/>
      <c r="F817" s="969"/>
      <c r="G817" s="969"/>
      <c r="H817" s="969"/>
      <c r="I817" s="969"/>
      <c r="J817" s="969"/>
      <c r="K817" s="969"/>
      <c r="L817" s="969"/>
    </row>
    <row r="818">
      <c r="A818" s="969"/>
      <c r="B818" s="1278"/>
      <c r="C818" s="969"/>
      <c r="D818" s="969"/>
      <c r="E818" s="969"/>
      <c r="F818" s="969"/>
      <c r="G818" s="969"/>
      <c r="H818" s="969"/>
      <c r="I818" s="969"/>
      <c r="J818" s="969"/>
      <c r="K818" s="969"/>
      <c r="L818" s="969"/>
    </row>
    <row r="819">
      <c r="A819" s="969"/>
      <c r="B819" s="1278"/>
      <c r="C819" s="969"/>
      <c r="D819" s="969"/>
      <c r="E819" s="969"/>
      <c r="F819" s="969"/>
      <c r="G819" s="969"/>
      <c r="H819" s="969"/>
      <c r="I819" s="969"/>
      <c r="J819" s="969"/>
      <c r="K819" s="969"/>
      <c r="L819" s="969"/>
    </row>
    <row r="820">
      <c r="A820" s="969"/>
      <c r="B820" s="1278"/>
      <c r="C820" s="969"/>
      <c r="D820" s="969"/>
      <c r="E820" s="969"/>
      <c r="F820" s="969"/>
      <c r="G820" s="969"/>
      <c r="H820" s="969"/>
      <c r="I820" s="969"/>
      <c r="J820" s="969"/>
      <c r="K820" s="969"/>
      <c r="L820" s="969"/>
    </row>
    <row r="821">
      <c r="A821" s="969"/>
      <c r="B821" s="1278"/>
      <c r="C821" s="969"/>
      <c r="D821" s="969"/>
      <c r="E821" s="969"/>
      <c r="F821" s="969"/>
      <c r="G821" s="969"/>
      <c r="H821" s="969"/>
      <c r="I821" s="969"/>
      <c r="J821" s="969"/>
      <c r="K821" s="969"/>
      <c r="L821" s="969"/>
    </row>
    <row r="822">
      <c r="A822" s="969"/>
      <c r="B822" s="1278"/>
      <c r="C822" s="969"/>
      <c r="D822" s="969"/>
      <c r="E822" s="969"/>
      <c r="F822" s="969"/>
      <c r="G822" s="969"/>
      <c r="H822" s="969"/>
      <c r="I822" s="969"/>
      <c r="J822" s="969"/>
      <c r="K822" s="969"/>
      <c r="L822" s="969"/>
    </row>
    <row r="823">
      <c r="A823" s="969"/>
      <c r="B823" s="1278"/>
      <c r="C823" s="969"/>
      <c r="D823" s="969"/>
      <c r="E823" s="969"/>
      <c r="F823" s="969"/>
      <c r="G823" s="969"/>
      <c r="H823" s="969"/>
      <c r="I823" s="969"/>
      <c r="J823" s="969"/>
      <c r="K823" s="969"/>
      <c r="L823" s="969"/>
    </row>
    <row r="824">
      <c r="A824" s="969"/>
      <c r="B824" s="1278"/>
      <c r="C824" s="969"/>
      <c r="D824" s="969"/>
      <c r="E824" s="969"/>
      <c r="F824" s="969"/>
      <c r="G824" s="969"/>
      <c r="H824" s="969"/>
      <c r="I824" s="969"/>
      <c r="J824" s="969"/>
      <c r="K824" s="969"/>
      <c r="L824" s="969"/>
    </row>
    <row r="825">
      <c r="A825" s="969"/>
      <c r="B825" s="1278"/>
      <c r="C825" s="969"/>
      <c r="D825" s="969"/>
      <c r="E825" s="969"/>
      <c r="F825" s="969"/>
      <c r="G825" s="969"/>
      <c r="H825" s="969"/>
      <c r="I825" s="969"/>
      <c r="J825" s="969"/>
      <c r="K825" s="969"/>
      <c r="L825" s="969"/>
    </row>
    <row r="826">
      <c r="A826" s="969"/>
      <c r="B826" s="1278"/>
      <c r="C826" s="969"/>
      <c r="D826" s="969"/>
      <c r="E826" s="969"/>
      <c r="F826" s="969"/>
      <c r="G826" s="969"/>
      <c r="H826" s="969"/>
      <c r="I826" s="969"/>
      <c r="J826" s="969"/>
      <c r="K826" s="969"/>
      <c r="L826" s="969"/>
    </row>
    <row r="827">
      <c r="A827" s="969"/>
      <c r="B827" s="1278"/>
      <c r="C827" s="969"/>
      <c r="D827" s="969"/>
      <c r="E827" s="969"/>
      <c r="F827" s="969"/>
      <c r="G827" s="969"/>
      <c r="H827" s="969"/>
      <c r="I827" s="969"/>
      <c r="J827" s="969"/>
      <c r="K827" s="969"/>
      <c r="L827" s="969"/>
    </row>
    <row r="828">
      <c r="A828" s="969"/>
      <c r="B828" s="1278"/>
      <c r="C828" s="969"/>
      <c r="D828" s="969"/>
      <c r="E828" s="969"/>
      <c r="F828" s="969"/>
      <c r="G828" s="969"/>
      <c r="H828" s="969"/>
      <c r="I828" s="969"/>
      <c r="J828" s="969"/>
      <c r="K828" s="969"/>
      <c r="L828" s="969"/>
    </row>
    <row r="829">
      <c r="A829" s="969"/>
      <c r="B829" s="1278"/>
      <c r="C829" s="969"/>
      <c r="D829" s="969"/>
      <c r="E829" s="969"/>
      <c r="F829" s="969"/>
      <c r="G829" s="969"/>
      <c r="H829" s="969"/>
      <c r="I829" s="969"/>
      <c r="J829" s="969"/>
      <c r="K829" s="969"/>
      <c r="L829" s="969"/>
    </row>
    <row r="830">
      <c r="A830" s="969"/>
      <c r="B830" s="1278"/>
      <c r="C830" s="969"/>
      <c r="D830" s="969"/>
      <c r="E830" s="969"/>
      <c r="F830" s="969"/>
      <c r="G830" s="969"/>
      <c r="H830" s="969"/>
      <c r="I830" s="969"/>
      <c r="J830" s="969"/>
      <c r="K830" s="969"/>
      <c r="L830" s="969"/>
    </row>
    <row r="831">
      <c r="A831" s="969"/>
      <c r="B831" s="1278"/>
      <c r="C831" s="969"/>
      <c r="D831" s="969"/>
      <c r="E831" s="969"/>
      <c r="F831" s="969"/>
      <c r="G831" s="969"/>
      <c r="H831" s="969"/>
      <c r="I831" s="969"/>
      <c r="J831" s="969"/>
      <c r="K831" s="969"/>
      <c r="L831" s="969"/>
    </row>
    <row r="832">
      <c r="A832" s="969"/>
      <c r="B832" s="1278"/>
      <c r="C832" s="969"/>
      <c r="D832" s="969"/>
      <c r="E832" s="969"/>
      <c r="F832" s="969"/>
      <c r="G832" s="969"/>
      <c r="H832" s="969"/>
      <c r="I832" s="969"/>
      <c r="J832" s="969"/>
      <c r="K832" s="969"/>
      <c r="L832" s="969"/>
    </row>
    <row r="833">
      <c r="A833" s="969"/>
      <c r="B833" s="1278"/>
      <c r="C833" s="969"/>
      <c r="D833" s="969"/>
      <c r="E833" s="969"/>
      <c r="F833" s="969"/>
      <c r="G833" s="969"/>
      <c r="H833" s="969"/>
      <c r="I833" s="969"/>
      <c r="J833" s="969"/>
      <c r="K833" s="969"/>
      <c r="L833" s="969"/>
    </row>
    <row r="834">
      <c r="A834" s="969"/>
      <c r="B834" s="1278"/>
      <c r="C834" s="969"/>
      <c r="D834" s="969"/>
      <c r="E834" s="969"/>
      <c r="F834" s="969"/>
      <c r="G834" s="969"/>
      <c r="H834" s="969"/>
      <c r="I834" s="969"/>
      <c r="J834" s="969"/>
      <c r="K834" s="969"/>
      <c r="L834" s="969"/>
    </row>
    <row r="835">
      <c r="A835" s="969"/>
      <c r="B835" s="1278"/>
      <c r="C835" s="969"/>
      <c r="D835" s="969"/>
      <c r="E835" s="969"/>
      <c r="F835" s="969"/>
      <c r="G835" s="969"/>
      <c r="H835" s="969"/>
      <c r="I835" s="969"/>
      <c r="J835" s="969"/>
      <c r="K835" s="969"/>
      <c r="L835" s="969"/>
    </row>
    <row r="836">
      <c r="A836" s="969"/>
      <c r="B836" s="1278"/>
      <c r="C836" s="969"/>
      <c r="D836" s="969"/>
      <c r="E836" s="969"/>
      <c r="F836" s="969"/>
      <c r="G836" s="969"/>
      <c r="H836" s="969"/>
      <c r="I836" s="969"/>
      <c r="J836" s="969"/>
      <c r="K836" s="969"/>
      <c r="L836" s="969"/>
    </row>
    <row r="837">
      <c r="A837" s="969"/>
      <c r="B837" s="1278"/>
      <c r="C837" s="969"/>
      <c r="D837" s="969"/>
      <c r="E837" s="969"/>
      <c r="F837" s="969"/>
      <c r="G837" s="969"/>
      <c r="H837" s="969"/>
      <c r="I837" s="969"/>
      <c r="J837" s="969"/>
      <c r="K837" s="969"/>
      <c r="L837" s="969"/>
    </row>
    <row r="838">
      <c r="A838" s="969"/>
      <c r="B838" s="1278"/>
      <c r="C838" s="969"/>
      <c r="D838" s="969"/>
      <c r="E838" s="969"/>
      <c r="F838" s="969"/>
      <c r="G838" s="969"/>
      <c r="H838" s="969"/>
      <c r="I838" s="969"/>
      <c r="J838" s="969"/>
      <c r="K838" s="969"/>
      <c r="L838" s="969"/>
    </row>
    <row r="839">
      <c r="A839" s="969"/>
      <c r="B839" s="1278"/>
      <c r="C839" s="969"/>
      <c r="D839" s="969"/>
      <c r="E839" s="969"/>
      <c r="F839" s="969"/>
      <c r="G839" s="969"/>
      <c r="H839" s="969"/>
      <c r="I839" s="969"/>
      <c r="J839" s="969"/>
      <c r="K839" s="969"/>
      <c r="L839" s="969"/>
    </row>
    <row r="840">
      <c r="A840" s="969"/>
      <c r="B840" s="1278"/>
      <c r="C840" s="969"/>
      <c r="D840" s="969"/>
      <c r="E840" s="969"/>
      <c r="F840" s="969"/>
      <c r="G840" s="969"/>
      <c r="H840" s="969"/>
      <c r="I840" s="969"/>
      <c r="J840" s="969"/>
      <c r="K840" s="969"/>
      <c r="L840" s="969"/>
    </row>
    <row r="841">
      <c r="A841" s="969"/>
      <c r="B841" s="1278"/>
      <c r="C841" s="969"/>
      <c r="D841" s="969"/>
      <c r="E841" s="969"/>
      <c r="F841" s="969"/>
      <c r="G841" s="969"/>
      <c r="H841" s="969"/>
      <c r="I841" s="969"/>
      <c r="J841" s="969"/>
      <c r="K841" s="969"/>
      <c r="L841" s="969"/>
    </row>
    <row r="842">
      <c r="A842" s="969"/>
      <c r="B842" s="1278"/>
      <c r="C842" s="969"/>
      <c r="D842" s="969"/>
      <c r="E842" s="969"/>
      <c r="F842" s="969"/>
      <c r="G842" s="969"/>
      <c r="H842" s="969"/>
      <c r="I842" s="969"/>
      <c r="J842" s="969"/>
      <c r="K842" s="969"/>
      <c r="L842" s="969"/>
    </row>
    <row r="843">
      <c r="A843" s="969"/>
      <c r="B843" s="1278"/>
      <c r="C843" s="969"/>
      <c r="D843" s="969"/>
      <c r="E843" s="969"/>
      <c r="F843" s="969"/>
      <c r="G843" s="969"/>
      <c r="H843" s="969"/>
      <c r="I843" s="969"/>
      <c r="J843" s="969"/>
      <c r="K843" s="969"/>
      <c r="L843" s="969"/>
    </row>
    <row r="844">
      <c r="A844" s="969"/>
      <c r="B844" s="1278"/>
      <c r="C844" s="969"/>
      <c r="D844" s="969"/>
      <c r="E844" s="969"/>
      <c r="F844" s="969"/>
      <c r="G844" s="969"/>
      <c r="H844" s="969"/>
      <c r="I844" s="969"/>
      <c r="J844" s="969"/>
      <c r="K844" s="969"/>
      <c r="L844" s="969"/>
    </row>
    <row r="845">
      <c r="A845" s="969"/>
      <c r="B845" s="1278"/>
      <c r="C845" s="969"/>
      <c r="D845" s="969"/>
      <c r="E845" s="969"/>
      <c r="F845" s="969"/>
      <c r="G845" s="969"/>
      <c r="H845" s="969"/>
      <c r="I845" s="969"/>
      <c r="J845" s="969"/>
      <c r="K845" s="969"/>
      <c r="L845" s="969"/>
    </row>
    <row r="846">
      <c r="A846" s="969"/>
      <c r="B846" s="1278"/>
      <c r="C846" s="969"/>
      <c r="D846" s="969"/>
      <c r="E846" s="969"/>
      <c r="F846" s="969"/>
      <c r="G846" s="969"/>
      <c r="H846" s="969"/>
      <c r="I846" s="969"/>
      <c r="J846" s="969"/>
      <c r="K846" s="969"/>
      <c r="L846" s="969"/>
    </row>
    <row r="847">
      <c r="A847" s="969"/>
      <c r="B847" s="1278"/>
      <c r="C847" s="969"/>
      <c r="D847" s="969"/>
      <c r="E847" s="969"/>
      <c r="F847" s="969"/>
      <c r="G847" s="969"/>
      <c r="H847" s="969"/>
      <c r="I847" s="969"/>
      <c r="J847" s="969"/>
      <c r="K847" s="969"/>
      <c r="L847" s="969"/>
    </row>
    <row r="848">
      <c r="A848" s="969"/>
      <c r="B848" s="1278"/>
      <c r="C848" s="969"/>
      <c r="D848" s="969"/>
      <c r="E848" s="969"/>
      <c r="F848" s="969"/>
      <c r="G848" s="969"/>
      <c r="H848" s="969"/>
      <c r="I848" s="969"/>
      <c r="J848" s="969"/>
      <c r="K848" s="969"/>
      <c r="L848" s="969"/>
    </row>
    <row r="849">
      <c r="A849" s="969"/>
      <c r="B849" s="1278"/>
      <c r="C849" s="969"/>
      <c r="D849" s="969"/>
      <c r="E849" s="969"/>
      <c r="F849" s="969"/>
      <c r="G849" s="969"/>
      <c r="H849" s="969"/>
      <c r="I849" s="969"/>
      <c r="J849" s="969"/>
      <c r="K849" s="969"/>
      <c r="L849" s="969"/>
    </row>
    <row r="850">
      <c r="A850" s="969"/>
      <c r="B850" s="1278"/>
      <c r="C850" s="969"/>
      <c r="D850" s="969"/>
      <c r="E850" s="969"/>
      <c r="F850" s="969"/>
      <c r="G850" s="969"/>
      <c r="H850" s="969"/>
      <c r="I850" s="969"/>
      <c r="J850" s="969"/>
      <c r="K850" s="969"/>
      <c r="L850" s="969"/>
    </row>
    <row r="851">
      <c r="A851" s="969"/>
      <c r="B851" s="1278"/>
      <c r="C851" s="969"/>
      <c r="D851" s="969"/>
      <c r="E851" s="969"/>
      <c r="F851" s="969"/>
      <c r="G851" s="969"/>
      <c r="H851" s="969"/>
      <c r="I851" s="969"/>
      <c r="J851" s="969"/>
      <c r="K851" s="969"/>
      <c r="L851" s="969"/>
    </row>
    <row r="852">
      <c r="A852" s="969"/>
      <c r="B852" s="1278"/>
      <c r="C852" s="969"/>
      <c r="D852" s="969"/>
      <c r="E852" s="969"/>
      <c r="F852" s="969"/>
      <c r="G852" s="969"/>
      <c r="H852" s="969"/>
      <c r="I852" s="969"/>
      <c r="J852" s="969"/>
      <c r="K852" s="969"/>
      <c r="L852" s="969"/>
    </row>
    <row r="853">
      <c r="A853" s="969"/>
      <c r="B853" s="1278"/>
      <c r="C853" s="969"/>
      <c r="D853" s="969"/>
      <c r="E853" s="969"/>
      <c r="F853" s="969"/>
      <c r="G853" s="969"/>
      <c r="H853" s="969"/>
      <c r="I853" s="969"/>
      <c r="J853" s="969"/>
      <c r="K853" s="969"/>
      <c r="L853" s="969"/>
    </row>
    <row r="854">
      <c r="A854" s="969"/>
      <c r="B854" s="1278"/>
      <c r="C854" s="969"/>
      <c r="D854" s="969"/>
      <c r="E854" s="969"/>
      <c r="F854" s="969"/>
      <c r="G854" s="969"/>
      <c r="H854" s="969"/>
      <c r="I854" s="969"/>
      <c r="J854" s="969"/>
      <c r="K854" s="969"/>
      <c r="L854" s="969"/>
    </row>
    <row r="855">
      <c r="A855" s="969"/>
      <c r="B855" s="1278"/>
      <c r="C855" s="969"/>
      <c r="D855" s="969"/>
      <c r="E855" s="969"/>
      <c r="F855" s="969"/>
      <c r="G855" s="969"/>
      <c r="H855" s="969"/>
      <c r="I855" s="969"/>
      <c r="J855" s="969"/>
      <c r="K855" s="969"/>
      <c r="L855" s="969"/>
    </row>
    <row r="856">
      <c r="A856" s="969"/>
      <c r="B856" s="1278"/>
      <c r="C856" s="969"/>
      <c r="D856" s="969"/>
      <c r="E856" s="969"/>
      <c r="F856" s="969"/>
      <c r="G856" s="969"/>
      <c r="H856" s="969"/>
      <c r="I856" s="969"/>
      <c r="J856" s="969"/>
      <c r="K856" s="969"/>
      <c r="L856" s="969"/>
    </row>
    <row r="857">
      <c r="A857" s="969"/>
      <c r="B857" s="1278"/>
      <c r="C857" s="969"/>
      <c r="D857" s="969"/>
      <c r="E857" s="969"/>
      <c r="F857" s="969"/>
      <c r="G857" s="969"/>
      <c r="H857" s="969"/>
      <c r="I857" s="969"/>
      <c r="J857" s="969"/>
      <c r="K857" s="969"/>
      <c r="L857" s="969"/>
    </row>
    <row r="858">
      <c r="A858" s="969"/>
      <c r="B858" s="1278"/>
      <c r="C858" s="969"/>
      <c r="D858" s="969"/>
      <c r="E858" s="969"/>
      <c r="F858" s="969"/>
      <c r="G858" s="969"/>
      <c r="H858" s="969"/>
      <c r="I858" s="969"/>
      <c r="J858" s="969"/>
      <c r="K858" s="969"/>
      <c r="L858" s="969"/>
    </row>
    <row r="859">
      <c r="A859" s="969"/>
      <c r="B859" s="1278"/>
      <c r="C859" s="969"/>
      <c r="D859" s="969"/>
      <c r="E859" s="969"/>
      <c r="F859" s="969"/>
      <c r="G859" s="969"/>
      <c r="H859" s="969"/>
      <c r="I859" s="969"/>
      <c r="J859" s="969"/>
      <c r="K859" s="969"/>
      <c r="L859" s="969"/>
    </row>
    <row r="860">
      <c r="A860" s="969"/>
      <c r="B860" s="1278"/>
      <c r="C860" s="969"/>
      <c r="D860" s="969"/>
      <c r="E860" s="969"/>
      <c r="F860" s="969"/>
      <c r="G860" s="969"/>
      <c r="H860" s="969"/>
      <c r="I860" s="969"/>
      <c r="J860" s="969"/>
      <c r="K860" s="969"/>
      <c r="L860" s="969"/>
    </row>
    <row r="861">
      <c r="A861" s="969"/>
      <c r="B861" s="1278"/>
      <c r="C861" s="969"/>
      <c r="D861" s="969"/>
      <c r="E861" s="969"/>
      <c r="F861" s="969"/>
      <c r="G861" s="969"/>
      <c r="H861" s="969"/>
      <c r="I861" s="969"/>
      <c r="J861" s="969"/>
      <c r="K861" s="969"/>
      <c r="L861" s="969"/>
    </row>
    <row r="862">
      <c r="A862" s="969"/>
      <c r="B862" s="1278"/>
      <c r="C862" s="969"/>
      <c r="D862" s="969"/>
      <c r="E862" s="969"/>
      <c r="F862" s="969"/>
      <c r="G862" s="969"/>
      <c r="H862" s="969"/>
      <c r="I862" s="969"/>
      <c r="J862" s="969"/>
      <c r="K862" s="969"/>
      <c r="L862" s="969"/>
    </row>
    <row r="863">
      <c r="A863" s="969"/>
      <c r="B863" s="1278"/>
      <c r="C863" s="969"/>
      <c r="D863" s="969"/>
      <c r="E863" s="969"/>
      <c r="F863" s="969"/>
      <c r="G863" s="969"/>
      <c r="H863" s="969"/>
      <c r="I863" s="969"/>
      <c r="J863" s="969"/>
      <c r="K863" s="969"/>
      <c r="L863" s="969"/>
    </row>
    <row r="864">
      <c r="A864" s="969"/>
      <c r="B864" s="1278"/>
      <c r="C864" s="969"/>
      <c r="D864" s="969"/>
      <c r="E864" s="969"/>
      <c r="F864" s="969"/>
      <c r="G864" s="969"/>
      <c r="H864" s="969"/>
      <c r="I864" s="969"/>
      <c r="J864" s="969"/>
      <c r="K864" s="969"/>
      <c r="L864" s="969"/>
    </row>
    <row r="865">
      <c r="A865" s="969"/>
      <c r="B865" s="1278"/>
      <c r="C865" s="969"/>
      <c r="D865" s="969"/>
      <c r="E865" s="969"/>
      <c r="F865" s="969"/>
      <c r="G865" s="969"/>
      <c r="H865" s="969"/>
      <c r="I865" s="969"/>
      <c r="J865" s="969"/>
      <c r="K865" s="969"/>
      <c r="L865" s="969"/>
    </row>
    <row r="866">
      <c r="A866" s="969"/>
      <c r="B866" s="1278"/>
      <c r="C866" s="969"/>
      <c r="D866" s="969"/>
      <c r="E866" s="969"/>
      <c r="F866" s="969"/>
      <c r="G866" s="969"/>
      <c r="H866" s="969"/>
      <c r="I866" s="969"/>
      <c r="J866" s="969"/>
      <c r="K866" s="969"/>
      <c r="L866" s="969"/>
    </row>
    <row r="867">
      <c r="A867" s="969"/>
      <c r="B867" s="1278"/>
      <c r="C867" s="969"/>
      <c r="D867" s="969"/>
      <c r="E867" s="969"/>
      <c r="F867" s="969"/>
      <c r="G867" s="969"/>
      <c r="H867" s="969"/>
      <c r="I867" s="969"/>
      <c r="J867" s="969"/>
      <c r="K867" s="969"/>
      <c r="L867" s="969"/>
    </row>
    <row r="868">
      <c r="A868" s="969"/>
      <c r="B868" s="1278"/>
      <c r="C868" s="969"/>
      <c r="D868" s="969"/>
      <c r="E868" s="969"/>
      <c r="F868" s="969"/>
      <c r="G868" s="969"/>
      <c r="H868" s="969"/>
      <c r="I868" s="969"/>
      <c r="J868" s="969"/>
      <c r="K868" s="969"/>
      <c r="L868" s="969"/>
    </row>
    <row r="869">
      <c r="A869" s="969"/>
      <c r="B869" s="1278"/>
      <c r="C869" s="969"/>
      <c r="D869" s="969"/>
      <c r="E869" s="969"/>
      <c r="F869" s="969"/>
      <c r="G869" s="969"/>
      <c r="H869" s="969"/>
      <c r="I869" s="969"/>
      <c r="J869" s="969"/>
      <c r="K869" s="969"/>
      <c r="L869" s="969"/>
    </row>
    <row r="870">
      <c r="A870" s="969"/>
      <c r="B870" s="1278"/>
      <c r="C870" s="969"/>
      <c r="D870" s="969"/>
      <c r="E870" s="969"/>
      <c r="F870" s="969"/>
      <c r="G870" s="969"/>
      <c r="H870" s="969"/>
      <c r="I870" s="969"/>
      <c r="J870" s="969"/>
      <c r="K870" s="969"/>
      <c r="L870" s="969"/>
    </row>
    <row r="871">
      <c r="A871" s="969"/>
      <c r="B871" s="1278"/>
      <c r="C871" s="969"/>
      <c r="D871" s="969"/>
      <c r="E871" s="969"/>
      <c r="F871" s="969"/>
      <c r="G871" s="969"/>
      <c r="H871" s="969"/>
      <c r="I871" s="969"/>
      <c r="J871" s="969"/>
      <c r="K871" s="969"/>
      <c r="L871" s="969"/>
    </row>
    <row r="872">
      <c r="A872" s="969"/>
      <c r="B872" s="1278"/>
      <c r="C872" s="969"/>
      <c r="D872" s="969"/>
      <c r="E872" s="969"/>
      <c r="F872" s="969"/>
      <c r="G872" s="969"/>
      <c r="H872" s="969"/>
      <c r="I872" s="969"/>
      <c r="J872" s="969"/>
      <c r="K872" s="969"/>
      <c r="L872" s="969"/>
    </row>
    <row r="873">
      <c r="A873" s="969"/>
      <c r="B873" s="1278"/>
      <c r="C873" s="969"/>
      <c r="D873" s="969"/>
      <c r="E873" s="969"/>
      <c r="F873" s="969"/>
      <c r="G873" s="969"/>
      <c r="H873" s="969"/>
      <c r="I873" s="969"/>
      <c r="J873" s="969"/>
      <c r="K873" s="969"/>
      <c r="L873" s="969"/>
    </row>
    <row r="874">
      <c r="A874" s="969"/>
      <c r="B874" s="1278"/>
      <c r="C874" s="969"/>
      <c r="D874" s="969"/>
      <c r="E874" s="969"/>
      <c r="F874" s="969"/>
      <c r="G874" s="969"/>
      <c r="H874" s="969"/>
      <c r="I874" s="969"/>
      <c r="J874" s="969"/>
      <c r="K874" s="969"/>
      <c r="L874" s="969"/>
    </row>
    <row r="875">
      <c r="A875" s="969"/>
      <c r="B875" s="1278"/>
      <c r="C875" s="969"/>
      <c r="D875" s="969"/>
      <c r="E875" s="969"/>
      <c r="F875" s="969"/>
      <c r="G875" s="969"/>
      <c r="H875" s="969"/>
      <c r="I875" s="969"/>
      <c r="J875" s="969"/>
      <c r="K875" s="969"/>
      <c r="L875" s="969"/>
    </row>
    <row r="876">
      <c r="A876" s="969"/>
      <c r="B876" s="1278"/>
      <c r="C876" s="969"/>
      <c r="D876" s="969"/>
      <c r="E876" s="969"/>
      <c r="F876" s="969"/>
      <c r="G876" s="969"/>
      <c r="H876" s="969"/>
      <c r="I876" s="969"/>
      <c r="J876" s="969"/>
      <c r="K876" s="969"/>
      <c r="L876" s="969"/>
    </row>
    <row r="877">
      <c r="A877" s="969"/>
      <c r="B877" s="1278"/>
      <c r="C877" s="969"/>
      <c r="D877" s="969"/>
      <c r="E877" s="969"/>
      <c r="F877" s="969"/>
      <c r="G877" s="969"/>
      <c r="H877" s="969"/>
      <c r="I877" s="969"/>
      <c r="J877" s="969"/>
      <c r="K877" s="969"/>
      <c r="L877" s="969"/>
    </row>
    <row r="878">
      <c r="A878" s="969"/>
      <c r="B878" s="1278"/>
      <c r="C878" s="969"/>
      <c r="D878" s="969"/>
      <c r="E878" s="969"/>
      <c r="F878" s="969"/>
      <c r="G878" s="969"/>
      <c r="H878" s="969"/>
      <c r="I878" s="969"/>
      <c r="J878" s="969"/>
      <c r="K878" s="969"/>
      <c r="L878" s="969"/>
    </row>
    <row r="879">
      <c r="A879" s="969"/>
      <c r="B879" s="1278"/>
      <c r="C879" s="969"/>
      <c r="D879" s="969"/>
      <c r="E879" s="969"/>
      <c r="F879" s="969"/>
      <c r="G879" s="969"/>
      <c r="H879" s="969"/>
      <c r="I879" s="969"/>
      <c r="J879" s="969"/>
      <c r="K879" s="969"/>
      <c r="L879" s="969"/>
    </row>
    <row r="880">
      <c r="A880" s="969"/>
      <c r="B880" s="1278"/>
      <c r="C880" s="969"/>
      <c r="D880" s="969"/>
      <c r="E880" s="969"/>
      <c r="F880" s="969"/>
      <c r="G880" s="969"/>
      <c r="H880" s="969"/>
      <c r="I880" s="969"/>
      <c r="J880" s="969"/>
      <c r="K880" s="969"/>
      <c r="L880" s="969"/>
    </row>
    <row r="881">
      <c r="A881" s="969"/>
      <c r="B881" s="1278"/>
      <c r="C881" s="969"/>
      <c r="D881" s="969"/>
      <c r="E881" s="969"/>
      <c r="F881" s="969"/>
      <c r="G881" s="969"/>
      <c r="H881" s="969"/>
      <c r="I881" s="969"/>
      <c r="J881" s="969"/>
      <c r="K881" s="969"/>
      <c r="L881" s="969"/>
    </row>
    <row r="882">
      <c r="A882" s="969"/>
      <c r="B882" s="1278"/>
      <c r="C882" s="969"/>
      <c r="D882" s="969"/>
      <c r="E882" s="969"/>
      <c r="F882" s="969"/>
      <c r="G882" s="969"/>
      <c r="H882" s="969"/>
      <c r="I882" s="969"/>
      <c r="J882" s="969"/>
      <c r="K882" s="969"/>
      <c r="L882" s="969"/>
    </row>
    <row r="883">
      <c r="A883" s="969"/>
      <c r="B883" s="1278"/>
      <c r="C883" s="969"/>
      <c r="D883" s="969"/>
      <c r="E883" s="969"/>
      <c r="F883" s="969"/>
      <c r="G883" s="969"/>
      <c r="H883" s="969"/>
      <c r="I883" s="969"/>
      <c r="J883" s="969"/>
      <c r="K883" s="969"/>
      <c r="L883" s="969"/>
    </row>
    <row r="884">
      <c r="A884" s="969"/>
      <c r="B884" s="1278"/>
      <c r="C884" s="969"/>
      <c r="D884" s="969"/>
      <c r="E884" s="969"/>
      <c r="F884" s="969"/>
      <c r="G884" s="969"/>
      <c r="H884" s="969"/>
      <c r="I884" s="969"/>
      <c r="J884" s="969"/>
      <c r="K884" s="969"/>
      <c r="L884" s="969"/>
    </row>
    <row r="885">
      <c r="A885" s="969"/>
      <c r="B885" s="1278"/>
      <c r="C885" s="969"/>
      <c r="D885" s="969"/>
      <c r="E885" s="969"/>
      <c r="F885" s="969"/>
      <c r="G885" s="969"/>
      <c r="H885" s="969"/>
      <c r="I885" s="969"/>
      <c r="J885" s="969"/>
      <c r="K885" s="969"/>
      <c r="L885" s="969"/>
    </row>
    <row r="886">
      <c r="A886" s="969"/>
      <c r="B886" s="1278"/>
      <c r="C886" s="969"/>
      <c r="D886" s="969"/>
      <c r="E886" s="969"/>
      <c r="F886" s="969"/>
      <c r="G886" s="969"/>
      <c r="H886" s="969"/>
      <c r="I886" s="969"/>
      <c r="J886" s="969"/>
      <c r="K886" s="969"/>
      <c r="L886" s="969"/>
    </row>
    <row r="887">
      <c r="A887" s="969"/>
      <c r="B887" s="1278"/>
      <c r="C887" s="969"/>
      <c r="D887" s="969"/>
      <c r="E887" s="969"/>
      <c r="F887" s="969"/>
      <c r="G887" s="969"/>
      <c r="H887" s="969"/>
      <c r="I887" s="969"/>
      <c r="J887" s="969"/>
      <c r="K887" s="969"/>
      <c r="L887" s="969"/>
    </row>
    <row r="888">
      <c r="A888" s="969"/>
      <c r="B888" s="1278"/>
      <c r="C888" s="969"/>
      <c r="D888" s="969"/>
      <c r="E888" s="969"/>
      <c r="F888" s="969"/>
      <c r="G888" s="969"/>
      <c r="H888" s="969"/>
      <c r="I888" s="969"/>
      <c r="J888" s="969"/>
      <c r="K888" s="969"/>
      <c r="L888" s="969"/>
    </row>
    <row r="889">
      <c r="A889" s="969"/>
      <c r="B889" s="1278"/>
      <c r="C889" s="969"/>
      <c r="D889" s="969"/>
      <c r="E889" s="969"/>
      <c r="F889" s="969"/>
      <c r="G889" s="969"/>
      <c r="H889" s="969"/>
      <c r="I889" s="969"/>
      <c r="J889" s="969"/>
      <c r="K889" s="969"/>
      <c r="L889" s="969"/>
    </row>
    <row r="890">
      <c r="A890" s="969"/>
      <c r="B890" s="1278"/>
      <c r="C890" s="969"/>
      <c r="D890" s="969"/>
      <c r="E890" s="969"/>
      <c r="F890" s="969"/>
      <c r="G890" s="969"/>
      <c r="H890" s="969"/>
      <c r="I890" s="969"/>
      <c r="J890" s="969"/>
      <c r="K890" s="969"/>
      <c r="L890" s="969"/>
    </row>
    <row r="891">
      <c r="A891" s="969"/>
      <c r="B891" s="1278"/>
      <c r="C891" s="969"/>
      <c r="D891" s="969"/>
      <c r="E891" s="969"/>
      <c r="F891" s="969"/>
      <c r="G891" s="969"/>
      <c r="H891" s="969"/>
      <c r="I891" s="969"/>
      <c r="J891" s="969"/>
      <c r="K891" s="969"/>
      <c r="L891" s="969"/>
    </row>
    <row r="892">
      <c r="A892" s="969"/>
      <c r="B892" s="1278"/>
      <c r="C892" s="969"/>
      <c r="D892" s="969"/>
      <c r="E892" s="969"/>
      <c r="F892" s="969"/>
      <c r="G892" s="969"/>
      <c r="H892" s="969"/>
      <c r="I892" s="969"/>
      <c r="J892" s="969"/>
      <c r="K892" s="969"/>
      <c r="L892" s="969"/>
    </row>
    <row r="893">
      <c r="A893" s="969"/>
      <c r="B893" s="1278"/>
      <c r="C893" s="969"/>
      <c r="D893" s="969"/>
      <c r="E893" s="969"/>
      <c r="F893" s="969"/>
      <c r="G893" s="969"/>
      <c r="H893" s="969"/>
      <c r="I893" s="969"/>
      <c r="J893" s="969"/>
      <c r="K893" s="969"/>
      <c r="L893" s="969"/>
    </row>
    <row r="894">
      <c r="A894" s="969"/>
      <c r="B894" s="1278"/>
      <c r="C894" s="969"/>
      <c r="D894" s="969"/>
      <c r="E894" s="969"/>
      <c r="F894" s="969"/>
      <c r="G894" s="969"/>
      <c r="H894" s="969"/>
      <c r="I894" s="969"/>
      <c r="J894" s="969"/>
      <c r="K894" s="969"/>
      <c r="L894" s="969"/>
    </row>
    <row r="895">
      <c r="A895" s="969"/>
      <c r="B895" s="1278"/>
      <c r="C895" s="969"/>
      <c r="D895" s="969"/>
      <c r="E895" s="969"/>
      <c r="F895" s="969"/>
      <c r="G895" s="969"/>
      <c r="H895" s="969"/>
      <c r="I895" s="969"/>
      <c r="J895" s="969"/>
      <c r="K895" s="969"/>
      <c r="L895" s="969"/>
    </row>
    <row r="896">
      <c r="A896" s="969"/>
      <c r="B896" s="1278"/>
      <c r="C896" s="969"/>
      <c r="D896" s="969"/>
      <c r="E896" s="969"/>
      <c r="F896" s="969"/>
      <c r="G896" s="969"/>
      <c r="H896" s="969"/>
      <c r="I896" s="969"/>
      <c r="J896" s="969"/>
      <c r="K896" s="969"/>
      <c r="L896" s="969"/>
    </row>
    <row r="897">
      <c r="A897" s="969"/>
      <c r="B897" s="1278"/>
      <c r="C897" s="969"/>
      <c r="D897" s="969"/>
      <c r="E897" s="969"/>
      <c r="F897" s="969"/>
      <c r="G897" s="969"/>
      <c r="H897" s="969"/>
      <c r="I897" s="969"/>
      <c r="J897" s="969"/>
      <c r="K897" s="969"/>
      <c r="L897" s="969"/>
    </row>
    <row r="898">
      <c r="A898" s="969"/>
      <c r="B898" s="1278"/>
      <c r="C898" s="969"/>
      <c r="D898" s="969"/>
      <c r="E898" s="969"/>
      <c r="F898" s="969"/>
      <c r="G898" s="969"/>
      <c r="H898" s="969"/>
      <c r="I898" s="969"/>
      <c r="J898" s="969"/>
      <c r="K898" s="969"/>
      <c r="L898" s="969"/>
    </row>
    <row r="899">
      <c r="A899" s="969"/>
      <c r="B899" s="1278"/>
      <c r="C899" s="969"/>
      <c r="D899" s="969"/>
      <c r="E899" s="969"/>
      <c r="F899" s="969"/>
      <c r="G899" s="969"/>
      <c r="H899" s="969"/>
      <c r="I899" s="969"/>
      <c r="J899" s="969"/>
      <c r="K899" s="969"/>
      <c r="L899" s="969"/>
    </row>
    <row r="900">
      <c r="A900" s="969"/>
      <c r="B900" s="1278"/>
      <c r="C900" s="969"/>
      <c r="D900" s="969"/>
      <c r="E900" s="969"/>
      <c r="F900" s="969"/>
      <c r="G900" s="969"/>
      <c r="H900" s="969"/>
      <c r="I900" s="969"/>
      <c r="J900" s="969"/>
      <c r="K900" s="969"/>
      <c r="L900" s="969"/>
    </row>
    <row r="901">
      <c r="A901" s="969"/>
      <c r="B901" s="1278"/>
      <c r="C901" s="969"/>
      <c r="D901" s="969"/>
      <c r="E901" s="969"/>
      <c r="F901" s="969"/>
      <c r="G901" s="969"/>
      <c r="H901" s="969"/>
      <c r="I901" s="969"/>
      <c r="J901" s="969"/>
      <c r="K901" s="969"/>
      <c r="L901" s="969"/>
    </row>
    <row r="902">
      <c r="A902" s="969"/>
      <c r="B902" s="1278"/>
      <c r="C902" s="969"/>
      <c r="D902" s="969"/>
      <c r="E902" s="969"/>
      <c r="F902" s="969"/>
      <c r="G902" s="969"/>
      <c r="H902" s="969"/>
      <c r="I902" s="969"/>
      <c r="J902" s="969"/>
      <c r="K902" s="969"/>
      <c r="L902" s="969"/>
    </row>
    <row r="903">
      <c r="A903" s="969"/>
      <c r="B903" s="1278"/>
      <c r="C903" s="969"/>
      <c r="D903" s="969"/>
      <c r="E903" s="969"/>
      <c r="F903" s="969"/>
      <c r="G903" s="969"/>
      <c r="H903" s="969"/>
      <c r="I903" s="969"/>
      <c r="J903" s="969"/>
      <c r="K903" s="969"/>
      <c r="L903" s="969"/>
    </row>
    <row r="904">
      <c r="A904" s="969"/>
      <c r="B904" s="1278"/>
      <c r="C904" s="969"/>
      <c r="D904" s="969"/>
      <c r="E904" s="969"/>
      <c r="F904" s="969"/>
      <c r="G904" s="969"/>
      <c r="H904" s="969"/>
      <c r="I904" s="969"/>
      <c r="J904" s="969"/>
      <c r="K904" s="969"/>
      <c r="L904" s="969"/>
    </row>
    <row r="905">
      <c r="A905" s="969"/>
      <c r="B905" s="1278"/>
      <c r="C905" s="969"/>
      <c r="D905" s="969"/>
      <c r="E905" s="969"/>
      <c r="F905" s="969"/>
      <c r="G905" s="969"/>
      <c r="H905" s="969"/>
      <c r="I905" s="969"/>
      <c r="J905" s="969"/>
      <c r="K905" s="969"/>
      <c r="L905" s="969"/>
    </row>
    <row r="906">
      <c r="A906" s="969"/>
      <c r="B906" s="1278"/>
      <c r="C906" s="969"/>
      <c r="D906" s="969"/>
      <c r="E906" s="969"/>
      <c r="F906" s="969"/>
      <c r="G906" s="969"/>
      <c r="H906" s="969"/>
      <c r="I906" s="969"/>
      <c r="J906" s="969"/>
      <c r="K906" s="969"/>
      <c r="L906" s="969"/>
    </row>
    <row r="907">
      <c r="A907" s="969"/>
      <c r="B907" s="1278"/>
      <c r="C907" s="969"/>
      <c r="D907" s="969"/>
      <c r="E907" s="969"/>
      <c r="F907" s="969"/>
      <c r="G907" s="969"/>
      <c r="H907" s="969"/>
      <c r="I907" s="969"/>
      <c r="J907" s="969"/>
      <c r="K907" s="969"/>
      <c r="L907" s="969"/>
    </row>
    <row r="908">
      <c r="A908" s="969"/>
      <c r="B908" s="1278"/>
      <c r="C908" s="969"/>
      <c r="D908" s="969"/>
      <c r="E908" s="969"/>
      <c r="F908" s="969"/>
      <c r="G908" s="969"/>
      <c r="H908" s="969"/>
      <c r="I908" s="969"/>
      <c r="J908" s="969"/>
      <c r="K908" s="969"/>
      <c r="L908" s="969"/>
    </row>
    <row r="909">
      <c r="A909" s="969"/>
      <c r="B909" s="1278"/>
      <c r="C909" s="969"/>
      <c r="D909" s="969"/>
      <c r="E909" s="969"/>
      <c r="F909" s="969"/>
      <c r="G909" s="969"/>
      <c r="H909" s="969"/>
      <c r="I909" s="969"/>
      <c r="J909" s="969"/>
      <c r="K909" s="969"/>
      <c r="L909" s="969"/>
    </row>
    <row r="910">
      <c r="A910" s="969"/>
      <c r="B910" s="1278"/>
      <c r="C910" s="969"/>
      <c r="D910" s="969"/>
      <c r="E910" s="969"/>
      <c r="F910" s="969"/>
      <c r="G910" s="969"/>
      <c r="H910" s="969"/>
      <c r="I910" s="969"/>
      <c r="J910" s="969"/>
      <c r="K910" s="969"/>
      <c r="L910" s="969"/>
    </row>
    <row r="911">
      <c r="A911" s="969"/>
      <c r="B911" s="1278"/>
      <c r="C911" s="969"/>
      <c r="D911" s="969"/>
      <c r="E911" s="969"/>
      <c r="F911" s="969"/>
      <c r="G911" s="969"/>
      <c r="H911" s="969"/>
      <c r="I911" s="969"/>
      <c r="J911" s="969"/>
      <c r="K911" s="969"/>
      <c r="L911" s="969"/>
    </row>
    <row r="912">
      <c r="A912" s="969"/>
      <c r="B912" s="1278"/>
      <c r="C912" s="969"/>
      <c r="D912" s="969"/>
      <c r="E912" s="969"/>
      <c r="F912" s="969"/>
      <c r="G912" s="969"/>
      <c r="H912" s="969"/>
      <c r="I912" s="969"/>
      <c r="J912" s="969"/>
      <c r="K912" s="969"/>
      <c r="L912" s="969"/>
    </row>
    <row r="913">
      <c r="A913" s="969"/>
      <c r="B913" s="1278"/>
      <c r="C913" s="969"/>
      <c r="D913" s="969"/>
      <c r="E913" s="969"/>
      <c r="F913" s="969"/>
      <c r="G913" s="969"/>
      <c r="H913" s="969"/>
      <c r="I913" s="969"/>
      <c r="J913" s="969"/>
      <c r="K913" s="969"/>
      <c r="L913" s="969"/>
    </row>
    <row r="914">
      <c r="A914" s="969"/>
      <c r="B914" s="1278"/>
      <c r="C914" s="969"/>
      <c r="D914" s="969"/>
      <c r="E914" s="969"/>
      <c r="F914" s="969"/>
      <c r="G914" s="969"/>
      <c r="H914" s="969"/>
      <c r="I914" s="969"/>
      <c r="J914" s="969"/>
      <c r="K914" s="969"/>
      <c r="L914" s="969"/>
    </row>
    <row r="915">
      <c r="A915" s="969"/>
      <c r="B915" s="1278"/>
      <c r="C915" s="969"/>
      <c r="D915" s="969"/>
      <c r="E915" s="969"/>
      <c r="F915" s="969"/>
      <c r="G915" s="969"/>
      <c r="H915" s="969"/>
      <c r="I915" s="969"/>
      <c r="J915" s="969"/>
      <c r="K915" s="969"/>
      <c r="L915" s="969"/>
    </row>
    <row r="916">
      <c r="A916" s="969"/>
      <c r="B916" s="1278"/>
      <c r="C916" s="969"/>
      <c r="D916" s="969"/>
      <c r="E916" s="969"/>
      <c r="F916" s="969"/>
      <c r="G916" s="969"/>
      <c r="H916" s="969"/>
      <c r="I916" s="969"/>
      <c r="J916" s="969"/>
      <c r="K916" s="969"/>
      <c r="L916" s="969"/>
    </row>
    <row r="917">
      <c r="A917" s="969"/>
      <c r="B917" s="1278"/>
      <c r="C917" s="969"/>
      <c r="D917" s="969"/>
      <c r="E917" s="969"/>
      <c r="F917" s="969"/>
      <c r="G917" s="969"/>
      <c r="H917" s="969"/>
      <c r="I917" s="969"/>
      <c r="J917" s="969"/>
      <c r="K917" s="969"/>
      <c r="L917" s="969"/>
    </row>
    <row r="918">
      <c r="A918" s="969"/>
      <c r="B918" s="1278"/>
      <c r="C918" s="969"/>
      <c r="D918" s="969"/>
      <c r="E918" s="969"/>
      <c r="F918" s="969"/>
      <c r="G918" s="969"/>
      <c r="H918" s="969"/>
      <c r="I918" s="969"/>
      <c r="J918" s="969"/>
      <c r="K918" s="969"/>
      <c r="L918" s="969"/>
    </row>
    <row r="919">
      <c r="A919" s="969"/>
      <c r="B919" s="1278"/>
      <c r="C919" s="969"/>
      <c r="D919" s="969"/>
      <c r="E919" s="969"/>
      <c r="F919" s="969"/>
      <c r="G919" s="969"/>
      <c r="H919" s="969"/>
      <c r="I919" s="969"/>
      <c r="J919" s="969"/>
      <c r="K919" s="969"/>
      <c r="L919" s="969"/>
    </row>
    <row r="920">
      <c r="A920" s="969"/>
      <c r="B920" s="1278"/>
      <c r="C920" s="969"/>
      <c r="D920" s="969"/>
      <c r="E920" s="969"/>
      <c r="F920" s="969"/>
      <c r="G920" s="969"/>
      <c r="H920" s="969"/>
      <c r="I920" s="969"/>
      <c r="J920" s="969"/>
      <c r="K920" s="969"/>
      <c r="L920" s="969"/>
    </row>
    <row r="921">
      <c r="A921" s="969"/>
      <c r="B921" s="1278"/>
      <c r="C921" s="969"/>
      <c r="D921" s="969"/>
      <c r="E921" s="969"/>
      <c r="F921" s="969"/>
      <c r="G921" s="969"/>
      <c r="H921" s="969"/>
      <c r="I921" s="969"/>
      <c r="J921" s="969"/>
      <c r="K921" s="969"/>
      <c r="L921" s="969"/>
    </row>
    <row r="922">
      <c r="A922" s="969"/>
      <c r="B922" s="1278"/>
      <c r="C922" s="969"/>
      <c r="D922" s="969"/>
      <c r="E922" s="969"/>
      <c r="F922" s="969"/>
      <c r="G922" s="969"/>
      <c r="H922" s="969"/>
      <c r="I922" s="969"/>
      <c r="J922" s="969"/>
      <c r="K922" s="969"/>
      <c r="L922" s="969"/>
    </row>
    <row r="923">
      <c r="A923" s="969"/>
      <c r="B923" s="1278"/>
      <c r="C923" s="969"/>
      <c r="D923" s="969"/>
      <c r="E923" s="969"/>
      <c r="F923" s="969"/>
      <c r="G923" s="969"/>
      <c r="H923" s="969"/>
      <c r="I923" s="969"/>
      <c r="J923" s="969"/>
      <c r="K923" s="969"/>
      <c r="L923" s="969"/>
    </row>
    <row r="924">
      <c r="A924" s="969"/>
      <c r="B924" s="1278"/>
      <c r="C924" s="969"/>
      <c r="D924" s="969"/>
      <c r="E924" s="969"/>
      <c r="F924" s="969"/>
      <c r="G924" s="969"/>
      <c r="H924" s="969"/>
      <c r="I924" s="969"/>
      <c r="J924" s="969"/>
      <c r="K924" s="969"/>
      <c r="L924" s="969"/>
    </row>
    <row r="925">
      <c r="A925" s="969"/>
      <c r="B925" s="1278"/>
      <c r="C925" s="969"/>
      <c r="D925" s="969"/>
      <c r="E925" s="969"/>
      <c r="F925" s="969"/>
      <c r="G925" s="969"/>
      <c r="H925" s="969"/>
      <c r="I925" s="969"/>
      <c r="J925" s="969"/>
      <c r="K925" s="969"/>
      <c r="L925" s="969"/>
    </row>
    <row r="926">
      <c r="A926" s="969"/>
      <c r="B926" s="1278"/>
      <c r="C926" s="969"/>
      <c r="D926" s="969"/>
      <c r="E926" s="969"/>
      <c r="F926" s="969"/>
      <c r="G926" s="969"/>
      <c r="H926" s="969"/>
      <c r="I926" s="969"/>
      <c r="J926" s="969"/>
      <c r="K926" s="969"/>
      <c r="L926" s="969"/>
    </row>
    <row r="927">
      <c r="A927" s="969"/>
      <c r="B927" s="1278"/>
      <c r="C927" s="969"/>
      <c r="D927" s="969"/>
      <c r="E927" s="969"/>
      <c r="F927" s="969"/>
      <c r="G927" s="969"/>
      <c r="H927" s="969"/>
      <c r="I927" s="969"/>
      <c r="J927" s="969"/>
      <c r="K927" s="969"/>
      <c r="L927" s="969"/>
    </row>
    <row r="928">
      <c r="A928" s="969"/>
      <c r="B928" s="1278"/>
      <c r="C928" s="969"/>
      <c r="D928" s="969"/>
      <c r="E928" s="969"/>
      <c r="F928" s="969"/>
      <c r="G928" s="969"/>
      <c r="H928" s="969"/>
      <c r="I928" s="969"/>
      <c r="J928" s="969"/>
      <c r="K928" s="969"/>
      <c r="L928" s="969"/>
    </row>
    <row r="929">
      <c r="A929" s="969"/>
      <c r="B929" s="1278"/>
      <c r="C929" s="969"/>
      <c r="D929" s="969"/>
      <c r="E929" s="969"/>
      <c r="F929" s="969"/>
      <c r="G929" s="969"/>
      <c r="H929" s="969"/>
      <c r="I929" s="969"/>
      <c r="J929" s="969"/>
      <c r="K929" s="969"/>
      <c r="L929" s="969"/>
    </row>
    <row r="930">
      <c r="A930" s="969"/>
      <c r="B930" s="1278"/>
      <c r="C930" s="969"/>
      <c r="D930" s="969"/>
      <c r="E930" s="969"/>
      <c r="F930" s="969"/>
      <c r="G930" s="969"/>
      <c r="H930" s="969"/>
      <c r="I930" s="969"/>
      <c r="J930" s="969"/>
      <c r="K930" s="969"/>
      <c r="L930" s="969"/>
    </row>
    <row r="931">
      <c r="A931" s="969"/>
      <c r="B931" s="1278"/>
      <c r="C931" s="969"/>
      <c r="D931" s="969"/>
      <c r="E931" s="969"/>
      <c r="F931" s="969"/>
      <c r="G931" s="969"/>
      <c r="H931" s="969"/>
      <c r="I931" s="969"/>
      <c r="J931" s="969"/>
      <c r="K931" s="969"/>
      <c r="L931" s="969"/>
    </row>
    <row r="932">
      <c r="A932" s="969"/>
      <c r="B932" s="1278"/>
      <c r="C932" s="969"/>
      <c r="D932" s="969"/>
      <c r="E932" s="969"/>
      <c r="F932" s="969"/>
      <c r="G932" s="969"/>
      <c r="H932" s="969"/>
      <c r="I932" s="969"/>
      <c r="J932" s="969"/>
      <c r="K932" s="969"/>
      <c r="L932" s="969"/>
    </row>
    <row r="933">
      <c r="A933" s="969"/>
      <c r="B933" s="1278"/>
      <c r="C933" s="969"/>
      <c r="D933" s="969"/>
      <c r="E933" s="969"/>
      <c r="F933" s="969"/>
      <c r="G933" s="969"/>
      <c r="H933" s="969"/>
      <c r="I933" s="969"/>
      <c r="J933" s="969"/>
      <c r="K933" s="969"/>
      <c r="L933" s="969"/>
    </row>
    <row r="934">
      <c r="A934" s="969"/>
      <c r="B934" s="1278"/>
      <c r="C934" s="969"/>
      <c r="D934" s="969"/>
      <c r="E934" s="969"/>
      <c r="F934" s="969"/>
      <c r="G934" s="969"/>
      <c r="H934" s="969"/>
      <c r="I934" s="969"/>
      <c r="J934" s="969"/>
      <c r="K934" s="969"/>
      <c r="L934" s="969"/>
    </row>
    <row r="935">
      <c r="A935" s="969"/>
      <c r="B935" s="1278"/>
      <c r="C935" s="969"/>
      <c r="D935" s="969"/>
      <c r="E935" s="969"/>
      <c r="F935" s="969"/>
      <c r="G935" s="969"/>
      <c r="H935" s="969"/>
      <c r="I935" s="969"/>
      <c r="J935" s="969"/>
      <c r="K935" s="969"/>
      <c r="L935" s="969"/>
    </row>
    <row r="936">
      <c r="A936" s="969"/>
      <c r="B936" s="1278"/>
      <c r="C936" s="969"/>
      <c r="D936" s="969"/>
      <c r="E936" s="969"/>
      <c r="F936" s="969"/>
      <c r="G936" s="969"/>
      <c r="H936" s="969"/>
      <c r="I936" s="969"/>
      <c r="J936" s="969"/>
      <c r="K936" s="969"/>
      <c r="L936" s="969"/>
    </row>
    <row r="937">
      <c r="A937" s="969"/>
      <c r="B937" s="1278"/>
      <c r="C937" s="969"/>
      <c r="D937" s="969"/>
      <c r="E937" s="969"/>
      <c r="F937" s="969"/>
      <c r="G937" s="969"/>
      <c r="H937" s="969"/>
      <c r="I937" s="969"/>
      <c r="J937" s="969"/>
      <c r="K937" s="969"/>
      <c r="L937" s="969"/>
    </row>
    <row r="938">
      <c r="A938" s="969"/>
      <c r="B938" s="1278"/>
      <c r="C938" s="969"/>
      <c r="D938" s="969"/>
      <c r="E938" s="969"/>
      <c r="F938" s="969"/>
      <c r="G938" s="969"/>
      <c r="H938" s="969"/>
      <c r="I938" s="969"/>
      <c r="J938" s="969"/>
      <c r="K938" s="969"/>
      <c r="L938" s="969"/>
    </row>
    <row r="939">
      <c r="A939" s="969"/>
      <c r="B939" s="1278"/>
      <c r="C939" s="969"/>
      <c r="D939" s="969"/>
      <c r="E939" s="969"/>
      <c r="F939" s="969"/>
      <c r="G939" s="969"/>
      <c r="H939" s="969"/>
      <c r="I939" s="969"/>
      <c r="J939" s="969"/>
      <c r="K939" s="969"/>
      <c r="L939" s="969"/>
    </row>
    <row r="940">
      <c r="A940" s="969"/>
      <c r="B940" s="1278"/>
      <c r="C940" s="969"/>
      <c r="D940" s="969"/>
      <c r="E940" s="969"/>
      <c r="F940" s="969"/>
      <c r="G940" s="969"/>
      <c r="H940" s="969"/>
      <c r="I940" s="969"/>
      <c r="J940" s="969"/>
      <c r="K940" s="969"/>
      <c r="L940" s="969"/>
    </row>
    <row r="941">
      <c r="A941" s="969"/>
      <c r="B941" s="1278"/>
      <c r="C941" s="969"/>
      <c r="D941" s="969"/>
      <c r="E941" s="969"/>
      <c r="F941" s="969"/>
      <c r="G941" s="969"/>
      <c r="H941" s="969"/>
      <c r="I941" s="969"/>
      <c r="J941" s="969"/>
      <c r="K941" s="969"/>
      <c r="L941" s="969"/>
    </row>
    <row r="942">
      <c r="A942" s="969"/>
      <c r="B942" s="1278"/>
      <c r="C942" s="969"/>
      <c r="D942" s="969"/>
      <c r="E942" s="969"/>
      <c r="F942" s="969"/>
      <c r="G942" s="969"/>
      <c r="H942" s="969"/>
      <c r="I942" s="969"/>
      <c r="J942" s="969"/>
      <c r="K942" s="969"/>
      <c r="L942" s="969"/>
    </row>
    <row r="943">
      <c r="A943" s="969"/>
      <c r="B943" s="1278"/>
      <c r="C943" s="969"/>
      <c r="D943" s="969"/>
      <c r="E943" s="969"/>
      <c r="F943" s="969"/>
      <c r="G943" s="969"/>
      <c r="H943" s="969"/>
      <c r="I943" s="969"/>
      <c r="J943" s="969"/>
      <c r="K943" s="969"/>
      <c r="L943" s="969"/>
    </row>
    <row r="944">
      <c r="A944" s="969"/>
      <c r="B944" s="1278"/>
      <c r="C944" s="969"/>
      <c r="D944" s="969"/>
      <c r="E944" s="969"/>
      <c r="F944" s="969"/>
      <c r="G944" s="969"/>
      <c r="H944" s="969"/>
      <c r="I944" s="969"/>
      <c r="J944" s="969"/>
      <c r="K944" s="969"/>
      <c r="L944" s="969"/>
    </row>
    <row r="945">
      <c r="A945" s="969"/>
      <c r="B945" s="1278"/>
      <c r="C945" s="969"/>
      <c r="D945" s="969"/>
      <c r="E945" s="969"/>
      <c r="F945" s="969"/>
      <c r="G945" s="969"/>
      <c r="H945" s="969"/>
      <c r="I945" s="969"/>
      <c r="J945" s="969"/>
      <c r="K945" s="969"/>
      <c r="L945" s="969"/>
    </row>
    <row r="946">
      <c r="A946" s="969"/>
      <c r="B946" s="1278"/>
      <c r="C946" s="969"/>
      <c r="D946" s="969"/>
      <c r="E946" s="969"/>
      <c r="F946" s="969"/>
      <c r="G946" s="969"/>
      <c r="H946" s="969"/>
      <c r="I946" s="969"/>
      <c r="J946" s="969"/>
      <c r="K946" s="969"/>
      <c r="L946" s="969"/>
    </row>
    <row r="947">
      <c r="A947" s="969"/>
      <c r="B947" s="1278"/>
      <c r="C947" s="969"/>
      <c r="D947" s="969"/>
      <c r="E947" s="969"/>
      <c r="F947" s="969"/>
      <c r="G947" s="969"/>
      <c r="H947" s="969"/>
      <c r="I947" s="969"/>
      <c r="J947" s="969"/>
      <c r="K947" s="969"/>
      <c r="L947" s="969"/>
    </row>
    <row r="948">
      <c r="A948" s="969"/>
      <c r="B948" s="1278"/>
      <c r="C948" s="969"/>
      <c r="D948" s="969"/>
      <c r="E948" s="969"/>
      <c r="F948" s="969"/>
      <c r="G948" s="969"/>
      <c r="H948" s="969"/>
      <c r="I948" s="969"/>
      <c r="J948" s="969"/>
      <c r="K948" s="969"/>
      <c r="L948" s="969"/>
    </row>
    <row r="949">
      <c r="A949" s="969"/>
      <c r="B949" s="1278"/>
      <c r="C949" s="969"/>
      <c r="D949" s="969"/>
      <c r="E949" s="969"/>
      <c r="F949" s="969"/>
      <c r="G949" s="969"/>
      <c r="H949" s="969"/>
      <c r="I949" s="969"/>
      <c r="J949" s="969"/>
      <c r="K949" s="969"/>
      <c r="L949" s="969"/>
    </row>
    <row r="950">
      <c r="A950" s="969"/>
      <c r="B950" s="1278"/>
      <c r="C950" s="969"/>
      <c r="D950" s="969"/>
      <c r="E950" s="969"/>
      <c r="F950" s="969"/>
      <c r="G950" s="969"/>
      <c r="H950" s="969"/>
      <c r="I950" s="969"/>
      <c r="J950" s="969"/>
      <c r="K950" s="969"/>
      <c r="L950" s="969"/>
    </row>
    <row r="951">
      <c r="A951" s="969"/>
      <c r="B951" s="1278"/>
      <c r="C951" s="969"/>
      <c r="D951" s="969"/>
      <c r="E951" s="969"/>
      <c r="F951" s="969"/>
      <c r="G951" s="969"/>
      <c r="H951" s="969"/>
      <c r="I951" s="969"/>
      <c r="J951" s="969"/>
      <c r="K951" s="969"/>
      <c r="L951" s="969"/>
    </row>
    <row r="952">
      <c r="A952" s="969"/>
      <c r="B952" s="1278"/>
      <c r="C952" s="969"/>
      <c r="D952" s="969"/>
      <c r="E952" s="969"/>
      <c r="F952" s="969"/>
      <c r="G952" s="969"/>
      <c r="H952" s="969"/>
      <c r="I952" s="969"/>
      <c r="J952" s="969"/>
      <c r="K952" s="969"/>
      <c r="L952" s="969"/>
    </row>
    <row r="953">
      <c r="A953" s="969"/>
      <c r="B953" s="1278"/>
      <c r="C953" s="969"/>
      <c r="D953" s="969"/>
      <c r="E953" s="969"/>
      <c r="F953" s="969"/>
      <c r="G953" s="969"/>
      <c r="H953" s="969"/>
      <c r="I953" s="969"/>
      <c r="J953" s="969"/>
      <c r="K953" s="969"/>
      <c r="L953" s="969"/>
    </row>
    <row r="954">
      <c r="A954" s="969"/>
      <c r="B954" s="1278"/>
      <c r="C954" s="969"/>
      <c r="D954" s="969"/>
      <c r="E954" s="969"/>
      <c r="F954" s="969"/>
      <c r="G954" s="969"/>
      <c r="H954" s="969"/>
      <c r="I954" s="969"/>
      <c r="J954" s="969"/>
      <c r="K954" s="969"/>
      <c r="L954" s="969"/>
    </row>
    <row r="955">
      <c r="A955" s="969"/>
      <c r="B955" s="1278"/>
      <c r="C955" s="969"/>
      <c r="D955" s="969"/>
      <c r="E955" s="969"/>
      <c r="F955" s="969"/>
      <c r="G955" s="969"/>
      <c r="H955" s="969"/>
      <c r="I955" s="969"/>
      <c r="J955" s="969"/>
      <c r="K955" s="969"/>
      <c r="L955" s="969"/>
    </row>
    <row r="956">
      <c r="A956" s="969"/>
      <c r="B956" s="1278"/>
      <c r="C956" s="969"/>
      <c r="D956" s="969"/>
      <c r="E956" s="969"/>
      <c r="F956" s="969"/>
      <c r="G956" s="969"/>
      <c r="H956" s="969"/>
      <c r="I956" s="969"/>
      <c r="J956" s="969"/>
      <c r="K956" s="969"/>
      <c r="L956" s="969"/>
    </row>
    <row r="957">
      <c r="A957" s="969"/>
      <c r="B957" s="1278"/>
      <c r="C957" s="969"/>
      <c r="D957" s="969"/>
      <c r="E957" s="969"/>
      <c r="F957" s="969"/>
      <c r="G957" s="969"/>
      <c r="H957" s="969"/>
      <c r="I957" s="969"/>
      <c r="J957" s="969"/>
      <c r="K957" s="969"/>
      <c r="L957" s="969"/>
    </row>
    <row r="958">
      <c r="A958" s="969"/>
      <c r="B958" s="1278"/>
      <c r="C958" s="969"/>
      <c r="D958" s="969"/>
      <c r="E958" s="969"/>
      <c r="F958" s="969"/>
      <c r="G958" s="969"/>
      <c r="H958" s="969"/>
      <c r="I958" s="969"/>
      <c r="J958" s="969"/>
      <c r="K958" s="969"/>
      <c r="L958" s="969"/>
    </row>
    <row r="959">
      <c r="A959" s="969"/>
      <c r="B959" s="1278"/>
      <c r="C959" s="969"/>
      <c r="D959" s="969"/>
      <c r="E959" s="969"/>
      <c r="F959" s="969"/>
      <c r="G959" s="969"/>
      <c r="H959" s="969"/>
      <c r="I959" s="969"/>
      <c r="J959" s="969"/>
      <c r="K959" s="969"/>
      <c r="L959" s="969"/>
    </row>
    <row r="960">
      <c r="A960" s="969"/>
      <c r="B960" s="1278"/>
      <c r="C960" s="969"/>
      <c r="D960" s="969"/>
      <c r="E960" s="969"/>
      <c r="F960" s="969"/>
      <c r="G960" s="969"/>
      <c r="H960" s="969"/>
      <c r="I960" s="969"/>
      <c r="J960" s="969"/>
      <c r="K960" s="969"/>
      <c r="L960" s="969"/>
    </row>
    <row r="961">
      <c r="A961" s="969"/>
      <c r="B961" s="1278"/>
      <c r="C961" s="969"/>
      <c r="D961" s="969"/>
      <c r="E961" s="969"/>
      <c r="F961" s="969"/>
      <c r="G961" s="969"/>
      <c r="H961" s="969"/>
      <c r="I961" s="969"/>
      <c r="J961" s="969"/>
      <c r="K961" s="969"/>
      <c r="L961" s="969"/>
    </row>
    <row r="962">
      <c r="A962" s="969"/>
      <c r="B962" s="1278"/>
      <c r="C962" s="969"/>
      <c r="D962" s="969"/>
      <c r="E962" s="969"/>
      <c r="F962" s="969"/>
      <c r="G962" s="969"/>
      <c r="H962" s="969"/>
      <c r="I962" s="969"/>
      <c r="J962" s="969"/>
      <c r="K962" s="969"/>
      <c r="L962" s="969"/>
    </row>
    <row r="963">
      <c r="A963" s="969"/>
      <c r="B963" s="1278"/>
      <c r="C963" s="969"/>
      <c r="D963" s="969"/>
      <c r="E963" s="969"/>
      <c r="F963" s="969"/>
      <c r="G963" s="969"/>
      <c r="H963" s="969"/>
      <c r="I963" s="969"/>
      <c r="J963" s="969"/>
      <c r="K963" s="969"/>
      <c r="L963" s="969"/>
    </row>
    <row r="964">
      <c r="A964" s="969"/>
      <c r="B964" s="1278"/>
      <c r="C964" s="969"/>
      <c r="D964" s="969"/>
      <c r="E964" s="969"/>
      <c r="F964" s="969"/>
      <c r="G964" s="969"/>
      <c r="H964" s="969"/>
      <c r="I964" s="969"/>
      <c r="J964" s="969"/>
      <c r="K964" s="969"/>
      <c r="L964" s="969"/>
    </row>
    <row r="965">
      <c r="A965" s="969"/>
      <c r="B965" s="1278"/>
      <c r="C965" s="969"/>
      <c r="D965" s="969"/>
      <c r="E965" s="969"/>
      <c r="F965" s="969"/>
      <c r="G965" s="969"/>
      <c r="H965" s="969"/>
      <c r="I965" s="969"/>
      <c r="J965" s="969"/>
      <c r="K965" s="969"/>
      <c r="L965" s="969"/>
    </row>
    <row r="966">
      <c r="A966" s="969"/>
      <c r="B966" s="1278"/>
      <c r="C966" s="969"/>
      <c r="D966" s="969"/>
      <c r="E966" s="969"/>
      <c r="F966" s="969"/>
      <c r="G966" s="969"/>
      <c r="H966" s="969"/>
      <c r="I966" s="969"/>
      <c r="J966" s="969"/>
      <c r="K966" s="969"/>
      <c r="L966" s="969"/>
    </row>
    <row r="967">
      <c r="A967" s="969"/>
      <c r="B967" s="1278"/>
      <c r="C967" s="969"/>
      <c r="D967" s="969"/>
      <c r="E967" s="969"/>
      <c r="F967" s="969"/>
      <c r="G967" s="969"/>
      <c r="H967" s="969"/>
      <c r="I967" s="969"/>
      <c r="J967" s="969"/>
      <c r="K967" s="969"/>
      <c r="L967" s="969"/>
    </row>
    <row r="968">
      <c r="A968" s="969"/>
      <c r="B968" s="1278"/>
      <c r="C968" s="969"/>
      <c r="D968" s="969"/>
      <c r="E968" s="969"/>
      <c r="F968" s="969"/>
      <c r="G968" s="969"/>
      <c r="H968" s="969"/>
      <c r="I968" s="969"/>
      <c r="J968" s="969"/>
      <c r="K968" s="969"/>
      <c r="L968" s="969"/>
    </row>
    <row r="969">
      <c r="A969" s="969"/>
      <c r="B969" s="1278"/>
      <c r="C969" s="969"/>
      <c r="D969" s="969"/>
      <c r="E969" s="969"/>
      <c r="F969" s="969"/>
      <c r="G969" s="969"/>
      <c r="H969" s="969"/>
      <c r="I969" s="969"/>
      <c r="J969" s="969"/>
      <c r="K969" s="969"/>
      <c r="L969" s="969"/>
    </row>
    <row r="970">
      <c r="A970" s="969"/>
      <c r="B970" s="1278"/>
      <c r="C970" s="969"/>
      <c r="D970" s="969"/>
      <c r="E970" s="969"/>
      <c r="F970" s="969"/>
      <c r="G970" s="969"/>
      <c r="H970" s="969"/>
      <c r="I970" s="969"/>
      <c r="J970" s="969"/>
      <c r="K970" s="969"/>
      <c r="L970" s="969"/>
    </row>
    <row r="971">
      <c r="A971" s="969"/>
      <c r="B971" s="1278"/>
      <c r="C971" s="969"/>
      <c r="D971" s="969"/>
      <c r="E971" s="969"/>
      <c r="F971" s="969"/>
      <c r="G971" s="969"/>
      <c r="H971" s="969"/>
      <c r="I971" s="969"/>
      <c r="J971" s="969"/>
      <c r="K971" s="969"/>
      <c r="L971" s="969"/>
    </row>
    <row r="972">
      <c r="A972" s="969"/>
      <c r="B972" s="1278"/>
      <c r="C972" s="969"/>
      <c r="D972" s="969"/>
      <c r="E972" s="969"/>
      <c r="F972" s="969"/>
      <c r="G972" s="969"/>
      <c r="H972" s="969"/>
      <c r="I972" s="969"/>
      <c r="J972" s="969"/>
      <c r="K972" s="969"/>
      <c r="L972" s="969"/>
    </row>
    <row r="973">
      <c r="A973" s="969"/>
      <c r="B973" s="1278"/>
      <c r="C973" s="969"/>
      <c r="D973" s="969"/>
      <c r="E973" s="969"/>
      <c r="F973" s="969"/>
      <c r="G973" s="969"/>
      <c r="H973" s="969"/>
      <c r="I973" s="969"/>
      <c r="J973" s="969"/>
      <c r="K973" s="969"/>
      <c r="L973" s="969"/>
    </row>
    <row r="974">
      <c r="A974" s="969"/>
      <c r="B974" s="1278"/>
      <c r="C974" s="969"/>
      <c r="D974" s="969"/>
      <c r="E974" s="969"/>
      <c r="F974" s="969"/>
      <c r="G974" s="969"/>
      <c r="H974" s="969"/>
      <c r="I974" s="969"/>
      <c r="J974" s="969"/>
      <c r="K974" s="969"/>
      <c r="L974" s="969"/>
    </row>
    <row r="975">
      <c r="A975" s="969"/>
      <c r="B975" s="1278"/>
      <c r="C975" s="969"/>
      <c r="D975" s="969"/>
      <c r="E975" s="969"/>
      <c r="F975" s="969"/>
      <c r="G975" s="969"/>
      <c r="H975" s="969"/>
      <c r="I975" s="969"/>
      <c r="J975" s="969"/>
      <c r="K975" s="969"/>
      <c r="L975" s="969"/>
    </row>
    <row r="976">
      <c r="A976" s="969"/>
      <c r="B976" s="1278"/>
      <c r="C976" s="969"/>
      <c r="D976" s="969"/>
      <c r="E976" s="969"/>
      <c r="F976" s="969"/>
      <c r="G976" s="969"/>
      <c r="H976" s="969"/>
      <c r="I976" s="969"/>
      <c r="J976" s="969"/>
      <c r="K976" s="969"/>
      <c r="L976" s="969"/>
    </row>
    <row r="977">
      <c r="A977" s="969"/>
      <c r="B977" s="1278"/>
      <c r="C977" s="969"/>
      <c r="D977" s="969"/>
      <c r="E977" s="969"/>
      <c r="F977" s="969"/>
      <c r="G977" s="969"/>
      <c r="H977" s="969"/>
      <c r="I977" s="969"/>
      <c r="J977" s="969"/>
      <c r="K977" s="969"/>
      <c r="L977" s="969"/>
    </row>
    <row r="978">
      <c r="A978" s="969"/>
      <c r="B978" s="1278"/>
      <c r="C978" s="969"/>
      <c r="D978" s="969"/>
      <c r="E978" s="969"/>
      <c r="F978" s="969"/>
      <c r="G978" s="969"/>
      <c r="H978" s="969"/>
      <c r="I978" s="969"/>
      <c r="J978" s="969"/>
      <c r="K978" s="969"/>
      <c r="L978" s="969"/>
    </row>
    <row r="979">
      <c r="A979" s="969"/>
      <c r="B979" s="1278"/>
      <c r="C979" s="969"/>
      <c r="D979" s="969"/>
      <c r="E979" s="969"/>
      <c r="F979" s="969"/>
      <c r="G979" s="969"/>
      <c r="H979" s="969"/>
      <c r="I979" s="969"/>
      <c r="J979" s="969"/>
      <c r="K979" s="969"/>
      <c r="L979" s="969"/>
    </row>
    <row r="980">
      <c r="A980" s="969"/>
      <c r="B980" s="1278"/>
      <c r="C980" s="969"/>
      <c r="D980" s="969"/>
      <c r="E980" s="969"/>
      <c r="F980" s="969"/>
      <c r="G980" s="969"/>
      <c r="H980" s="969"/>
      <c r="I980" s="969"/>
      <c r="J980" s="969"/>
      <c r="K980" s="969"/>
      <c r="L980" s="969"/>
    </row>
    <row r="981">
      <c r="A981" s="969"/>
      <c r="B981" s="1278"/>
      <c r="C981" s="969"/>
      <c r="D981" s="969"/>
      <c r="E981" s="969"/>
      <c r="F981" s="969"/>
      <c r="G981" s="969"/>
      <c r="H981" s="969"/>
      <c r="I981" s="969"/>
      <c r="J981" s="969"/>
      <c r="K981" s="969"/>
      <c r="L981" s="969"/>
    </row>
    <row r="982">
      <c r="A982" s="969"/>
      <c r="B982" s="1278"/>
      <c r="C982" s="969"/>
      <c r="D982" s="969"/>
      <c r="E982" s="969"/>
      <c r="F982" s="969"/>
      <c r="G982" s="969"/>
      <c r="H982" s="969"/>
      <c r="I982" s="969"/>
      <c r="J982" s="969"/>
      <c r="K982" s="969"/>
      <c r="L982" s="969"/>
    </row>
    <row r="983">
      <c r="A983" s="969"/>
      <c r="B983" s="1278"/>
      <c r="C983" s="969"/>
      <c r="D983" s="969"/>
      <c r="E983" s="969"/>
      <c r="F983" s="969"/>
      <c r="G983" s="969"/>
      <c r="H983" s="969"/>
      <c r="I983" s="969"/>
      <c r="J983" s="969"/>
      <c r="K983" s="969"/>
      <c r="L983" s="969"/>
    </row>
    <row r="984">
      <c r="A984" s="969"/>
      <c r="B984" s="1278"/>
      <c r="C984" s="969"/>
      <c r="D984" s="969"/>
      <c r="E984" s="969"/>
      <c r="F984" s="969"/>
      <c r="G984" s="969"/>
      <c r="H984" s="969"/>
      <c r="I984" s="969"/>
      <c r="J984" s="969"/>
      <c r="K984" s="969"/>
      <c r="L984" s="969"/>
    </row>
    <row r="985">
      <c r="A985" s="969"/>
      <c r="B985" s="1278"/>
      <c r="C985" s="969"/>
      <c r="D985" s="969"/>
      <c r="E985" s="969"/>
      <c r="F985" s="969"/>
      <c r="G985" s="969"/>
      <c r="H985" s="969"/>
      <c r="I985" s="969"/>
      <c r="J985" s="969"/>
      <c r="K985" s="969"/>
      <c r="L985" s="969"/>
    </row>
    <row r="986">
      <c r="A986" s="969"/>
      <c r="B986" s="1278"/>
      <c r="C986" s="969"/>
      <c r="D986" s="969"/>
      <c r="E986" s="969"/>
      <c r="F986" s="969"/>
      <c r="G986" s="969"/>
      <c r="H986" s="969"/>
      <c r="I986" s="969"/>
      <c r="J986" s="969"/>
      <c r="K986" s="969"/>
      <c r="L986" s="969"/>
    </row>
    <row r="987">
      <c r="A987" s="969"/>
      <c r="B987" s="1278"/>
      <c r="C987" s="969"/>
      <c r="D987" s="969"/>
      <c r="E987" s="969"/>
      <c r="F987" s="969"/>
      <c r="G987" s="969"/>
      <c r="H987" s="969"/>
      <c r="I987" s="969"/>
      <c r="J987" s="969"/>
      <c r="K987" s="969"/>
      <c r="L987" s="969"/>
    </row>
    <row r="988">
      <c r="A988" s="969"/>
      <c r="B988" s="1278"/>
      <c r="C988" s="969"/>
      <c r="D988" s="969"/>
      <c r="E988" s="969"/>
      <c r="F988" s="969"/>
      <c r="G988" s="969"/>
      <c r="H988" s="969"/>
      <c r="I988" s="969"/>
      <c r="J988" s="969"/>
      <c r="K988" s="969"/>
      <c r="L988" s="969"/>
    </row>
    <row r="989">
      <c r="A989" s="969"/>
      <c r="B989" s="1278"/>
      <c r="C989" s="969"/>
      <c r="D989" s="969"/>
      <c r="E989" s="969"/>
      <c r="F989" s="969"/>
      <c r="G989" s="969"/>
      <c r="H989" s="969"/>
      <c r="I989" s="969"/>
      <c r="J989" s="969"/>
      <c r="K989" s="969"/>
      <c r="L989" s="969"/>
    </row>
    <row r="990">
      <c r="A990" s="969"/>
      <c r="B990" s="1278"/>
      <c r="C990" s="969"/>
      <c r="D990" s="969"/>
      <c r="E990" s="969"/>
      <c r="F990" s="969"/>
      <c r="G990" s="969"/>
      <c r="H990" s="969"/>
      <c r="I990" s="969"/>
      <c r="J990" s="969"/>
      <c r="K990" s="969"/>
      <c r="L990" s="969"/>
    </row>
    <row r="991">
      <c r="A991" s="969"/>
      <c r="B991" s="1278"/>
      <c r="C991" s="969"/>
      <c r="D991" s="969"/>
      <c r="E991" s="969"/>
      <c r="F991" s="969"/>
      <c r="G991" s="969"/>
      <c r="H991" s="969"/>
      <c r="I991" s="969"/>
      <c r="J991" s="969"/>
      <c r="K991" s="969"/>
      <c r="L991" s="969"/>
    </row>
    <row r="992">
      <c r="A992" s="969"/>
      <c r="B992" s="1278"/>
      <c r="C992" s="969"/>
      <c r="D992" s="969"/>
      <c r="E992" s="969"/>
      <c r="F992" s="969"/>
      <c r="G992" s="969"/>
      <c r="H992" s="969"/>
      <c r="I992" s="969"/>
      <c r="J992" s="969"/>
      <c r="K992" s="969"/>
      <c r="L992" s="969"/>
    </row>
    <row r="993">
      <c r="A993" s="969"/>
      <c r="B993" s="1278"/>
      <c r="C993" s="969"/>
      <c r="D993" s="969"/>
      <c r="E993" s="969"/>
      <c r="F993" s="969"/>
      <c r="G993" s="969"/>
      <c r="H993" s="969"/>
      <c r="I993" s="969"/>
      <c r="J993" s="969"/>
      <c r="K993" s="969"/>
      <c r="L993" s="969"/>
    </row>
    <row r="994">
      <c r="A994" s="969"/>
      <c r="B994" s="1278"/>
      <c r="C994" s="969"/>
      <c r="D994" s="969"/>
      <c r="E994" s="969"/>
      <c r="F994" s="969"/>
      <c r="G994" s="969"/>
      <c r="H994" s="969"/>
      <c r="I994" s="969"/>
      <c r="J994" s="969"/>
      <c r="K994" s="969"/>
      <c r="L994" s="969"/>
    </row>
    <row r="995">
      <c r="A995" s="969"/>
      <c r="B995" s="1278"/>
      <c r="C995" s="969"/>
      <c r="D995" s="969"/>
      <c r="E995" s="969"/>
      <c r="F995" s="969"/>
      <c r="G995" s="969"/>
      <c r="H995" s="969"/>
      <c r="I995" s="969"/>
      <c r="J995" s="969"/>
      <c r="K995" s="969"/>
      <c r="L995" s="969"/>
    </row>
    <row r="996">
      <c r="A996" s="969"/>
      <c r="B996" s="1278"/>
      <c r="C996" s="969"/>
      <c r="D996" s="969"/>
      <c r="E996" s="969"/>
      <c r="F996" s="969"/>
      <c r="G996" s="969"/>
      <c r="H996" s="969"/>
      <c r="I996" s="969"/>
      <c r="J996" s="969"/>
      <c r="K996" s="969"/>
      <c r="L996" s="969"/>
    </row>
    <row r="997">
      <c r="A997" s="969"/>
      <c r="B997" s="1278"/>
      <c r="C997" s="969"/>
      <c r="D997" s="969"/>
      <c r="E997" s="969"/>
      <c r="F997" s="969"/>
      <c r="G997" s="969"/>
      <c r="H997" s="969"/>
      <c r="I997" s="969"/>
      <c r="J997" s="969"/>
      <c r="K997" s="969"/>
      <c r="L997" s="969"/>
    </row>
    <row r="998">
      <c r="A998" s="969"/>
      <c r="B998" s="1278"/>
      <c r="C998" s="969"/>
      <c r="D998" s="969"/>
      <c r="E998" s="969"/>
      <c r="F998" s="969"/>
      <c r="G998" s="969"/>
      <c r="H998" s="969"/>
      <c r="I998" s="969"/>
      <c r="J998" s="969"/>
      <c r="K998" s="969"/>
      <c r="L998" s="969"/>
    </row>
    <row r="999">
      <c r="A999" s="969"/>
      <c r="B999" s="1278"/>
      <c r="C999" s="969"/>
      <c r="D999" s="969"/>
      <c r="E999" s="969"/>
      <c r="F999" s="969"/>
      <c r="G999" s="969"/>
      <c r="H999" s="969"/>
      <c r="I999" s="969"/>
      <c r="J999" s="969"/>
      <c r="K999" s="969"/>
      <c r="L999" s="969"/>
    </row>
    <row r="1000">
      <c r="A1000" s="969"/>
      <c r="B1000" s="1278"/>
      <c r="C1000" s="969"/>
      <c r="D1000" s="969"/>
      <c r="E1000" s="969"/>
      <c r="F1000" s="969"/>
      <c r="G1000" s="969"/>
      <c r="H1000" s="969"/>
      <c r="I1000" s="969"/>
      <c r="J1000" s="969"/>
      <c r="K1000" s="969"/>
      <c r="L1000" s="969"/>
    </row>
    <row r="1001">
      <c r="A1001" s="969"/>
      <c r="B1001" s="1278"/>
      <c r="C1001" s="969"/>
      <c r="D1001" s="969"/>
      <c r="E1001" s="969"/>
      <c r="F1001" s="969"/>
      <c r="G1001" s="969"/>
      <c r="H1001" s="969"/>
      <c r="I1001" s="969"/>
      <c r="J1001" s="969"/>
      <c r="K1001" s="969"/>
      <c r="L1001" s="969"/>
    </row>
    <row r="1002">
      <c r="A1002" s="969"/>
      <c r="B1002" s="1278"/>
      <c r="C1002" s="969"/>
      <c r="D1002" s="969"/>
      <c r="E1002" s="969"/>
      <c r="F1002" s="969"/>
      <c r="G1002" s="969"/>
      <c r="H1002" s="969"/>
      <c r="I1002" s="969"/>
      <c r="J1002" s="969"/>
      <c r="K1002" s="969"/>
      <c r="L1002" s="969"/>
    </row>
    <row r="1003">
      <c r="A1003" s="969"/>
      <c r="B1003" s="1278"/>
      <c r="C1003" s="969"/>
      <c r="D1003" s="969"/>
      <c r="E1003" s="969"/>
      <c r="F1003" s="969"/>
      <c r="G1003" s="969"/>
      <c r="H1003" s="969"/>
      <c r="I1003" s="969"/>
      <c r="J1003" s="969"/>
      <c r="K1003" s="969"/>
      <c r="L1003" s="969"/>
    </row>
    <row r="1004">
      <c r="A1004" s="969"/>
      <c r="B1004" s="1278"/>
      <c r="C1004" s="969"/>
      <c r="D1004" s="969"/>
      <c r="E1004" s="969"/>
      <c r="F1004" s="969"/>
      <c r="G1004" s="969"/>
      <c r="H1004" s="969"/>
      <c r="I1004" s="969"/>
      <c r="J1004" s="969"/>
      <c r="K1004" s="969"/>
      <c r="L1004" s="969"/>
    </row>
    <row r="1005">
      <c r="A1005" s="969"/>
      <c r="B1005" s="1278"/>
      <c r="C1005" s="969"/>
      <c r="D1005" s="969"/>
      <c r="E1005" s="969"/>
      <c r="F1005" s="969"/>
      <c r="G1005" s="969"/>
      <c r="H1005" s="969"/>
      <c r="I1005" s="969"/>
      <c r="J1005" s="969"/>
      <c r="K1005" s="969"/>
      <c r="L1005" s="969"/>
    </row>
    <row r="1006">
      <c r="A1006" s="969"/>
      <c r="B1006" s="1278"/>
      <c r="C1006" s="969"/>
      <c r="D1006" s="969"/>
      <c r="E1006" s="969"/>
      <c r="F1006" s="969"/>
      <c r="G1006" s="969"/>
      <c r="H1006" s="969"/>
      <c r="I1006" s="969"/>
      <c r="J1006" s="969"/>
      <c r="K1006" s="969"/>
      <c r="L1006" s="969"/>
    </row>
    <row r="1007">
      <c r="A1007" s="969"/>
      <c r="B1007" s="1278"/>
      <c r="C1007" s="969"/>
      <c r="D1007" s="969"/>
      <c r="E1007" s="969"/>
      <c r="F1007" s="969"/>
      <c r="G1007" s="969"/>
      <c r="H1007" s="969"/>
      <c r="I1007" s="969"/>
      <c r="J1007" s="969"/>
      <c r="K1007" s="969"/>
      <c r="L1007" s="969"/>
    </row>
    <row r="1008">
      <c r="A1008" s="969"/>
      <c r="B1008" s="1278"/>
      <c r="C1008" s="969"/>
      <c r="D1008" s="969"/>
      <c r="E1008" s="969"/>
      <c r="F1008" s="969"/>
      <c r="G1008" s="969"/>
      <c r="H1008" s="969"/>
      <c r="I1008" s="969"/>
      <c r="J1008" s="969"/>
      <c r="K1008" s="969"/>
      <c r="L1008" s="969"/>
    </row>
    <row r="1009">
      <c r="A1009" s="969"/>
      <c r="B1009" s="1278"/>
      <c r="C1009" s="969"/>
      <c r="D1009" s="969"/>
      <c r="E1009" s="969"/>
      <c r="F1009" s="969"/>
      <c r="G1009" s="969"/>
      <c r="H1009" s="969"/>
      <c r="I1009" s="969"/>
      <c r="J1009" s="969"/>
      <c r="K1009" s="969"/>
      <c r="L1009" s="969"/>
    </row>
    <row r="1010">
      <c r="A1010" s="969"/>
      <c r="B1010" s="1278"/>
      <c r="C1010" s="969"/>
      <c r="D1010" s="969"/>
      <c r="E1010" s="969"/>
      <c r="F1010" s="969"/>
      <c r="G1010" s="969"/>
      <c r="H1010" s="969"/>
      <c r="I1010" s="969"/>
      <c r="J1010" s="969"/>
      <c r="K1010" s="969"/>
      <c r="L1010" s="969"/>
    </row>
    <row r="1011">
      <c r="A1011" s="969"/>
      <c r="B1011" s="1278"/>
      <c r="C1011" s="969"/>
      <c r="D1011" s="969"/>
      <c r="E1011" s="969"/>
      <c r="F1011" s="969"/>
      <c r="G1011" s="969"/>
      <c r="H1011" s="969"/>
      <c r="I1011" s="969"/>
      <c r="J1011" s="969"/>
      <c r="K1011" s="969"/>
      <c r="L1011" s="969"/>
    </row>
    <row r="1012">
      <c r="A1012" s="969"/>
      <c r="B1012" s="1278"/>
      <c r="C1012" s="969"/>
      <c r="D1012" s="969"/>
      <c r="E1012" s="969"/>
      <c r="F1012" s="969"/>
      <c r="G1012" s="969"/>
      <c r="H1012" s="969"/>
      <c r="I1012" s="969"/>
      <c r="J1012" s="969"/>
      <c r="K1012" s="969"/>
      <c r="L1012" s="969"/>
    </row>
    <row r="1013">
      <c r="A1013" s="969"/>
      <c r="B1013" s="1278"/>
      <c r="C1013" s="969"/>
      <c r="D1013" s="969"/>
      <c r="E1013" s="969"/>
      <c r="F1013" s="969"/>
      <c r="G1013" s="969"/>
      <c r="H1013" s="969"/>
      <c r="I1013" s="969"/>
      <c r="J1013" s="969"/>
      <c r="K1013" s="969"/>
      <c r="L1013" s="969"/>
    </row>
    <row r="1014">
      <c r="A1014" s="969"/>
      <c r="B1014" s="1278"/>
      <c r="C1014" s="969"/>
      <c r="D1014" s="969"/>
      <c r="E1014" s="969"/>
      <c r="F1014" s="969"/>
      <c r="G1014" s="969"/>
      <c r="H1014" s="969"/>
      <c r="I1014" s="969"/>
      <c r="J1014" s="969"/>
      <c r="K1014" s="969"/>
      <c r="L1014" s="969"/>
    </row>
    <row r="1015">
      <c r="A1015" s="969"/>
      <c r="B1015" s="1278"/>
      <c r="C1015" s="969"/>
      <c r="D1015" s="969"/>
      <c r="E1015" s="969"/>
      <c r="F1015" s="969"/>
      <c r="G1015" s="969"/>
      <c r="H1015" s="969"/>
      <c r="I1015" s="969"/>
      <c r="J1015" s="969"/>
      <c r="K1015" s="969"/>
      <c r="L1015" s="969"/>
    </row>
    <row r="1016">
      <c r="A1016" s="969"/>
      <c r="B1016" s="1278"/>
      <c r="C1016" s="969"/>
      <c r="D1016" s="969"/>
      <c r="E1016" s="969"/>
      <c r="F1016" s="969"/>
      <c r="G1016" s="969"/>
      <c r="H1016" s="969"/>
      <c r="I1016" s="969"/>
      <c r="J1016" s="969"/>
      <c r="K1016" s="969"/>
      <c r="L1016" s="969"/>
    </row>
    <row r="1017">
      <c r="A1017" s="969"/>
      <c r="B1017" s="1278"/>
      <c r="C1017" s="969"/>
      <c r="D1017" s="969"/>
      <c r="E1017" s="969"/>
      <c r="F1017" s="969"/>
      <c r="G1017" s="969"/>
      <c r="H1017" s="969"/>
      <c r="I1017" s="969"/>
      <c r="J1017" s="969"/>
      <c r="K1017" s="969"/>
      <c r="L1017" s="969"/>
    </row>
  </sheetData>
  <dataValidations>
    <dataValidation type="list" allowBlank="1" showDropDown="1" sqref="H2:H1017">
      <formula1>"橫掃 Cleave,擦掠 Graze,迅擊 Nick,推離 Push,削弱 Sap,緩速 Slow,失衡 Topple,侵擾 Vex,散射 Scatter,瞄準 Sighted,爆破 Explode,自動 Automatic,捉拿 Entangling,迅捷 Swift,迴旋 Returning,兇殘 Brutal,預備 Set,繳械 Disarming,防禦 Defending,拉力 Strong-Draw"</formula1>
    </dataValidation>
    <dataValidation type="list" allowBlank="1" showDropDown="1" sqref="C2:C1017">
      <formula1>"1d4,1d6,1d6(1d8),1d8,1d8(1d10),1d10,1d12,2d4,2d6"</formula1>
    </dataValidation>
    <dataValidation type="list" allowBlank="1" showDropDown="1" sqref="D2:D1017">
      <formula1>"觸及,觸及(10呎),20/60,25/100,30/90,30/120,40/120,50/150,60/240,80/240,80/320,100/300,100/400,120/360,150/600"</formula1>
    </dataValidation>
    <dataValidation type="list" allowBlank="1" showDropDown="1" sqref="E2:E1017">
      <formula1>"穿刺,劈砍,鈍擊,光耀,暗蝕,火焰"</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1" width="3.71"/>
    <col customWidth="1" min="22" max="22" width="7.29"/>
    <col customWidth="1" min="23" max="39" width="3.71"/>
    <col customWidth="1" min="40" max="40" width="3.0"/>
  </cols>
  <sheetData>
    <row r="2">
      <c r="B2" s="1289" t="s">
        <v>1711</v>
      </c>
      <c r="J2" s="1289" t="s">
        <v>318</v>
      </c>
      <c r="L2" s="1289" t="s">
        <v>270</v>
      </c>
      <c r="O2" s="1289" t="s">
        <v>1712</v>
      </c>
      <c r="W2" s="1289" t="s">
        <v>318</v>
      </c>
      <c r="Y2" s="1289" t="s">
        <v>270</v>
      </c>
      <c r="AB2" s="1289" t="s">
        <v>1713</v>
      </c>
      <c r="AJ2" s="1289" t="s">
        <v>318</v>
      </c>
      <c r="AL2" s="1289" t="s">
        <v>270</v>
      </c>
    </row>
    <row r="3">
      <c r="B3" s="1101" t="s">
        <v>1714</v>
      </c>
      <c r="C3" s="356"/>
      <c r="D3" s="356"/>
      <c r="E3" s="356"/>
      <c r="F3" s="356"/>
      <c r="G3" s="356"/>
      <c r="H3" s="356"/>
      <c r="I3" s="1102"/>
      <c r="J3" s="1103">
        <v>1.0</v>
      </c>
      <c r="K3" s="357"/>
      <c r="L3" s="1104">
        <v>2.0</v>
      </c>
      <c r="M3" s="357"/>
      <c r="O3" s="1101" t="s">
        <v>1715</v>
      </c>
      <c r="P3" s="356"/>
      <c r="Q3" s="356"/>
      <c r="R3" s="356"/>
      <c r="S3" s="356"/>
      <c r="T3" s="356"/>
      <c r="U3" s="356"/>
      <c r="V3" s="1102"/>
      <c r="W3" s="1103">
        <v>1.0</v>
      </c>
      <c r="X3" s="357"/>
      <c r="Y3" s="1111">
        <v>25.0</v>
      </c>
      <c r="Z3" s="357"/>
      <c r="AB3" s="1101" t="s">
        <v>1716</v>
      </c>
      <c r="AC3" s="356"/>
      <c r="AD3" s="356"/>
      <c r="AE3" s="356"/>
      <c r="AF3" s="356"/>
      <c r="AG3" s="356"/>
      <c r="AH3" s="356"/>
      <c r="AI3" s="1102"/>
      <c r="AJ3" s="1111">
        <v>1.0</v>
      </c>
      <c r="AK3" s="357"/>
      <c r="AL3" s="1111">
        <v>5.0</v>
      </c>
      <c r="AM3" s="357"/>
    </row>
    <row r="4">
      <c r="B4" s="1119" t="s">
        <v>1717</v>
      </c>
      <c r="C4" s="375"/>
      <c r="D4" s="375"/>
      <c r="E4" s="375"/>
      <c r="F4" s="375"/>
      <c r="G4" s="375"/>
      <c r="H4" s="375"/>
      <c r="I4" s="376"/>
      <c r="J4" s="1120">
        <v>1.0</v>
      </c>
      <c r="K4" s="376"/>
      <c r="L4" s="1121">
        <v>0.0</v>
      </c>
      <c r="M4" s="376"/>
      <c r="O4" s="1126" t="s">
        <v>1718</v>
      </c>
      <c r="P4" s="375"/>
      <c r="Q4" s="375"/>
      <c r="R4" s="375"/>
      <c r="S4" s="375"/>
      <c r="T4" s="375"/>
      <c r="U4" s="375"/>
      <c r="V4" s="376"/>
      <c r="W4" s="1120">
        <v>1.0</v>
      </c>
      <c r="X4" s="376"/>
      <c r="Y4" s="1120">
        <v>6.0</v>
      </c>
      <c r="Z4" s="376"/>
      <c r="AB4" s="1126" t="s">
        <v>1719</v>
      </c>
      <c r="AC4" s="375"/>
      <c r="AD4" s="375"/>
      <c r="AE4" s="375"/>
      <c r="AF4" s="375"/>
      <c r="AG4" s="375"/>
      <c r="AH4" s="375"/>
      <c r="AI4" s="376"/>
      <c r="AJ4" s="1120">
        <v>1.0</v>
      </c>
      <c r="AK4" s="376"/>
      <c r="AL4" s="1120">
        <v>0.0</v>
      </c>
      <c r="AM4" s="376"/>
    </row>
    <row r="5">
      <c r="B5" s="1140" t="s">
        <v>1720</v>
      </c>
      <c r="C5" s="375"/>
      <c r="D5" s="375"/>
      <c r="E5" s="375"/>
      <c r="F5" s="375"/>
      <c r="G5" s="375"/>
      <c r="H5" s="375"/>
      <c r="I5" s="1141"/>
      <c r="J5" s="1142">
        <v>10.0</v>
      </c>
      <c r="K5" s="376"/>
      <c r="L5" s="1143">
        <v>0.0</v>
      </c>
      <c r="M5" s="376"/>
      <c r="O5" s="1290" t="s">
        <v>1719</v>
      </c>
      <c r="P5" s="375"/>
      <c r="Q5" s="375"/>
      <c r="R5" s="375"/>
      <c r="S5" s="375"/>
      <c r="T5" s="375"/>
      <c r="U5" s="375"/>
      <c r="V5" s="1141"/>
      <c r="W5" s="1185">
        <v>1.0</v>
      </c>
      <c r="X5" s="376"/>
      <c r="Y5" s="1176">
        <v>0.0</v>
      </c>
      <c r="Z5" s="376"/>
      <c r="AB5" s="1290" t="s">
        <v>1721</v>
      </c>
      <c r="AC5" s="375"/>
      <c r="AD5" s="375"/>
      <c r="AE5" s="375"/>
      <c r="AF5" s="375"/>
      <c r="AG5" s="375"/>
      <c r="AH5" s="375"/>
      <c r="AI5" s="1141"/>
      <c r="AJ5" s="1176">
        <v>1.0</v>
      </c>
      <c r="AK5" s="376"/>
      <c r="AL5" s="1176">
        <v>0.0</v>
      </c>
      <c r="AM5" s="376"/>
    </row>
    <row r="6">
      <c r="B6" s="1119" t="s">
        <v>1722</v>
      </c>
      <c r="C6" s="375"/>
      <c r="D6" s="375"/>
      <c r="E6" s="375"/>
      <c r="F6" s="375"/>
      <c r="G6" s="375"/>
      <c r="H6" s="375"/>
      <c r="I6" s="376"/>
      <c r="J6" s="1121">
        <v>1.0</v>
      </c>
      <c r="K6" s="376"/>
      <c r="L6" s="1121">
        <v>5.0</v>
      </c>
      <c r="M6" s="376"/>
      <c r="O6" s="1126" t="s">
        <v>1721</v>
      </c>
      <c r="P6" s="375"/>
      <c r="Q6" s="375"/>
      <c r="R6" s="375"/>
      <c r="S6" s="375"/>
      <c r="T6" s="375"/>
      <c r="U6" s="375"/>
      <c r="V6" s="376"/>
      <c r="W6" s="1120">
        <v>5.0</v>
      </c>
      <c r="X6" s="376"/>
      <c r="Y6" s="1120">
        <v>0.0</v>
      </c>
      <c r="Z6" s="376"/>
      <c r="AB6" s="1126" t="s">
        <v>1723</v>
      </c>
      <c r="AC6" s="375"/>
      <c r="AD6" s="375"/>
      <c r="AE6" s="375"/>
      <c r="AF6" s="375"/>
      <c r="AG6" s="375"/>
      <c r="AH6" s="375"/>
      <c r="AI6" s="376"/>
      <c r="AJ6" s="1120">
        <v>1.0</v>
      </c>
      <c r="AK6" s="376"/>
      <c r="AL6" s="1120">
        <v>1.0</v>
      </c>
      <c r="AM6" s="376"/>
    </row>
    <row r="7">
      <c r="B7" s="1140" t="s">
        <v>1724</v>
      </c>
      <c r="C7" s="375"/>
      <c r="D7" s="375"/>
      <c r="E7" s="375"/>
      <c r="F7" s="375"/>
      <c r="G7" s="375"/>
      <c r="H7" s="375"/>
      <c r="I7" s="1141"/>
      <c r="J7" s="1142">
        <v>1.0</v>
      </c>
      <c r="K7" s="376"/>
      <c r="L7" s="1143">
        <v>2.0</v>
      </c>
      <c r="M7" s="376"/>
      <c r="O7" s="1290" t="s">
        <v>1723</v>
      </c>
      <c r="P7" s="375"/>
      <c r="Q7" s="375"/>
      <c r="R7" s="375"/>
      <c r="S7" s="375"/>
      <c r="T7" s="375"/>
      <c r="U7" s="375"/>
      <c r="V7" s="1141"/>
      <c r="W7" s="1185">
        <v>1.0</v>
      </c>
      <c r="X7" s="376"/>
      <c r="Y7" s="1176">
        <v>1.0</v>
      </c>
      <c r="Z7" s="376"/>
      <c r="AB7" s="1290" t="s">
        <v>1725</v>
      </c>
      <c r="AC7" s="375"/>
      <c r="AD7" s="375"/>
      <c r="AE7" s="375"/>
      <c r="AF7" s="375"/>
      <c r="AG7" s="375"/>
      <c r="AH7" s="375"/>
      <c r="AI7" s="1141"/>
      <c r="AJ7" s="1176">
        <v>10.0</v>
      </c>
      <c r="AK7" s="376"/>
      <c r="AL7" s="1176">
        <v>1.0</v>
      </c>
      <c r="AM7" s="376"/>
    </row>
    <row r="8">
      <c r="B8" s="1119" t="s">
        <v>1725</v>
      </c>
      <c r="C8" s="375"/>
      <c r="D8" s="375"/>
      <c r="E8" s="375"/>
      <c r="F8" s="375"/>
      <c r="G8" s="375"/>
      <c r="H8" s="375"/>
      <c r="I8" s="376"/>
      <c r="J8" s="1121">
        <v>7.0</v>
      </c>
      <c r="K8" s="376"/>
      <c r="L8" s="1121">
        <v>1.0</v>
      </c>
      <c r="M8" s="376"/>
      <c r="O8" s="1126" t="s">
        <v>1725</v>
      </c>
      <c r="P8" s="375"/>
      <c r="Q8" s="375"/>
      <c r="R8" s="375"/>
      <c r="S8" s="375"/>
      <c r="T8" s="375"/>
      <c r="U8" s="375"/>
      <c r="V8" s="376"/>
      <c r="W8" s="1120">
        <v>4.0</v>
      </c>
      <c r="X8" s="376"/>
      <c r="Y8" s="1120">
        <v>1.0</v>
      </c>
      <c r="Z8" s="376"/>
      <c r="AB8" s="1126" t="s">
        <v>1726</v>
      </c>
      <c r="AC8" s="375"/>
      <c r="AD8" s="375"/>
      <c r="AE8" s="375"/>
      <c r="AF8" s="375"/>
      <c r="AG8" s="375"/>
      <c r="AH8" s="375"/>
      <c r="AI8" s="376"/>
      <c r="AJ8" s="1120">
        <v>10.0</v>
      </c>
      <c r="AK8" s="376"/>
      <c r="AL8" s="1120">
        <v>0.0</v>
      </c>
      <c r="AM8" s="376"/>
    </row>
    <row r="9">
      <c r="B9" s="1140" t="s">
        <v>1727</v>
      </c>
      <c r="C9" s="375"/>
      <c r="D9" s="375"/>
      <c r="E9" s="375"/>
      <c r="F9" s="375"/>
      <c r="G9" s="375"/>
      <c r="H9" s="375"/>
      <c r="I9" s="1141"/>
      <c r="J9" s="1142">
        <v>5.0</v>
      </c>
      <c r="K9" s="376"/>
      <c r="L9" s="1143">
        <v>2.0</v>
      </c>
      <c r="M9" s="376"/>
      <c r="O9" s="1290" t="s">
        <v>1728</v>
      </c>
      <c r="P9" s="375"/>
      <c r="Q9" s="375"/>
      <c r="R9" s="375"/>
      <c r="S9" s="375"/>
      <c r="T9" s="375"/>
      <c r="U9" s="375"/>
      <c r="V9" s="1141"/>
      <c r="W9" s="1185">
        <v>2.0</v>
      </c>
      <c r="X9" s="376"/>
      <c r="Y9" s="1176">
        <v>1.0</v>
      </c>
      <c r="Z9" s="376"/>
      <c r="AB9" s="1140" t="s">
        <v>1729</v>
      </c>
      <c r="AC9" s="375"/>
      <c r="AD9" s="375"/>
      <c r="AE9" s="375"/>
      <c r="AF9" s="375"/>
      <c r="AG9" s="375"/>
      <c r="AH9" s="375"/>
      <c r="AI9" s="1141"/>
      <c r="AJ9" s="1142">
        <v>1.0</v>
      </c>
      <c r="AK9" s="376"/>
      <c r="AL9" s="1143">
        <v>1.0</v>
      </c>
      <c r="AM9" s="376"/>
    </row>
    <row r="10">
      <c r="B10" s="1119" t="s">
        <v>1730</v>
      </c>
      <c r="C10" s="375"/>
      <c r="D10" s="375"/>
      <c r="E10" s="375"/>
      <c r="F10" s="375"/>
      <c r="G10" s="375"/>
      <c r="H10" s="375"/>
      <c r="I10" s="376"/>
      <c r="J10" s="1121">
        <v>1.0</v>
      </c>
      <c r="K10" s="376"/>
      <c r="L10" s="1121">
        <v>5.0</v>
      </c>
      <c r="M10" s="376"/>
      <c r="O10" s="1126" t="s">
        <v>1731</v>
      </c>
      <c r="P10" s="375"/>
      <c r="Q10" s="375"/>
      <c r="R10" s="375"/>
      <c r="S10" s="375"/>
      <c r="T10" s="375"/>
      <c r="U10" s="375"/>
      <c r="V10" s="376"/>
      <c r="W10" s="1120">
        <v>5.0</v>
      </c>
      <c r="X10" s="376"/>
      <c r="Y10" s="1120">
        <v>0.0</v>
      </c>
      <c r="Z10" s="376"/>
    </row>
    <row r="11">
      <c r="B11" s="1140" t="s">
        <v>1729</v>
      </c>
      <c r="C11" s="375"/>
      <c r="D11" s="375"/>
      <c r="E11" s="375"/>
      <c r="F11" s="375"/>
      <c r="G11" s="375"/>
      <c r="H11" s="375"/>
      <c r="I11" s="1141"/>
      <c r="J11" s="1142">
        <v>1.0</v>
      </c>
      <c r="K11" s="376"/>
      <c r="L11" s="1143">
        <v>1.0</v>
      </c>
      <c r="M11" s="376"/>
      <c r="O11" s="1290" t="s">
        <v>1726</v>
      </c>
      <c r="P11" s="375"/>
      <c r="Q11" s="375"/>
      <c r="R11" s="375"/>
      <c r="S11" s="375"/>
      <c r="T11" s="375"/>
      <c r="U11" s="375"/>
      <c r="V11" s="1141"/>
      <c r="W11" s="1185">
        <v>5.0</v>
      </c>
      <c r="X11" s="376"/>
      <c r="Y11" s="1176">
        <v>0.0</v>
      </c>
      <c r="Z11" s="376"/>
      <c r="AB11" s="1289" t="s">
        <v>1732</v>
      </c>
      <c r="AJ11" s="1289" t="s">
        <v>318</v>
      </c>
      <c r="AL11" s="1289" t="s">
        <v>270</v>
      </c>
    </row>
    <row r="12">
      <c r="B12" s="1126" t="s">
        <v>1733</v>
      </c>
      <c r="C12" s="375"/>
      <c r="D12" s="375"/>
      <c r="E12" s="375"/>
      <c r="F12" s="375"/>
      <c r="G12" s="375"/>
      <c r="H12" s="375"/>
      <c r="I12" s="376"/>
      <c r="J12" s="1121">
        <v>1.0</v>
      </c>
      <c r="K12" s="376"/>
      <c r="L12" s="1121">
        <v>5.0</v>
      </c>
      <c r="M12" s="376"/>
      <c r="O12" s="1126" t="s">
        <v>1734</v>
      </c>
      <c r="P12" s="375"/>
      <c r="Q12" s="375"/>
      <c r="R12" s="375"/>
      <c r="S12" s="375"/>
      <c r="T12" s="375"/>
      <c r="U12" s="375"/>
      <c r="V12" s="376"/>
      <c r="W12" s="1120">
        <v>1.0</v>
      </c>
      <c r="X12" s="376"/>
      <c r="Y12" s="1120">
        <v>0.0</v>
      </c>
      <c r="Z12" s="376"/>
      <c r="AB12" s="1101" t="s">
        <v>1735</v>
      </c>
      <c r="AC12" s="356"/>
      <c r="AD12" s="356"/>
      <c r="AE12" s="356"/>
      <c r="AF12" s="356"/>
      <c r="AG12" s="356"/>
      <c r="AH12" s="356"/>
      <c r="AI12" s="1102"/>
      <c r="AJ12" s="1111">
        <v>1.0</v>
      </c>
      <c r="AK12" s="357"/>
      <c r="AL12" s="1111">
        <v>3.0</v>
      </c>
      <c r="AM12" s="357"/>
    </row>
    <row r="13">
      <c r="O13" s="1140" t="s">
        <v>1729</v>
      </c>
      <c r="P13" s="375"/>
      <c r="Q13" s="375"/>
      <c r="R13" s="375"/>
      <c r="S13" s="375"/>
      <c r="T13" s="375"/>
      <c r="U13" s="375"/>
      <c r="V13" s="1141"/>
      <c r="W13" s="1142">
        <v>1.0</v>
      </c>
      <c r="X13" s="376"/>
      <c r="Y13" s="1143">
        <v>1.0</v>
      </c>
      <c r="Z13" s="376"/>
      <c r="AB13" s="1126" t="s">
        <v>1736</v>
      </c>
      <c r="AC13" s="375"/>
      <c r="AD13" s="375"/>
      <c r="AE13" s="375"/>
      <c r="AF13" s="375"/>
      <c r="AG13" s="375"/>
      <c r="AH13" s="375"/>
      <c r="AI13" s="376"/>
      <c r="AJ13" s="1120">
        <v>1.0</v>
      </c>
      <c r="AK13" s="376"/>
      <c r="AL13" s="1120">
        <v>1.0</v>
      </c>
      <c r="AM13" s="376"/>
    </row>
    <row r="14">
      <c r="B14" s="1289" t="s">
        <v>1737</v>
      </c>
      <c r="J14" s="1289" t="s">
        <v>318</v>
      </c>
      <c r="L14" s="1289" t="s">
        <v>270</v>
      </c>
      <c r="AB14" s="1290" t="s">
        <v>1723</v>
      </c>
      <c r="AC14" s="375"/>
      <c r="AD14" s="375"/>
      <c r="AE14" s="375"/>
      <c r="AF14" s="375"/>
      <c r="AG14" s="375"/>
      <c r="AH14" s="375"/>
      <c r="AI14" s="1141"/>
      <c r="AJ14" s="1176">
        <v>1.0</v>
      </c>
      <c r="AK14" s="376"/>
      <c r="AL14" s="1176">
        <v>1.0</v>
      </c>
      <c r="AM14" s="376"/>
    </row>
    <row r="15">
      <c r="B15" s="1101" t="s">
        <v>1738</v>
      </c>
      <c r="C15" s="356"/>
      <c r="D15" s="356"/>
      <c r="E15" s="356"/>
      <c r="F15" s="356"/>
      <c r="G15" s="356"/>
      <c r="H15" s="356"/>
      <c r="I15" s="1102"/>
      <c r="J15" s="1111">
        <v>1.0</v>
      </c>
      <c r="K15" s="357"/>
      <c r="L15" s="1111">
        <v>7.0</v>
      </c>
      <c r="M15" s="357"/>
      <c r="O15" s="1289" t="s">
        <v>1739</v>
      </c>
      <c r="W15" s="1289" t="s">
        <v>318</v>
      </c>
      <c r="Y15" s="1289" t="s">
        <v>270</v>
      </c>
      <c r="AB15" s="1126" t="s">
        <v>1727</v>
      </c>
      <c r="AC15" s="375"/>
      <c r="AD15" s="375"/>
      <c r="AE15" s="375"/>
      <c r="AF15" s="375"/>
      <c r="AG15" s="375"/>
      <c r="AH15" s="375"/>
      <c r="AI15" s="376"/>
      <c r="AJ15" s="1120">
        <v>7.0</v>
      </c>
      <c r="AK15" s="376"/>
      <c r="AL15" s="1120">
        <v>2.0</v>
      </c>
      <c r="AM15" s="376"/>
    </row>
    <row r="16">
      <c r="B16" s="1119" t="s">
        <v>1717</v>
      </c>
      <c r="C16" s="375"/>
      <c r="D16" s="375"/>
      <c r="E16" s="375"/>
      <c r="F16" s="375"/>
      <c r="G16" s="375"/>
      <c r="H16" s="375"/>
      <c r="I16" s="376"/>
      <c r="J16" s="1120">
        <v>1.0</v>
      </c>
      <c r="K16" s="376"/>
      <c r="L16" s="1121">
        <v>0.0</v>
      </c>
      <c r="M16" s="376"/>
      <c r="O16" s="1101" t="s">
        <v>1740</v>
      </c>
      <c r="P16" s="356"/>
      <c r="Q16" s="356"/>
      <c r="R16" s="356"/>
      <c r="S16" s="356"/>
      <c r="T16" s="356"/>
      <c r="U16" s="356"/>
      <c r="V16" s="1102"/>
      <c r="W16" s="1110">
        <v>1.0</v>
      </c>
      <c r="X16" s="357"/>
      <c r="Y16" s="1111">
        <v>2.0</v>
      </c>
      <c r="Z16" s="357"/>
      <c r="AB16" s="1290" t="s">
        <v>1741</v>
      </c>
      <c r="AC16" s="375"/>
      <c r="AD16" s="375"/>
      <c r="AE16" s="375"/>
      <c r="AF16" s="375"/>
      <c r="AG16" s="375"/>
      <c r="AH16" s="375"/>
      <c r="AI16" s="1141"/>
      <c r="AJ16" s="1176">
        <v>1.0</v>
      </c>
      <c r="AK16" s="376"/>
      <c r="AL16" s="1176">
        <v>4.0</v>
      </c>
      <c r="AM16" s="376"/>
    </row>
    <row r="17">
      <c r="B17" s="1290" t="s">
        <v>1742</v>
      </c>
      <c r="C17" s="375"/>
      <c r="D17" s="375"/>
      <c r="E17" s="375"/>
      <c r="F17" s="375"/>
      <c r="G17" s="375"/>
      <c r="H17" s="375"/>
      <c r="I17" s="1141"/>
      <c r="J17" s="1176">
        <v>1.0</v>
      </c>
      <c r="K17" s="376"/>
      <c r="L17" s="1176">
        <v>2.0</v>
      </c>
      <c r="M17" s="376"/>
      <c r="O17" s="1119" t="s">
        <v>1722</v>
      </c>
      <c r="P17" s="375"/>
      <c r="Q17" s="375"/>
      <c r="R17" s="375"/>
      <c r="S17" s="375"/>
      <c r="T17" s="375"/>
      <c r="U17" s="375"/>
      <c r="V17" s="376"/>
      <c r="W17" s="1121">
        <v>1.0</v>
      </c>
      <c r="X17" s="376"/>
      <c r="Y17" s="1121">
        <v>5.0</v>
      </c>
      <c r="Z17" s="376"/>
      <c r="AB17" s="1126" t="s">
        <v>1729</v>
      </c>
      <c r="AC17" s="375"/>
      <c r="AD17" s="375"/>
      <c r="AE17" s="375"/>
      <c r="AF17" s="375"/>
      <c r="AG17" s="375"/>
      <c r="AH17" s="375"/>
      <c r="AI17" s="376"/>
      <c r="AJ17" s="1120">
        <v>1.0</v>
      </c>
      <c r="AK17" s="376"/>
      <c r="AL17" s="1120">
        <v>1.0</v>
      </c>
      <c r="AM17" s="376"/>
    </row>
    <row r="18">
      <c r="B18" s="1119" t="s">
        <v>1725</v>
      </c>
      <c r="C18" s="375"/>
      <c r="D18" s="375"/>
      <c r="E18" s="375"/>
      <c r="F18" s="375"/>
      <c r="G18" s="375"/>
      <c r="H18" s="375"/>
      <c r="I18" s="376"/>
      <c r="J18" s="1120">
        <v>8.0</v>
      </c>
      <c r="K18" s="376"/>
      <c r="L18" s="1121">
        <v>1.0</v>
      </c>
      <c r="M18" s="376"/>
      <c r="O18" s="1290" t="s">
        <v>1725</v>
      </c>
      <c r="P18" s="375"/>
      <c r="Q18" s="375"/>
      <c r="R18" s="375"/>
      <c r="S18" s="375"/>
      <c r="T18" s="375"/>
      <c r="U18" s="375"/>
      <c r="V18" s="1141"/>
      <c r="W18" s="1185">
        <v>2.0</v>
      </c>
      <c r="X18" s="376"/>
      <c r="Y18" s="1176">
        <v>1.0</v>
      </c>
      <c r="Z18" s="376"/>
    </row>
    <row r="19">
      <c r="B19" s="1290" t="s">
        <v>1743</v>
      </c>
      <c r="C19" s="375"/>
      <c r="D19" s="375"/>
      <c r="E19" s="375"/>
      <c r="F19" s="375"/>
      <c r="G19" s="375"/>
      <c r="H19" s="375"/>
      <c r="I19" s="1141"/>
      <c r="J19" s="1176">
        <v>1.0</v>
      </c>
      <c r="K19" s="376"/>
      <c r="L19" s="1176">
        <v>0.5</v>
      </c>
      <c r="M19" s="376"/>
      <c r="O19" s="1126" t="s">
        <v>1727</v>
      </c>
      <c r="P19" s="375"/>
      <c r="Q19" s="375"/>
      <c r="R19" s="375"/>
      <c r="S19" s="375"/>
      <c r="T19" s="375"/>
      <c r="U19" s="375"/>
      <c r="V19" s="376"/>
      <c r="W19" s="1120">
        <v>10.0</v>
      </c>
      <c r="X19" s="376"/>
      <c r="Y19" s="1120">
        <v>2.0</v>
      </c>
      <c r="Z19" s="376"/>
      <c r="AB19" s="1289" t="s">
        <v>1744</v>
      </c>
      <c r="AJ19" s="1289" t="s">
        <v>318</v>
      </c>
      <c r="AL19" s="1289" t="s">
        <v>270</v>
      </c>
    </row>
    <row r="20">
      <c r="B20" s="1126" t="s">
        <v>1745</v>
      </c>
      <c r="C20" s="375"/>
      <c r="D20" s="375"/>
      <c r="E20" s="375"/>
      <c r="F20" s="375"/>
      <c r="G20" s="375"/>
      <c r="H20" s="375"/>
      <c r="I20" s="376"/>
      <c r="J20" s="1120">
        <v>3.0</v>
      </c>
      <c r="K20" s="376"/>
      <c r="L20" s="1120">
        <v>4.0</v>
      </c>
      <c r="M20" s="376"/>
      <c r="O20" s="1290" t="s">
        <v>1730</v>
      </c>
      <c r="P20" s="375"/>
      <c r="Q20" s="375"/>
      <c r="R20" s="375"/>
      <c r="S20" s="375"/>
      <c r="T20" s="375"/>
      <c r="U20" s="375"/>
      <c r="V20" s="1141"/>
      <c r="W20" s="1185">
        <v>1.0</v>
      </c>
      <c r="X20" s="376"/>
      <c r="Y20" s="1176">
        <v>5.0</v>
      </c>
      <c r="Z20" s="376"/>
      <c r="AB20" s="1101" t="s">
        <v>1738</v>
      </c>
      <c r="AC20" s="356"/>
      <c r="AD20" s="356"/>
      <c r="AE20" s="356"/>
      <c r="AF20" s="356"/>
      <c r="AG20" s="356"/>
      <c r="AH20" s="356"/>
      <c r="AI20" s="1102"/>
      <c r="AJ20" s="1111">
        <v>1.0</v>
      </c>
      <c r="AK20" s="357"/>
      <c r="AL20" s="1111">
        <v>7.0</v>
      </c>
      <c r="AM20" s="357"/>
    </row>
    <row r="21">
      <c r="B21" s="1140" t="s">
        <v>1727</v>
      </c>
      <c r="C21" s="375"/>
      <c r="D21" s="375"/>
      <c r="E21" s="375"/>
      <c r="F21" s="375"/>
      <c r="G21" s="375"/>
      <c r="H21" s="375"/>
      <c r="I21" s="1141"/>
      <c r="J21" s="1185">
        <v>9.0</v>
      </c>
      <c r="K21" s="376"/>
      <c r="L21" s="1143">
        <v>2.0</v>
      </c>
      <c r="M21" s="376"/>
      <c r="O21" s="1126" t="s">
        <v>1729</v>
      </c>
      <c r="P21" s="375"/>
      <c r="Q21" s="375"/>
      <c r="R21" s="375"/>
      <c r="S21" s="375"/>
      <c r="T21" s="375"/>
      <c r="U21" s="375"/>
      <c r="V21" s="376"/>
      <c r="W21" s="1120">
        <v>1.0</v>
      </c>
      <c r="X21" s="376"/>
      <c r="Y21" s="1120">
        <v>1.0</v>
      </c>
      <c r="Z21" s="376"/>
      <c r="AB21" s="1126" t="s">
        <v>1725</v>
      </c>
      <c r="AC21" s="375"/>
      <c r="AD21" s="375"/>
      <c r="AE21" s="375"/>
      <c r="AF21" s="375"/>
      <c r="AG21" s="375"/>
      <c r="AH21" s="375"/>
      <c r="AI21" s="376"/>
      <c r="AJ21" s="1120">
        <v>2.0</v>
      </c>
      <c r="AK21" s="376"/>
      <c r="AL21" s="1120">
        <v>1.0</v>
      </c>
      <c r="AM21" s="376"/>
    </row>
    <row r="22">
      <c r="B22" s="1126" t="s">
        <v>1729</v>
      </c>
      <c r="C22" s="375"/>
      <c r="D22" s="375"/>
      <c r="E22" s="375"/>
      <c r="F22" s="375"/>
      <c r="G22" s="375"/>
      <c r="H22" s="375"/>
      <c r="I22" s="376"/>
      <c r="J22" s="1120">
        <v>1.0</v>
      </c>
      <c r="K22" s="376"/>
      <c r="L22" s="1120">
        <v>1.0</v>
      </c>
      <c r="M22" s="376"/>
      <c r="O22" s="1290" t="s">
        <v>1746</v>
      </c>
      <c r="P22" s="375"/>
      <c r="Q22" s="375"/>
      <c r="R22" s="375"/>
      <c r="S22" s="375"/>
      <c r="T22" s="375"/>
      <c r="U22" s="375"/>
      <c r="V22" s="1141"/>
      <c r="W22" s="1185">
        <v>10.0</v>
      </c>
      <c r="X22" s="376"/>
      <c r="Y22" s="1176">
        <v>2.0</v>
      </c>
      <c r="Z22" s="376"/>
      <c r="AB22" s="1140" t="s">
        <v>1727</v>
      </c>
      <c r="AC22" s="375"/>
      <c r="AD22" s="375"/>
      <c r="AE22" s="375"/>
      <c r="AF22" s="375"/>
      <c r="AG22" s="375"/>
      <c r="AH22" s="375"/>
      <c r="AI22" s="1141"/>
      <c r="AJ22" s="1176">
        <v>10.0</v>
      </c>
      <c r="AK22" s="376"/>
      <c r="AL22" s="1143">
        <v>2.0</v>
      </c>
      <c r="AM22" s="376"/>
    </row>
    <row r="23">
      <c r="B23" s="1290" t="s">
        <v>1733</v>
      </c>
      <c r="C23" s="375"/>
      <c r="D23" s="375"/>
      <c r="E23" s="375"/>
      <c r="F23" s="375"/>
      <c r="G23" s="375"/>
      <c r="H23" s="375"/>
      <c r="I23" s="1141"/>
      <c r="J23" s="1176">
        <v>1.0</v>
      </c>
      <c r="K23" s="376"/>
      <c r="L23" s="1176">
        <v>5.0</v>
      </c>
      <c r="M23" s="376"/>
      <c r="O23" s="1119" t="s">
        <v>1733</v>
      </c>
      <c r="P23" s="375"/>
      <c r="Q23" s="375"/>
      <c r="R23" s="375"/>
      <c r="S23" s="375"/>
      <c r="T23" s="375"/>
      <c r="U23" s="375"/>
      <c r="V23" s="376"/>
      <c r="W23" s="1121">
        <v>1.0</v>
      </c>
      <c r="X23" s="376"/>
      <c r="Y23" s="1121">
        <v>5.0</v>
      </c>
      <c r="Z23" s="376"/>
      <c r="AB23" s="1119" t="s">
        <v>1730</v>
      </c>
      <c r="AC23" s="375"/>
      <c r="AD23" s="375"/>
      <c r="AE23" s="375"/>
      <c r="AF23" s="375"/>
      <c r="AG23" s="375"/>
      <c r="AH23" s="375"/>
      <c r="AI23" s="376"/>
      <c r="AJ23" s="1121">
        <v>1.0</v>
      </c>
      <c r="AK23" s="376"/>
      <c r="AL23" s="1121">
        <v>5.0</v>
      </c>
      <c r="AM23" s="376"/>
    </row>
    <row r="24">
      <c r="AB24" s="1140" t="s">
        <v>1729</v>
      </c>
      <c r="AC24" s="375"/>
      <c r="AD24" s="375"/>
      <c r="AE24" s="375"/>
      <c r="AF24" s="375"/>
      <c r="AG24" s="375"/>
      <c r="AH24" s="375"/>
      <c r="AI24" s="1141"/>
      <c r="AJ24" s="1143">
        <v>1.0</v>
      </c>
      <c r="AK24" s="376"/>
      <c r="AL24" s="1143">
        <v>1.0</v>
      </c>
      <c r="AM24" s="376"/>
    </row>
    <row r="25">
      <c r="AB25" s="1126" t="s">
        <v>1746</v>
      </c>
      <c r="AC25" s="375"/>
      <c r="AD25" s="375"/>
      <c r="AE25" s="375"/>
      <c r="AF25" s="375"/>
      <c r="AG25" s="375"/>
      <c r="AH25" s="375"/>
      <c r="AI25" s="376"/>
      <c r="AJ25" s="1120">
        <v>10.0</v>
      </c>
      <c r="AK25" s="376"/>
      <c r="AL25" s="1120">
        <v>2.0</v>
      </c>
      <c r="AM25" s="376"/>
    </row>
    <row r="26">
      <c r="AB26" s="1290" t="s">
        <v>1733</v>
      </c>
      <c r="AC26" s="375"/>
      <c r="AD26" s="375"/>
      <c r="AE26" s="375"/>
      <c r="AF26" s="375"/>
      <c r="AG26" s="375"/>
      <c r="AH26" s="375"/>
      <c r="AI26" s="1141"/>
      <c r="AJ26" s="1176">
        <v>1.0</v>
      </c>
      <c r="AK26" s="376"/>
      <c r="AL26" s="1176">
        <v>5.0</v>
      </c>
      <c r="AM26" s="376"/>
    </row>
  </sheetData>
  <mergeCells count="195">
    <mergeCell ref="B18:I18"/>
    <mergeCell ref="J18:K18"/>
    <mergeCell ref="L18:M18"/>
    <mergeCell ref="O18:V18"/>
    <mergeCell ref="W18:X18"/>
    <mergeCell ref="Y18:Z18"/>
    <mergeCell ref="B19:I19"/>
    <mergeCell ref="Y19:Z19"/>
    <mergeCell ref="J19:K19"/>
    <mergeCell ref="L19:M19"/>
    <mergeCell ref="B20:I20"/>
    <mergeCell ref="J20:K20"/>
    <mergeCell ref="L20:M20"/>
    <mergeCell ref="O20:V20"/>
    <mergeCell ref="W20:X20"/>
    <mergeCell ref="AJ21:AK21"/>
    <mergeCell ref="AL21:AM21"/>
    <mergeCell ref="B21:I21"/>
    <mergeCell ref="J21:K21"/>
    <mergeCell ref="L21:M21"/>
    <mergeCell ref="O21:V21"/>
    <mergeCell ref="W21:X21"/>
    <mergeCell ref="Y21:Z21"/>
    <mergeCell ref="AB21:AI21"/>
    <mergeCell ref="AJ22:AK22"/>
    <mergeCell ref="AL22:AM22"/>
    <mergeCell ref="B22:I22"/>
    <mergeCell ref="J22:K22"/>
    <mergeCell ref="L22:M22"/>
    <mergeCell ref="O22:V22"/>
    <mergeCell ref="W22:X22"/>
    <mergeCell ref="Y22:Z22"/>
    <mergeCell ref="AB22:AI22"/>
    <mergeCell ref="AB25:AI25"/>
    <mergeCell ref="AB26:AI26"/>
    <mergeCell ref="AJ26:AK26"/>
    <mergeCell ref="AL26:AM26"/>
    <mergeCell ref="AJ23:AK23"/>
    <mergeCell ref="AL23:AM23"/>
    <mergeCell ref="AB24:AI24"/>
    <mergeCell ref="AJ24:AK24"/>
    <mergeCell ref="AL24:AM24"/>
    <mergeCell ref="AJ25:AK25"/>
    <mergeCell ref="AL25:AM25"/>
    <mergeCell ref="AJ16:AK16"/>
    <mergeCell ref="AL16:AM16"/>
    <mergeCell ref="B16:I16"/>
    <mergeCell ref="J16:K16"/>
    <mergeCell ref="L16:M16"/>
    <mergeCell ref="O16:V16"/>
    <mergeCell ref="W16:X16"/>
    <mergeCell ref="Y16:Z16"/>
    <mergeCell ref="AB16:AI16"/>
    <mergeCell ref="AJ17:AK17"/>
    <mergeCell ref="AL17:AM17"/>
    <mergeCell ref="B17:I17"/>
    <mergeCell ref="J17:K17"/>
    <mergeCell ref="L17:M17"/>
    <mergeCell ref="O17:V17"/>
    <mergeCell ref="W17:X17"/>
    <mergeCell ref="Y17:Z17"/>
    <mergeCell ref="AB17:AI17"/>
    <mergeCell ref="O19:V19"/>
    <mergeCell ref="W19:X19"/>
    <mergeCell ref="AB19:AI19"/>
    <mergeCell ref="AJ19:AK19"/>
    <mergeCell ref="AL19:AM19"/>
    <mergeCell ref="Y20:Z20"/>
    <mergeCell ref="AB20:AI20"/>
    <mergeCell ref="AJ20:AK20"/>
    <mergeCell ref="AL20:AM20"/>
    <mergeCell ref="B23:I23"/>
    <mergeCell ref="J23:K23"/>
    <mergeCell ref="L23:M23"/>
    <mergeCell ref="O23:V23"/>
    <mergeCell ref="W23:X23"/>
    <mergeCell ref="Y23:Z23"/>
    <mergeCell ref="AB23:AI23"/>
    <mergeCell ref="AJ5:AK5"/>
    <mergeCell ref="AL5:AM5"/>
    <mergeCell ref="B5:I5"/>
    <mergeCell ref="J5:K5"/>
    <mergeCell ref="L5:M5"/>
    <mergeCell ref="O5:V5"/>
    <mergeCell ref="W5:X5"/>
    <mergeCell ref="Y5:Z5"/>
    <mergeCell ref="AB5:AI5"/>
    <mergeCell ref="AJ6:AK6"/>
    <mergeCell ref="AL6:AM6"/>
    <mergeCell ref="B6:I6"/>
    <mergeCell ref="J6:K6"/>
    <mergeCell ref="L6:M6"/>
    <mergeCell ref="O6:V6"/>
    <mergeCell ref="W6:X6"/>
    <mergeCell ref="Y6:Z6"/>
    <mergeCell ref="AB6:AI6"/>
    <mergeCell ref="AJ7:AK7"/>
    <mergeCell ref="AL7:AM7"/>
    <mergeCell ref="B7:I7"/>
    <mergeCell ref="J7:K7"/>
    <mergeCell ref="L7:M7"/>
    <mergeCell ref="O7:V7"/>
    <mergeCell ref="W7:X7"/>
    <mergeCell ref="Y7:Z7"/>
    <mergeCell ref="AB7:AI7"/>
    <mergeCell ref="AJ8:AK8"/>
    <mergeCell ref="AL8:AM8"/>
    <mergeCell ref="B8:I8"/>
    <mergeCell ref="J8:K8"/>
    <mergeCell ref="L8:M8"/>
    <mergeCell ref="O8:V8"/>
    <mergeCell ref="W8:X8"/>
    <mergeCell ref="Y8:Z8"/>
    <mergeCell ref="AB8:AI8"/>
    <mergeCell ref="AJ9:AK9"/>
    <mergeCell ref="AL9:AM9"/>
    <mergeCell ref="B9:I9"/>
    <mergeCell ref="J9:K9"/>
    <mergeCell ref="L9:M9"/>
    <mergeCell ref="O9:V9"/>
    <mergeCell ref="W9:X9"/>
    <mergeCell ref="Y9:Z9"/>
    <mergeCell ref="AB9:AI9"/>
    <mergeCell ref="AJ2:AK2"/>
    <mergeCell ref="AL2:AM2"/>
    <mergeCell ref="B2:I2"/>
    <mergeCell ref="J2:K2"/>
    <mergeCell ref="L2:M2"/>
    <mergeCell ref="O2:V2"/>
    <mergeCell ref="W2:X2"/>
    <mergeCell ref="Y2:Z2"/>
    <mergeCell ref="AB2:AI2"/>
    <mergeCell ref="AJ3:AK3"/>
    <mergeCell ref="AL3:AM3"/>
    <mergeCell ref="B3:I3"/>
    <mergeCell ref="J3:K3"/>
    <mergeCell ref="L3:M3"/>
    <mergeCell ref="O3:V3"/>
    <mergeCell ref="W3:X3"/>
    <mergeCell ref="Y3:Z3"/>
    <mergeCell ref="AB3:AI3"/>
    <mergeCell ref="AJ4:AK4"/>
    <mergeCell ref="AL4:AM4"/>
    <mergeCell ref="B4:I4"/>
    <mergeCell ref="J4:K4"/>
    <mergeCell ref="L4:M4"/>
    <mergeCell ref="O4:V4"/>
    <mergeCell ref="W4:X4"/>
    <mergeCell ref="Y4:Z4"/>
    <mergeCell ref="AB4:AI4"/>
    <mergeCell ref="J11:K11"/>
    <mergeCell ref="L11:M11"/>
    <mergeCell ref="AB11:AI11"/>
    <mergeCell ref="AJ11:AK11"/>
    <mergeCell ref="AL11:AM11"/>
    <mergeCell ref="B10:I10"/>
    <mergeCell ref="J10:K10"/>
    <mergeCell ref="L10:M10"/>
    <mergeCell ref="O10:V10"/>
    <mergeCell ref="W10:X10"/>
    <mergeCell ref="Y10:Z10"/>
    <mergeCell ref="Y11:Z11"/>
    <mergeCell ref="O11:V11"/>
    <mergeCell ref="W11:X11"/>
    <mergeCell ref="W12:X12"/>
    <mergeCell ref="Y12:Z12"/>
    <mergeCell ref="AB12:AI12"/>
    <mergeCell ref="AJ12:AK12"/>
    <mergeCell ref="AL12:AM12"/>
    <mergeCell ref="AB14:AI14"/>
    <mergeCell ref="AJ14:AK14"/>
    <mergeCell ref="AL14:AM14"/>
    <mergeCell ref="O12:V12"/>
    <mergeCell ref="O13:V13"/>
    <mergeCell ref="W13:X13"/>
    <mergeCell ref="Y13:Z13"/>
    <mergeCell ref="AB13:AI13"/>
    <mergeCell ref="AJ13:AK13"/>
    <mergeCell ref="AL13:AM13"/>
    <mergeCell ref="AJ15:AK15"/>
    <mergeCell ref="AL15:AM15"/>
    <mergeCell ref="B15:I15"/>
    <mergeCell ref="J15:K15"/>
    <mergeCell ref="L15:M15"/>
    <mergeCell ref="O15:V15"/>
    <mergeCell ref="W15:X15"/>
    <mergeCell ref="Y15:Z15"/>
    <mergeCell ref="AB15:AI15"/>
    <mergeCell ref="B11:I11"/>
    <mergeCell ref="B12:I12"/>
    <mergeCell ref="J12:K12"/>
    <mergeCell ref="L12:M12"/>
    <mergeCell ref="B14:I14"/>
    <mergeCell ref="J14:K14"/>
    <mergeCell ref="L14:M14"/>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
    <col customWidth="1" min="2" max="7" width="14.43"/>
  </cols>
  <sheetData>
    <row r="2">
      <c r="B2" s="780" t="s">
        <v>1482</v>
      </c>
      <c r="C2" s="780" t="s">
        <v>1483</v>
      </c>
      <c r="D2" s="780" t="s">
        <v>1484</v>
      </c>
      <c r="E2" s="780" t="s">
        <v>1485</v>
      </c>
      <c r="F2" s="780" t="s">
        <v>1486</v>
      </c>
      <c r="G2" s="780" t="s">
        <v>1487</v>
      </c>
    </row>
    <row r="3">
      <c r="B3" s="1291" t="s">
        <v>1747</v>
      </c>
      <c r="C3" s="1291" t="s">
        <v>1748</v>
      </c>
      <c r="D3" s="1291" t="s">
        <v>1749</v>
      </c>
      <c r="E3" s="1291" t="s">
        <v>1750</v>
      </c>
      <c r="F3" s="1291" t="s">
        <v>1751</v>
      </c>
      <c r="G3" s="1291" t="s">
        <v>1752</v>
      </c>
    </row>
    <row r="4">
      <c r="B4" s="797" t="s">
        <v>1753</v>
      </c>
      <c r="C4" s="797" t="s">
        <v>1754</v>
      </c>
      <c r="D4" s="797" t="s">
        <v>1755</v>
      </c>
      <c r="E4" s="797" t="s">
        <v>1756</v>
      </c>
      <c r="F4" s="797" t="s">
        <v>1757</v>
      </c>
      <c r="G4" s="797" t="s">
        <v>1758</v>
      </c>
    </row>
    <row r="5">
      <c r="B5" s="1291" t="s">
        <v>1759</v>
      </c>
      <c r="C5" s="1291" t="s">
        <v>1760</v>
      </c>
      <c r="D5" s="1291" t="s">
        <v>1761</v>
      </c>
      <c r="E5" s="1291" t="s">
        <v>1762</v>
      </c>
      <c r="F5" s="1291" t="s">
        <v>1763</v>
      </c>
      <c r="G5" s="1291" t="s">
        <v>1764</v>
      </c>
    </row>
    <row r="6">
      <c r="B6" s="797" t="s">
        <v>1765</v>
      </c>
      <c r="C6" s="797" t="s">
        <v>1766</v>
      </c>
      <c r="D6" s="797" t="s">
        <v>1767</v>
      </c>
      <c r="E6" s="797" t="s">
        <v>1768</v>
      </c>
      <c r="F6" s="797" t="s">
        <v>1769</v>
      </c>
      <c r="G6" s="797" t="s">
        <v>1770</v>
      </c>
    </row>
    <row r="7">
      <c r="B7" s="1292" t="s">
        <v>1771</v>
      </c>
      <c r="C7" s="1292" t="s">
        <v>1771</v>
      </c>
      <c r="D7" s="1292" t="s">
        <v>1771</v>
      </c>
      <c r="E7" s="1292" t="s">
        <v>1771</v>
      </c>
      <c r="F7" s="1292" t="s">
        <v>1771</v>
      </c>
      <c r="G7" s="1292" t="s">
        <v>1771</v>
      </c>
    </row>
    <row r="8">
      <c r="B8" s="1291" t="s">
        <v>1772</v>
      </c>
      <c r="C8" s="1291" t="s">
        <v>1773</v>
      </c>
      <c r="D8" s="1291" t="s">
        <v>1774</v>
      </c>
      <c r="E8" s="1291" t="s">
        <v>1775</v>
      </c>
      <c r="F8" s="1291" t="s">
        <v>1776</v>
      </c>
      <c r="G8" s="1291" t="s">
        <v>1777</v>
      </c>
    </row>
    <row r="9">
      <c r="B9" s="797" t="s">
        <v>1778</v>
      </c>
      <c r="C9" s="797" t="s">
        <v>1779</v>
      </c>
      <c r="D9" s="797" t="s">
        <v>1780</v>
      </c>
      <c r="E9" s="797" t="s">
        <v>1781</v>
      </c>
      <c r="F9" s="797" t="s">
        <v>1782</v>
      </c>
      <c r="G9" s="797" t="s">
        <v>1783</v>
      </c>
    </row>
    <row r="10">
      <c r="B10" s="1291" t="s">
        <v>1784</v>
      </c>
      <c r="C10" s="1291" t="s">
        <v>1785</v>
      </c>
      <c r="D10" s="1291" t="s">
        <v>1786</v>
      </c>
      <c r="E10" s="1291" t="s">
        <v>1787</v>
      </c>
      <c r="F10" s="1291" t="s">
        <v>1788</v>
      </c>
      <c r="G10" s="1291" t="s">
        <v>1789</v>
      </c>
    </row>
    <row r="11">
      <c r="B11" s="1293" t="s">
        <v>1790</v>
      </c>
      <c r="C11" s="1293" t="s">
        <v>1791</v>
      </c>
      <c r="D11" s="1293" t="s">
        <v>1792</v>
      </c>
      <c r="E11" s="1293" t="s">
        <v>1793</v>
      </c>
      <c r="F11" s="1293" t="s">
        <v>1794</v>
      </c>
      <c r="G11" s="1293" t="s">
        <v>1795</v>
      </c>
    </row>
    <row r="13">
      <c r="B13" s="780" t="s">
        <v>1796</v>
      </c>
      <c r="C13" s="780" t="s">
        <v>1797</v>
      </c>
      <c r="D13" s="780" t="s">
        <v>1798</v>
      </c>
      <c r="E13" s="780" t="s">
        <v>1799</v>
      </c>
      <c r="F13" s="780" t="s">
        <v>1800</v>
      </c>
      <c r="H13" s="780" t="str">
        <f>IF(OR('角色卡'!AZ7="守序善良LG",'角色卡'!AZ7="中立善良NG",'角色卡'!AZ7="混亂善良CG"),"善良特質",IF(OR('角色卡'!AZ7="守序中立LN",'角色卡'!AZ7="絕對中立TN",'角色卡'!AZ7="混亂中立CN"),"中立特質",IF(OR('角色卡'!AZ7="守序邪惡LE",'角色卡'!AZ7="中立邪惡NE",'角色卡'!AZ7="混亂邪惡CE"),"邪惡特質","")))</f>
        <v/>
      </c>
      <c r="I13" s="780" t="str">
        <f>IF(OR('角色卡'!AZ7="守序善良LG",'角色卡'!AZ7="守序中立LN",'角色卡'!AZ7="守序邪惡LE"),"守序特質",IF(OR('角色卡'!AZ7="中立善良NG",'角色卡'!AZ7="絕對中立TN",'角色卡'!AZ7="中立邪惡NE"),"中立特質",IF(OR('角色卡'!AZ7="混亂善良CG",'角色卡'!AZ7="混亂中立CN",'角色卡'!AZ7="混亂邪惡CE"),"混亂特質","")))</f>
        <v/>
      </c>
    </row>
    <row r="14">
      <c r="B14" s="1291" t="s">
        <v>1801</v>
      </c>
      <c r="C14" s="1291" t="s">
        <v>1802</v>
      </c>
      <c r="D14" s="1291" t="s">
        <v>1803</v>
      </c>
      <c r="E14" s="1291" t="s">
        <v>1804</v>
      </c>
      <c r="F14" s="1291" t="s">
        <v>1805</v>
      </c>
      <c r="H14" s="1291" t="str">
        <f t="shared" ref="H14:I14" si="1">IFNA(HLOOKUP(H13,$B$13:$F$17,2,FALSE),"")</f>
        <v/>
      </c>
      <c r="I14" s="1291" t="str">
        <f t="shared" si="1"/>
        <v/>
      </c>
    </row>
    <row r="15">
      <c r="B15" s="797" t="s">
        <v>1806</v>
      </c>
      <c r="C15" s="797" t="s">
        <v>1807</v>
      </c>
      <c r="D15" s="797" t="s">
        <v>1808</v>
      </c>
      <c r="E15" s="797" t="s">
        <v>1809</v>
      </c>
      <c r="F15" s="797" t="s">
        <v>1810</v>
      </c>
      <c r="H15" s="797" t="str">
        <f t="shared" ref="H15:I15" si="2">IFNA(HLOOKUP(H13,$B$13:$F$17,3,FALSE),"")</f>
        <v/>
      </c>
      <c r="I15" s="797" t="str">
        <f t="shared" si="2"/>
        <v/>
      </c>
    </row>
    <row r="16">
      <c r="B16" s="1291" t="s">
        <v>1811</v>
      </c>
      <c r="C16" s="1291" t="s">
        <v>1812</v>
      </c>
      <c r="D16" s="1291" t="s">
        <v>1813</v>
      </c>
      <c r="E16" s="1291" t="s">
        <v>1814</v>
      </c>
      <c r="F16" s="1291" t="s">
        <v>1815</v>
      </c>
      <c r="H16" s="1291" t="str">
        <f t="shared" ref="H16:I16" si="3">IFNA(HLOOKUP(H13,$B$13:$F$17,4,FALSE),"")</f>
        <v/>
      </c>
      <c r="I16" s="1291" t="str">
        <f t="shared" si="3"/>
        <v/>
      </c>
    </row>
    <row r="17">
      <c r="B17" s="1293" t="s">
        <v>1816</v>
      </c>
      <c r="C17" s="1293" t="s">
        <v>1817</v>
      </c>
      <c r="D17" s="1293" t="s">
        <v>1818</v>
      </c>
      <c r="E17" s="1293" t="s">
        <v>1819</v>
      </c>
      <c r="F17" s="1293" t="s">
        <v>1820</v>
      </c>
      <c r="H17" s="1293" t="str">
        <f t="shared" ref="H17:I17" si="4">IFNA(HLOOKUP(H13,$B$13:$F$17,5,FALSE),"")</f>
        <v/>
      </c>
      <c r="I17" s="1293" t="str">
        <f t="shared" si="4"/>
        <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showGridLines="0" workbookViewId="0"/>
  </sheetViews>
  <sheetFormatPr customHeight="1" defaultColWidth="14.43" defaultRowHeight="15.0"/>
  <cols>
    <col customWidth="1" min="1" max="2" width="2.29"/>
    <col customWidth="1" min="3" max="3" width="9.14"/>
    <col customWidth="1" min="4" max="4" width="11.57"/>
    <col customWidth="1" min="5" max="13" width="5.86"/>
    <col customWidth="1" min="14" max="14" width="57.29"/>
    <col customWidth="1" min="15" max="15" width="7.57"/>
    <col customWidth="1" min="16" max="16" width="10.57"/>
    <col customWidth="1" min="17" max="21" width="5.86"/>
    <col customWidth="1" min="22" max="22" width="7.57"/>
    <col customWidth="1" min="23" max="23" width="8.71"/>
    <col customWidth="1" min="24" max="25" width="2.29"/>
  </cols>
  <sheetData>
    <row r="1" ht="18.0" customHeight="1">
      <c r="A1" s="1294"/>
      <c r="B1" s="1295"/>
      <c r="C1" s="1296"/>
      <c r="D1" s="455"/>
      <c r="E1" s="1296"/>
      <c r="F1" s="1296"/>
      <c r="G1" s="1296"/>
      <c r="H1" s="455"/>
      <c r="I1" s="1296"/>
      <c r="J1" s="1296"/>
      <c r="K1" s="1296"/>
      <c r="L1" s="1296"/>
      <c r="M1" s="1296"/>
      <c r="N1" s="1296"/>
      <c r="O1" s="1296"/>
      <c r="P1" s="1296"/>
      <c r="Q1" s="1296"/>
      <c r="R1" s="1296"/>
      <c r="S1" s="1296"/>
      <c r="T1" s="1296"/>
      <c r="U1" s="1296"/>
      <c r="V1" s="1296"/>
      <c r="W1" s="1296"/>
      <c r="X1" s="1295"/>
      <c r="Y1" s="1297"/>
    </row>
    <row r="2" ht="18.0" customHeight="1">
      <c r="A2" s="455"/>
      <c r="B2" s="1295"/>
      <c r="C2" s="1296"/>
      <c r="D2" s="455"/>
      <c r="E2" s="1296"/>
      <c r="F2" s="1296"/>
      <c r="G2" s="1296"/>
      <c r="H2" s="455"/>
      <c r="I2" s="1296"/>
      <c r="J2" s="1296"/>
      <c r="K2" s="1296"/>
      <c r="L2" s="1296"/>
      <c r="M2" s="1296"/>
      <c r="O2" s="1296"/>
      <c r="P2" s="1296"/>
      <c r="Q2" s="1296"/>
      <c r="R2" s="1296"/>
      <c r="S2" s="1296"/>
      <c r="T2" s="1296"/>
      <c r="U2" s="1296"/>
      <c r="V2" s="1296"/>
      <c r="W2" s="1296"/>
      <c r="X2" s="1295"/>
      <c r="Y2" s="1297"/>
    </row>
    <row r="3" ht="18.0" customHeight="1">
      <c r="A3" s="455"/>
      <c r="B3" s="1295"/>
      <c r="C3" s="1296"/>
      <c r="D3" s="455"/>
      <c r="E3" s="1296"/>
      <c r="F3" s="1296"/>
      <c r="G3" s="1296"/>
      <c r="H3" s="455"/>
      <c r="I3" s="1296"/>
      <c r="J3" s="1296"/>
      <c r="K3" s="1296"/>
      <c r="L3" s="1296"/>
      <c r="M3" s="1296"/>
      <c r="O3" s="1296"/>
      <c r="P3" s="1296"/>
      <c r="Q3" s="1296"/>
      <c r="R3" s="1296"/>
      <c r="S3" s="1296"/>
      <c r="T3" s="1296"/>
      <c r="U3" s="1296"/>
      <c r="V3" s="1296"/>
      <c r="W3" s="1296"/>
      <c r="X3" s="1295"/>
      <c r="Y3" s="1297"/>
    </row>
    <row r="4" ht="18.0" customHeight="1">
      <c r="A4" s="455"/>
      <c r="B4" s="1298" t="s">
        <v>1821</v>
      </c>
      <c r="C4" s="19"/>
      <c r="D4" s="19"/>
      <c r="E4" s="19"/>
      <c r="F4" s="19"/>
      <c r="G4" s="19"/>
      <c r="H4" s="19"/>
      <c r="I4" s="19"/>
      <c r="J4" s="19"/>
      <c r="K4" s="19"/>
      <c r="L4" s="19"/>
      <c r="M4" s="19"/>
      <c r="N4" s="19"/>
      <c r="O4" s="19"/>
      <c r="P4" s="19"/>
      <c r="Q4" s="19"/>
      <c r="R4" s="19"/>
      <c r="S4" s="19"/>
      <c r="T4" s="19"/>
      <c r="U4" s="19"/>
      <c r="V4" s="19"/>
      <c r="W4" s="19"/>
      <c r="X4" s="20"/>
      <c r="Y4" s="455"/>
    </row>
    <row r="5" ht="15.0" customHeight="1">
      <c r="A5" s="455"/>
      <c r="B5" s="1299"/>
      <c r="C5" s="1300"/>
      <c r="D5" s="737"/>
      <c r="E5" s="307"/>
      <c r="F5" s="307"/>
      <c r="G5" s="307"/>
      <c r="H5" s="1301"/>
      <c r="I5" s="1301"/>
      <c r="J5" s="1301"/>
      <c r="K5" s="1301"/>
      <c r="L5" s="1301"/>
      <c r="M5" s="1301"/>
      <c r="N5" s="1302"/>
      <c r="O5" s="1302"/>
      <c r="P5" s="1302"/>
      <c r="Q5" s="1302"/>
      <c r="R5" s="1302"/>
      <c r="S5" s="1302"/>
      <c r="T5" s="1302"/>
      <c r="U5" s="1302"/>
      <c r="V5" s="1303"/>
      <c r="W5" s="1302"/>
      <c r="X5" s="1302"/>
      <c r="Y5" s="455"/>
    </row>
    <row r="6" ht="15.0" customHeight="1">
      <c r="A6" s="455"/>
      <c r="B6" s="1299"/>
      <c r="C6" s="1304" t="s">
        <v>1822</v>
      </c>
      <c r="D6" s="20"/>
      <c r="E6" s="1302"/>
      <c r="F6" s="1304" t="s">
        <v>1823</v>
      </c>
      <c r="G6" s="19"/>
      <c r="H6" s="19"/>
      <c r="I6" s="19"/>
      <c r="J6" s="19"/>
      <c r="K6" s="19"/>
      <c r="L6" s="19"/>
      <c r="M6" s="20"/>
      <c r="N6" s="1302"/>
      <c r="O6" s="1302"/>
      <c r="P6" s="1302"/>
      <c r="Q6" s="1302"/>
      <c r="R6" s="1302"/>
      <c r="S6" s="1302"/>
      <c r="T6" s="1302"/>
      <c r="U6" s="1302"/>
      <c r="V6" s="1303"/>
      <c r="W6" s="1302"/>
      <c r="X6" s="1302"/>
      <c r="Y6" s="455"/>
    </row>
    <row r="7" ht="15.75" customHeight="1">
      <c r="A7" s="455"/>
      <c r="B7" s="1302"/>
      <c r="C7" s="1305" t="str">
        <f>IF('角色卡'!AB16="","職業I",'角色卡'!AB16)</f>
        <v>法師-Wizard</v>
      </c>
      <c r="D7" s="1306">
        <f>IFNA(HLOOKUP(C7,'準備法術'!C1:M22,IFNA(HLOOKUP(C7,'準備法術'!C1:M2,2,FALSE),0)+2,FALSE),0)</f>
        <v>6</v>
      </c>
      <c r="E7" s="1302"/>
      <c r="F7" s="1307" t="s">
        <v>173</v>
      </c>
      <c r="G7" s="1308" t="b">
        <v>0</v>
      </c>
      <c r="H7" s="1309" t="b">
        <v>0</v>
      </c>
      <c r="I7" s="1310" t="b">
        <v>0</v>
      </c>
      <c r="J7" s="1310" t="b">
        <v>0</v>
      </c>
      <c r="K7" s="1311" t="s">
        <v>198</v>
      </c>
      <c r="L7" s="1312" t="b">
        <v>0</v>
      </c>
      <c r="M7" s="1313" t="b">
        <v>0</v>
      </c>
      <c r="N7" s="1302"/>
      <c r="O7" s="1302"/>
      <c r="P7" s="1302"/>
      <c r="Q7" s="1302"/>
      <c r="R7" s="1302"/>
      <c r="S7" s="1302"/>
      <c r="T7" s="1302"/>
      <c r="U7" s="1302"/>
      <c r="V7" s="1303"/>
      <c r="W7" s="1302"/>
      <c r="X7" s="1302"/>
      <c r="Y7" s="455"/>
    </row>
    <row r="8" ht="15.75" customHeight="1">
      <c r="A8" s="455"/>
      <c r="B8" s="1302"/>
      <c r="C8" s="1305" t="str">
        <f>IF('角色卡'!AB17="","職業II",'角色卡'!AB17)</f>
        <v>職業II</v>
      </c>
      <c r="D8" s="1306">
        <f>IFNA(HLOOKUP(C8,'準備法術'!C1:M22,IFNA(HLOOKUP(C8,'準備法術'!C1:M2,2,FALSE),0)+2,FALSE),0)</f>
        <v>0</v>
      </c>
      <c r="E8" s="1302"/>
      <c r="F8" s="1314" t="s">
        <v>180</v>
      </c>
      <c r="G8" s="1309" t="b">
        <v>0</v>
      </c>
      <c r="H8" s="1309" t="b">
        <v>0</v>
      </c>
      <c r="I8" s="1315" t="b">
        <v>0</v>
      </c>
      <c r="J8" s="1302"/>
      <c r="K8" s="1314" t="s">
        <v>204</v>
      </c>
      <c r="L8" s="1316" t="b">
        <v>0</v>
      </c>
      <c r="M8" s="1317" t="b">
        <v>0</v>
      </c>
      <c r="N8" s="1318" t="s">
        <v>1824</v>
      </c>
      <c r="O8" s="1319">
        <f>IF('角色卡'!AB16="野蠻人-Barbarian",0,
IF('角色卡'!AB16="法師-Wizard",8+Prof+IntMod,
IF('角色卡'!AB16="術士-Sorcerer",8+Prof+ChaMod,
IF('角色卡'!AB16="聖騎士-Paladin",8+Prof+ChaMod,
IF('角色卡'!AB16="武僧-Monk",0,
IF('角色卡'!AB16="契術師-Warlock",8+Prof+ChaMod,
IF('角色卡'!AB16="吟遊詩人-Bard",8+Prof+ChaMod,
IF('角色卡'!AB16="牧師-Cleric",8+Prof+WisMod,
IF('角色卡'!AB16="德魯伊-Druid",8+Prof+WisMod,
IF('角色卡'!AB16="遊俠-Ranger",8+Prof+WisMod,
IF('角色卡'!AB16="戰士-Fighter",8+Prof+IntMod,
IF('角色卡'!AB16="盜賊-Rogue",8+Prof+IntMod,
IF('角色卡'!AB16="奇械師-Artificer",8+Prof+IntMod,
IF('角色卡'!AB16="銃士-Gunslinger",8+Prof+IntMod,
IF('角色卡'!AB16="",0,)))))))))))))))</f>
        <v>13</v>
      </c>
      <c r="P8" s="1320" t="s">
        <v>1825</v>
      </c>
      <c r="V8" s="1321">
        <f>IF('角色卡'!AB16="野蠻人-Barbarian", 0,
IF('角色卡'!AB16="法師-Wizard" ,Prof+IntMod,
IF('角色卡'!AB16="術士-Sorcerer",Prof+ChaMod,
IF('角色卡'!AB16="聖騎士-Paladin",Prof+ChaMod,
IF('角色卡'!AB16="吟遊詩人-Bard",Prof+ChaMod,
IF('角色卡'!AB16="契術師-Warlock",Prof+ChaMod,
IF('角色卡'!AB16="武僧-Monk",0,
IF('角色卡'!AB16="牧師-Cleric",Prof+WisMod,
IF('角色卡'!AB16="德魯伊-Druid",Prof+WisMod,
IF('角色卡'!AB16="遊俠-Ranger",Prof+WisMod,
IF('角色卡'!AB16="戰士-Fighter",Prof+IntMod,
IF('角色卡'!AB16="盜賊-Rogue",Prof+IntMod,
IF('角色卡'!AB16="奇械師-Artificer" ,Prof+IntMod,
IF('角色卡'!AB16="銃士-Gunslinger" ,Prof+IntMod,
IF('角色卡'!AB16="",0,)))))))))))))))</f>
        <v>5</v>
      </c>
      <c r="W8" s="1302"/>
      <c r="X8" s="1302"/>
      <c r="Y8" s="455"/>
    </row>
    <row r="9" ht="15.75" customHeight="1">
      <c r="A9" s="455"/>
      <c r="B9" s="1302"/>
      <c r="C9" s="1305" t="str">
        <f>IF('角色卡'!AB18="","職業III",'角色卡'!AB18)</f>
        <v>職業III</v>
      </c>
      <c r="D9" s="1306">
        <f>IFNA(HLOOKUP(C9,'準備法術'!C1:M22,IFNA(HLOOKUP(C9,'準備法術'!C1:M2,2,FALSE),0)+2,FALSE),0)</f>
        <v>0</v>
      </c>
      <c r="E9" s="1302"/>
      <c r="F9" s="1314" t="s">
        <v>181</v>
      </c>
      <c r="G9" s="1309" t="b">
        <v>0</v>
      </c>
      <c r="H9" s="1316" t="b">
        <v>0</v>
      </c>
      <c r="I9" s="1313" t="b">
        <v>0</v>
      </c>
      <c r="J9" s="1302"/>
      <c r="K9" s="1314" t="s">
        <v>209</v>
      </c>
      <c r="L9" s="1315" t="b">
        <v>0</v>
      </c>
      <c r="M9" s="1302"/>
      <c r="N9" s="1302"/>
      <c r="O9" s="1302"/>
      <c r="P9" s="1302"/>
      <c r="Q9" s="1302"/>
      <c r="R9" s="1302"/>
      <c r="S9" s="1302"/>
      <c r="T9" s="1302"/>
      <c r="U9" s="1302"/>
      <c r="V9" s="1303"/>
      <c r="W9" s="1302"/>
      <c r="X9" s="1302"/>
      <c r="Y9" s="455"/>
    </row>
    <row r="10" ht="15.75" customHeight="1">
      <c r="A10" s="455"/>
      <c r="B10" s="1302"/>
      <c r="C10" s="1300"/>
      <c r="D10" s="1322"/>
      <c r="E10" s="1302"/>
      <c r="F10" s="1314" t="s">
        <v>187</v>
      </c>
      <c r="G10" s="1316" t="b">
        <v>0</v>
      </c>
      <c r="H10" s="1316" t="b">
        <v>0</v>
      </c>
      <c r="I10" s="1313" t="b">
        <v>0</v>
      </c>
      <c r="J10" s="1302"/>
      <c r="K10" s="1323" t="s">
        <v>217</v>
      </c>
      <c r="L10" s="1324" t="b">
        <v>0</v>
      </c>
      <c r="M10" s="1302"/>
      <c r="N10" s="1318" t="s">
        <v>1826</v>
      </c>
      <c r="O10" s="1319">
        <f>IF('角色卡'!AB17="野蠻人-Barbarian",0,
IF('角色卡'!AB17="法師-Wizard",8+Prof+IntMod,
IF('角色卡'!AB17="術士-Sorcerer",8+Prof+ChaMod,
IF('角色卡'!AB17="聖騎士-Paladin",8+Prof+ChaMod,
IF('角色卡'!AB17="武僧-Monk",0,
IF('角色卡'!AB17="契術師-Warlock",8+Prof+ChaMod,
IF('角色卡'!AB17="吟遊詩人-Bard",8+Prof+ChaMod,
IF('角色卡'!AB17="牧師-Cleric",8+Prof+WisMod,
IF('角色卡'!AB17="德魯伊-Druid",8+Prof+WisMod,
IF('角色卡'!AB17="遊俠-Ranger",8+Prof+WisMod,
IF('角色卡'!AB17="戰士-Fighter",8+Prof+IntMod,
IF('角色卡'!AB17="盜賊-Rogue",8+Prof+IntMod,
IF('角色卡'!AB17="奇械師-Artificer",8+Prof+IntMod,
IF('角色卡'!AB17="銃士-Gunslinger",8+Prof+IntMod,
IF('角色卡'!AB17="",0,)))))))))))))))</f>
        <v>0</v>
      </c>
      <c r="P10" s="1320" t="s">
        <v>1827</v>
      </c>
      <c r="V10" s="1321">
        <f>IF('角色卡'!AB17="野蠻人-Barbarian", 0,IF('角色卡'!AB17="法師-Wizard" ,Prof+IntMod,IF('角色卡'!AB17="術士-Sorcerer",Prof+ChaMod,IF('角色卡'!AB17="聖騎士-Paladin",Prof+ChaMod,IF('角色卡'!AB17="吟遊詩人-Bard",Prof+ChaMod,IF('角色卡'!AB17="契術師-Warlock",Prof+ChaMod,IF('角色卡'!AB17="武僧-Monk",0,IF('角色卡'!AB17="牧師-Cleric",Prof+WisMod,IF('角色卡'!AB17="德魯伊-Druid",Prof+WisMod,IF('角色卡'!AB17="遊俠-Ranger",Prof+WisMod,IF('角色卡'!AB17="戰士-Fighter",Prof+IntMod,IF('角色卡'!AB17="盜賊-Rogue",Prof+IntMod,IF('角色卡'!AB17="奇械師-Artificer" ,Prof+IntMod,IF('角色卡'!AB17="銃士-Gunslinger" ,Prof+IntMod,IF('角色卡'!AB17="",0,)))))))))))))))</f>
        <v>0</v>
      </c>
      <c r="W10" s="1302"/>
      <c r="X10" s="1302"/>
      <c r="Y10" s="455"/>
    </row>
    <row r="11" ht="15.75" customHeight="1">
      <c r="A11" s="455"/>
      <c r="B11" s="1302"/>
      <c r="C11" s="1304" t="s">
        <v>403</v>
      </c>
      <c r="D11" s="20"/>
      <c r="E11" s="1302"/>
      <c r="F11" s="1323" t="s">
        <v>192</v>
      </c>
      <c r="G11" s="1325" t="b">
        <v>0</v>
      </c>
      <c r="H11" s="1325" t="b">
        <v>0</v>
      </c>
      <c r="I11" s="1317" t="b">
        <v>0</v>
      </c>
      <c r="J11" s="1302"/>
      <c r="K11" s="1302"/>
      <c r="L11" s="1302"/>
      <c r="M11" s="1302"/>
      <c r="N11" s="1302"/>
      <c r="O11" s="1300"/>
      <c r="P11" s="1302"/>
      <c r="Q11" s="1302"/>
      <c r="R11" s="1302"/>
      <c r="S11" s="1302"/>
      <c r="T11" s="1302"/>
      <c r="U11" s="1302"/>
      <c r="V11" s="1326"/>
      <c r="W11" s="1302"/>
      <c r="X11" s="1302"/>
      <c r="Y11" s="455"/>
    </row>
    <row r="12" ht="15.75" customHeight="1">
      <c r="A12" s="455"/>
      <c r="B12" s="1302"/>
      <c r="C12" s="1327" t="s">
        <v>1828</v>
      </c>
      <c r="D12" s="1306">
        <f>'索引資料'!C13</f>
        <v>3</v>
      </c>
      <c r="E12" s="1302"/>
      <c r="F12" s="1302"/>
      <c r="G12" s="1302"/>
      <c r="H12" s="1328"/>
      <c r="I12" s="1302"/>
      <c r="J12" s="1302"/>
      <c r="K12" s="1328"/>
      <c r="L12" s="1302"/>
      <c r="M12" s="1302"/>
      <c r="N12" s="1318" t="s">
        <v>1829</v>
      </c>
      <c r="O12" s="1319">
        <f>IF('角色卡'!AB18="野蠻人-Barbarian",0,
IF('角色卡'!AB18="法師-Wizard",8+Prof+IntMod,
IF('角色卡'!AB18="術士-Sorcerer",8+Prof+ChaMod,
IF('角色卡'!AB18="聖騎士-Paladin",8+Prof+ChaMod,
IF('角色卡'!AB18="武僧-Monk",0,
IF('角色卡'!AB18="契術師-Warlock",8+Prof+ChaMod,
IF('角色卡'!AB18="吟遊詩人-Bard",8+Prof+ChaMod,
IF('角色卡'!AB18="牧師-Cleric",8+Prof+WisMod,
IF('角色卡'!AB18="德魯伊-Druid",8+Prof+WisMod,
IF('角色卡'!AB18="遊俠-Ranger",8+Prof+WisMod,
IF('角色卡'!AB18="戰士-Fighter",8+Prof+IntMod,
IF('角色卡'!AB18="盜賊-Rogue",8+Prof+IntMod,
IF('角色卡'!AB18="奇械師-Artificer",8+Prof+IntMod,
IF('角色卡'!AB18="銃士-Gunslinger",8+Prof+IntMod,
IF('角色卡'!AB18="",0,)))))))))))))))</f>
        <v>0</v>
      </c>
      <c r="P12" s="1320" t="s">
        <v>1830</v>
      </c>
      <c r="V12" s="1321">
        <f>IF('角色卡'!AB18="野蠻人-Barbarian",0,IF('角色卡'!AB18="法師-Wizard" ,Prof+IntMod,IF('角色卡'!AB18="術士-Sorcerer",Prof+ChaMod,IF('角色卡'!AB18="聖騎士-Paladin",Prof+ChaMod,IF('角色卡'!AB18="吟遊詩人-Bard",Prof+ChaMod,IF('角色卡'!AB18="契術師-Warlock",Prof+ChaMod,IF('角色卡'!AB18="武僧-Monk",0,IF('角色卡'!AB18="牧師-Cleric",Prof+WisMod,IF('角色卡'!AB18="德魯伊-Druid",Prof+WisMod,IF('角色卡'!AB18="遊俠-Ranger",Prof+WisMod,IF('角色卡'!AB18="戰士-Fighter",Prof+IntMod,IF('角色卡'!AB18="盜賊-Rogue",Prof+IntMod,IF('角色卡'!AB18="奇械師-Artificer" ,Prof+IntMod,IF('角色卡'!AB18="銃士-Gunslinger" ,Prof+IntMod,IF('角色卡'!AB18="",0,)))))))))))))))</f>
        <v>0</v>
      </c>
      <c r="W12" s="1302"/>
      <c r="X12" s="1302"/>
      <c r="Y12" s="455"/>
    </row>
    <row r="13" ht="15.75" customHeight="1">
      <c r="A13" s="455"/>
      <c r="B13" s="1302"/>
      <c r="C13" s="1329" t="s">
        <v>1831</v>
      </c>
      <c r="D13" s="1306">
        <f>'索引資料'!C14</f>
        <v>0</v>
      </c>
      <c r="E13" s="1302"/>
      <c r="F13" s="1330" t="s">
        <v>1832</v>
      </c>
      <c r="G13" s="20"/>
      <c r="H13" s="352" t="str">
        <f>IF('索引資料'!C14&gt;=9,"五環",IF('索引資料'!C14&gt;=7,"四環",IF('索引資料'!C14&gt;=5,"三環",IF('索引資料'!C14&gt;=3,"二環","一環"))))</f>
        <v>一環</v>
      </c>
      <c r="I13" s="1331"/>
      <c r="J13" s="1332" t="b">
        <v>0</v>
      </c>
      <c r="K13" s="1332" t="b">
        <v>0</v>
      </c>
      <c r="L13" s="1332" t="b">
        <v>0</v>
      </c>
      <c r="M13" s="1333" t="b">
        <v>0</v>
      </c>
      <c r="N13" s="1302"/>
      <c r="O13" s="1300"/>
      <c r="P13" s="1302"/>
      <c r="Q13" s="1302"/>
      <c r="R13" s="1302"/>
      <c r="S13" s="1302"/>
      <c r="T13" s="1302"/>
      <c r="U13" s="1302"/>
      <c r="V13" s="1300"/>
      <c r="W13" s="1302"/>
      <c r="X13" s="1302"/>
      <c r="Y13" s="455"/>
    </row>
    <row r="14" ht="15.75" customHeight="1">
      <c r="A14" s="455"/>
      <c r="B14" s="1302"/>
      <c r="C14" s="1328"/>
      <c r="D14" s="1334"/>
      <c r="E14" s="1300"/>
      <c r="F14" s="1300"/>
      <c r="G14" s="1300"/>
      <c r="H14" s="1335"/>
      <c r="I14" s="1336"/>
      <c r="J14" s="1336"/>
      <c r="K14" s="1336"/>
      <c r="L14" s="1337"/>
      <c r="M14" s="1337"/>
      <c r="N14" s="1302"/>
      <c r="O14" s="1302"/>
      <c r="P14" s="1302"/>
      <c r="Q14" s="1302"/>
      <c r="R14" s="1302"/>
      <c r="S14" s="1302"/>
      <c r="T14" s="1302"/>
      <c r="U14" s="1302"/>
      <c r="V14" s="1302"/>
      <c r="W14" s="1302"/>
      <c r="X14" s="1302"/>
      <c r="Y14" s="455"/>
    </row>
    <row r="15" ht="16.5" customHeight="1">
      <c r="A15" s="455"/>
      <c r="B15" s="1338"/>
      <c r="C15" s="1339" t="s">
        <v>1833</v>
      </c>
      <c r="D15" s="19"/>
      <c r="E15" s="19"/>
      <c r="F15" s="19"/>
      <c r="G15" s="19"/>
      <c r="H15" s="19"/>
      <c r="I15" s="19"/>
      <c r="J15" s="19"/>
      <c r="K15" s="19"/>
      <c r="L15" s="19"/>
      <c r="M15" s="19"/>
      <c r="N15" s="19"/>
      <c r="O15" s="19"/>
      <c r="P15" s="19"/>
      <c r="Q15" s="19"/>
      <c r="R15" s="19"/>
      <c r="S15" s="19"/>
      <c r="T15" s="19"/>
      <c r="U15" s="19"/>
      <c r="V15" s="19"/>
      <c r="W15" s="20"/>
      <c r="X15" s="1338"/>
      <c r="Y15" s="455"/>
    </row>
    <row r="16" ht="15.0" customHeight="1">
      <c r="A16" s="455"/>
      <c r="B16" s="1340"/>
      <c r="C16" s="1341" t="s">
        <v>1834</v>
      </c>
      <c r="D16" s="1342" t="s">
        <v>1835</v>
      </c>
      <c r="E16" s="1343" t="s">
        <v>1836</v>
      </c>
      <c r="F16" s="152"/>
      <c r="G16" s="1344"/>
      <c r="H16" s="1345" t="s">
        <v>1837</v>
      </c>
      <c r="I16" s="1345" t="s">
        <v>1838</v>
      </c>
      <c r="J16" s="152"/>
      <c r="K16" s="152"/>
      <c r="L16" s="1346" t="s">
        <v>1839</v>
      </c>
      <c r="M16" s="152"/>
      <c r="N16" s="1345" t="s">
        <v>1840</v>
      </c>
      <c r="O16" s="1344"/>
      <c r="P16" s="1347" t="s">
        <v>1841</v>
      </c>
      <c r="Q16" s="1348" t="s">
        <v>1842</v>
      </c>
      <c r="R16" s="1347" t="s">
        <v>1843</v>
      </c>
      <c r="S16" s="1349" t="s">
        <v>1844</v>
      </c>
      <c r="T16" s="354"/>
      <c r="U16" s="1350"/>
      <c r="V16" s="1345" t="s">
        <v>1845</v>
      </c>
      <c r="W16" s="175"/>
      <c r="X16" s="1340"/>
      <c r="Y16" s="455"/>
    </row>
    <row r="17" ht="15.0" customHeight="1">
      <c r="A17" s="455"/>
      <c r="B17" s="1340"/>
      <c r="C17" s="1187"/>
      <c r="E17" s="1351"/>
      <c r="G17" s="1187"/>
      <c r="H17" s="1352"/>
      <c r="I17" s="1352"/>
      <c r="L17" s="1351"/>
      <c r="N17" s="1352"/>
      <c r="O17" s="1187"/>
      <c r="P17" s="1353"/>
      <c r="Q17" s="1353"/>
      <c r="R17" s="1353"/>
      <c r="S17" s="1354" t="s">
        <v>1846</v>
      </c>
      <c r="T17" s="1355" t="s">
        <v>1847</v>
      </c>
      <c r="U17" s="1355" t="s">
        <v>1848</v>
      </c>
      <c r="V17" s="1352"/>
      <c r="W17" s="318"/>
      <c r="X17" s="1340"/>
      <c r="Y17" s="455"/>
    </row>
    <row r="18">
      <c r="A18" s="455"/>
      <c r="B18" s="1356"/>
      <c r="C18" s="1357" t="b">
        <v>0</v>
      </c>
      <c r="D18" s="1358"/>
      <c r="E18" s="1359" t="s">
        <v>1849</v>
      </c>
      <c r="F18" s="375"/>
      <c r="G18" s="1360"/>
      <c r="H18" s="1361" t="str">
        <f>IFNA(VLOOKUP($E18,'法術資料'!$K$2:$X$805,4,FALSE),"")</f>
        <v>塑能</v>
      </c>
      <c r="I18" s="1362" t="str">
        <f>IFNA(VLOOKUP($E18,'法術資料'!$K$2:$X$805,7,FALSE),"")</f>
        <v>動作</v>
      </c>
      <c r="J18" s="375"/>
      <c r="K18" s="1360"/>
      <c r="L18" s="1362" t="str">
        <f>IFNA(VLOOKUP($E18,'法術資料'!$K$2:$X$805,8,FALSE),"")</f>
        <v>60 呎</v>
      </c>
      <c r="M18" s="1360"/>
      <c r="N18" s="1363" t="str">
        <f>IFNA(VLOOKUP($E18,'法術資料'!$K$2:$X$805,14,FALSE),"")</f>
        <v> 一道冰冷的藍白色光線朝施法距離內的一名生物射去。對目標進行一次遠程法術攻擊。若命中，則目標受到1d8點寒冷傷害，並且直到你的下一輪開始，速度減少10呎。
  戲法升級：當你到達特定等級時，其傷害增加1d8（5級2d8、11級3d8、17級4d8）。</v>
      </c>
      <c r="O18" s="1360"/>
      <c r="P18" s="1364" t="str">
        <f>IFNA(VLOOKUP($E18,'法術資料'!$K$2:$X$805,13,FALSE),"")</f>
        <v>即效</v>
      </c>
      <c r="Q18" s="1365" t="b">
        <f>IFNA(VLOOKUP($E18,'法術資料'!$K$2:$X$805,5,FALSE),"")</f>
        <v>0</v>
      </c>
      <c r="R18" s="1365" t="b">
        <f>IFNA(VLOOKUP($E18,'法術資料'!$K$2:$X$805,6,FALSE),"")</f>
        <v>0</v>
      </c>
      <c r="S18" s="1366" t="b">
        <f>IFNA(VLOOKUP($E18,'法術資料'!$K$2:$X$805,9,FALSE),"")</f>
        <v>1</v>
      </c>
      <c r="T18" s="1367" t="b">
        <f>IFNA(VLOOKUP($E18,'法術資料'!$K$2:$X$805,10,FALSE),"")</f>
        <v>1</v>
      </c>
      <c r="U18" s="1367" t="b">
        <f>IFNA(VLOOKUP($E18,'法術資料'!$K$2:$X$805,11,FALSE),"")</f>
        <v>0</v>
      </c>
      <c r="V18" s="1368" t="str">
        <f>IFNA(VLOOKUP($E18,'法術資料'!$K$2:$W$805,12,FALSE),"")</f>
        <v/>
      </c>
      <c r="W18" s="376"/>
      <c r="X18" s="1369"/>
      <c r="Y18" s="455"/>
    </row>
    <row r="19">
      <c r="A19" s="455"/>
      <c r="B19" s="1356"/>
      <c r="C19" s="1370" t="b">
        <v>0</v>
      </c>
      <c r="D19" s="1371"/>
      <c r="E19" s="1372" t="s">
        <v>1850</v>
      </c>
      <c r="F19" s="375"/>
      <c r="G19" s="1360"/>
      <c r="H19" s="1373" t="str">
        <f>IFNA(VLOOKUP($E19,'法術資料'!$K$2:$X$805,4,FALSE),"")</f>
        <v>塑能</v>
      </c>
      <c r="I19" s="1374" t="str">
        <f>IFNA(VLOOKUP($E19,'法術資料'!$K$2:$X$805,7,FALSE),"")</f>
        <v>動作</v>
      </c>
      <c r="J19" s="375"/>
      <c r="K19" s="1360"/>
      <c r="L19" s="1374" t="str">
        <f>IFNA(VLOOKUP($E19,'法術資料'!$K$2:$X$805,8,FALSE),"")</f>
        <v>觸碰</v>
      </c>
      <c r="M19" s="1360"/>
      <c r="N19" s="1375" t="str">
        <f>IFNA(VLOOKUP($E19,'法術資料'!$K$2:$X$805,14,FALSE),"")</f>
        <v>你放出閃電，擊向一名你試圖觸碰的生物。對目標發動一次近戰法術攻擊。若命中，則目標受到1d8 點閃電傷害，且在其下一輪開始前不能執行借機攻擊。
  戲法升級：此法術的傷害會在你達到下列等級時增加1d8：5級（2d8），11 級（3d8），17 級1d8（4d8）。</v>
      </c>
      <c r="O19" s="1360"/>
      <c r="P19" s="1376" t="str">
        <f>IFNA(VLOOKUP($E19,'法術資料'!$K$2:$X$805,13,FALSE),"")</f>
        <v>即效</v>
      </c>
      <c r="Q19" s="1377" t="b">
        <f>IFNA(VLOOKUP($E19,'法術資料'!$K$2:$X$805,5,FALSE),"")</f>
        <v>0</v>
      </c>
      <c r="R19" s="1377" t="b">
        <f>IFNA(VLOOKUP($E19,'法術資料'!$K$2:$X$805,6,FALSE),"")</f>
        <v>0</v>
      </c>
      <c r="S19" s="1378" t="b">
        <f>IFNA(VLOOKUP($E19,'法術資料'!$K$2:$X$805,9,FALSE),"")</f>
        <v>1</v>
      </c>
      <c r="T19" s="1379" t="b">
        <f>IFNA(VLOOKUP($E19,'法術資料'!$K$2:$X$805,10,FALSE),"")</f>
        <v>1</v>
      </c>
      <c r="U19" s="1379" t="b">
        <f>IFNA(VLOOKUP($E19,'法術資料'!$K$2:$X$805,11,FALSE),"")</f>
        <v>0</v>
      </c>
      <c r="V19" s="1380" t="str">
        <f>IFNA(VLOOKUP($E19,'法術資料'!$K$2:$W$805,12,FALSE),"")</f>
        <v/>
      </c>
      <c r="W19" s="376"/>
      <c r="X19" s="1369"/>
      <c r="Y19" s="455"/>
    </row>
    <row r="20">
      <c r="A20" s="455"/>
      <c r="B20" s="1356"/>
      <c r="C20" s="1357" t="b">
        <v>0</v>
      </c>
      <c r="D20" s="1358"/>
      <c r="E20" s="1359" t="s">
        <v>1851</v>
      </c>
      <c r="F20" s="375"/>
      <c r="G20" s="1360"/>
      <c r="H20" s="1361" t="str">
        <f>IFNA(VLOOKUP($E20,'法術資料'!$K$2:$X$805,4,FALSE),"")</f>
        <v>塑能</v>
      </c>
      <c r="I20" s="1362" t="str">
        <f>IFNA(VLOOKUP($E20,'法術資料'!$K$2:$X$805,7,FALSE),"")</f>
        <v>動作</v>
      </c>
      <c r="J20" s="375"/>
      <c r="K20" s="1360"/>
      <c r="L20" s="1362" t="str">
        <f>IFNA(VLOOKUP($E20,'法術資料'!$K$2:$X$805,8,FALSE),"")</f>
        <v>觸碰</v>
      </c>
      <c r="M20" s="1360"/>
      <c r="N20" s="1363" t="str">
        <f>IFNA(VLOOKUP($E20,'法術資料'!$K$2:$X$805,14,FALSE),"")</f>
        <v>你觸碰一個大型或更小，且未被他人攜帶或穿著的物件。在法術終止前，物件將在其20 呎半徑範圍內發出明亮光照，並在其外20 呎範圍發出微光光照。光的顏色由你決定。
  當物體被不透明的東西完全遮蓋時，其光照被遮蔽。如果你再次施展該法術，則該法術終止。</v>
      </c>
      <c r="O20" s="1360"/>
      <c r="P20" s="1364" t="str">
        <f>IFNA(VLOOKUP($E20,'法術資料'!$K$2:$X$805,13,FALSE),"")</f>
        <v>1 小時</v>
      </c>
      <c r="Q20" s="1365" t="b">
        <f>IFNA(VLOOKUP($E20,'法術資料'!$K$2:$X$805,5,FALSE),"")</f>
        <v>0</v>
      </c>
      <c r="R20" s="1365" t="b">
        <f>IFNA(VLOOKUP($E20,'法術資料'!$K$2:$X$805,6,FALSE),"")</f>
        <v>0</v>
      </c>
      <c r="S20" s="1366" t="b">
        <f>IFNA(VLOOKUP($E20,'法術資料'!$K$2:$X$805,9,FALSE),"")</f>
        <v>1</v>
      </c>
      <c r="T20" s="1367" t="b">
        <f>IFNA(VLOOKUP($E20,'法術資料'!$K$2:$X$805,10,FALSE),"")</f>
        <v>0</v>
      </c>
      <c r="U20" s="1367" t="b">
        <f>IFNA(VLOOKUP($E20,'法術資料'!$K$2:$X$805,11,FALSE),"")</f>
        <v>1</v>
      </c>
      <c r="V20" s="1368" t="str">
        <f>IFNA(VLOOKUP($E20,'法術資料'!$K$2:$W$805,12,FALSE),"")</f>
        <v>一隻螢火蟲或一片磷光苔蘚</v>
      </c>
      <c r="W20" s="376"/>
      <c r="X20" s="1369"/>
      <c r="Y20" s="455"/>
    </row>
    <row r="21">
      <c r="A21" s="455"/>
      <c r="B21" s="1356"/>
      <c r="C21" s="1370" t="b">
        <v>0</v>
      </c>
      <c r="D21" s="1381"/>
      <c r="E21" s="1372" t="s">
        <v>1852</v>
      </c>
      <c r="F21" s="375"/>
      <c r="G21" s="1360"/>
      <c r="H21" s="1373" t="str">
        <f>IFNA(VLOOKUP($E21,'法術資料'!$K$2:$X$805,4,FALSE),"")</f>
        <v>死靈</v>
      </c>
      <c r="I21" s="1374" t="str">
        <f>IFNA(VLOOKUP($E21,'法術資料'!$K$2:$X$805,7,FALSE),"")</f>
        <v>動作</v>
      </c>
      <c r="J21" s="375"/>
      <c r="K21" s="1360"/>
      <c r="L21" s="1374" t="str">
        <f>IFNA(VLOOKUP($E21,'法術資料'!$K$2:$X$805,8,FALSE),"")</f>
        <v>30 呎</v>
      </c>
      <c r="M21" s="1360"/>
      <c r="N21" s="1375" t="str">
        <f>IFNA(VLOOKUP($E21,'法術資料'!$K$2:$X$805,14,FALSE),"")</f>
        <v>你向施法距離內一個你可見的生物噴出一股毒氣。對目標進行一次遠程法術攻擊。命中，則目標受1d12點毒素傷害。
  戲法升級：當你到達特定等級時，其傷害增加1d12（5級2d12、11級3d12、17級4d12）。</v>
      </c>
      <c r="O21" s="1360"/>
      <c r="P21" s="1376" t="str">
        <f>IFNA(VLOOKUP($E21,'法術資料'!$K$2:$X$805,13,FALSE),"")</f>
        <v>即效</v>
      </c>
      <c r="Q21" s="1377" t="b">
        <f>IFNA(VLOOKUP($E21,'法術資料'!$K$2:$X$805,5,FALSE),"")</f>
        <v>0</v>
      </c>
      <c r="R21" s="1377" t="b">
        <f>IFNA(VLOOKUP($E21,'法術資料'!$K$2:$X$805,6,FALSE),"")</f>
        <v>0</v>
      </c>
      <c r="S21" s="1378" t="b">
        <f>IFNA(VLOOKUP($E21,'法術資料'!$K$2:$X$805,9,FALSE),"")</f>
        <v>1</v>
      </c>
      <c r="T21" s="1379" t="b">
        <f>IFNA(VLOOKUP($E21,'法術資料'!$K$2:$X$805,10,FALSE),"")</f>
        <v>1</v>
      </c>
      <c r="U21" s="1379" t="b">
        <f>IFNA(VLOOKUP($E21,'法術資料'!$K$2:$X$805,11,FALSE),"")</f>
        <v>0</v>
      </c>
      <c r="V21" s="1380" t="str">
        <f>IFNA(VLOOKUP($E21,'法術資料'!$K$2:$W$805,12,FALSE),"")</f>
        <v/>
      </c>
      <c r="W21" s="376"/>
      <c r="X21" s="1369"/>
      <c r="Y21" s="455"/>
    </row>
    <row r="22">
      <c r="A22" s="455"/>
      <c r="B22" s="1356"/>
      <c r="C22" s="1357" t="b">
        <v>0</v>
      </c>
      <c r="D22" s="1382"/>
      <c r="E22" s="1359" t="s">
        <v>1853</v>
      </c>
      <c r="F22" s="375"/>
      <c r="G22" s="1360"/>
      <c r="H22" s="1361" t="str">
        <f>IFNA(VLOOKUP($E22,'法術資料'!$K$2:$X$805,4,FALSE),"")</f>
        <v>塑能</v>
      </c>
      <c r="I22" s="1362" t="str">
        <f>IFNA(VLOOKUP($E22,'法術資料'!$K$2:$X$805,7,FALSE),"")</f>
        <v>動作</v>
      </c>
      <c r="J22" s="375"/>
      <c r="K22" s="1360"/>
      <c r="L22" s="1362" t="str">
        <f>IFNA(VLOOKUP($E22,'法術資料'!$K$2:$X$805,8,FALSE),"")</f>
        <v>60 呎</v>
      </c>
      <c r="M22" s="1360"/>
      <c r="N22" s="1363" t="str">
        <f>IFNA(VLOOKUP($E22,'法術資料'!$K$2:$X$805,14,FALSE),"")</f>
        <v> 你在施法距離內一點創造出一顆酸液泡，在該點5呎球狀範圍內爆發。該球狀區域內的每個生物必須通過敏捷豁免，否則受到1d6強酸傷害。
  戲法升級。此法術的傷害會在你達到下列等級時提升1d6：5級（2d6）、11級（3d6）以及17級（4d6）。</v>
      </c>
      <c r="O22" s="1360"/>
      <c r="P22" s="1364" t="str">
        <f>IFNA(VLOOKUP($E22,'法術資料'!$K$2:$X$805,13,FALSE),"")</f>
        <v>即效</v>
      </c>
      <c r="Q22" s="1365" t="b">
        <f>IFNA(VLOOKUP($E22,'法術資料'!$K$2:$X$805,5,FALSE),"")</f>
        <v>0</v>
      </c>
      <c r="R22" s="1365" t="b">
        <f>IFNA(VLOOKUP($E22,'法術資料'!$K$2:$X$805,6,FALSE),"")</f>
        <v>0</v>
      </c>
      <c r="S22" s="1366" t="b">
        <f>IFNA(VLOOKUP($E22,'法術資料'!$K$2:$X$805,9,FALSE),"")</f>
        <v>1</v>
      </c>
      <c r="T22" s="1367" t="b">
        <f>IFNA(VLOOKUP($E22,'法術資料'!$K$2:$X$805,10,FALSE),"")</f>
        <v>1</v>
      </c>
      <c r="U22" s="1367" t="b">
        <f>IFNA(VLOOKUP($E22,'法術資料'!$K$2:$X$805,11,FALSE),"")</f>
        <v>0</v>
      </c>
      <c r="V22" s="1368" t="str">
        <f>IFNA(VLOOKUP($E22,'法術資料'!$K$2:$W$805,12,FALSE),"")</f>
        <v/>
      </c>
      <c r="W22" s="376"/>
      <c r="X22" s="1369"/>
      <c r="Y22" s="455"/>
    </row>
    <row r="23">
      <c r="A23" s="455"/>
      <c r="B23" s="1356"/>
      <c r="C23" s="1370" t="b">
        <v>0</v>
      </c>
      <c r="D23" s="1383"/>
      <c r="E23" s="1372"/>
      <c r="F23" s="375"/>
      <c r="G23" s="1360"/>
      <c r="H23" s="1373" t="str">
        <f>IFNA(VLOOKUP($E23,'法術資料'!$K$2:$X$805,4,FALSE),"")</f>
        <v/>
      </c>
      <c r="I23" s="1374" t="str">
        <f>IFNA(VLOOKUP($E23,'法術資料'!$K$2:$X$805,7,FALSE),"")</f>
        <v/>
      </c>
      <c r="J23" s="375"/>
      <c r="K23" s="1360"/>
      <c r="L23" s="1374" t="str">
        <f>IFNA(VLOOKUP($E23,'法術資料'!$K$2:$X$805,8,FALSE),"")</f>
        <v/>
      </c>
      <c r="M23" s="1360"/>
      <c r="N23" s="1375" t="str">
        <f>IFNA(VLOOKUP($E23,'法術資料'!$K$2:$X$805,14,FALSE),"")</f>
        <v/>
      </c>
      <c r="O23" s="1360"/>
      <c r="P23" s="1376" t="str">
        <f>IFNA(VLOOKUP($E23,'法術資料'!$K$2:$X$805,13,FALSE),"")</f>
        <v/>
      </c>
      <c r="Q23" s="1377" t="str">
        <f>IFNA(VLOOKUP($E23,'法術資料'!$K$2:$X$805,5,FALSE),"")</f>
        <v/>
      </c>
      <c r="R23" s="1377" t="str">
        <f>IFNA(VLOOKUP($E23,'法術資料'!$K$2:$X$805,6,FALSE),"")</f>
        <v/>
      </c>
      <c r="S23" s="1378" t="str">
        <f>IFNA(VLOOKUP($E23,'法術資料'!$K$2:$X$805,9,FALSE),"")</f>
        <v/>
      </c>
      <c r="T23" s="1379" t="str">
        <f>IFNA(VLOOKUP($E23,'法術資料'!$K$2:$X$805,10,FALSE),"")</f>
        <v/>
      </c>
      <c r="U23" s="1379" t="str">
        <f>IFNA(VLOOKUP($E23,'法術資料'!$K$2:$X$805,11,FALSE),"")</f>
        <v/>
      </c>
      <c r="V23" s="1380" t="str">
        <f>IFNA(VLOOKUP($E23,'法術資料'!$K$2:$W$805,12,FALSE),"")</f>
        <v/>
      </c>
      <c r="W23" s="376"/>
      <c r="X23" s="1369"/>
      <c r="Y23" s="455"/>
    </row>
    <row r="24">
      <c r="A24" s="455"/>
      <c r="B24" s="1356"/>
      <c r="C24" s="1357" t="b">
        <v>0</v>
      </c>
      <c r="D24" s="1382"/>
      <c r="E24" s="1384"/>
      <c r="F24" s="375"/>
      <c r="G24" s="1360"/>
      <c r="H24" s="1361" t="str">
        <f>IFNA(VLOOKUP($E24,'法術資料'!$K$2:$X$805,4,FALSE),"")</f>
        <v/>
      </c>
      <c r="I24" s="1362" t="str">
        <f>IFNA(VLOOKUP($E24,'法術資料'!$K$2:$X$805,7,FALSE),"")</f>
        <v/>
      </c>
      <c r="J24" s="375"/>
      <c r="K24" s="1360"/>
      <c r="L24" s="1362" t="str">
        <f>IFNA(VLOOKUP($E24,'法術資料'!$K$2:$X$805,8,FALSE),"")</f>
        <v/>
      </c>
      <c r="M24" s="1360"/>
      <c r="N24" s="1363" t="str">
        <f>IFNA(VLOOKUP($E24,'法術資料'!$K$2:$X$805,14,FALSE),"")</f>
        <v/>
      </c>
      <c r="O24" s="1360"/>
      <c r="P24" s="1364" t="str">
        <f>IFNA(VLOOKUP($E24,'法術資料'!$K$2:$X$805,13,FALSE),"")</f>
        <v/>
      </c>
      <c r="Q24" s="1365" t="str">
        <f>IFNA(VLOOKUP($E24,'法術資料'!$K$2:$X$805,5,FALSE),"")</f>
        <v/>
      </c>
      <c r="R24" s="1365" t="str">
        <f>IFNA(VLOOKUP($E24,'法術資料'!$K$2:$X$805,6,FALSE),"")</f>
        <v/>
      </c>
      <c r="S24" s="1366" t="str">
        <f>IFNA(VLOOKUP($E24,'法術資料'!$K$2:$X$805,9,FALSE),"")</f>
        <v/>
      </c>
      <c r="T24" s="1367" t="str">
        <f>IFNA(VLOOKUP($E24,'法術資料'!$K$2:$X$805,10,FALSE),"")</f>
        <v/>
      </c>
      <c r="U24" s="1367" t="str">
        <f>IFNA(VLOOKUP($E24,'法術資料'!$K$2:$X$805,11,FALSE),"")</f>
        <v/>
      </c>
      <c r="V24" s="1368" t="str">
        <f>IFNA(VLOOKUP($E24,'法術資料'!$K$2:$W$805,12,FALSE),"")</f>
        <v/>
      </c>
      <c r="W24" s="376"/>
      <c r="X24" s="1369"/>
      <c r="Y24" s="455"/>
    </row>
    <row r="25">
      <c r="A25" s="455"/>
      <c r="B25" s="1356"/>
      <c r="C25" s="1370" t="b">
        <v>0</v>
      </c>
      <c r="D25" s="1381"/>
      <c r="E25" s="1385"/>
      <c r="F25" s="375"/>
      <c r="G25" s="1360"/>
      <c r="H25" s="1373" t="str">
        <f>IFNA(VLOOKUP($E25,'法術資料'!$K$2:$X$805,4,FALSE),"")</f>
        <v/>
      </c>
      <c r="I25" s="1374" t="str">
        <f>IFNA(VLOOKUP($E25,'法術資料'!$K$2:$X$805,7,FALSE),"")</f>
        <v/>
      </c>
      <c r="J25" s="375"/>
      <c r="K25" s="1360"/>
      <c r="L25" s="1374" t="str">
        <f>IFNA(VLOOKUP($E25,'法術資料'!$K$2:$X$805,8,FALSE),"")</f>
        <v/>
      </c>
      <c r="M25" s="1360"/>
      <c r="N25" s="1375" t="str">
        <f>IFNA(VLOOKUP($E25,'法術資料'!$K$2:$X$805,14,FALSE),"")</f>
        <v/>
      </c>
      <c r="O25" s="1360"/>
      <c r="P25" s="1376" t="str">
        <f>IFNA(VLOOKUP($E25,'法術資料'!$K$2:$X$805,13,FALSE),"")</f>
        <v/>
      </c>
      <c r="Q25" s="1377" t="str">
        <f>IFNA(VLOOKUP($E25,'法術資料'!$K$2:$X$805,5,FALSE),"")</f>
        <v/>
      </c>
      <c r="R25" s="1377" t="str">
        <f>IFNA(VLOOKUP($E25,'法術資料'!$K$2:$X$805,6,FALSE),"")</f>
        <v/>
      </c>
      <c r="S25" s="1378" t="str">
        <f>IFNA(VLOOKUP($E25,'法術資料'!$K$2:$X$805,9,FALSE),"")</f>
        <v/>
      </c>
      <c r="T25" s="1379" t="str">
        <f>IFNA(VLOOKUP($E25,'法術資料'!$K$2:$X$805,10,FALSE),"")</f>
        <v/>
      </c>
      <c r="U25" s="1379" t="str">
        <f>IFNA(VLOOKUP($E25,'法術資料'!$K$2:$X$805,11,FALSE),"")</f>
        <v/>
      </c>
      <c r="V25" s="1380" t="str">
        <f>IFNA(VLOOKUP($E25,'法術資料'!$K$2:$W$805,12,FALSE),"")</f>
        <v/>
      </c>
      <c r="W25" s="376"/>
      <c r="X25" s="1369"/>
      <c r="Y25" s="455"/>
    </row>
    <row r="26">
      <c r="A26" s="455"/>
      <c r="B26" s="1356"/>
      <c r="C26" s="1357" t="b">
        <v>0</v>
      </c>
      <c r="D26" s="1382"/>
      <c r="E26" s="1384"/>
      <c r="F26" s="375"/>
      <c r="G26" s="1360"/>
      <c r="H26" s="1361" t="str">
        <f>IFNA(VLOOKUP($E26,'法術資料'!$K$2:$X$805,4,FALSE),"")</f>
        <v/>
      </c>
      <c r="I26" s="1362" t="str">
        <f>IFNA(VLOOKUP($E26,'法術資料'!$K$2:$X$805,7,FALSE),"")</f>
        <v/>
      </c>
      <c r="J26" s="375"/>
      <c r="K26" s="1360"/>
      <c r="L26" s="1362" t="str">
        <f>IFNA(VLOOKUP($E26,'法術資料'!$K$2:$X$805,8,FALSE),"")</f>
        <v/>
      </c>
      <c r="M26" s="1360"/>
      <c r="N26" s="1363" t="str">
        <f>IFNA(VLOOKUP($E26,'法術資料'!$K$2:$X$805,14,FALSE),"")</f>
        <v/>
      </c>
      <c r="O26" s="1360"/>
      <c r="P26" s="1364" t="str">
        <f>IFNA(VLOOKUP($E26,'法術資料'!$K$2:$X$805,13,FALSE),"")</f>
        <v/>
      </c>
      <c r="Q26" s="1365" t="str">
        <f>IFNA(VLOOKUP($E26,'法術資料'!$K$2:$X$805,5,FALSE),"")</f>
        <v/>
      </c>
      <c r="R26" s="1365" t="str">
        <f>IFNA(VLOOKUP($E26,'法術資料'!$K$2:$X$805,6,FALSE),"")</f>
        <v/>
      </c>
      <c r="S26" s="1366" t="str">
        <f>IFNA(VLOOKUP($E26,'法術資料'!$K$2:$X$805,9,FALSE),"")</f>
        <v/>
      </c>
      <c r="T26" s="1367" t="str">
        <f>IFNA(VLOOKUP($E26,'法術資料'!$K$2:$X$805,10,FALSE),"")</f>
        <v/>
      </c>
      <c r="U26" s="1367" t="str">
        <f>IFNA(VLOOKUP($E26,'法術資料'!$K$2:$X$805,11,FALSE),"")</f>
        <v/>
      </c>
      <c r="V26" s="1368" t="str">
        <f>IFNA(VLOOKUP($E26,'法術資料'!$K$2:$W$805,12,FALSE),"")</f>
        <v/>
      </c>
      <c r="W26" s="376"/>
      <c r="X26" s="1369"/>
      <c r="Y26" s="455"/>
    </row>
    <row r="27">
      <c r="A27" s="455"/>
      <c r="B27" s="1356"/>
      <c r="C27" s="1386" t="b">
        <v>0</v>
      </c>
      <c r="D27" s="1387"/>
      <c r="E27" s="1388"/>
      <c r="F27" s="417"/>
      <c r="G27" s="1389"/>
      <c r="H27" s="1390" t="str">
        <f>IFNA(VLOOKUP($E27,'法術資料'!$K$2:$X$805,4,FALSE),"")</f>
        <v/>
      </c>
      <c r="I27" s="1391" t="str">
        <f>IFNA(VLOOKUP($E27,'法術資料'!$K$2:$X$805,7,FALSE),"")</f>
        <v/>
      </c>
      <c r="J27" s="417"/>
      <c r="K27" s="1389"/>
      <c r="L27" s="1391" t="str">
        <f>IFNA(VLOOKUP($E27,'法術資料'!$K$2:$X$805,8,FALSE),"")</f>
        <v/>
      </c>
      <c r="M27" s="1389"/>
      <c r="N27" s="1392" t="str">
        <f>IFNA(VLOOKUP($E27,'法術資料'!$K$2:$X$805,14,FALSE),"")</f>
        <v/>
      </c>
      <c r="O27" s="1389"/>
      <c r="P27" s="1393" t="str">
        <f>IFNA(VLOOKUP($E27,'法術資料'!$K$2:$X$805,13,FALSE),"")</f>
        <v/>
      </c>
      <c r="Q27" s="1394" t="str">
        <f>IFNA(VLOOKUP($E27,'法術資料'!$K$2:$X$805,5,FALSE),"")</f>
        <v/>
      </c>
      <c r="R27" s="1394" t="str">
        <f>IFNA(VLOOKUP($E27,'法術資料'!$K$2:$X$805,6,FALSE),"")</f>
        <v/>
      </c>
      <c r="S27" s="1395" t="str">
        <f>IFNA(VLOOKUP($E27,'法術資料'!$K$2:$X$805,9,FALSE),"")</f>
        <v/>
      </c>
      <c r="T27" s="1396" t="str">
        <f>IFNA(VLOOKUP($E27,'法術資料'!$K$2:$X$805,10,FALSE),"")</f>
        <v/>
      </c>
      <c r="U27" s="1396" t="str">
        <f>IFNA(VLOOKUP($E27,'法術資料'!$K$2:$X$805,11,FALSE),"")</f>
        <v/>
      </c>
      <c r="V27" s="1397" t="str">
        <f>IFNA(VLOOKUP($E27,'法術資料'!$K$2:$W$805,12,FALSE),"")</f>
        <v/>
      </c>
      <c r="W27" s="517"/>
      <c r="X27" s="1369"/>
      <c r="Y27" s="455"/>
    </row>
    <row r="28" ht="15.0" customHeight="1">
      <c r="A28" s="455"/>
      <c r="B28" s="1302"/>
      <c r="C28" s="1302"/>
      <c r="D28" s="1398"/>
      <c r="E28" s="1302"/>
      <c r="F28" s="1302"/>
      <c r="G28" s="1302"/>
      <c r="H28" s="1302"/>
      <c r="I28" s="1302"/>
      <c r="J28" s="1302"/>
      <c r="K28" s="1302"/>
      <c r="L28" s="1302"/>
      <c r="M28" s="1302"/>
      <c r="N28" s="1302"/>
      <c r="O28" s="1302"/>
      <c r="P28" s="1302"/>
      <c r="Q28" s="1302"/>
      <c r="R28" s="1302"/>
      <c r="S28" s="1302"/>
      <c r="T28" s="1302"/>
      <c r="U28" s="1302"/>
      <c r="V28" s="1302"/>
      <c r="W28" s="1302"/>
      <c r="X28" s="1302"/>
      <c r="Y28" s="455"/>
    </row>
    <row r="29" ht="15.0" customHeight="1">
      <c r="A29" s="455"/>
      <c r="B29" s="1302"/>
      <c r="C29" s="1302"/>
      <c r="D29" s="1398"/>
      <c r="E29" s="1302"/>
      <c r="F29" s="1302"/>
      <c r="G29" s="1302"/>
      <c r="H29" s="1302"/>
      <c r="I29" s="1302"/>
      <c r="J29" s="1302"/>
      <c r="K29" s="1302"/>
      <c r="L29" s="1302"/>
      <c r="M29" s="1302"/>
      <c r="N29" s="1302"/>
      <c r="O29" s="1302"/>
      <c r="P29" s="1302"/>
      <c r="Q29" s="1302"/>
      <c r="R29" s="1302"/>
      <c r="S29" s="1302"/>
      <c r="T29" s="1302"/>
      <c r="U29" s="1302"/>
      <c r="V29" s="1302"/>
      <c r="W29" s="1302"/>
      <c r="X29" s="1302"/>
      <c r="Y29" s="455"/>
    </row>
    <row r="30" ht="18.0" customHeight="1">
      <c r="A30" s="455"/>
      <c r="B30" s="1399"/>
      <c r="C30" s="1339" t="s">
        <v>1854</v>
      </c>
      <c r="D30" s="19"/>
      <c r="E30" s="19"/>
      <c r="F30" s="19"/>
      <c r="G30" s="19"/>
      <c r="H30" s="19"/>
      <c r="I30" s="19"/>
      <c r="J30" s="19"/>
      <c r="K30" s="19"/>
      <c r="L30" s="19"/>
      <c r="M30" s="19"/>
      <c r="N30" s="19"/>
      <c r="O30" s="19"/>
      <c r="P30" s="19"/>
      <c r="Q30" s="19"/>
      <c r="R30" s="19"/>
      <c r="S30" s="19"/>
      <c r="T30" s="19"/>
      <c r="U30" s="19"/>
      <c r="V30" s="19"/>
      <c r="W30" s="20"/>
      <c r="X30" s="1399"/>
      <c r="Y30" s="455"/>
    </row>
    <row r="31" ht="15.0" customHeight="1">
      <c r="A31" s="455"/>
      <c r="B31" s="1340"/>
      <c r="C31" s="1341" t="s">
        <v>1834</v>
      </c>
      <c r="D31" s="1342" t="s">
        <v>1835</v>
      </c>
      <c r="E31" s="1343" t="s">
        <v>1836</v>
      </c>
      <c r="F31" s="152"/>
      <c r="G31" s="1344"/>
      <c r="H31" s="1345" t="s">
        <v>1837</v>
      </c>
      <c r="I31" s="1345" t="s">
        <v>1838</v>
      </c>
      <c r="J31" s="152"/>
      <c r="K31" s="152"/>
      <c r="L31" s="1346" t="s">
        <v>1839</v>
      </c>
      <c r="M31" s="152"/>
      <c r="N31" s="1345" t="s">
        <v>1840</v>
      </c>
      <c r="O31" s="1344"/>
      <c r="P31" s="1347" t="s">
        <v>1841</v>
      </c>
      <c r="Q31" s="1348" t="s">
        <v>1842</v>
      </c>
      <c r="R31" s="1347" t="s">
        <v>1843</v>
      </c>
      <c r="S31" s="1349" t="s">
        <v>1844</v>
      </c>
      <c r="T31" s="354"/>
      <c r="U31" s="1350"/>
      <c r="V31" s="1345" t="s">
        <v>1845</v>
      </c>
      <c r="W31" s="175"/>
      <c r="X31" s="1340"/>
      <c r="Y31" s="455"/>
    </row>
    <row r="32" ht="15.0" customHeight="1">
      <c r="A32" s="455"/>
      <c r="B32" s="1340"/>
      <c r="C32" s="1187"/>
      <c r="E32" s="1351"/>
      <c r="G32" s="1187"/>
      <c r="H32" s="1352"/>
      <c r="I32" s="1352"/>
      <c r="L32" s="1351"/>
      <c r="N32" s="1352"/>
      <c r="O32" s="1187"/>
      <c r="P32" s="1353"/>
      <c r="Q32" s="1353"/>
      <c r="R32" s="1353"/>
      <c r="S32" s="1354" t="s">
        <v>1846</v>
      </c>
      <c r="T32" s="1355" t="s">
        <v>1847</v>
      </c>
      <c r="U32" s="1355" t="s">
        <v>1848</v>
      </c>
      <c r="V32" s="1352"/>
      <c r="W32" s="318"/>
      <c r="X32" s="1340"/>
      <c r="Y32" s="455"/>
    </row>
    <row r="33">
      <c r="A33" s="455"/>
      <c r="B33" s="1356"/>
      <c r="C33" s="1400" t="b">
        <v>0</v>
      </c>
      <c r="D33" s="1401"/>
      <c r="E33" s="1402" t="s">
        <v>1855</v>
      </c>
      <c r="F33" s="356"/>
      <c r="G33" s="1403"/>
      <c r="H33" s="1361" t="str">
        <f>IFNA(VLOOKUP($E33,'法術資料'!$K$2:$X$805,4,FALSE),"")</f>
        <v>防護</v>
      </c>
      <c r="I33" s="1362" t="str">
        <f>IFNA(VLOOKUP($E33,'法術資料'!$K$2:$X$805,7,FALSE),"")</f>
        <v>動作</v>
      </c>
      <c r="J33" s="375"/>
      <c r="K33" s="1360"/>
      <c r="L33" s="1362" t="str">
        <f>IFNA(VLOOKUP($E33,'法術資料'!$K$2:$X$805,8,FALSE),"")</f>
        <v>觸碰</v>
      </c>
      <c r="M33" s="1360"/>
      <c r="N33" s="1363" t="str">
        <f>IFNA(VLOOKUP($E33,'法術資料'!$K$2:$X$805,14,FALSE),"")</f>
        <v>你觸碰一個未著裝護甲的自願生物。直到法術終止前，目標的基礎AC 變成13+它的敏捷調整值。目標著裝護甲則法術提前終止。</v>
      </c>
      <c r="O33" s="1360"/>
      <c r="P33" s="1364" t="str">
        <f>IFNA(VLOOKUP($E33,'法術資料'!$K$2:$X$805,13,FALSE),"")</f>
        <v>8 小時</v>
      </c>
      <c r="Q33" s="1365" t="b">
        <f>IFNA(VLOOKUP($E33,'法術資料'!$K$2:$X$805,5,FALSE),"")</f>
        <v>0</v>
      </c>
      <c r="R33" s="1365" t="b">
        <f>IFNA(VLOOKUP($E33,'法術資料'!$K$2:$X$805,6,FALSE),"")</f>
        <v>0</v>
      </c>
      <c r="S33" s="1366" t="b">
        <f>IFNA(VLOOKUP($E33,'法術資料'!$K$2:$X$805,9,FALSE),"")</f>
        <v>1</v>
      </c>
      <c r="T33" s="1367" t="b">
        <f>IFNA(VLOOKUP($E33,'法術資料'!$K$2:$X$805,10,FALSE),"")</f>
        <v>1</v>
      </c>
      <c r="U33" s="1367" t="b">
        <f>IFNA(VLOOKUP($E33,'法術資料'!$K$2:$X$805,11,FALSE),"")</f>
        <v>1</v>
      </c>
      <c r="V33" s="1368" t="str">
        <f>IFNA(VLOOKUP($E33,'法術資料'!$K$2:$W$805,12,FALSE),"")</f>
        <v>一塊鞣製過的皮革</v>
      </c>
      <c r="W33" s="376"/>
      <c r="X33" s="1369"/>
      <c r="Y33" s="455"/>
    </row>
    <row r="34">
      <c r="A34" s="455"/>
      <c r="B34" s="1356"/>
      <c r="C34" s="1370" t="b">
        <v>0</v>
      </c>
      <c r="D34" s="1371"/>
      <c r="E34" s="1372" t="s">
        <v>1856</v>
      </c>
      <c r="F34" s="375"/>
      <c r="G34" s="1360"/>
      <c r="H34" s="1373" t="str">
        <f>IFNA(VLOOKUP($E34,'法術資料'!$K$2:$X$805,4,FALSE),"")</f>
        <v>防護</v>
      </c>
      <c r="I34" s="1374" t="str">
        <f>IFNA(VLOOKUP($E34,'法術資料'!$K$2:$X$805,7,FALSE),"")</f>
        <v>反應，當你被攻擊命中或被作為魔法飛彈法術的目標時</v>
      </c>
      <c r="J34" s="375"/>
      <c r="K34" s="1360"/>
      <c r="L34" s="1374" t="str">
        <f>IFNA(VLOOKUP($E34,'法術資料'!$K$2:$X$805,8,FALSE),"")</f>
        <v>自身</v>
      </c>
      <c r="M34" s="1360"/>
      <c r="N34" s="1375" t="str">
        <f>IFNA(VLOOKUP($E34,'法術資料'!$K$2:$X$805,14,FALSE),"")</f>
        <v>  一道看不見的力場製護盾浮現在你身旁，保護著你。在你的下一回合開始前，你的AC 有+5 加值（在觸發該法術的攻擊之前生效），並且不會受到魔法導彈的傷害。</v>
      </c>
      <c r="O34" s="1360"/>
      <c r="P34" s="1376" t="str">
        <f>IFNA(VLOOKUP($E34,'法術資料'!$K$2:$X$805,13,FALSE),"")</f>
        <v>1 輪</v>
      </c>
      <c r="Q34" s="1377" t="b">
        <f>IFNA(VLOOKUP($E34,'法術資料'!$K$2:$X$805,5,FALSE),"")</f>
        <v>0</v>
      </c>
      <c r="R34" s="1377" t="b">
        <f>IFNA(VLOOKUP($E34,'法術資料'!$K$2:$X$805,6,FALSE),"")</f>
        <v>0</v>
      </c>
      <c r="S34" s="1378" t="b">
        <f>IFNA(VLOOKUP($E34,'法術資料'!$K$2:$X$805,9,FALSE),"")</f>
        <v>1</v>
      </c>
      <c r="T34" s="1379" t="b">
        <f>IFNA(VLOOKUP($E34,'法術資料'!$K$2:$X$805,10,FALSE),"")</f>
        <v>1</v>
      </c>
      <c r="U34" s="1379" t="b">
        <f>IFNA(VLOOKUP($E34,'法術資料'!$K$2:$X$805,11,FALSE),"")</f>
        <v>0</v>
      </c>
      <c r="V34" s="1380" t="str">
        <f>IFNA(VLOOKUP($E34,'法術資料'!$K$2:$W$805,12,FALSE),"")</f>
        <v/>
      </c>
      <c r="W34" s="376"/>
      <c r="X34" s="1369"/>
      <c r="Y34" s="455"/>
    </row>
    <row r="35">
      <c r="A35" s="455"/>
      <c r="B35" s="1356"/>
      <c r="C35" s="1357" t="b">
        <v>0</v>
      </c>
      <c r="D35" s="1358"/>
      <c r="E35" s="1359" t="s">
        <v>1857</v>
      </c>
      <c r="F35" s="375"/>
      <c r="G35" s="1360"/>
      <c r="H35" s="1361" t="str">
        <f>IFNA(VLOOKUP($E35,'法術資料'!$K$2:$X$805,4,FALSE),"")</f>
        <v>惑控</v>
      </c>
      <c r="I35" s="1362" t="str">
        <f>IFNA(VLOOKUP($E35,'法術資料'!$K$2:$X$805,7,FALSE),"")</f>
        <v>動作</v>
      </c>
      <c r="J35" s="375"/>
      <c r="K35" s="1360"/>
      <c r="L35" s="1362" t="str">
        <f>IFNA(VLOOKUP($E35,'法術資料'!$K$2:$X$805,8,FALSE),"")</f>
        <v>60 呎</v>
      </c>
      <c r="M35" s="1360"/>
      <c r="N35" s="1363" t="str">
        <f>IFNA(VLOOKUP($E35,'法術資料'!$K$2:$X$805,14,FALSE),"")</f>
        <v>以施法距離內一點為源點，5呎半徑球狀區域內每個你選擇的生物都必須成功通過一次感知豁免否則直到其下個回合結束陷入失能狀態。在其下個回合結束時，它必須重複此豁免。如果目標第二次豁免失敗，目標在持續時間內陷入昏迷狀態。如果目標受到傷害，或其5呎內有人用一個動作將它搖醒，目標身上的法術結束。
  不會睡眠的生物，例如精靈或免疫力竭Exhaustion狀態的生物自動成功通過對抗此法術的豁免。</v>
      </c>
      <c r="O35" s="1360"/>
      <c r="P35" s="1364" t="str">
        <f>IFNA(VLOOKUP($E35,'法術資料'!$K$2:$X$805,13,FALSE),"")</f>
        <v>最多 1 分鐘</v>
      </c>
      <c r="Q35" s="1365" t="b">
        <f>IFNA(VLOOKUP($E35,'法術資料'!$K$2:$X$805,5,FALSE),"")</f>
        <v>1</v>
      </c>
      <c r="R35" s="1365" t="b">
        <f>IFNA(VLOOKUP($E35,'法術資料'!$K$2:$X$805,6,FALSE),"")</f>
        <v>0</v>
      </c>
      <c r="S35" s="1366" t="b">
        <f>IFNA(VLOOKUP($E35,'法術資料'!$K$2:$X$805,9,FALSE),"")</f>
        <v>1</v>
      </c>
      <c r="T35" s="1367" t="b">
        <f>IFNA(VLOOKUP($E35,'法術資料'!$K$2:$X$805,10,FALSE),"")</f>
        <v>1</v>
      </c>
      <c r="U35" s="1367" t="b">
        <f>IFNA(VLOOKUP($E35,'法術資料'!$K$2:$X$805,11,FALSE),"")</f>
        <v>1</v>
      </c>
      <c r="V35" s="1368" t="str">
        <f>IFNA(VLOOKUP($E35,'法術資料'!$K$2:$W$805,12,FALSE),"")</f>
        <v>一把細沙或玫瑰花瓣</v>
      </c>
      <c r="W35" s="376"/>
      <c r="X35" s="1369"/>
      <c r="Y35" s="455"/>
    </row>
    <row r="36">
      <c r="A36" s="455"/>
      <c r="B36" s="1356"/>
      <c r="C36" s="1370" t="b">
        <v>0</v>
      </c>
      <c r="D36" s="1371"/>
      <c r="E36" s="1372" t="s">
        <v>1858</v>
      </c>
      <c r="F36" s="375"/>
      <c r="G36" s="1360"/>
      <c r="H36" s="1373" t="str">
        <f>IFNA(VLOOKUP($E36,'法術資料'!$K$2:$X$805,4,FALSE),"")</f>
        <v>塑能</v>
      </c>
      <c r="I36" s="1374" t="str">
        <f>IFNA(VLOOKUP($E36,'法術資料'!$K$2:$X$805,7,FALSE),"")</f>
        <v>動作</v>
      </c>
      <c r="J36" s="375"/>
      <c r="K36" s="1360"/>
      <c r="L36" s="1374" t="str">
        <f>IFNA(VLOOKUP($E36,'法術資料'!$K$2:$X$805,8,FALSE),"")</f>
        <v>60 呎</v>
      </c>
      <c r="M36" s="1360"/>
      <c r="N36" s="1375" t="str">
        <f>IFNA(VLOOKUP($E36,'法術資料'!$K$2:$X$805,14,FALSE),"")</f>
        <v>一支纏繞著碎裂魔力的藍色能量長矛射向施法距離內的一個生物，並在你與目標之間生成一道持久的閃電弧。對目標進行一次遠程法術攻擊。若命中，目標受到2d12 點閃電傷害。  在你接下來的每個回合中，即使首次攻擊打失，你仍可以用附贈動作直接對目標造成1d12點閃電傷害。  此外，如果目標離開法術的施法距離或相對你處於全身掩護狀態，法術也會隨即終止。
升環施法效應：使用的法術位每比一環高一環，初始傷害就提高1d12。</v>
      </c>
      <c r="O36" s="1360"/>
      <c r="P36" s="1376" t="str">
        <f>IFNA(VLOOKUP($E36,'法術資料'!$K$2:$X$805,13,FALSE),"")</f>
        <v>最多 1 分鐘</v>
      </c>
      <c r="Q36" s="1377" t="b">
        <f>IFNA(VLOOKUP($E36,'法術資料'!$K$2:$X$805,5,FALSE),"")</f>
        <v>1</v>
      </c>
      <c r="R36" s="1377" t="b">
        <f>IFNA(VLOOKUP($E36,'法術資料'!$K$2:$X$805,6,FALSE),"")</f>
        <v>0</v>
      </c>
      <c r="S36" s="1378" t="b">
        <f>IFNA(VLOOKUP($E36,'法術資料'!$K$2:$X$805,9,FALSE),"")</f>
        <v>1</v>
      </c>
      <c r="T36" s="1379" t="b">
        <f>IFNA(VLOOKUP($E36,'法術資料'!$K$2:$X$805,10,FALSE),"")</f>
        <v>1</v>
      </c>
      <c r="U36" s="1379" t="b">
        <f>IFNA(VLOOKUP($E36,'法術資料'!$K$2:$X$805,11,FALSE),"")</f>
        <v>1</v>
      </c>
      <c r="V36" s="1380" t="str">
        <f>IFNA(VLOOKUP($E36,'法術資料'!$K$2:$W$805,12,FALSE),"")</f>
        <v>一根被閃電擊中的樹枝</v>
      </c>
      <c r="W36" s="376"/>
      <c r="X36" s="1369"/>
      <c r="Y36" s="455"/>
    </row>
    <row r="37">
      <c r="A37" s="455"/>
      <c r="B37" s="1356"/>
      <c r="C37" s="1357" t="b">
        <v>0</v>
      </c>
      <c r="D37" s="1358"/>
      <c r="E37" s="1359" t="s">
        <v>1859</v>
      </c>
      <c r="F37" s="375"/>
      <c r="G37" s="1360"/>
      <c r="H37" s="1361" t="str">
        <f>IFNA(VLOOKUP($E37,'法術資料'!$K$2:$X$805,4,FALSE),"")</f>
        <v>變化</v>
      </c>
      <c r="I37" s="1362" t="str">
        <f>IFNA(VLOOKUP($E37,'法術資料'!$K$2:$X$805,7,FALSE),"")</f>
        <v>附贈動作</v>
      </c>
      <c r="J37" s="375"/>
      <c r="K37" s="1360"/>
      <c r="L37" s="1362" t="str">
        <f>IFNA(VLOOKUP($E37,'法術資料'!$K$2:$X$805,8,FALSE),"")</f>
        <v>觸碰</v>
      </c>
      <c r="M37" s="1360"/>
      <c r="N37" s="1363" t="str">
        <f>IFNA(VLOOKUP($E37,'法術資料'!$K$2:$X$805,14,FALSE),"")</f>
        <v>你觸碰一個自願生物。在法術結束前，每個他的回合內一次該生物可以消耗10呎移動力來跳躍30呎。
  升環施法效應：使用二環或更高法術位施展該法術時，你使用的法術位每比一環高一環，就可以額外指定一個生物作為目標。</v>
      </c>
      <c r="O37" s="1360"/>
      <c r="P37" s="1364" t="str">
        <f>IFNA(VLOOKUP($E37,'法術資料'!$K$2:$X$805,13,FALSE),"")</f>
        <v>1 分鐘</v>
      </c>
      <c r="Q37" s="1365" t="b">
        <f>IFNA(VLOOKUP($E37,'法術資料'!$K$2:$X$805,5,FALSE),"")</f>
        <v>0</v>
      </c>
      <c r="R37" s="1365" t="b">
        <f>IFNA(VLOOKUP($E37,'法術資料'!$K$2:$X$805,6,FALSE),"")</f>
        <v>0</v>
      </c>
      <c r="S37" s="1366" t="b">
        <f>IFNA(VLOOKUP($E37,'法術資料'!$K$2:$X$805,9,FALSE),"")</f>
        <v>1</v>
      </c>
      <c r="T37" s="1367" t="b">
        <f>IFNA(VLOOKUP($E37,'法術資料'!$K$2:$X$805,10,FALSE),"")</f>
        <v>1</v>
      </c>
      <c r="U37" s="1367" t="b">
        <f>IFNA(VLOOKUP($E37,'法術資料'!$K$2:$X$805,11,FALSE),"")</f>
        <v>1</v>
      </c>
      <c r="V37" s="1368" t="str">
        <f>IFNA(VLOOKUP($E37,'法術資料'!$K$2:$W$805,12,FALSE),"")</f>
        <v>一支蚱蜢的後腿</v>
      </c>
      <c r="W37" s="376"/>
      <c r="X37" s="1369"/>
      <c r="Y37" s="455"/>
    </row>
    <row r="38">
      <c r="A38" s="455"/>
      <c r="B38" s="1356"/>
      <c r="C38" s="1370" t="b">
        <v>0</v>
      </c>
      <c r="D38" s="1371"/>
      <c r="E38" s="1372"/>
      <c r="F38" s="375"/>
      <c r="G38" s="1360"/>
      <c r="H38" s="1373" t="str">
        <f>IFNA(VLOOKUP($E38,'法術資料'!$K$2:$X$805,4,FALSE),"")</f>
        <v/>
      </c>
      <c r="I38" s="1374" t="str">
        <f>IFNA(VLOOKUP($E38,'法術資料'!$K$2:$X$805,7,FALSE),"")</f>
        <v/>
      </c>
      <c r="J38" s="375"/>
      <c r="K38" s="1360"/>
      <c r="L38" s="1374" t="str">
        <f>IFNA(VLOOKUP($E38,'法術資料'!$K$2:$X$805,8,FALSE),"")</f>
        <v/>
      </c>
      <c r="M38" s="1360"/>
      <c r="N38" s="1375" t="str">
        <f>IFNA(VLOOKUP($E38,'法術資料'!$K$2:$X$805,14,FALSE),"")</f>
        <v/>
      </c>
      <c r="O38" s="1360"/>
      <c r="P38" s="1376" t="str">
        <f>IFNA(VLOOKUP($E38,'法術資料'!$K$2:$X$805,13,FALSE),"")</f>
        <v/>
      </c>
      <c r="Q38" s="1377" t="str">
        <f>IFNA(VLOOKUP($E38,'法術資料'!$K$2:$X$805,5,FALSE),"")</f>
        <v/>
      </c>
      <c r="R38" s="1377" t="str">
        <f>IFNA(VLOOKUP($E38,'法術資料'!$K$2:$X$805,6,FALSE),"")</f>
        <v/>
      </c>
      <c r="S38" s="1378" t="str">
        <f>IFNA(VLOOKUP($E38,'法術資料'!$K$2:$X$805,9,FALSE),"")</f>
        <v/>
      </c>
      <c r="T38" s="1379" t="str">
        <f>IFNA(VLOOKUP($E38,'法術資料'!$K$2:$X$805,10,FALSE),"")</f>
        <v/>
      </c>
      <c r="U38" s="1379" t="str">
        <f>IFNA(VLOOKUP($E38,'法術資料'!$K$2:$X$805,11,FALSE),"")</f>
        <v/>
      </c>
      <c r="V38" s="1380" t="str">
        <f>IFNA(VLOOKUP($E38,'法術資料'!$K$2:$W$805,12,FALSE),"")</f>
        <v/>
      </c>
      <c r="W38" s="376"/>
      <c r="X38" s="1369"/>
      <c r="Y38" s="455"/>
    </row>
    <row r="39">
      <c r="A39" s="455"/>
      <c r="B39" s="1356"/>
      <c r="C39" s="1357" t="b">
        <v>0</v>
      </c>
      <c r="D39" s="1382"/>
      <c r="E39" s="1384"/>
      <c r="F39" s="375"/>
      <c r="G39" s="1360"/>
      <c r="H39" s="1361" t="str">
        <f>IFNA(VLOOKUP($E39,'法術資料'!$K$2:$X$805,4,FALSE),"")</f>
        <v/>
      </c>
      <c r="I39" s="1362" t="str">
        <f>IFNA(VLOOKUP($E39,'法術資料'!$K$2:$X$805,7,FALSE),"")</f>
        <v/>
      </c>
      <c r="J39" s="375"/>
      <c r="K39" s="1360"/>
      <c r="L39" s="1362" t="str">
        <f>IFNA(VLOOKUP($E39,'法術資料'!$K$2:$X$805,8,FALSE),"")</f>
        <v/>
      </c>
      <c r="M39" s="1360"/>
      <c r="N39" s="1363" t="str">
        <f>IFNA(VLOOKUP($E39,'法術資料'!$K$2:$X$805,14,FALSE),"")</f>
        <v/>
      </c>
      <c r="O39" s="1360"/>
      <c r="P39" s="1364" t="str">
        <f>IFNA(VLOOKUP($E39,'法術資料'!$K$2:$X$805,13,FALSE),"")</f>
        <v/>
      </c>
      <c r="Q39" s="1365" t="str">
        <f>IFNA(VLOOKUP($E39,'法術資料'!$K$2:$X$805,5,FALSE),"")</f>
        <v/>
      </c>
      <c r="R39" s="1365" t="str">
        <f>IFNA(VLOOKUP($E39,'法術資料'!$K$2:$X$805,6,FALSE),"")</f>
        <v/>
      </c>
      <c r="S39" s="1366" t="str">
        <f>IFNA(VLOOKUP($E39,'法術資料'!$K$2:$X$805,9,FALSE),"")</f>
        <v/>
      </c>
      <c r="T39" s="1367" t="str">
        <f>IFNA(VLOOKUP($E39,'法術資料'!$K$2:$X$805,10,FALSE),"")</f>
        <v/>
      </c>
      <c r="U39" s="1367" t="str">
        <f>IFNA(VLOOKUP($E39,'法術資料'!$K$2:$X$805,11,FALSE),"")</f>
        <v/>
      </c>
      <c r="V39" s="1368" t="str">
        <f>IFNA(VLOOKUP($E39,'法術資料'!$K$2:$W$805,12,FALSE),"")</f>
        <v/>
      </c>
      <c r="W39" s="376"/>
      <c r="X39" s="1369"/>
      <c r="Y39" s="455"/>
    </row>
    <row r="40">
      <c r="A40" s="455"/>
      <c r="B40" s="1356"/>
      <c r="C40" s="1370" t="b">
        <v>0</v>
      </c>
      <c r="D40" s="1381"/>
      <c r="E40" s="1385"/>
      <c r="F40" s="375"/>
      <c r="G40" s="1360"/>
      <c r="H40" s="1373" t="str">
        <f>IFNA(VLOOKUP($E40,'法術資料'!$K$2:$X$805,4,FALSE),"")</f>
        <v/>
      </c>
      <c r="I40" s="1374" t="str">
        <f>IFNA(VLOOKUP($E40,'法術資料'!$K$2:$X$805,7,FALSE),"")</f>
        <v/>
      </c>
      <c r="J40" s="375"/>
      <c r="K40" s="1360"/>
      <c r="L40" s="1374" t="str">
        <f>IFNA(VLOOKUP($E40,'法術資料'!$K$2:$X$805,8,FALSE),"")</f>
        <v/>
      </c>
      <c r="M40" s="1360"/>
      <c r="N40" s="1375" t="str">
        <f>IFNA(VLOOKUP($E40,'法術資料'!$K$2:$X$805,14,FALSE),"")</f>
        <v/>
      </c>
      <c r="O40" s="1360"/>
      <c r="P40" s="1376" t="str">
        <f>IFNA(VLOOKUP($E40,'法術資料'!$K$2:$X$805,13,FALSE),"")</f>
        <v/>
      </c>
      <c r="Q40" s="1377" t="str">
        <f>IFNA(VLOOKUP($E40,'法術資料'!$K$2:$X$805,5,FALSE),"")</f>
        <v/>
      </c>
      <c r="R40" s="1377" t="str">
        <f>IFNA(VLOOKUP($E40,'法術資料'!$K$2:$X$805,6,FALSE),"")</f>
        <v/>
      </c>
      <c r="S40" s="1378" t="str">
        <f>IFNA(VLOOKUP($E40,'法術資料'!$K$2:$X$805,9,FALSE),"")</f>
        <v/>
      </c>
      <c r="T40" s="1379" t="str">
        <f>IFNA(VLOOKUP($E40,'法術資料'!$K$2:$X$805,10,FALSE),"")</f>
        <v/>
      </c>
      <c r="U40" s="1379" t="str">
        <f>IFNA(VLOOKUP($E40,'法術資料'!$K$2:$X$805,11,FALSE),"")</f>
        <v/>
      </c>
      <c r="V40" s="1380" t="str">
        <f>IFNA(VLOOKUP($E40,'法術資料'!$K$2:$W$805,12,FALSE),"")</f>
        <v/>
      </c>
      <c r="W40" s="376"/>
      <c r="X40" s="1369"/>
      <c r="Y40" s="455"/>
    </row>
    <row r="41">
      <c r="A41" s="455"/>
      <c r="B41" s="1356"/>
      <c r="C41" s="1357" t="b">
        <v>0</v>
      </c>
      <c r="D41" s="1382"/>
      <c r="E41" s="1384"/>
      <c r="F41" s="375"/>
      <c r="G41" s="1360"/>
      <c r="H41" s="1361" t="str">
        <f>IFNA(VLOOKUP($E41,'法術資料'!$K$2:$X$805,4,FALSE),"")</f>
        <v/>
      </c>
      <c r="I41" s="1362" t="str">
        <f>IFNA(VLOOKUP($E41,'法術資料'!$K$2:$X$805,7,FALSE),"")</f>
        <v/>
      </c>
      <c r="J41" s="375"/>
      <c r="K41" s="1360"/>
      <c r="L41" s="1362" t="str">
        <f>IFNA(VLOOKUP($E41,'法術資料'!$K$2:$X$805,8,FALSE),"")</f>
        <v/>
      </c>
      <c r="M41" s="1360"/>
      <c r="N41" s="1363" t="str">
        <f>IFNA(VLOOKUP($E41,'法術資料'!$K$2:$X$805,14,FALSE),"")</f>
        <v/>
      </c>
      <c r="O41" s="1360"/>
      <c r="P41" s="1364" t="str">
        <f>IFNA(VLOOKUP($E41,'法術資料'!$K$2:$X$805,13,FALSE),"")</f>
        <v/>
      </c>
      <c r="Q41" s="1365" t="str">
        <f>IFNA(VLOOKUP($E41,'法術資料'!$K$2:$X$805,5,FALSE),"")</f>
        <v/>
      </c>
      <c r="R41" s="1365" t="str">
        <f>IFNA(VLOOKUP($E41,'法術資料'!$K$2:$X$805,6,FALSE),"")</f>
        <v/>
      </c>
      <c r="S41" s="1366" t="str">
        <f>IFNA(VLOOKUP($E41,'法術資料'!$K$2:$X$805,9,FALSE),"")</f>
        <v/>
      </c>
      <c r="T41" s="1367" t="str">
        <f>IFNA(VLOOKUP($E41,'法術資料'!$K$2:$X$805,10,FALSE),"")</f>
        <v/>
      </c>
      <c r="U41" s="1367" t="str">
        <f>IFNA(VLOOKUP($E41,'法術資料'!$K$2:$X$805,11,FALSE),"")</f>
        <v/>
      </c>
      <c r="V41" s="1368" t="str">
        <f>IFNA(VLOOKUP($E41,'法術資料'!$K$2:$W$805,12,FALSE),"")</f>
        <v/>
      </c>
      <c r="W41" s="376"/>
      <c r="X41" s="1369"/>
      <c r="Y41" s="455"/>
    </row>
    <row r="42">
      <c r="A42" s="455"/>
      <c r="B42" s="1356"/>
      <c r="C42" s="1386" t="b">
        <v>0</v>
      </c>
      <c r="D42" s="1387"/>
      <c r="E42" s="1388"/>
      <c r="F42" s="417"/>
      <c r="G42" s="1389"/>
      <c r="H42" s="1390" t="str">
        <f>IFNA(VLOOKUP($E42,'法術資料'!$K$2:$X$805,4,FALSE),"")</f>
        <v/>
      </c>
      <c r="I42" s="1391" t="str">
        <f>IFNA(VLOOKUP($E42,'法術資料'!$K$2:$X$805,7,FALSE),"")</f>
        <v/>
      </c>
      <c r="J42" s="417"/>
      <c r="K42" s="1389"/>
      <c r="L42" s="1391" t="str">
        <f>IFNA(VLOOKUP($E42,'法術資料'!$K$2:$X$805,8,FALSE),"")</f>
        <v/>
      </c>
      <c r="M42" s="1389"/>
      <c r="N42" s="1392" t="str">
        <f>IFNA(VLOOKUP($E42,'法術資料'!$K$2:$X$805,14,FALSE),"")</f>
        <v/>
      </c>
      <c r="O42" s="1389"/>
      <c r="P42" s="1393" t="str">
        <f>IFNA(VLOOKUP($E42,'法術資料'!$K$2:$X$805,13,FALSE),"")</f>
        <v/>
      </c>
      <c r="Q42" s="1394" t="str">
        <f>IFNA(VLOOKUP($E42,'法術資料'!$K$2:$X$805,5,FALSE),"")</f>
        <v/>
      </c>
      <c r="R42" s="1394" t="str">
        <f>IFNA(VLOOKUP($E42,'法術資料'!$K$2:$X$805,6,FALSE),"")</f>
        <v/>
      </c>
      <c r="S42" s="1395" t="str">
        <f>IFNA(VLOOKUP($E42,'法術資料'!$K$2:$X$805,9,FALSE),"")</f>
        <v/>
      </c>
      <c r="T42" s="1396" t="str">
        <f>IFNA(VLOOKUP($E42,'法術資料'!$K$2:$X$805,10,FALSE),"")</f>
        <v/>
      </c>
      <c r="U42" s="1396" t="str">
        <f>IFNA(VLOOKUP($E42,'法術資料'!$K$2:$X$805,11,FALSE),"")</f>
        <v/>
      </c>
      <c r="V42" s="1397" t="str">
        <f>IFNA(VLOOKUP($E42,'法術資料'!$K$2:$W$805,12,FALSE),"")</f>
        <v/>
      </c>
      <c r="W42" s="517"/>
      <c r="X42" s="1369"/>
      <c r="Y42" s="455"/>
    </row>
    <row r="43" ht="15.0" customHeight="1">
      <c r="A43" s="455"/>
      <c r="B43" s="1302"/>
      <c r="C43" s="1302"/>
      <c r="D43" s="1398"/>
      <c r="E43" s="1302"/>
      <c r="F43" s="1302"/>
      <c r="G43" s="1302"/>
      <c r="H43" s="1302"/>
      <c r="I43" s="1302"/>
      <c r="J43" s="1302"/>
      <c r="K43" s="1302"/>
      <c r="L43" s="1302"/>
      <c r="M43" s="1302"/>
      <c r="N43" s="1302"/>
      <c r="O43" s="1302"/>
      <c r="P43" s="1302"/>
      <c r="Q43" s="1302"/>
      <c r="R43" s="1302"/>
      <c r="S43" s="1302"/>
      <c r="T43" s="1302"/>
      <c r="U43" s="1302"/>
      <c r="V43" s="1302"/>
      <c r="W43" s="1302"/>
      <c r="X43" s="1302"/>
      <c r="Y43" s="455"/>
    </row>
    <row r="44" ht="15.0" customHeight="1">
      <c r="A44" s="455"/>
      <c r="B44" s="1302"/>
      <c r="C44" s="1302"/>
      <c r="D44" s="1398"/>
      <c r="E44" s="1302"/>
      <c r="F44" s="1302"/>
      <c r="G44" s="1302"/>
      <c r="H44" s="1302"/>
      <c r="I44" s="1302"/>
      <c r="J44" s="1302"/>
      <c r="K44" s="1302"/>
      <c r="L44" s="1302"/>
      <c r="M44" s="1302"/>
      <c r="N44" s="1302"/>
      <c r="O44" s="1302"/>
      <c r="P44" s="1302"/>
      <c r="Q44" s="1302"/>
      <c r="R44" s="1302"/>
      <c r="S44" s="1302"/>
      <c r="T44" s="1302"/>
      <c r="U44" s="1302"/>
      <c r="V44" s="1302"/>
      <c r="W44" s="1302"/>
      <c r="X44" s="1302"/>
      <c r="Y44" s="455"/>
    </row>
    <row r="45" ht="15.0" customHeight="1">
      <c r="A45" s="455"/>
      <c r="B45" s="1399"/>
      <c r="C45" s="1339" t="s">
        <v>1860</v>
      </c>
      <c r="D45" s="19"/>
      <c r="E45" s="19"/>
      <c r="F45" s="19"/>
      <c r="G45" s="19"/>
      <c r="H45" s="19"/>
      <c r="I45" s="19"/>
      <c r="J45" s="19"/>
      <c r="K45" s="19"/>
      <c r="L45" s="19"/>
      <c r="M45" s="19"/>
      <c r="N45" s="19"/>
      <c r="O45" s="19"/>
      <c r="P45" s="19"/>
      <c r="Q45" s="19"/>
      <c r="R45" s="19"/>
      <c r="S45" s="19"/>
      <c r="T45" s="19"/>
      <c r="U45" s="19"/>
      <c r="V45" s="19"/>
      <c r="W45" s="20"/>
      <c r="X45" s="1399"/>
      <c r="Y45" s="455"/>
    </row>
    <row r="46" ht="15.0" customHeight="1">
      <c r="A46" s="455"/>
      <c r="B46" s="1340"/>
      <c r="C46" s="1341" t="s">
        <v>1834</v>
      </c>
      <c r="D46" s="1342" t="s">
        <v>1835</v>
      </c>
      <c r="E46" s="1343" t="s">
        <v>1836</v>
      </c>
      <c r="F46" s="152"/>
      <c r="G46" s="1344"/>
      <c r="H46" s="1345" t="s">
        <v>1837</v>
      </c>
      <c r="I46" s="1345" t="s">
        <v>1838</v>
      </c>
      <c r="J46" s="152"/>
      <c r="K46" s="152"/>
      <c r="L46" s="1346" t="s">
        <v>1839</v>
      </c>
      <c r="M46" s="152"/>
      <c r="N46" s="1345" t="s">
        <v>1840</v>
      </c>
      <c r="O46" s="1344"/>
      <c r="P46" s="1347" t="s">
        <v>1841</v>
      </c>
      <c r="Q46" s="1348" t="s">
        <v>1842</v>
      </c>
      <c r="R46" s="1347" t="s">
        <v>1843</v>
      </c>
      <c r="S46" s="1349" t="s">
        <v>1844</v>
      </c>
      <c r="T46" s="354"/>
      <c r="U46" s="1350"/>
      <c r="V46" s="1345" t="s">
        <v>1845</v>
      </c>
      <c r="W46" s="175"/>
      <c r="X46" s="1340"/>
      <c r="Y46" s="455"/>
    </row>
    <row r="47" ht="15.0" customHeight="1">
      <c r="A47" s="455"/>
      <c r="B47" s="1340"/>
      <c r="C47" s="1187"/>
      <c r="E47" s="1351"/>
      <c r="G47" s="1187"/>
      <c r="H47" s="1352"/>
      <c r="I47" s="1352"/>
      <c r="L47" s="1351"/>
      <c r="N47" s="1352"/>
      <c r="O47" s="1187"/>
      <c r="P47" s="1353"/>
      <c r="Q47" s="1353"/>
      <c r="R47" s="1353"/>
      <c r="S47" s="1354" t="s">
        <v>1846</v>
      </c>
      <c r="T47" s="1355" t="s">
        <v>1847</v>
      </c>
      <c r="U47" s="1355" t="s">
        <v>1848</v>
      </c>
      <c r="V47" s="1352"/>
      <c r="W47" s="318"/>
      <c r="X47" s="1340"/>
      <c r="Y47" s="455"/>
    </row>
    <row r="48">
      <c r="A48" s="455"/>
      <c r="B48" s="1356"/>
      <c r="C48" s="1357" t="b">
        <v>0</v>
      </c>
      <c r="D48" s="1358"/>
      <c r="E48" s="1359" t="s">
        <v>1861</v>
      </c>
      <c r="F48" s="375"/>
      <c r="G48" s="1360"/>
      <c r="H48" s="1361" t="str">
        <f>IFNA(VLOOKUP($E48,'法術資料'!$K$2:$X$805,4,FALSE),"")</f>
        <v>幻術</v>
      </c>
      <c r="I48" s="1362" t="str">
        <f>IFNA(VLOOKUP($E48,'法術資料'!$K$2:$X$805,7,FALSE),"")</f>
        <v>動作</v>
      </c>
      <c r="J48" s="375"/>
      <c r="K48" s="1360"/>
      <c r="L48" s="1362" t="str">
        <f>IFNA(VLOOKUP($E48,'法術資料'!$K$2:$X$805,8,FALSE),"")</f>
        <v>觸碰</v>
      </c>
      <c r="M48" s="1360"/>
      <c r="N48" s="1363" t="str">
        <f>IFNA(VLOOKUP($E48,'法術資料'!$K$2:$X$805,14,FALSE),"")</f>
        <v>你觸碰的生物進入隱形狀態並維持至法術終止。如果目標進行攻擊檢定、造成傷害或施展法術，則該法術提前終止。  
升環施法效應：使用三環或更高法術位施展法術時，你使用的法術位每比二環高一環，就可以額外指定一個生物作為目標。</v>
      </c>
      <c r="O48" s="1360"/>
      <c r="P48" s="1364" t="str">
        <f>IFNA(VLOOKUP($E48,'法術資料'!$K$2:$X$805,13,FALSE),"")</f>
        <v>最多 1 小時</v>
      </c>
      <c r="Q48" s="1365" t="b">
        <f>IFNA(VLOOKUP($E48,'法術資料'!$K$2:$X$805,5,FALSE),"")</f>
        <v>1</v>
      </c>
      <c r="R48" s="1365" t="b">
        <f>IFNA(VLOOKUP($E48,'法術資料'!$K$2:$X$805,6,FALSE),"")</f>
        <v>0</v>
      </c>
      <c r="S48" s="1366" t="b">
        <f>IFNA(VLOOKUP($E48,'法術資料'!$K$2:$X$805,9,FALSE),"")</f>
        <v>1</v>
      </c>
      <c r="T48" s="1367" t="b">
        <f>IFNA(VLOOKUP($E48,'法術資料'!$K$2:$X$805,10,FALSE),"")</f>
        <v>1</v>
      </c>
      <c r="U48" s="1367" t="b">
        <f>IFNA(VLOOKUP($E48,'法術資料'!$K$2:$X$805,11,FALSE),"")</f>
        <v>1</v>
      </c>
      <c r="V48" s="1368" t="str">
        <f>IFNA(VLOOKUP($E48,'法術資料'!$K$2:$W$805,12,FALSE),"")</f>
        <v>一根包裹在阿拉伯膠中的睫毛</v>
      </c>
      <c r="W48" s="376"/>
      <c r="X48" s="1369"/>
      <c r="Y48" s="455"/>
    </row>
    <row r="49">
      <c r="A49" s="455"/>
      <c r="B49" s="1356"/>
      <c r="C49" s="1370" t="b">
        <v>0</v>
      </c>
      <c r="D49" s="1371"/>
      <c r="E49" s="1372" t="s">
        <v>1862</v>
      </c>
      <c r="F49" s="375"/>
      <c r="G49" s="1360"/>
      <c r="H49" s="1373" t="str">
        <f>IFNA(VLOOKUP($E49,'法術資料'!$K$2:$X$805,4,FALSE),"")</f>
        <v>幻術</v>
      </c>
      <c r="I49" s="1374" t="str">
        <f>IFNA(VLOOKUP($E49,'法術資料'!$K$2:$X$805,7,FALSE),"")</f>
        <v>動作</v>
      </c>
      <c r="J49" s="375"/>
      <c r="K49" s="1360"/>
      <c r="L49" s="1374" t="str">
        <f>IFNA(VLOOKUP($E49,'法術資料'!$K$2:$X$805,8,FALSE),"")</f>
        <v>自身</v>
      </c>
      <c r="M49" s="1360"/>
      <c r="N49" s="1375" t="str">
        <f>IFNA(VLOOKUP($E49,'法術資料'!$K$2:$X$805,14,FALSE),"")</f>
        <v>三個你自身的幻象分身出現在你的位置。直到法術終止前，分身都會隨你移動，並模仿你的動作和位置變換，使人無法追蹤判斷哪一個是你的真身。
  在法術持續時間內，每當一個生物攻擊命中你時，為每個剩餘分身投擲一個d6，只要有任一d6骰出3或以上，一個分身代你承受本次命中並隨之被摧毀。分身無視於所有其他的傷害和效應。三個分身都被摧毀時，法術隨之結束。
  如果生物處於目盲狀態，或擁有盲視，或擁有真實視覺，則該法術無法影響該生物。</v>
      </c>
      <c r="O49" s="1360"/>
      <c r="P49" s="1376" t="str">
        <f>IFNA(VLOOKUP($E49,'法術資料'!$K$2:$X$805,13,FALSE),"")</f>
        <v>1 分鐘</v>
      </c>
      <c r="Q49" s="1377" t="b">
        <f>IFNA(VLOOKUP($E49,'法術資料'!$K$2:$X$805,5,FALSE),"")</f>
        <v>0</v>
      </c>
      <c r="R49" s="1377" t="b">
        <f>IFNA(VLOOKUP($E49,'法術資料'!$K$2:$X$805,6,FALSE),"")</f>
        <v>0</v>
      </c>
      <c r="S49" s="1378" t="b">
        <f>IFNA(VLOOKUP($E49,'法術資料'!$K$2:$X$805,9,FALSE),"")</f>
        <v>1</v>
      </c>
      <c r="T49" s="1379" t="b">
        <f>IFNA(VLOOKUP($E49,'法術資料'!$K$2:$X$805,10,FALSE),"")</f>
        <v>1</v>
      </c>
      <c r="U49" s="1379" t="b">
        <f>IFNA(VLOOKUP($E49,'法術資料'!$K$2:$X$805,11,FALSE),"")</f>
        <v>0</v>
      </c>
      <c r="V49" s="1380" t="str">
        <f>IFNA(VLOOKUP($E49,'法術資料'!$K$2:$W$805,12,FALSE),"")</f>
        <v/>
      </c>
      <c r="W49" s="376"/>
      <c r="X49" s="1369"/>
      <c r="Y49" s="455"/>
    </row>
    <row r="50">
      <c r="A50" s="455"/>
      <c r="B50" s="1356"/>
      <c r="C50" s="1357" t="b">
        <v>0</v>
      </c>
      <c r="D50" s="1358"/>
      <c r="E50" s="1359"/>
      <c r="F50" s="375"/>
      <c r="G50" s="1360"/>
      <c r="H50" s="1361" t="str">
        <f>IFNA(VLOOKUP($E50,'法術資料'!$K$2:$X$805,4,FALSE),"")</f>
        <v/>
      </c>
      <c r="I50" s="1362" t="str">
        <f>IFNA(VLOOKUP($E50,'法術資料'!$K$2:$X$805,7,FALSE),"")</f>
        <v/>
      </c>
      <c r="J50" s="375"/>
      <c r="K50" s="1360"/>
      <c r="L50" s="1362" t="str">
        <f>IFNA(VLOOKUP($E50,'法術資料'!$K$2:$X$805,8,FALSE),"")</f>
        <v/>
      </c>
      <c r="M50" s="1360"/>
      <c r="N50" s="1363" t="str">
        <f>IFNA(VLOOKUP($E50,'法術資料'!$K$2:$X$805,14,FALSE),"")</f>
        <v/>
      </c>
      <c r="O50" s="1360"/>
      <c r="P50" s="1364" t="str">
        <f>IFNA(VLOOKUP($E50,'法術資料'!$K$2:$X$805,13,FALSE),"")</f>
        <v/>
      </c>
      <c r="Q50" s="1365" t="str">
        <f>IFNA(VLOOKUP($E50,'法術資料'!$K$2:$X$805,5,FALSE),"")</f>
        <v/>
      </c>
      <c r="R50" s="1365" t="str">
        <f>IFNA(VLOOKUP($E50,'法術資料'!$K$2:$X$805,6,FALSE),"")</f>
        <v/>
      </c>
      <c r="S50" s="1366" t="str">
        <f>IFNA(VLOOKUP($E50,'法術資料'!$K$2:$X$805,9,FALSE),"")</f>
        <v/>
      </c>
      <c r="T50" s="1367" t="str">
        <f>IFNA(VLOOKUP($E50,'法術資料'!$K$2:$X$805,10,FALSE),"")</f>
        <v/>
      </c>
      <c r="U50" s="1367" t="str">
        <f>IFNA(VLOOKUP($E50,'法術資料'!$K$2:$X$805,11,FALSE),"")</f>
        <v/>
      </c>
      <c r="V50" s="1368" t="str">
        <f>IFNA(VLOOKUP($E50,'法術資料'!$K$2:$W$805,12,FALSE),"")</f>
        <v/>
      </c>
      <c r="W50" s="376"/>
      <c r="X50" s="1369"/>
      <c r="Y50" s="455"/>
    </row>
    <row r="51">
      <c r="A51" s="455"/>
      <c r="B51" s="1356"/>
      <c r="C51" s="1370" t="b">
        <v>0</v>
      </c>
      <c r="D51" s="1371"/>
      <c r="E51" s="1372"/>
      <c r="F51" s="375"/>
      <c r="G51" s="1360"/>
      <c r="H51" s="1373" t="str">
        <f>IFNA(VLOOKUP($E51,'法術資料'!$K$2:$X$805,4,FALSE),"")</f>
        <v/>
      </c>
      <c r="I51" s="1374" t="str">
        <f>IFNA(VLOOKUP($E51,'法術資料'!$K$2:$X$805,7,FALSE),"")</f>
        <v/>
      </c>
      <c r="J51" s="375"/>
      <c r="K51" s="1360"/>
      <c r="L51" s="1374" t="str">
        <f>IFNA(VLOOKUP($E51,'法術資料'!$K$2:$X$805,8,FALSE),"")</f>
        <v/>
      </c>
      <c r="M51" s="1360"/>
      <c r="N51" s="1375" t="str">
        <f>IFNA(VLOOKUP($E51,'法術資料'!$K$2:$X$805,14,FALSE),"")</f>
        <v/>
      </c>
      <c r="O51" s="1360"/>
      <c r="P51" s="1376" t="str">
        <f>IFNA(VLOOKUP($E51,'法術資料'!$K$2:$X$805,13,FALSE),"")</f>
        <v/>
      </c>
      <c r="Q51" s="1377" t="str">
        <f>IFNA(VLOOKUP($E51,'法術資料'!$K$2:$X$805,5,FALSE),"")</f>
        <v/>
      </c>
      <c r="R51" s="1377" t="str">
        <f>IFNA(VLOOKUP($E51,'法術資料'!$K$2:$X$805,6,FALSE),"")</f>
        <v/>
      </c>
      <c r="S51" s="1378" t="str">
        <f>IFNA(VLOOKUP($E51,'法術資料'!$K$2:$X$805,9,FALSE),"")</f>
        <v/>
      </c>
      <c r="T51" s="1379" t="str">
        <f>IFNA(VLOOKUP($E51,'法術資料'!$K$2:$X$805,10,FALSE),"")</f>
        <v/>
      </c>
      <c r="U51" s="1379" t="str">
        <f>IFNA(VLOOKUP($E51,'法術資料'!$K$2:$X$805,11,FALSE),"")</f>
        <v/>
      </c>
      <c r="V51" s="1380" t="str">
        <f>IFNA(VLOOKUP($E51,'法術資料'!$K$2:$W$805,12,FALSE),"")</f>
        <v/>
      </c>
      <c r="W51" s="376"/>
      <c r="X51" s="1369"/>
      <c r="Y51" s="455"/>
    </row>
    <row r="52">
      <c r="A52" s="455"/>
      <c r="B52" s="1356"/>
      <c r="C52" s="1357" t="b">
        <v>0</v>
      </c>
      <c r="D52" s="1382"/>
      <c r="E52" s="1384"/>
      <c r="F52" s="375"/>
      <c r="G52" s="1360"/>
      <c r="H52" s="1361" t="str">
        <f>IFNA(VLOOKUP($E52,'法術資料'!$K$2:$X$805,4,FALSE),"")</f>
        <v/>
      </c>
      <c r="I52" s="1362" t="str">
        <f>IFNA(VLOOKUP($E52,'法術資料'!$K$2:$X$805,7,FALSE),"")</f>
        <v/>
      </c>
      <c r="J52" s="375"/>
      <c r="K52" s="1360"/>
      <c r="L52" s="1362" t="str">
        <f>IFNA(VLOOKUP($E52,'法術資料'!$K$2:$X$805,8,FALSE),"")</f>
        <v/>
      </c>
      <c r="M52" s="1360"/>
      <c r="N52" s="1363" t="str">
        <f>IFNA(VLOOKUP($E52,'法術資料'!$K$2:$X$805,14,FALSE),"")</f>
        <v/>
      </c>
      <c r="O52" s="1360"/>
      <c r="P52" s="1364" t="str">
        <f>IFNA(VLOOKUP($E52,'法術資料'!$K$2:$X$805,13,FALSE),"")</f>
        <v/>
      </c>
      <c r="Q52" s="1365" t="str">
        <f>IFNA(VLOOKUP($E52,'法術資料'!$K$2:$X$805,5,FALSE),"")</f>
        <v/>
      </c>
      <c r="R52" s="1365" t="str">
        <f>IFNA(VLOOKUP($E52,'法術資料'!$K$2:$X$805,6,FALSE),"")</f>
        <v/>
      </c>
      <c r="S52" s="1366" t="str">
        <f>IFNA(VLOOKUP($E52,'法術資料'!$K$2:$X$805,9,FALSE),"")</f>
        <v/>
      </c>
      <c r="T52" s="1367" t="str">
        <f>IFNA(VLOOKUP($E52,'法術資料'!$K$2:$X$805,10,FALSE),"")</f>
        <v/>
      </c>
      <c r="U52" s="1367" t="str">
        <f>IFNA(VLOOKUP($E52,'法術資料'!$K$2:$X$805,11,FALSE),"")</f>
        <v/>
      </c>
      <c r="V52" s="1368" t="str">
        <f>IFNA(VLOOKUP($E52,'法術資料'!$K$2:$W$805,12,FALSE),"")</f>
        <v/>
      </c>
      <c r="W52" s="376"/>
      <c r="X52" s="1369"/>
      <c r="Y52" s="455"/>
    </row>
    <row r="53">
      <c r="A53" s="455"/>
      <c r="B53" s="1356"/>
      <c r="C53" s="1370" t="b">
        <v>0</v>
      </c>
      <c r="D53" s="1381"/>
      <c r="E53" s="1385"/>
      <c r="F53" s="375"/>
      <c r="G53" s="1360"/>
      <c r="H53" s="1373" t="str">
        <f>IFNA(VLOOKUP($E53,'法術資料'!$K$2:$X$805,4,FALSE),"")</f>
        <v/>
      </c>
      <c r="I53" s="1374" t="str">
        <f>IFNA(VLOOKUP($E53,'法術資料'!$K$2:$X$805,7,FALSE),"")</f>
        <v/>
      </c>
      <c r="J53" s="375"/>
      <c r="K53" s="1360"/>
      <c r="L53" s="1374" t="str">
        <f>IFNA(VLOOKUP($E53,'法術資料'!$K$2:$X$805,8,FALSE),"")</f>
        <v/>
      </c>
      <c r="M53" s="1360"/>
      <c r="N53" s="1375" t="str">
        <f>IFNA(VLOOKUP($E53,'法術資料'!$K$2:$X$805,14,FALSE),"")</f>
        <v/>
      </c>
      <c r="O53" s="1360"/>
      <c r="P53" s="1376" t="str">
        <f>IFNA(VLOOKUP($E53,'法術資料'!$K$2:$X$805,13,FALSE),"")</f>
        <v/>
      </c>
      <c r="Q53" s="1377" t="str">
        <f>IFNA(VLOOKUP($E53,'法術資料'!$K$2:$X$805,5,FALSE),"")</f>
        <v/>
      </c>
      <c r="R53" s="1377" t="str">
        <f>IFNA(VLOOKUP($E53,'法術資料'!$K$2:$X$805,6,FALSE),"")</f>
        <v/>
      </c>
      <c r="S53" s="1378" t="str">
        <f>IFNA(VLOOKUP($E53,'法術資料'!$K$2:$X$805,9,FALSE),"")</f>
        <v/>
      </c>
      <c r="T53" s="1379" t="str">
        <f>IFNA(VLOOKUP($E53,'法術資料'!$K$2:$X$805,10,FALSE),"")</f>
        <v/>
      </c>
      <c r="U53" s="1379" t="str">
        <f>IFNA(VLOOKUP($E53,'法術資料'!$K$2:$X$805,11,FALSE),"")</f>
        <v/>
      </c>
      <c r="V53" s="1380" t="str">
        <f>IFNA(VLOOKUP($E53,'法術資料'!$K$2:$W$805,12,FALSE),"")</f>
        <v/>
      </c>
      <c r="W53" s="376"/>
      <c r="X53" s="1369"/>
      <c r="Y53" s="455"/>
    </row>
    <row r="54">
      <c r="A54" s="455"/>
      <c r="B54" s="1356"/>
      <c r="C54" s="1357" t="b">
        <v>0</v>
      </c>
      <c r="D54" s="1382"/>
      <c r="E54" s="1384"/>
      <c r="F54" s="375"/>
      <c r="G54" s="1360"/>
      <c r="H54" s="1361" t="str">
        <f>IFNA(VLOOKUP($E54,'法術資料'!$K$2:$X$805,4,FALSE),"")</f>
        <v/>
      </c>
      <c r="I54" s="1362" t="str">
        <f>IFNA(VLOOKUP($E54,'法術資料'!$K$2:$X$805,7,FALSE),"")</f>
        <v/>
      </c>
      <c r="J54" s="375"/>
      <c r="K54" s="1360"/>
      <c r="L54" s="1362" t="str">
        <f>IFNA(VLOOKUP($E54,'法術資料'!$K$2:$X$805,8,FALSE),"")</f>
        <v/>
      </c>
      <c r="M54" s="1360"/>
      <c r="N54" s="1363" t="str">
        <f>IFNA(VLOOKUP($E54,'法術資料'!$K$2:$X$805,14,FALSE),"")</f>
        <v/>
      </c>
      <c r="O54" s="1360"/>
      <c r="P54" s="1364" t="str">
        <f>IFNA(VLOOKUP($E54,'法術資料'!$K$2:$X$805,13,FALSE),"")</f>
        <v/>
      </c>
      <c r="Q54" s="1365" t="str">
        <f>IFNA(VLOOKUP($E54,'法術資料'!$K$2:$X$805,5,FALSE),"")</f>
        <v/>
      </c>
      <c r="R54" s="1365" t="str">
        <f>IFNA(VLOOKUP($E54,'法術資料'!$K$2:$X$805,6,FALSE),"")</f>
        <v/>
      </c>
      <c r="S54" s="1366" t="str">
        <f>IFNA(VLOOKUP($E54,'法術資料'!$K$2:$X$805,9,FALSE),"")</f>
        <v/>
      </c>
      <c r="T54" s="1367" t="str">
        <f>IFNA(VLOOKUP($E54,'法術資料'!$K$2:$X$805,10,FALSE),"")</f>
        <v/>
      </c>
      <c r="U54" s="1367" t="str">
        <f>IFNA(VLOOKUP($E54,'法術資料'!$K$2:$X$805,11,FALSE),"")</f>
        <v/>
      </c>
      <c r="V54" s="1368" t="str">
        <f>IFNA(VLOOKUP($E54,'法術資料'!$K$2:$W$805,12,FALSE),"")</f>
        <v/>
      </c>
      <c r="W54" s="376"/>
      <c r="X54" s="1369"/>
      <c r="Y54" s="455"/>
    </row>
    <row r="55">
      <c r="A55" s="455"/>
      <c r="B55" s="1356"/>
      <c r="C55" s="1386" t="b">
        <v>0</v>
      </c>
      <c r="D55" s="1387"/>
      <c r="E55" s="1388"/>
      <c r="F55" s="417"/>
      <c r="G55" s="1389"/>
      <c r="H55" s="1390" t="str">
        <f>IFNA(VLOOKUP($E55,'法術資料'!$K$2:$X$805,4,FALSE),"")</f>
        <v/>
      </c>
      <c r="I55" s="1391" t="str">
        <f>IFNA(VLOOKUP($E55,'法術資料'!$K$2:$X$805,7,FALSE),"")</f>
        <v/>
      </c>
      <c r="J55" s="417"/>
      <c r="K55" s="1389"/>
      <c r="L55" s="1391" t="str">
        <f>IFNA(VLOOKUP($E55,'法術資料'!$K$2:$X$805,8,FALSE),"")</f>
        <v/>
      </c>
      <c r="M55" s="1389"/>
      <c r="N55" s="1392" t="str">
        <f>IFNA(VLOOKUP($E55,'法術資料'!$K$2:$X$805,14,FALSE),"")</f>
        <v/>
      </c>
      <c r="O55" s="1389"/>
      <c r="P55" s="1393" t="str">
        <f>IFNA(VLOOKUP($E55,'法術資料'!$K$2:$X$805,13,FALSE),"")</f>
        <v/>
      </c>
      <c r="Q55" s="1394" t="str">
        <f>IFNA(VLOOKUP($E55,'法術資料'!$K$2:$X$805,5,FALSE),"")</f>
        <v/>
      </c>
      <c r="R55" s="1394" t="str">
        <f>IFNA(VLOOKUP($E55,'法術資料'!$K$2:$X$805,6,FALSE),"")</f>
        <v/>
      </c>
      <c r="S55" s="1395" t="str">
        <f>IFNA(VLOOKUP($E55,'法術資料'!$K$2:$X$805,9,FALSE),"")</f>
        <v/>
      </c>
      <c r="T55" s="1396" t="str">
        <f>IFNA(VLOOKUP($E55,'法術資料'!$K$2:$X$805,10,FALSE),"")</f>
        <v/>
      </c>
      <c r="U55" s="1396" t="str">
        <f>IFNA(VLOOKUP($E55,'法術資料'!$K$2:$X$805,11,FALSE),"")</f>
        <v/>
      </c>
      <c r="V55" s="1397" t="str">
        <f>IFNA(VLOOKUP($E55,'法術資料'!$K$2:$W$805,12,FALSE),"")</f>
        <v/>
      </c>
      <c r="W55" s="517"/>
      <c r="X55" s="1369"/>
      <c r="Y55" s="455"/>
    </row>
    <row r="56" ht="15.0" customHeight="1">
      <c r="A56" s="455"/>
      <c r="B56" s="1302"/>
      <c r="C56" s="1302"/>
      <c r="D56" s="1398"/>
      <c r="E56" s="1302"/>
      <c r="F56" s="1302"/>
      <c r="G56" s="1302"/>
      <c r="H56" s="1302"/>
      <c r="I56" s="1302"/>
      <c r="J56" s="1302"/>
      <c r="K56" s="1302"/>
      <c r="L56" s="1302"/>
      <c r="M56" s="1302"/>
      <c r="N56" s="1302"/>
      <c r="O56" s="1302"/>
      <c r="P56" s="1302"/>
      <c r="Q56" s="1302"/>
      <c r="R56" s="1302"/>
      <c r="S56" s="1302"/>
      <c r="T56" s="1302"/>
      <c r="U56" s="1302"/>
      <c r="V56" s="1302"/>
      <c r="W56" s="1302"/>
      <c r="X56" s="1302"/>
      <c r="Y56" s="455"/>
    </row>
    <row r="57" ht="15.0" customHeight="1">
      <c r="A57" s="455"/>
      <c r="B57" s="1302"/>
      <c r="C57" s="1302"/>
      <c r="D57" s="1398"/>
      <c r="E57" s="1302"/>
      <c r="F57" s="1302"/>
      <c r="G57" s="1302"/>
      <c r="H57" s="1302"/>
      <c r="I57" s="1302"/>
      <c r="J57" s="1302"/>
      <c r="K57" s="1302"/>
      <c r="L57" s="1302"/>
      <c r="M57" s="1302"/>
      <c r="N57" s="1302"/>
      <c r="O57" s="1302"/>
      <c r="P57" s="1302"/>
      <c r="Q57" s="1302"/>
      <c r="R57" s="1302"/>
      <c r="S57" s="1302"/>
      <c r="T57" s="1302"/>
      <c r="U57" s="1302"/>
      <c r="V57" s="1302"/>
      <c r="W57" s="1302"/>
      <c r="X57" s="1302"/>
      <c r="Y57" s="455"/>
    </row>
    <row r="58" ht="15.0" customHeight="1">
      <c r="A58" s="455"/>
      <c r="B58" s="1399"/>
      <c r="C58" s="1339" t="s">
        <v>1863</v>
      </c>
      <c r="D58" s="19"/>
      <c r="E58" s="19"/>
      <c r="F58" s="19"/>
      <c r="G58" s="19"/>
      <c r="H58" s="19"/>
      <c r="I58" s="19"/>
      <c r="J58" s="19"/>
      <c r="K58" s="19"/>
      <c r="L58" s="19"/>
      <c r="M58" s="19"/>
      <c r="N58" s="19"/>
      <c r="O58" s="19"/>
      <c r="P58" s="19"/>
      <c r="Q58" s="19"/>
      <c r="R58" s="19"/>
      <c r="S58" s="19"/>
      <c r="T58" s="19"/>
      <c r="U58" s="19"/>
      <c r="V58" s="19"/>
      <c r="W58" s="20"/>
      <c r="X58" s="1399"/>
      <c r="Y58" s="455"/>
    </row>
    <row r="59" ht="15.0" customHeight="1">
      <c r="A59" s="455"/>
      <c r="B59" s="1340"/>
      <c r="C59" s="1341" t="s">
        <v>1834</v>
      </c>
      <c r="D59" s="1342" t="s">
        <v>1835</v>
      </c>
      <c r="E59" s="1343" t="s">
        <v>1836</v>
      </c>
      <c r="F59" s="152"/>
      <c r="G59" s="1344"/>
      <c r="H59" s="1345" t="s">
        <v>1837</v>
      </c>
      <c r="I59" s="1345" t="s">
        <v>1838</v>
      </c>
      <c r="J59" s="152"/>
      <c r="K59" s="152"/>
      <c r="L59" s="1346" t="s">
        <v>1839</v>
      </c>
      <c r="M59" s="152"/>
      <c r="N59" s="1345" t="s">
        <v>1840</v>
      </c>
      <c r="O59" s="1344"/>
      <c r="P59" s="1347" t="s">
        <v>1841</v>
      </c>
      <c r="Q59" s="1348" t="s">
        <v>1842</v>
      </c>
      <c r="R59" s="1347" t="s">
        <v>1843</v>
      </c>
      <c r="S59" s="1349" t="s">
        <v>1844</v>
      </c>
      <c r="T59" s="354"/>
      <c r="U59" s="1350"/>
      <c r="V59" s="1345" t="s">
        <v>1845</v>
      </c>
      <c r="W59" s="175"/>
      <c r="X59" s="1340"/>
      <c r="Y59" s="455"/>
    </row>
    <row r="60" ht="15.0" customHeight="1">
      <c r="A60" s="455"/>
      <c r="B60" s="1340"/>
      <c r="C60" s="1187"/>
      <c r="E60" s="1351"/>
      <c r="G60" s="1187"/>
      <c r="H60" s="1352"/>
      <c r="I60" s="1352"/>
      <c r="L60" s="1351"/>
      <c r="N60" s="1352"/>
      <c r="O60" s="1187"/>
      <c r="P60" s="1353"/>
      <c r="Q60" s="1353"/>
      <c r="R60" s="1353"/>
      <c r="S60" s="1354" t="s">
        <v>1846</v>
      </c>
      <c r="T60" s="1355" t="s">
        <v>1847</v>
      </c>
      <c r="U60" s="1355" t="s">
        <v>1848</v>
      </c>
      <c r="V60" s="1352"/>
      <c r="W60" s="318"/>
      <c r="X60" s="1340"/>
      <c r="Y60" s="455"/>
    </row>
    <row r="61">
      <c r="A61" s="455"/>
      <c r="B61" s="1356"/>
      <c r="C61" s="1357" t="b">
        <v>0</v>
      </c>
      <c r="D61" s="1358"/>
      <c r="E61" s="1359"/>
      <c r="F61" s="375"/>
      <c r="G61" s="1360"/>
      <c r="H61" s="1361" t="str">
        <f>IFNA(VLOOKUP($E61,'法術資料'!$K$2:$X$805,4,FALSE),"")</f>
        <v/>
      </c>
      <c r="I61" s="1362" t="str">
        <f>IFNA(VLOOKUP($E61,'法術資料'!$K$2:$X$805,7,FALSE),"")</f>
        <v/>
      </c>
      <c r="J61" s="375"/>
      <c r="K61" s="1360"/>
      <c r="L61" s="1362" t="str">
        <f>IFNA(VLOOKUP($E61,'法術資料'!$K$2:$X$805,8,FALSE),"")</f>
        <v/>
      </c>
      <c r="M61" s="1360"/>
      <c r="N61" s="1363" t="str">
        <f>IFNA(VLOOKUP($E61,'法術資料'!$K$2:$X$805,14,FALSE),"")</f>
        <v/>
      </c>
      <c r="O61" s="1360"/>
      <c r="P61" s="1364" t="str">
        <f>IFNA(VLOOKUP($E61,'法術資料'!$K$2:$X$805,13,FALSE),"")</f>
        <v/>
      </c>
      <c r="Q61" s="1365" t="str">
        <f>IFNA(VLOOKUP($E61,'法術資料'!$K$2:$X$805,5,FALSE),"")</f>
        <v/>
      </c>
      <c r="R61" s="1365" t="str">
        <f>IFNA(VLOOKUP($E61,'法術資料'!$K$2:$X$805,6,FALSE),"")</f>
        <v/>
      </c>
      <c r="S61" s="1366" t="str">
        <f>IFNA(VLOOKUP($E61,'法術資料'!$K$2:$X$805,9,FALSE),"")</f>
        <v/>
      </c>
      <c r="T61" s="1367" t="str">
        <f>IFNA(VLOOKUP($E61,'法術資料'!$K$2:$X$805,10,FALSE),"")</f>
        <v/>
      </c>
      <c r="U61" s="1367" t="str">
        <f>IFNA(VLOOKUP($E61,'法術資料'!$K$2:$X$805,11,FALSE),"")</f>
        <v/>
      </c>
      <c r="V61" s="1368" t="str">
        <f>IFNA(VLOOKUP($E61,'法術資料'!$K$2:$W$805,12,FALSE),"")</f>
        <v/>
      </c>
      <c r="W61" s="376"/>
      <c r="X61" s="1369"/>
      <c r="Y61" s="455"/>
    </row>
    <row r="62">
      <c r="A62" s="455"/>
      <c r="B62" s="1356"/>
      <c r="C62" s="1370" t="b">
        <v>0</v>
      </c>
      <c r="D62" s="1371"/>
      <c r="E62" s="1372"/>
      <c r="F62" s="375"/>
      <c r="G62" s="1360"/>
      <c r="H62" s="1373" t="str">
        <f>IFNA(VLOOKUP($E62,'法術資料'!$K$2:$X$805,4,FALSE),"")</f>
        <v/>
      </c>
      <c r="I62" s="1374" t="str">
        <f>IFNA(VLOOKUP($E62,'法術資料'!$K$2:$X$805,7,FALSE),"")</f>
        <v/>
      </c>
      <c r="J62" s="375"/>
      <c r="K62" s="1360"/>
      <c r="L62" s="1374" t="str">
        <f>IFNA(VLOOKUP($E62,'法術資料'!$K$2:$X$805,8,FALSE),"")</f>
        <v/>
      </c>
      <c r="M62" s="1360"/>
      <c r="N62" s="1375" t="str">
        <f>IFNA(VLOOKUP($E62,'法術資料'!$K$2:$X$805,14,FALSE),"")</f>
        <v/>
      </c>
      <c r="O62" s="1360"/>
      <c r="P62" s="1376" t="str">
        <f>IFNA(VLOOKUP($E62,'法術資料'!$K$2:$X$805,13,FALSE),"")</f>
        <v/>
      </c>
      <c r="Q62" s="1377" t="str">
        <f>IFNA(VLOOKUP($E62,'法術資料'!$K$2:$X$805,5,FALSE),"")</f>
        <v/>
      </c>
      <c r="R62" s="1377" t="str">
        <f>IFNA(VLOOKUP($E62,'法術資料'!$K$2:$X$805,6,FALSE),"")</f>
        <v/>
      </c>
      <c r="S62" s="1378" t="str">
        <f>IFNA(VLOOKUP($E62,'法術資料'!$K$2:$X$805,9,FALSE),"")</f>
        <v/>
      </c>
      <c r="T62" s="1379" t="str">
        <f>IFNA(VLOOKUP($E62,'法術資料'!$K$2:$X$805,10,FALSE),"")</f>
        <v/>
      </c>
      <c r="U62" s="1379" t="str">
        <f>IFNA(VLOOKUP($E62,'法術資料'!$K$2:$X$805,11,FALSE),"")</f>
        <v/>
      </c>
      <c r="V62" s="1380" t="str">
        <f>IFNA(VLOOKUP($E62,'法術資料'!$K$2:$W$805,12,FALSE),"")</f>
        <v/>
      </c>
      <c r="W62" s="376"/>
      <c r="X62" s="1369"/>
      <c r="Y62" s="455"/>
    </row>
    <row r="63">
      <c r="A63" s="455"/>
      <c r="B63" s="1356"/>
      <c r="C63" s="1357" t="b">
        <v>0</v>
      </c>
      <c r="D63" s="1358"/>
      <c r="E63" s="1359"/>
      <c r="F63" s="375"/>
      <c r="G63" s="1360"/>
      <c r="H63" s="1361" t="str">
        <f>IFNA(VLOOKUP($E63,'法術資料'!$K$2:$X$805,4,FALSE),"")</f>
        <v/>
      </c>
      <c r="I63" s="1362" t="str">
        <f>IFNA(VLOOKUP($E63,'法術資料'!$K$2:$X$805,7,FALSE),"")</f>
        <v/>
      </c>
      <c r="J63" s="375"/>
      <c r="K63" s="1360"/>
      <c r="L63" s="1362" t="str">
        <f>IFNA(VLOOKUP($E63,'法術資料'!$K$2:$X$805,8,FALSE),"")</f>
        <v/>
      </c>
      <c r="M63" s="1360"/>
      <c r="N63" s="1363" t="str">
        <f>IFNA(VLOOKUP($E63,'法術資料'!$K$2:$X$805,14,FALSE),"")</f>
        <v/>
      </c>
      <c r="O63" s="1360"/>
      <c r="P63" s="1364" t="str">
        <f>IFNA(VLOOKUP($E63,'法術資料'!$K$2:$X$805,13,FALSE),"")</f>
        <v/>
      </c>
      <c r="Q63" s="1365" t="str">
        <f>IFNA(VLOOKUP($E63,'法術資料'!$K$2:$X$805,5,FALSE),"")</f>
        <v/>
      </c>
      <c r="R63" s="1365" t="str">
        <f>IFNA(VLOOKUP($E63,'法術資料'!$K$2:$X$805,6,FALSE),"")</f>
        <v/>
      </c>
      <c r="S63" s="1366" t="str">
        <f>IFNA(VLOOKUP($E63,'法術資料'!$K$2:$X$805,9,FALSE),"")</f>
        <v/>
      </c>
      <c r="T63" s="1367" t="str">
        <f>IFNA(VLOOKUP($E63,'法術資料'!$K$2:$X$805,10,FALSE),"")</f>
        <v/>
      </c>
      <c r="U63" s="1367" t="str">
        <f>IFNA(VLOOKUP($E63,'法術資料'!$K$2:$X$805,11,FALSE),"")</f>
        <v/>
      </c>
      <c r="V63" s="1368" t="str">
        <f>IFNA(VLOOKUP($E63,'法術資料'!$K$2:$W$805,12,FALSE),"")</f>
        <v/>
      </c>
      <c r="W63" s="376"/>
      <c r="X63" s="1369"/>
      <c r="Y63" s="455"/>
    </row>
    <row r="64">
      <c r="A64" s="455"/>
      <c r="B64" s="1356"/>
      <c r="C64" s="1370" t="b">
        <v>0</v>
      </c>
      <c r="D64" s="1371"/>
      <c r="E64" s="1372"/>
      <c r="F64" s="375"/>
      <c r="G64" s="1360"/>
      <c r="H64" s="1373" t="str">
        <f>IFNA(VLOOKUP($E64,'法術資料'!$K$2:$X$805,4,FALSE),"")</f>
        <v/>
      </c>
      <c r="I64" s="1374" t="str">
        <f>IFNA(VLOOKUP($E64,'法術資料'!$K$2:$X$805,7,FALSE),"")</f>
        <v/>
      </c>
      <c r="J64" s="375"/>
      <c r="K64" s="1360"/>
      <c r="L64" s="1374" t="str">
        <f>IFNA(VLOOKUP($E64,'法術資料'!$K$2:$X$805,8,FALSE),"")</f>
        <v/>
      </c>
      <c r="M64" s="1360"/>
      <c r="N64" s="1375" t="str">
        <f>IFNA(VLOOKUP($E64,'法術資料'!$K$2:$X$805,14,FALSE),"")</f>
        <v/>
      </c>
      <c r="O64" s="1360"/>
      <c r="P64" s="1376" t="str">
        <f>IFNA(VLOOKUP($E64,'法術資料'!$K$2:$X$805,13,FALSE),"")</f>
        <v/>
      </c>
      <c r="Q64" s="1377" t="str">
        <f>IFNA(VLOOKUP($E64,'法術資料'!$K$2:$X$805,5,FALSE),"")</f>
        <v/>
      </c>
      <c r="R64" s="1377" t="str">
        <f>IFNA(VLOOKUP($E64,'法術資料'!$K$2:$X$805,6,FALSE),"")</f>
        <v/>
      </c>
      <c r="S64" s="1378" t="str">
        <f>IFNA(VLOOKUP($E64,'法術資料'!$K$2:$X$805,9,FALSE),"")</f>
        <v/>
      </c>
      <c r="T64" s="1379" t="str">
        <f>IFNA(VLOOKUP($E64,'法術資料'!$K$2:$X$805,10,FALSE),"")</f>
        <v/>
      </c>
      <c r="U64" s="1379" t="str">
        <f>IFNA(VLOOKUP($E64,'法術資料'!$K$2:$X$805,11,FALSE),"")</f>
        <v/>
      </c>
      <c r="V64" s="1380" t="str">
        <f>IFNA(VLOOKUP($E64,'法術資料'!$K$2:$W$805,12,FALSE),"")</f>
        <v/>
      </c>
      <c r="W64" s="376"/>
      <c r="X64" s="1369"/>
      <c r="Y64" s="455"/>
    </row>
    <row r="65">
      <c r="A65" s="455"/>
      <c r="B65" s="1356"/>
      <c r="C65" s="1357" t="b">
        <v>0</v>
      </c>
      <c r="D65" s="1358"/>
      <c r="E65" s="1359"/>
      <c r="F65" s="375"/>
      <c r="G65" s="1360"/>
      <c r="H65" s="1361" t="str">
        <f>IFNA(VLOOKUP($E65,'法術資料'!$K$2:$X$805,4,FALSE),"")</f>
        <v/>
      </c>
      <c r="I65" s="1362" t="str">
        <f>IFNA(VLOOKUP($E65,'法術資料'!$K$2:$X$805,7,FALSE),"")</f>
        <v/>
      </c>
      <c r="J65" s="375"/>
      <c r="K65" s="1360"/>
      <c r="L65" s="1362" t="str">
        <f>IFNA(VLOOKUP($E65,'法術資料'!$K$2:$X$805,8,FALSE),"")</f>
        <v/>
      </c>
      <c r="M65" s="1360"/>
      <c r="N65" s="1363" t="str">
        <f>IFNA(VLOOKUP($E65,'法術資料'!$K$2:$X$805,14,FALSE),"")</f>
        <v/>
      </c>
      <c r="O65" s="1360"/>
      <c r="P65" s="1364" t="str">
        <f>IFNA(VLOOKUP($E65,'法術資料'!$K$2:$X$805,13,FALSE),"")</f>
        <v/>
      </c>
      <c r="Q65" s="1365" t="str">
        <f>IFNA(VLOOKUP($E65,'法術資料'!$K$2:$X$805,5,FALSE),"")</f>
        <v/>
      </c>
      <c r="R65" s="1365" t="str">
        <f>IFNA(VLOOKUP($E65,'法術資料'!$K$2:$X$805,6,FALSE),"")</f>
        <v/>
      </c>
      <c r="S65" s="1366" t="str">
        <f>IFNA(VLOOKUP($E65,'法術資料'!$K$2:$X$805,9,FALSE),"")</f>
        <v/>
      </c>
      <c r="T65" s="1367" t="str">
        <f>IFNA(VLOOKUP($E65,'法術資料'!$K$2:$X$805,10,FALSE),"")</f>
        <v/>
      </c>
      <c r="U65" s="1367" t="str">
        <f>IFNA(VLOOKUP($E65,'法術資料'!$K$2:$X$805,11,FALSE),"")</f>
        <v/>
      </c>
      <c r="V65" s="1368" t="str">
        <f>IFNA(VLOOKUP($E65,'法術資料'!$K$2:$W$805,12,FALSE),"")</f>
        <v/>
      </c>
      <c r="W65" s="376"/>
      <c r="X65" s="1369"/>
      <c r="Y65" s="455"/>
    </row>
    <row r="66">
      <c r="A66" s="455"/>
      <c r="B66" s="1356"/>
      <c r="C66" s="1370" t="b">
        <v>0</v>
      </c>
      <c r="D66" s="1381"/>
      <c r="E66" s="1385"/>
      <c r="F66" s="375"/>
      <c r="G66" s="1360"/>
      <c r="H66" s="1373" t="str">
        <f>IFNA(VLOOKUP($E66,'法術資料'!$K$2:$X$805,4,FALSE),"")</f>
        <v/>
      </c>
      <c r="I66" s="1374" t="str">
        <f>IFNA(VLOOKUP($E66,'法術資料'!$K$2:$X$805,7,FALSE),"")</f>
        <v/>
      </c>
      <c r="J66" s="375"/>
      <c r="K66" s="1360"/>
      <c r="L66" s="1374" t="str">
        <f>IFNA(VLOOKUP($E66,'法術資料'!$K$2:$X$805,8,FALSE),"")</f>
        <v/>
      </c>
      <c r="M66" s="1360"/>
      <c r="N66" s="1375" t="str">
        <f>IFNA(VLOOKUP($E66,'法術資料'!$K$2:$X$805,14,FALSE),"")</f>
        <v/>
      </c>
      <c r="O66" s="1360"/>
      <c r="P66" s="1376" t="str">
        <f>IFNA(VLOOKUP($E66,'法術資料'!$K$2:$X$805,13,FALSE),"")</f>
        <v/>
      </c>
      <c r="Q66" s="1377" t="str">
        <f>IFNA(VLOOKUP($E66,'法術資料'!$K$2:$X$805,5,FALSE),"")</f>
        <v/>
      </c>
      <c r="R66" s="1377" t="str">
        <f>IFNA(VLOOKUP($E66,'法術資料'!$K$2:$X$805,6,FALSE),"")</f>
        <v/>
      </c>
      <c r="S66" s="1378" t="str">
        <f>IFNA(VLOOKUP($E66,'法術資料'!$K$2:$X$805,9,FALSE),"")</f>
        <v/>
      </c>
      <c r="T66" s="1379" t="str">
        <f>IFNA(VLOOKUP($E66,'法術資料'!$K$2:$X$805,10,FALSE),"")</f>
        <v/>
      </c>
      <c r="U66" s="1379" t="str">
        <f>IFNA(VLOOKUP($E66,'法術資料'!$K$2:$X$805,11,FALSE),"")</f>
        <v/>
      </c>
      <c r="V66" s="1380" t="str">
        <f>IFNA(VLOOKUP($E66,'法術資料'!$K$2:$W$805,12,FALSE),"")</f>
        <v/>
      </c>
      <c r="W66" s="376"/>
      <c r="X66" s="1369"/>
      <c r="Y66" s="455"/>
    </row>
    <row r="67">
      <c r="A67" s="455"/>
      <c r="B67" s="1356"/>
      <c r="C67" s="1357" t="b">
        <v>0</v>
      </c>
      <c r="D67" s="1382"/>
      <c r="E67" s="1384"/>
      <c r="F67" s="375"/>
      <c r="G67" s="1360"/>
      <c r="H67" s="1361" t="str">
        <f>IFNA(VLOOKUP($E67,'法術資料'!$K$2:$X$805,4,FALSE),"")</f>
        <v/>
      </c>
      <c r="I67" s="1362" t="str">
        <f>IFNA(VLOOKUP($E67,'法術資料'!$K$2:$X$805,7,FALSE),"")</f>
        <v/>
      </c>
      <c r="J67" s="375"/>
      <c r="K67" s="1360"/>
      <c r="L67" s="1362" t="str">
        <f>IFNA(VLOOKUP($E67,'法術資料'!$K$2:$X$805,8,FALSE),"")</f>
        <v/>
      </c>
      <c r="M67" s="1360"/>
      <c r="N67" s="1363" t="str">
        <f>IFNA(VLOOKUP($E67,'法術資料'!$K$2:$X$805,14,FALSE),"")</f>
        <v/>
      </c>
      <c r="O67" s="1360"/>
      <c r="P67" s="1364" t="str">
        <f>IFNA(VLOOKUP($E67,'法術資料'!$K$2:$X$805,13,FALSE),"")</f>
        <v/>
      </c>
      <c r="Q67" s="1365" t="str">
        <f>IFNA(VLOOKUP($E67,'法術資料'!$K$2:$X$805,5,FALSE),"")</f>
        <v/>
      </c>
      <c r="R67" s="1365" t="str">
        <f>IFNA(VLOOKUP($E67,'法術資料'!$K$2:$X$805,6,FALSE),"")</f>
        <v/>
      </c>
      <c r="S67" s="1366" t="str">
        <f>IFNA(VLOOKUP($E67,'法術資料'!$K$2:$X$805,9,FALSE),"")</f>
        <v/>
      </c>
      <c r="T67" s="1367" t="str">
        <f>IFNA(VLOOKUP($E67,'法術資料'!$K$2:$X$805,10,FALSE),"")</f>
        <v/>
      </c>
      <c r="U67" s="1367" t="str">
        <f>IFNA(VLOOKUP($E67,'法術資料'!$K$2:$X$805,11,FALSE),"")</f>
        <v/>
      </c>
      <c r="V67" s="1368" t="str">
        <f>IFNA(VLOOKUP($E67,'法術資料'!$K$2:$W$805,12,FALSE),"")</f>
        <v/>
      </c>
      <c r="W67" s="376"/>
      <c r="X67" s="1369"/>
      <c r="Y67" s="455"/>
    </row>
    <row r="68">
      <c r="A68" s="455"/>
      <c r="B68" s="1356"/>
      <c r="C68" s="1386" t="b">
        <v>0</v>
      </c>
      <c r="D68" s="1387"/>
      <c r="E68" s="1388"/>
      <c r="F68" s="417"/>
      <c r="G68" s="1389"/>
      <c r="H68" s="1390" t="str">
        <f>IFNA(VLOOKUP($E68,'法術資料'!$K$2:$X$805,4,FALSE),"")</f>
        <v/>
      </c>
      <c r="I68" s="1391" t="str">
        <f>IFNA(VLOOKUP($E68,'法術資料'!$K$2:$X$805,7,FALSE),"")</f>
        <v/>
      </c>
      <c r="J68" s="417"/>
      <c r="K68" s="1389"/>
      <c r="L68" s="1391" t="str">
        <f>IFNA(VLOOKUP($E68,'法術資料'!$K$2:$X$805,8,FALSE),"")</f>
        <v/>
      </c>
      <c r="M68" s="1389"/>
      <c r="N68" s="1392" t="str">
        <f>IFNA(VLOOKUP($E68,'法術資料'!$K$2:$X$805,14,FALSE),"")</f>
        <v/>
      </c>
      <c r="O68" s="1389"/>
      <c r="P68" s="1393" t="str">
        <f>IFNA(VLOOKUP($E68,'法術資料'!$K$2:$X$805,13,FALSE),"")</f>
        <v/>
      </c>
      <c r="Q68" s="1394" t="str">
        <f>IFNA(VLOOKUP($E68,'法術資料'!$K$2:$X$805,5,FALSE),"")</f>
        <v/>
      </c>
      <c r="R68" s="1394" t="str">
        <f>IFNA(VLOOKUP($E68,'法術資料'!$K$2:$X$805,6,FALSE),"")</f>
        <v/>
      </c>
      <c r="S68" s="1395" t="str">
        <f>IFNA(VLOOKUP($E68,'法術資料'!$K$2:$X$805,9,FALSE),"")</f>
        <v/>
      </c>
      <c r="T68" s="1396" t="str">
        <f>IFNA(VLOOKUP($E68,'法術資料'!$K$2:$X$805,10,FALSE),"")</f>
        <v/>
      </c>
      <c r="U68" s="1396" t="str">
        <f>IFNA(VLOOKUP($E68,'法術資料'!$K$2:$X$805,11,FALSE),"")</f>
        <v/>
      </c>
      <c r="V68" s="1397" t="str">
        <f>IFNA(VLOOKUP($E68,'法術資料'!$K$2:$W$805,12,FALSE),"")</f>
        <v/>
      </c>
      <c r="W68" s="517"/>
      <c r="X68" s="1369"/>
      <c r="Y68" s="455"/>
    </row>
    <row r="69" ht="15.0" customHeight="1">
      <c r="A69" s="455"/>
      <c r="B69" s="1302"/>
      <c r="C69" s="1302"/>
      <c r="D69" s="1398"/>
      <c r="E69" s="1302"/>
      <c r="F69" s="1302"/>
      <c r="G69" s="1302"/>
      <c r="H69" s="1302"/>
      <c r="I69" s="1302"/>
      <c r="J69" s="1302"/>
      <c r="K69" s="1302"/>
      <c r="L69" s="1302"/>
      <c r="M69" s="1302"/>
      <c r="N69" s="1302"/>
      <c r="O69" s="1302"/>
      <c r="P69" s="1302"/>
      <c r="Q69" s="1302"/>
      <c r="R69" s="1302"/>
      <c r="S69" s="1302"/>
      <c r="T69" s="1302"/>
      <c r="U69" s="1302"/>
      <c r="V69" s="1302"/>
      <c r="W69" s="1302"/>
      <c r="X69" s="1302"/>
      <c r="Y69" s="455"/>
    </row>
    <row r="70" ht="15.0" customHeight="1">
      <c r="A70" s="455"/>
      <c r="B70" s="1302"/>
      <c r="C70" s="1302"/>
      <c r="D70" s="1398"/>
      <c r="E70" s="1302"/>
      <c r="F70" s="1302"/>
      <c r="G70" s="1302"/>
      <c r="H70" s="1302"/>
      <c r="I70" s="1302"/>
      <c r="J70" s="1302"/>
      <c r="K70" s="1302"/>
      <c r="L70" s="1302"/>
      <c r="M70" s="1302"/>
      <c r="N70" s="1302"/>
      <c r="O70" s="1302"/>
      <c r="P70" s="1302"/>
      <c r="Q70" s="1302"/>
      <c r="R70" s="1302"/>
      <c r="S70" s="1302"/>
      <c r="T70" s="1302"/>
      <c r="U70" s="1302"/>
      <c r="V70" s="1302"/>
      <c r="W70" s="1302"/>
      <c r="X70" s="1302"/>
      <c r="Y70" s="455"/>
    </row>
    <row r="71" ht="15.0" customHeight="1">
      <c r="A71" s="455"/>
      <c r="B71" s="1399"/>
      <c r="C71" s="1339" t="s">
        <v>1864</v>
      </c>
      <c r="D71" s="19"/>
      <c r="E71" s="19"/>
      <c r="F71" s="19"/>
      <c r="G71" s="19"/>
      <c r="H71" s="19"/>
      <c r="I71" s="19"/>
      <c r="J71" s="19"/>
      <c r="K71" s="19"/>
      <c r="L71" s="19"/>
      <c r="M71" s="19"/>
      <c r="N71" s="19"/>
      <c r="O71" s="19"/>
      <c r="P71" s="19"/>
      <c r="Q71" s="19"/>
      <c r="R71" s="19"/>
      <c r="S71" s="19"/>
      <c r="T71" s="19"/>
      <c r="U71" s="19"/>
      <c r="V71" s="19"/>
      <c r="W71" s="20"/>
      <c r="X71" s="1399"/>
      <c r="Y71" s="455"/>
    </row>
    <row r="72" ht="15.0" customHeight="1">
      <c r="A72" s="455"/>
      <c r="B72" s="1340"/>
      <c r="C72" s="1341" t="s">
        <v>1834</v>
      </c>
      <c r="D72" s="1342" t="s">
        <v>1835</v>
      </c>
      <c r="E72" s="1343" t="s">
        <v>1836</v>
      </c>
      <c r="F72" s="152"/>
      <c r="G72" s="1344"/>
      <c r="H72" s="1345" t="s">
        <v>1837</v>
      </c>
      <c r="I72" s="1345" t="s">
        <v>1838</v>
      </c>
      <c r="J72" s="152"/>
      <c r="K72" s="152"/>
      <c r="L72" s="1346" t="s">
        <v>1839</v>
      </c>
      <c r="M72" s="152"/>
      <c r="N72" s="1345" t="s">
        <v>1840</v>
      </c>
      <c r="O72" s="1344"/>
      <c r="P72" s="1347" t="s">
        <v>1841</v>
      </c>
      <c r="Q72" s="1348" t="s">
        <v>1842</v>
      </c>
      <c r="R72" s="1347" t="s">
        <v>1843</v>
      </c>
      <c r="S72" s="1349" t="s">
        <v>1844</v>
      </c>
      <c r="T72" s="354"/>
      <c r="U72" s="1350"/>
      <c r="V72" s="1345" t="s">
        <v>1845</v>
      </c>
      <c r="W72" s="175"/>
      <c r="X72" s="1340"/>
      <c r="Y72" s="455"/>
    </row>
    <row r="73" ht="15.0" customHeight="1">
      <c r="A73" s="455"/>
      <c r="B73" s="1340"/>
      <c r="C73" s="1187"/>
      <c r="E73" s="1351"/>
      <c r="G73" s="1187"/>
      <c r="H73" s="1352"/>
      <c r="I73" s="1352"/>
      <c r="L73" s="1351"/>
      <c r="N73" s="1352"/>
      <c r="O73" s="1187"/>
      <c r="P73" s="1353"/>
      <c r="Q73" s="1353"/>
      <c r="R73" s="1353"/>
      <c r="S73" s="1354" t="s">
        <v>1846</v>
      </c>
      <c r="T73" s="1355" t="s">
        <v>1847</v>
      </c>
      <c r="U73" s="1355" t="s">
        <v>1848</v>
      </c>
      <c r="V73" s="1352"/>
      <c r="W73" s="318"/>
      <c r="X73" s="1340"/>
      <c r="Y73" s="455"/>
    </row>
    <row r="74">
      <c r="A74" s="455"/>
      <c r="B74" s="1356"/>
      <c r="C74" s="1357" t="b">
        <v>0</v>
      </c>
      <c r="D74" s="1382"/>
      <c r="E74" s="1359"/>
      <c r="F74" s="375"/>
      <c r="G74" s="1360"/>
      <c r="H74" s="1361" t="str">
        <f>IFNA(VLOOKUP($E74,'法術資料'!$K$2:$X$805,4,FALSE),"")</f>
        <v/>
      </c>
      <c r="I74" s="1362" t="str">
        <f>IFNA(VLOOKUP($E74,'法術資料'!$K$2:$X$805,7,FALSE),"")</f>
        <v/>
      </c>
      <c r="J74" s="375"/>
      <c r="K74" s="1360"/>
      <c r="L74" s="1362" t="str">
        <f>IFNA(VLOOKUP($E74,'法術資料'!$K$2:$X$805,8,FALSE),"")</f>
        <v/>
      </c>
      <c r="M74" s="1360"/>
      <c r="N74" s="1363" t="str">
        <f>IFNA(VLOOKUP($E74,'法術資料'!$K$2:$X$805,14,FALSE),"")</f>
        <v/>
      </c>
      <c r="O74" s="1360"/>
      <c r="P74" s="1364" t="str">
        <f>IFNA(VLOOKUP($E74,'法術資料'!$K$2:$X$805,13,FALSE),"")</f>
        <v/>
      </c>
      <c r="Q74" s="1365" t="str">
        <f>IFNA(VLOOKUP($E74,'法術資料'!$K$2:$X$805,5,FALSE),"")</f>
        <v/>
      </c>
      <c r="R74" s="1365" t="str">
        <f>IFNA(VLOOKUP($E74,'法術資料'!$K$2:$X$805,6,FALSE),"")</f>
        <v/>
      </c>
      <c r="S74" s="1366" t="str">
        <f>IFNA(VLOOKUP($E74,'法術資料'!$K$2:$X$805,9,FALSE),"")</f>
        <v/>
      </c>
      <c r="T74" s="1367" t="str">
        <f>IFNA(VLOOKUP($E74,'法術資料'!$K$2:$X$805,10,FALSE),"")</f>
        <v/>
      </c>
      <c r="U74" s="1367" t="str">
        <f>IFNA(VLOOKUP($E74,'法術資料'!$K$2:$X$805,11,FALSE),"")</f>
        <v/>
      </c>
      <c r="V74" s="1368" t="str">
        <f>IFNA(VLOOKUP($E74,'法術資料'!$K$2:$W$805,12,FALSE),"")</f>
        <v/>
      </c>
      <c r="W74" s="376"/>
      <c r="X74" s="1369"/>
      <c r="Y74" s="455"/>
    </row>
    <row r="75">
      <c r="A75" s="455"/>
      <c r="B75" s="1356"/>
      <c r="C75" s="1370" t="b">
        <v>0</v>
      </c>
      <c r="D75" s="1383"/>
      <c r="E75" s="1372"/>
      <c r="F75" s="375"/>
      <c r="G75" s="1360"/>
      <c r="H75" s="1373" t="str">
        <f>IFNA(VLOOKUP($E75,'法術資料'!$K$2:$X$805,4,FALSE),"")</f>
        <v/>
      </c>
      <c r="I75" s="1374" t="str">
        <f>IFNA(VLOOKUP($E75,'法術資料'!$K$2:$X$805,7,FALSE),"")</f>
        <v/>
      </c>
      <c r="J75" s="375"/>
      <c r="K75" s="1360"/>
      <c r="L75" s="1374" t="str">
        <f>IFNA(VLOOKUP($E75,'法術資料'!$K$2:$X$805,8,FALSE),"")</f>
        <v/>
      </c>
      <c r="M75" s="1360"/>
      <c r="N75" s="1375" t="str">
        <f>IFNA(VLOOKUP($E75,'法術資料'!$K$2:$X$805,14,FALSE),"")</f>
        <v/>
      </c>
      <c r="O75" s="1360"/>
      <c r="P75" s="1376" t="str">
        <f>IFNA(VLOOKUP($E75,'法術資料'!$K$2:$X$805,13,FALSE),"")</f>
        <v/>
      </c>
      <c r="Q75" s="1377" t="str">
        <f>IFNA(VLOOKUP($E75,'法術資料'!$K$2:$X$805,5,FALSE),"")</f>
        <v/>
      </c>
      <c r="R75" s="1377" t="str">
        <f>IFNA(VLOOKUP($E75,'法術資料'!$K$2:$X$805,6,FALSE),"")</f>
        <v/>
      </c>
      <c r="S75" s="1378" t="str">
        <f>IFNA(VLOOKUP($E75,'法術資料'!$K$2:$X$805,9,FALSE),"")</f>
        <v/>
      </c>
      <c r="T75" s="1379" t="str">
        <f>IFNA(VLOOKUP($E75,'法術資料'!$K$2:$X$805,10,FALSE),"")</f>
        <v/>
      </c>
      <c r="U75" s="1379" t="str">
        <f>IFNA(VLOOKUP($E75,'法術資料'!$K$2:$X$805,11,FALSE),"")</f>
        <v/>
      </c>
      <c r="V75" s="1380" t="str">
        <f>IFNA(VLOOKUP($E75,'法術資料'!$K$2:$W$805,12,FALSE),"")</f>
        <v/>
      </c>
      <c r="W75" s="376"/>
      <c r="X75" s="1369"/>
      <c r="Y75" s="455"/>
    </row>
    <row r="76">
      <c r="A76" s="455"/>
      <c r="B76" s="1356"/>
      <c r="C76" s="1357" t="b">
        <v>0</v>
      </c>
      <c r="D76" s="1382"/>
      <c r="E76" s="1384"/>
      <c r="F76" s="375"/>
      <c r="G76" s="1360"/>
      <c r="H76" s="1361" t="str">
        <f>IFNA(VLOOKUP($E76,'法術資料'!$K$2:$X$805,4,FALSE),"")</f>
        <v/>
      </c>
      <c r="I76" s="1362" t="str">
        <f>IFNA(VLOOKUP($E76,'法術資料'!$K$2:$X$805,7,FALSE),"")</f>
        <v/>
      </c>
      <c r="J76" s="375"/>
      <c r="K76" s="1360"/>
      <c r="L76" s="1362" t="str">
        <f>IFNA(VLOOKUP($E76,'法術資料'!$K$2:$X$805,8,FALSE),"")</f>
        <v/>
      </c>
      <c r="M76" s="1360"/>
      <c r="N76" s="1363" t="str">
        <f>IFNA(VLOOKUP($E76,'法術資料'!$K$2:$X$805,14,FALSE),"")</f>
        <v/>
      </c>
      <c r="O76" s="1360"/>
      <c r="P76" s="1364" t="str">
        <f>IFNA(VLOOKUP($E76,'法術資料'!$K$2:$X$805,13,FALSE),"")</f>
        <v/>
      </c>
      <c r="Q76" s="1365" t="str">
        <f>IFNA(VLOOKUP($E76,'法術資料'!$K$2:$X$805,5,FALSE),"")</f>
        <v/>
      </c>
      <c r="R76" s="1365" t="str">
        <f>IFNA(VLOOKUP($E76,'法術資料'!$K$2:$X$805,6,FALSE),"")</f>
        <v/>
      </c>
      <c r="S76" s="1366" t="str">
        <f>IFNA(VLOOKUP($E76,'法術資料'!$K$2:$X$805,9,FALSE),"")</f>
        <v/>
      </c>
      <c r="T76" s="1367" t="str">
        <f>IFNA(VLOOKUP($E76,'法術資料'!$K$2:$X$805,10,FALSE),"")</f>
        <v/>
      </c>
      <c r="U76" s="1367" t="str">
        <f>IFNA(VLOOKUP($E76,'法術資料'!$K$2:$X$805,11,FALSE),"")</f>
        <v/>
      </c>
      <c r="V76" s="1368" t="str">
        <f>IFNA(VLOOKUP($E76,'法術資料'!$K$2:$W$805,12,FALSE),"")</f>
        <v/>
      </c>
      <c r="W76" s="376"/>
      <c r="X76" s="1369"/>
      <c r="Y76" s="455"/>
    </row>
    <row r="77">
      <c r="A77" s="455"/>
      <c r="B77" s="1356"/>
      <c r="C77" s="1370" t="b">
        <v>0</v>
      </c>
      <c r="D77" s="1383"/>
      <c r="E77" s="1372"/>
      <c r="F77" s="375"/>
      <c r="G77" s="1360"/>
      <c r="H77" s="1373" t="str">
        <f>IFNA(VLOOKUP($E77,'法術資料'!$K$2:$X$805,4,FALSE),"")</f>
        <v/>
      </c>
      <c r="I77" s="1374" t="str">
        <f>IFNA(VLOOKUP($E77,'法術資料'!$K$2:$X$805,7,FALSE),"")</f>
        <v/>
      </c>
      <c r="J77" s="375"/>
      <c r="K77" s="1360"/>
      <c r="L77" s="1374" t="str">
        <f>IFNA(VLOOKUP($E77,'法術資料'!$K$2:$X$805,8,FALSE),"")</f>
        <v/>
      </c>
      <c r="M77" s="1360"/>
      <c r="N77" s="1375" t="str">
        <f>IFNA(VLOOKUP($E77,'法術資料'!$K$2:$X$805,14,FALSE),"")</f>
        <v/>
      </c>
      <c r="O77" s="1360"/>
      <c r="P77" s="1376" t="str">
        <f>IFNA(VLOOKUP($E77,'法術資料'!$K$2:$X$805,13,FALSE),"")</f>
        <v/>
      </c>
      <c r="Q77" s="1377" t="str">
        <f>IFNA(VLOOKUP($E77,'法術資料'!$K$2:$X$805,5,FALSE),"")</f>
        <v/>
      </c>
      <c r="R77" s="1377" t="str">
        <f>IFNA(VLOOKUP($E77,'法術資料'!$K$2:$X$805,6,FALSE),"")</f>
        <v/>
      </c>
      <c r="S77" s="1378" t="str">
        <f>IFNA(VLOOKUP($E77,'法術資料'!$K$2:$X$805,9,FALSE),"")</f>
        <v/>
      </c>
      <c r="T77" s="1379" t="str">
        <f>IFNA(VLOOKUP($E77,'法術資料'!$K$2:$X$805,10,FALSE),"")</f>
        <v/>
      </c>
      <c r="U77" s="1379" t="str">
        <f>IFNA(VLOOKUP($E77,'法術資料'!$K$2:$X$805,11,FALSE),"")</f>
        <v/>
      </c>
      <c r="V77" s="1380" t="str">
        <f>IFNA(VLOOKUP($E77,'法術資料'!$K$2:$W$805,12,FALSE),"")</f>
        <v/>
      </c>
      <c r="W77" s="376"/>
      <c r="X77" s="1369"/>
      <c r="Y77" s="455"/>
    </row>
    <row r="78">
      <c r="A78" s="455"/>
      <c r="B78" s="1356"/>
      <c r="C78" s="1357" t="b">
        <v>0</v>
      </c>
      <c r="D78" s="1382"/>
      <c r="E78" s="1384"/>
      <c r="F78" s="375"/>
      <c r="G78" s="1360"/>
      <c r="H78" s="1361" t="str">
        <f>IFNA(VLOOKUP($E78,'法術資料'!$K$2:$X$805,4,FALSE),"")</f>
        <v/>
      </c>
      <c r="I78" s="1362" t="str">
        <f>IFNA(VLOOKUP($E78,'法術資料'!$K$2:$X$805,7,FALSE),"")</f>
        <v/>
      </c>
      <c r="J78" s="375"/>
      <c r="K78" s="1360"/>
      <c r="L78" s="1362" t="str">
        <f>IFNA(VLOOKUP($E78,'法術資料'!$K$2:$X$805,8,FALSE),"")</f>
        <v/>
      </c>
      <c r="M78" s="1360"/>
      <c r="N78" s="1363" t="str">
        <f>IFNA(VLOOKUP($E78,'法術資料'!$K$2:$X$805,14,FALSE),"")</f>
        <v/>
      </c>
      <c r="O78" s="1360"/>
      <c r="P78" s="1364" t="str">
        <f>IFNA(VLOOKUP($E78,'法術資料'!$K$2:$X$805,13,FALSE),"")</f>
        <v/>
      </c>
      <c r="Q78" s="1365" t="str">
        <f>IFNA(VLOOKUP($E78,'法術資料'!$K$2:$X$805,5,FALSE),"")</f>
        <v/>
      </c>
      <c r="R78" s="1365" t="str">
        <f>IFNA(VLOOKUP($E78,'法術資料'!$K$2:$X$805,6,FALSE),"")</f>
        <v/>
      </c>
      <c r="S78" s="1366" t="str">
        <f>IFNA(VLOOKUP($E78,'法術資料'!$K$2:$X$805,9,FALSE),"")</f>
        <v/>
      </c>
      <c r="T78" s="1367" t="str">
        <f>IFNA(VLOOKUP($E78,'法術資料'!$K$2:$X$805,10,FALSE),"")</f>
        <v/>
      </c>
      <c r="U78" s="1367" t="str">
        <f>IFNA(VLOOKUP($E78,'法術資料'!$K$2:$X$805,11,FALSE),"")</f>
        <v/>
      </c>
      <c r="V78" s="1368" t="str">
        <f>IFNA(VLOOKUP($E78,'法術資料'!$K$2:$W$805,12,FALSE),"")</f>
        <v/>
      </c>
      <c r="W78" s="376"/>
      <c r="X78" s="1369"/>
      <c r="Y78" s="455"/>
    </row>
    <row r="79">
      <c r="A79" s="455"/>
      <c r="B79" s="1356"/>
      <c r="C79" s="1370" t="b">
        <v>0</v>
      </c>
      <c r="D79" s="1381"/>
      <c r="E79" s="1385"/>
      <c r="F79" s="375"/>
      <c r="G79" s="1360"/>
      <c r="H79" s="1373" t="str">
        <f>IFNA(VLOOKUP($E79,'法術資料'!$K$2:$X$805,4,FALSE),"")</f>
        <v/>
      </c>
      <c r="I79" s="1374" t="str">
        <f>IFNA(VLOOKUP($E79,'法術資料'!$K$2:$X$805,7,FALSE),"")</f>
        <v/>
      </c>
      <c r="J79" s="375"/>
      <c r="K79" s="1360"/>
      <c r="L79" s="1374" t="str">
        <f>IFNA(VLOOKUP($E79,'法術資料'!$K$2:$X$805,8,FALSE),"")</f>
        <v/>
      </c>
      <c r="M79" s="1360"/>
      <c r="N79" s="1375" t="str">
        <f>IFNA(VLOOKUP($E79,'法術資料'!$K$2:$X$805,14,FALSE),"")</f>
        <v/>
      </c>
      <c r="O79" s="1360"/>
      <c r="P79" s="1376" t="str">
        <f>IFNA(VLOOKUP($E79,'法術資料'!$K$2:$X$805,13,FALSE),"")</f>
        <v/>
      </c>
      <c r="Q79" s="1377" t="str">
        <f>IFNA(VLOOKUP($E79,'法術資料'!$K$2:$X$805,5,FALSE),"")</f>
        <v/>
      </c>
      <c r="R79" s="1377" t="str">
        <f>IFNA(VLOOKUP($E79,'法術資料'!$K$2:$X$805,6,FALSE),"")</f>
        <v/>
      </c>
      <c r="S79" s="1378" t="str">
        <f>IFNA(VLOOKUP($E79,'法術資料'!$K$2:$X$805,9,FALSE),"")</f>
        <v/>
      </c>
      <c r="T79" s="1379" t="str">
        <f>IFNA(VLOOKUP($E79,'法術資料'!$K$2:$X$805,10,FALSE),"")</f>
        <v/>
      </c>
      <c r="U79" s="1379" t="str">
        <f>IFNA(VLOOKUP($E79,'法術資料'!$K$2:$X$805,11,FALSE),"")</f>
        <v/>
      </c>
      <c r="V79" s="1380" t="str">
        <f>IFNA(VLOOKUP($E79,'法術資料'!$K$2:$W$805,12,FALSE),"")</f>
        <v/>
      </c>
      <c r="W79" s="376"/>
      <c r="X79" s="1369"/>
      <c r="Y79" s="455"/>
    </row>
    <row r="80">
      <c r="A80" s="455"/>
      <c r="B80" s="1356"/>
      <c r="C80" s="1357" t="b">
        <v>0</v>
      </c>
      <c r="D80" s="1382"/>
      <c r="E80" s="1384"/>
      <c r="F80" s="375"/>
      <c r="G80" s="1360"/>
      <c r="H80" s="1361" t="str">
        <f>IFNA(VLOOKUP($E80,'法術資料'!$K$2:$X$805,4,FALSE),"")</f>
        <v/>
      </c>
      <c r="I80" s="1362" t="str">
        <f>IFNA(VLOOKUP($E80,'法術資料'!$K$2:$X$805,7,FALSE),"")</f>
        <v/>
      </c>
      <c r="J80" s="375"/>
      <c r="K80" s="1360"/>
      <c r="L80" s="1362" t="str">
        <f>IFNA(VLOOKUP($E80,'法術資料'!$K$2:$X$805,8,FALSE),"")</f>
        <v/>
      </c>
      <c r="M80" s="1360"/>
      <c r="N80" s="1363" t="str">
        <f>IFNA(VLOOKUP($E80,'法術資料'!$K$2:$X$805,14,FALSE),"")</f>
        <v/>
      </c>
      <c r="O80" s="1360"/>
      <c r="P80" s="1364" t="str">
        <f>IFNA(VLOOKUP($E80,'法術資料'!$K$2:$X$805,13,FALSE),"")</f>
        <v/>
      </c>
      <c r="Q80" s="1365" t="str">
        <f>IFNA(VLOOKUP($E80,'法術資料'!$K$2:$X$805,5,FALSE),"")</f>
        <v/>
      </c>
      <c r="R80" s="1365" t="str">
        <f>IFNA(VLOOKUP($E80,'法術資料'!$K$2:$X$805,6,FALSE),"")</f>
        <v/>
      </c>
      <c r="S80" s="1366" t="str">
        <f>IFNA(VLOOKUP($E80,'法術資料'!$K$2:$X$805,9,FALSE),"")</f>
        <v/>
      </c>
      <c r="T80" s="1367" t="str">
        <f>IFNA(VLOOKUP($E80,'法術資料'!$K$2:$X$805,10,FALSE),"")</f>
        <v/>
      </c>
      <c r="U80" s="1367" t="str">
        <f>IFNA(VLOOKUP($E80,'法術資料'!$K$2:$X$805,11,FALSE),"")</f>
        <v/>
      </c>
      <c r="V80" s="1368" t="str">
        <f>IFNA(VLOOKUP($E80,'法術資料'!$K$2:$W$805,12,FALSE),"")</f>
        <v/>
      </c>
      <c r="W80" s="376"/>
      <c r="X80" s="1369"/>
      <c r="Y80" s="455"/>
    </row>
    <row r="81">
      <c r="A81" s="455"/>
      <c r="B81" s="1356"/>
      <c r="C81" s="1386" t="b">
        <v>0</v>
      </c>
      <c r="D81" s="1387"/>
      <c r="E81" s="1388"/>
      <c r="F81" s="417"/>
      <c r="G81" s="1389"/>
      <c r="H81" s="1390" t="str">
        <f>IFNA(VLOOKUP($E81,'法術資料'!$K$2:$X$805,4,FALSE),"")</f>
        <v/>
      </c>
      <c r="I81" s="1391" t="str">
        <f>IFNA(VLOOKUP($E81,'法術資料'!$K$2:$X$805,7,FALSE),"")</f>
        <v/>
      </c>
      <c r="J81" s="417"/>
      <c r="K81" s="1389"/>
      <c r="L81" s="1391" t="str">
        <f>IFNA(VLOOKUP($E81,'法術資料'!$K$2:$X$805,8,FALSE),"")</f>
        <v/>
      </c>
      <c r="M81" s="1389"/>
      <c r="N81" s="1392" t="str">
        <f>IFNA(VLOOKUP($E81,'法術資料'!$K$2:$X$805,14,FALSE),"")</f>
        <v/>
      </c>
      <c r="O81" s="1389"/>
      <c r="P81" s="1393" t="str">
        <f>IFNA(VLOOKUP($E81,'法術資料'!$K$2:$X$805,13,FALSE),"")</f>
        <v/>
      </c>
      <c r="Q81" s="1394" t="str">
        <f>IFNA(VLOOKUP($E81,'法術資料'!$K$2:$X$805,5,FALSE),"")</f>
        <v/>
      </c>
      <c r="R81" s="1394" t="str">
        <f>IFNA(VLOOKUP($E81,'法術資料'!$K$2:$X$805,6,FALSE),"")</f>
        <v/>
      </c>
      <c r="S81" s="1395" t="str">
        <f>IFNA(VLOOKUP($E81,'法術資料'!$K$2:$X$805,9,FALSE),"")</f>
        <v/>
      </c>
      <c r="T81" s="1396" t="str">
        <f>IFNA(VLOOKUP($E81,'法術資料'!$K$2:$X$805,10,FALSE),"")</f>
        <v/>
      </c>
      <c r="U81" s="1396" t="str">
        <f>IFNA(VLOOKUP($E81,'法術資料'!$K$2:$X$805,11,FALSE),"")</f>
        <v/>
      </c>
      <c r="V81" s="1397" t="str">
        <f>IFNA(VLOOKUP($E81,'法術資料'!$K$2:$W$805,12,FALSE),"")</f>
        <v/>
      </c>
      <c r="W81" s="517"/>
      <c r="X81" s="1369"/>
      <c r="Y81" s="455"/>
    </row>
    <row r="82" ht="15.0" customHeight="1">
      <c r="A82" s="455"/>
      <c r="B82" s="1302"/>
      <c r="C82" s="1302"/>
      <c r="D82" s="1398"/>
      <c r="E82" s="1302"/>
      <c r="F82" s="1302"/>
      <c r="G82" s="1302"/>
      <c r="H82" s="1302"/>
      <c r="I82" s="1302"/>
      <c r="J82" s="1302"/>
      <c r="K82" s="1302"/>
      <c r="L82" s="1302"/>
      <c r="M82" s="1302"/>
      <c r="N82" s="1302"/>
      <c r="O82" s="1302"/>
      <c r="P82" s="1302"/>
      <c r="Q82" s="1302"/>
      <c r="R82" s="1302"/>
      <c r="S82" s="1302"/>
      <c r="T82" s="1302"/>
      <c r="U82" s="1302"/>
      <c r="V82" s="1302"/>
      <c r="W82" s="1302"/>
      <c r="X82" s="1302"/>
      <c r="Y82" s="455"/>
    </row>
    <row r="83" ht="15.0" customHeight="1">
      <c r="A83" s="455"/>
      <c r="B83" s="1302"/>
      <c r="C83" s="1302"/>
      <c r="D83" s="1398"/>
      <c r="E83" s="1302"/>
      <c r="F83" s="1302"/>
      <c r="G83" s="1302"/>
      <c r="H83" s="1302"/>
      <c r="I83" s="1302"/>
      <c r="J83" s="1302"/>
      <c r="K83" s="1302"/>
      <c r="L83" s="1302"/>
      <c r="M83" s="1302"/>
      <c r="N83" s="1302"/>
      <c r="O83" s="1302"/>
      <c r="P83" s="1302"/>
      <c r="Q83" s="1302"/>
      <c r="R83" s="1302"/>
      <c r="S83" s="1302"/>
      <c r="T83" s="1302"/>
      <c r="U83" s="1302"/>
      <c r="V83" s="1302"/>
      <c r="W83" s="1302"/>
      <c r="X83" s="1302"/>
      <c r="Y83" s="455"/>
    </row>
    <row r="84" ht="15.0" customHeight="1">
      <c r="A84" s="455"/>
      <c r="B84" s="1399"/>
      <c r="C84" s="1339" t="s">
        <v>1865</v>
      </c>
      <c r="D84" s="19"/>
      <c r="E84" s="19"/>
      <c r="F84" s="19"/>
      <c r="G84" s="19"/>
      <c r="H84" s="19"/>
      <c r="I84" s="19"/>
      <c r="J84" s="19"/>
      <c r="K84" s="19"/>
      <c r="L84" s="19"/>
      <c r="M84" s="19"/>
      <c r="N84" s="19"/>
      <c r="O84" s="19"/>
      <c r="P84" s="19"/>
      <c r="Q84" s="19"/>
      <c r="R84" s="19"/>
      <c r="S84" s="19"/>
      <c r="T84" s="19"/>
      <c r="U84" s="19"/>
      <c r="V84" s="19"/>
      <c r="W84" s="20"/>
      <c r="X84" s="1399"/>
      <c r="Y84" s="455"/>
    </row>
    <row r="85" ht="15.0" customHeight="1">
      <c r="A85" s="455"/>
      <c r="B85" s="1340"/>
      <c r="C85" s="1341" t="s">
        <v>1834</v>
      </c>
      <c r="D85" s="1342" t="s">
        <v>1835</v>
      </c>
      <c r="E85" s="1343" t="s">
        <v>1836</v>
      </c>
      <c r="F85" s="152"/>
      <c r="G85" s="1344"/>
      <c r="H85" s="1345" t="s">
        <v>1837</v>
      </c>
      <c r="I85" s="1345" t="s">
        <v>1838</v>
      </c>
      <c r="J85" s="152"/>
      <c r="K85" s="152"/>
      <c r="L85" s="1346" t="s">
        <v>1839</v>
      </c>
      <c r="M85" s="152"/>
      <c r="N85" s="1345" t="s">
        <v>1840</v>
      </c>
      <c r="O85" s="1344"/>
      <c r="P85" s="1347" t="s">
        <v>1841</v>
      </c>
      <c r="Q85" s="1348" t="s">
        <v>1842</v>
      </c>
      <c r="R85" s="1347" t="s">
        <v>1843</v>
      </c>
      <c r="S85" s="1349" t="s">
        <v>1844</v>
      </c>
      <c r="T85" s="354"/>
      <c r="U85" s="1350"/>
      <c r="V85" s="1345" t="s">
        <v>1845</v>
      </c>
      <c r="W85" s="175"/>
      <c r="X85" s="1340"/>
      <c r="Y85" s="455"/>
    </row>
    <row r="86" ht="15.0" customHeight="1">
      <c r="A86" s="455"/>
      <c r="B86" s="1340"/>
      <c r="C86" s="1187"/>
      <c r="E86" s="1351"/>
      <c r="G86" s="1187"/>
      <c r="H86" s="1352"/>
      <c r="I86" s="1352"/>
      <c r="L86" s="1351"/>
      <c r="N86" s="1352"/>
      <c r="O86" s="1187"/>
      <c r="P86" s="1353"/>
      <c r="Q86" s="1353"/>
      <c r="R86" s="1353"/>
      <c r="S86" s="1354" t="s">
        <v>1846</v>
      </c>
      <c r="T86" s="1355" t="s">
        <v>1847</v>
      </c>
      <c r="U86" s="1355" t="s">
        <v>1848</v>
      </c>
      <c r="V86" s="1352"/>
      <c r="W86" s="318"/>
      <c r="X86" s="1340"/>
      <c r="Y86" s="455"/>
    </row>
    <row r="87">
      <c r="A87" s="455"/>
      <c r="B87" s="1356"/>
      <c r="C87" s="1357" t="b">
        <v>0</v>
      </c>
      <c r="D87" s="1382"/>
      <c r="E87" s="1359"/>
      <c r="F87" s="375"/>
      <c r="G87" s="1360"/>
      <c r="H87" s="1361" t="str">
        <f>IFNA(VLOOKUP($E87,'法術資料'!$K$2:$X$805,4,FALSE),"")</f>
        <v/>
      </c>
      <c r="I87" s="1362" t="str">
        <f>IFNA(VLOOKUP($E87,'法術資料'!$K$2:$X$805,7,FALSE),"")</f>
        <v/>
      </c>
      <c r="J87" s="375"/>
      <c r="K87" s="1360"/>
      <c r="L87" s="1362" t="str">
        <f>IFNA(VLOOKUP($E87,'法術資料'!$K$2:$X$805,8,FALSE),"")</f>
        <v/>
      </c>
      <c r="M87" s="1360"/>
      <c r="N87" s="1363" t="str">
        <f>IFNA(VLOOKUP($E87,'法術資料'!$K$2:$X$805,14,FALSE),"")</f>
        <v/>
      </c>
      <c r="O87" s="1360"/>
      <c r="P87" s="1364" t="str">
        <f>IFNA(VLOOKUP($E87,'法術資料'!$K$2:$X$805,13,FALSE),"")</f>
        <v/>
      </c>
      <c r="Q87" s="1365" t="str">
        <f>IFNA(VLOOKUP($E87,'法術資料'!$K$2:$X$805,5,FALSE),"")</f>
        <v/>
      </c>
      <c r="R87" s="1365" t="str">
        <f>IFNA(VLOOKUP($E87,'法術資料'!$K$2:$X$805,6,FALSE),"")</f>
        <v/>
      </c>
      <c r="S87" s="1366" t="str">
        <f>IFNA(VLOOKUP($E87,'法術資料'!$K$2:$X$805,9,FALSE),"")</f>
        <v/>
      </c>
      <c r="T87" s="1367" t="str">
        <f>IFNA(VLOOKUP($E87,'法術資料'!$K$2:$X$805,10,FALSE),"")</f>
        <v/>
      </c>
      <c r="U87" s="1367" t="str">
        <f>IFNA(VLOOKUP($E87,'法術資料'!$K$2:$X$805,11,FALSE),"")</f>
        <v/>
      </c>
      <c r="V87" s="1368" t="str">
        <f>IFNA(VLOOKUP($E87,'法術資料'!$K$2:$W$805,12,FALSE),"")</f>
        <v/>
      </c>
      <c r="W87" s="376"/>
      <c r="X87" s="1369"/>
      <c r="Y87" s="455"/>
    </row>
    <row r="88">
      <c r="A88" s="455"/>
      <c r="B88" s="1356"/>
      <c r="C88" s="1370" t="b">
        <v>0</v>
      </c>
      <c r="D88" s="1383"/>
      <c r="E88" s="1372"/>
      <c r="F88" s="375"/>
      <c r="G88" s="1360"/>
      <c r="H88" s="1373" t="str">
        <f>IFNA(VLOOKUP($E88,'法術資料'!$K$2:$X$805,4,FALSE),"")</f>
        <v/>
      </c>
      <c r="I88" s="1374" t="str">
        <f>IFNA(VLOOKUP($E88,'法術資料'!$K$2:$X$805,7,FALSE),"")</f>
        <v/>
      </c>
      <c r="J88" s="375"/>
      <c r="K88" s="1360"/>
      <c r="L88" s="1374" t="str">
        <f>IFNA(VLOOKUP($E88,'法術資料'!$K$2:$X$805,8,FALSE),"")</f>
        <v/>
      </c>
      <c r="M88" s="1360"/>
      <c r="N88" s="1375" t="str">
        <f>IFNA(VLOOKUP($E88,'法術資料'!$K$2:$X$805,14,FALSE),"")</f>
        <v/>
      </c>
      <c r="O88" s="1360"/>
      <c r="P88" s="1376" t="str">
        <f>IFNA(VLOOKUP($E88,'法術資料'!$K$2:$X$805,13,FALSE),"")</f>
        <v/>
      </c>
      <c r="Q88" s="1377" t="str">
        <f>IFNA(VLOOKUP($E88,'法術資料'!$K$2:$X$805,5,FALSE),"")</f>
        <v/>
      </c>
      <c r="R88" s="1377" t="str">
        <f>IFNA(VLOOKUP($E88,'法術資料'!$K$2:$X$805,6,FALSE),"")</f>
        <v/>
      </c>
      <c r="S88" s="1378" t="str">
        <f>IFNA(VLOOKUP($E88,'法術資料'!$K$2:$X$805,9,FALSE),"")</f>
        <v/>
      </c>
      <c r="T88" s="1379" t="str">
        <f>IFNA(VLOOKUP($E88,'法術資料'!$K$2:$X$805,10,FALSE),"")</f>
        <v/>
      </c>
      <c r="U88" s="1379" t="str">
        <f>IFNA(VLOOKUP($E88,'法術資料'!$K$2:$X$805,11,FALSE),"")</f>
        <v/>
      </c>
      <c r="V88" s="1380" t="str">
        <f>IFNA(VLOOKUP($E88,'法術資料'!$K$2:$W$805,12,FALSE),"")</f>
        <v/>
      </c>
      <c r="W88" s="376"/>
      <c r="X88" s="1369"/>
      <c r="Y88" s="455"/>
    </row>
    <row r="89">
      <c r="A89" s="455"/>
      <c r="B89" s="1356"/>
      <c r="C89" s="1357" t="b">
        <v>0</v>
      </c>
      <c r="D89" s="1382"/>
      <c r="E89" s="1384"/>
      <c r="F89" s="375"/>
      <c r="G89" s="1360"/>
      <c r="H89" s="1361" t="str">
        <f>IFNA(VLOOKUP($E89,'法術資料'!$K$2:$X$805,4,FALSE),"")</f>
        <v/>
      </c>
      <c r="I89" s="1362" t="str">
        <f>IFNA(VLOOKUP($E89,'法術資料'!$K$2:$X$805,7,FALSE),"")</f>
        <v/>
      </c>
      <c r="J89" s="375"/>
      <c r="K89" s="1360"/>
      <c r="L89" s="1362" t="str">
        <f>IFNA(VLOOKUP($E89,'法術資料'!$K$2:$X$805,8,FALSE),"")</f>
        <v/>
      </c>
      <c r="M89" s="1360"/>
      <c r="N89" s="1363" t="str">
        <f>IFNA(VLOOKUP($E89,'法術資料'!$K$2:$X$805,14,FALSE),"")</f>
        <v/>
      </c>
      <c r="O89" s="1360"/>
      <c r="P89" s="1364" t="str">
        <f>IFNA(VLOOKUP($E89,'法術資料'!$K$2:$X$805,13,FALSE),"")</f>
        <v/>
      </c>
      <c r="Q89" s="1365" t="str">
        <f>IFNA(VLOOKUP($E89,'法術資料'!$K$2:$X$805,5,FALSE),"")</f>
        <v/>
      </c>
      <c r="R89" s="1365" t="str">
        <f>IFNA(VLOOKUP($E89,'法術資料'!$K$2:$X$805,6,FALSE),"")</f>
        <v/>
      </c>
      <c r="S89" s="1366" t="str">
        <f>IFNA(VLOOKUP($E89,'法術資料'!$K$2:$X$805,9,FALSE),"")</f>
        <v/>
      </c>
      <c r="T89" s="1367" t="str">
        <f>IFNA(VLOOKUP($E89,'法術資料'!$K$2:$X$805,10,FALSE),"")</f>
        <v/>
      </c>
      <c r="U89" s="1367" t="str">
        <f>IFNA(VLOOKUP($E89,'法術資料'!$K$2:$X$805,11,FALSE),"")</f>
        <v/>
      </c>
      <c r="V89" s="1368" t="str">
        <f>IFNA(VLOOKUP($E89,'法術資料'!$K$2:$W$805,12,FALSE),"")</f>
        <v/>
      </c>
      <c r="W89" s="376"/>
      <c r="X89" s="1369"/>
      <c r="Y89" s="455"/>
    </row>
    <row r="90">
      <c r="A90" s="455"/>
      <c r="B90" s="1356"/>
      <c r="C90" s="1370" t="b">
        <v>0</v>
      </c>
      <c r="D90" s="1383"/>
      <c r="E90" s="1372"/>
      <c r="F90" s="375"/>
      <c r="G90" s="1360"/>
      <c r="H90" s="1373" t="str">
        <f>IFNA(VLOOKUP($E90,'法術資料'!$K$2:$X$805,4,FALSE),"")</f>
        <v/>
      </c>
      <c r="I90" s="1374" t="str">
        <f>IFNA(VLOOKUP($E90,'法術資料'!$K$2:$X$805,7,FALSE),"")</f>
        <v/>
      </c>
      <c r="J90" s="375"/>
      <c r="K90" s="1360"/>
      <c r="L90" s="1374" t="str">
        <f>IFNA(VLOOKUP($E90,'法術資料'!$K$2:$X$805,8,FALSE),"")</f>
        <v/>
      </c>
      <c r="M90" s="1360"/>
      <c r="N90" s="1375" t="str">
        <f>IFNA(VLOOKUP($E90,'法術資料'!$K$2:$X$805,14,FALSE),"")</f>
        <v/>
      </c>
      <c r="O90" s="1360"/>
      <c r="P90" s="1376" t="str">
        <f>IFNA(VLOOKUP($E90,'法術資料'!$K$2:$X$805,13,FALSE),"")</f>
        <v/>
      </c>
      <c r="Q90" s="1377" t="str">
        <f>IFNA(VLOOKUP($E90,'法術資料'!$K$2:$X$805,5,FALSE),"")</f>
        <v/>
      </c>
      <c r="R90" s="1377" t="str">
        <f>IFNA(VLOOKUP($E90,'法術資料'!$K$2:$X$805,6,FALSE),"")</f>
        <v/>
      </c>
      <c r="S90" s="1378" t="str">
        <f>IFNA(VLOOKUP($E90,'法術資料'!$K$2:$X$805,9,FALSE),"")</f>
        <v/>
      </c>
      <c r="T90" s="1379" t="str">
        <f>IFNA(VLOOKUP($E90,'法術資料'!$K$2:$X$805,10,FALSE),"")</f>
        <v/>
      </c>
      <c r="U90" s="1379" t="str">
        <f>IFNA(VLOOKUP($E90,'法術資料'!$K$2:$X$805,11,FALSE),"")</f>
        <v/>
      </c>
      <c r="V90" s="1380" t="str">
        <f>IFNA(VLOOKUP($E90,'法術資料'!$K$2:$W$805,12,FALSE),"")</f>
        <v/>
      </c>
      <c r="W90" s="376"/>
      <c r="X90" s="1369"/>
      <c r="Y90" s="455"/>
    </row>
    <row r="91">
      <c r="A91" s="455"/>
      <c r="B91" s="1356"/>
      <c r="C91" s="1357" t="b">
        <v>0</v>
      </c>
      <c r="D91" s="1382"/>
      <c r="E91" s="1384"/>
      <c r="F91" s="375"/>
      <c r="G91" s="1360"/>
      <c r="H91" s="1361" t="str">
        <f>IFNA(VLOOKUP($E91,'法術資料'!$K$2:$X$805,4,FALSE),"")</f>
        <v/>
      </c>
      <c r="I91" s="1362" t="str">
        <f>IFNA(VLOOKUP($E91,'法術資料'!$K$2:$X$805,7,FALSE),"")</f>
        <v/>
      </c>
      <c r="J91" s="375"/>
      <c r="K91" s="1360"/>
      <c r="L91" s="1362" t="str">
        <f>IFNA(VLOOKUP($E91,'法術資料'!$K$2:$X$805,8,FALSE),"")</f>
        <v/>
      </c>
      <c r="M91" s="1360"/>
      <c r="N91" s="1363" t="str">
        <f>IFNA(VLOOKUP($E91,'法術資料'!$K$2:$X$805,14,FALSE),"")</f>
        <v/>
      </c>
      <c r="O91" s="1360"/>
      <c r="P91" s="1364" t="str">
        <f>IFNA(VLOOKUP($E91,'法術資料'!$K$2:$X$805,13,FALSE),"")</f>
        <v/>
      </c>
      <c r="Q91" s="1365" t="str">
        <f>IFNA(VLOOKUP($E91,'法術資料'!$K$2:$X$805,5,FALSE),"")</f>
        <v/>
      </c>
      <c r="R91" s="1365" t="str">
        <f>IFNA(VLOOKUP($E91,'法術資料'!$K$2:$X$805,6,FALSE),"")</f>
        <v/>
      </c>
      <c r="S91" s="1366" t="str">
        <f>IFNA(VLOOKUP($E91,'法術資料'!$K$2:$X$805,9,FALSE),"")</f>
        <v/>
      </c>
      <c r="T91" s="1367" t="str">
        <f>IFNA(VLOOKUP($E91,'法術資料'!$K$2:$X$805,10,FALSE),"")</f>
        <v/>
      </c>
      <c r="U91" s="1367" t="str">
        <f>IFNA(VLOOKUP($E91,'法術資料'!$K$2:$X$805,11,FALSE),"")</f>
        <v/>
      </c>
      <c r="V91" s="1368" t="str">
        <f>IFNA(VLOOKUP($E91,'法術資料'!$K$2:$W$805,12,FALSE),"")</f>
        <v/>
      </c>
      <c r="W91" s="376"/>
      <c r="X91" s="1369"/>
      <c r="Y91" s="455"/>
    </row>
    <row r="92">
      <c r="A92" s="455"/>
      <c r="B92" s="1356"/>
      <c r="C92" s="1370" t="b">
        <v>0</v>
      </c>
      <c r="D92" s="1381"/>
      <c r="E92" s="1385"/>
      <c r="F92" s="375"/>
      <c r="G92" s="1360"/>
      <c r="H92" s="1373" t="str">
        <f>IFNA(VLOOKUP($E92,'法術資料'!$K$2:$X$805,4,FALSE),"")</f>
        <v/>
      </c>
      <c r="I92" s="1374" t="str">
        <f>IFNA(VLOOKUP($E92,'法術資料'!$K$2:$X$805,7,FALSE),"")</f>
        <v/>
      </c>
      <c r="J92" s="375"/>
      <c r="K92" s="1360"/>
      <c r="L92" s="1374" t="str">
        <f>IFNA(VLOOKUP($E92,'法術資料'!$K$2:$X$805,8,FALSE),"")</f>
        <v/>
      </c>
      <c r="M92" s="1360"/>
      <c r="N92" s="1375" t="str">
        <f>IFNA(VLOOKUP($E92,'法術資料'!$K$2:$X$805,14,FALSE),"")</f>
        <v/>
      </c>
      <c r="O92" s="1360"/>
      <c r="P92" s="1376" t="str">
        <f>IFNA(VLOOKUP($E92,'法術資料'!$K$2:$X$805,13,FALSE),"")</f>
        <v/>
      </c>
      <c r="Q92" s="1377" t="str">
        <f>IFNA(VLOOKUP($E92,'法術資料'!$K$2:$X$805,5,FALSE),"")</f>
        <v/>
      </c>
      <c r="R92" s="1377" t="str">
        <f>IFNA(VLOOKUP($E92,'法術資料'!$K$2:$X$805,6,FALSE),"")</f>
        <v/>
      </c>
      <c r="S92" s="1378" t="str">
        <f>IFNA(VLOOKUP($E92,'法術資料'!$K$2:$X$805,9,FALSE),"")</f>
        <v/>
      </c>
      <c r="T92" s="1379" t="str">
        <f>IFNA(VLOOKUP($E92,'法術資料'!$K$2:$X$805,10,FALSE),"")</f>
        <v/>
      </c>
      <c r="U92" s="1379" t="str">
        <f>IFNA(VLOOKUP($E92,'法術資料'!$K$2:$X$805,11,FALSE),"")</f>
        <v/>
      </c>
      <c r="V92" s="1380" t="str">
        <f>IFNA(VLOOKUP($E92,'法術資料'!$K$2:$W$805,12,FALSE),"")</f>
        <v/>
      </c>
      <c r="W92" s="376"/>
      <c r="X92" s="1369"/>
      <c r="Y92" s="455"/>
    </row>
    <row r="93">
      <c r="A93" s="455"/>
      <c r="B93" s="1356"/>
      <c r="C93" s="1357" t="b">
        <v>0</v>
      </c>
      <c r="D93" s="1382"/>
      <c r="E93" s="1384"/>
      <c r="F93" s="375"/>
      <c r="G93" s="1360"/>
      <c r="H93" s="1361" t="str">
        <f>IFNA(VLOOKUP($E93,'法術資料'!$K$2:$X$805,4,FALSE),"")</f>
        <v/>
      </c>
      <c r="I93" s="1362" t="str">
        <f>IFNA(VLOOKUP($E93,'法術資料'!$K$2:$X$805,7,FALSE),"")</f>
        <v/>
      </c>
      <c r="J93" s="375"/>
      <c r="K93" s="1360"/>
      <c r="L93" s="1362" t="str">
        <f>IFNA(VLOOKUP($E93,'法術資料'!$K$2:$X$805,8,FALSE),"")</f>
        <v/>
      </c>
      <c r="M93" s="1360"/>
      <c r="N93" s="1363" t="str">
        <f>IFNA(VLOOKUP($E93,'法術資料'!$K$2:$X$805,14,FALSE),"")</f>
        <v/>
      </c>
      <c r="O93" s="1360"/>
      <c r="P93" s="1364" t="str">
        <f>IFNA(VLOOKUP($E93,'法術資料'!$K$2:$X$805,13,FALSE),"")</f>
        <v/>
      </c>
      <c r="Q93" s="1365" t="str">
        <f>IFNA(VLOOKUP($E93,'法術資料'!$K$2:$X$805,5,FALSE),"")</f>
        <v/>
      </c>
      <c r="R93" s="1365" t="str">
        <f>IFNA(VLOOKUP($E93,'法術資料'!$K$2:$X$805,6,FALSE),"")</f>
        <v/>
      </c>
      <c r="S93" s="1366" t="str">
        <f>IFNA(VLOOKUP($E93,'法術資料'!$K$2:$X$805,9,FALSE),"")</f>
        <v/>
      </c>
      <c r="T93" s="1367" t="str">
        <f>IFNA(VLOOKUP($E93,'法術資料'!$K$2:$X$805,10,FALSE),"")</f>
        <v/>
      </c>
      <c r="U93" s="1367" t="str">
        <f>IFNA(VLOOKUP($E93,'法術資料'!$K$2:$X$805,11,FALSE),"")</f>
        <v/>
      </c>
      <c r="V93" s="1368" t="str">
        <f>IFNA(VLOOKUP($E93,'法術資料'!$K$2:$W$805,12,FALSE),"")</f>
        <v/>
      </c>
      <c r="W93" s="376"/>
      <c r="X93" s="1369"/>
      <c r="Y93" s="455"/>
    </row>
    <row r="94">
      <c r="A94" s="455"/>
      <c r="B94" s="1356"/>
      <c r="C94" s="1386" t="b">
        <v>0</v>
      </c>
      <c r="D94" s="1387"/>
      <c r="E94" s="1388"/>
      <c r="F94" s="417"/>
      <c r="G94" s="1389"/>
      <c r="H94" s="1390" t="str">
        <f>IFNA(VLOOKUP($E94,'法術資料'!$K$2:$X$805,4,FALSE),"")</f>
        <v/>
      </c>
      <c r="I94" s="1391" t="str">
        <f>IFNA(VLOOKUP($E94,'法術資料'!$K$2:$X$805,7,FALSE),"")</f>
        <v/>
      </c>
      <c r="J94" s="417"/>
      <c r="K94" s="1389"/>
      <c r="L94" s="1391" t="str">
        <f>IFNA(VLOOKUP($E94,'法術資料'!$K$2:$X$805,8,FALSE),"")</f>
        <v/>
      </c>
      <c r="M94" s="1389"/>
      <c r="N94" s="1392" t="str">
        <f>IFNA(VLOOKUP($E94,'法術資料'!$K$2:$X$805,14,FALSE),"")</f>
        <v/>
      </c>
      <c r="O94" s="1389"/>
      <c r="P94" s="1393" t="str">
        <f>IFNA(VLOOKUP($E94,'法術資料'!$K$2:$X$805,13,FALSE),"")</f>
        <v/>
      </c>
      <c r="Q94" s="1394" t="str">
        <f>IFNA(VLOOKUP($E94,'法術資料'!$K$2:$X$805,5,FALSE),"")</f>
        <v/>
      </c>
      <c r="R94" s="1394" t="str">
        <f>IFNA(VLOOKUP($E94,'法術資料'!$K$2:$X$805,6,FALSE),"")</f>
        <v/>
      </c>
      <c r="S94" s="1395" t="str">
        <f>IFNA(VLOOKUP($E94,'法術資料'!$K$2:$X$805,9,FALSE),"")</f>
        <v/>
      </c>
      <c r="T94" s="1396" t="str">
        <f>IFNA(VLOOKUP($E94,'法術資料'!$K$2:$X$805,10,FALSE),"")</f>
        <v/>
      </c>
      <c r="U94" s="1396" t="str">
        <f>IFNA(VLOOKUP($E94,'法術資料'!$K$2:$X$805,11,FALSE),"")</f>
        <v/>
      </c>
      <c r="V94" s="1397" t="str">
        <f>IFNA(VLOOKUP($E94,'法術資料'!$K$2:$W$805,12,FALSE),"")</f>
        <v/>
      </c>
      <c r="W94" s="517"/>
      <c r="X94" s="1369"/>
      <c r="Y94" s="455"/>
    </row>
    <row r="95" ht="15.0" customHeight="1">
      <c r="A95" s="455"/>
      <c r="B95" s="1302"/>
      <c r="C95" s="1302"/>
      <c r="D95" s="1398"/>
      <c r="E95" s="1302"/>
      <c r="F95" s="1302"/>
      <c r="G95" s="1302"/>
      <c r="H95" s="1302"/>
      <c r="I95" s="1302"/>
      <c r="J95" s="1302"/>
      <c r="K95" s="1302"/>
      <c r="L95" s="1302"/>
      <c r="M95" s="1302"/>
      <c r="N95" s="1302"/>
      <c r="O95" s="1302"/>
      <c r="P95" s="1302"/>
      <c r="Q95" s="1302"/>
      <c r="R95" s="1302"/>
      <c r="S95" s="1302"/>
      <c r="T95" s="1302"/>
      <c r="U95" s="1302"/>
      <c r="V95" s="1302"/>
      <c r="W95" s="1302"/>
      <c r="X95" s="1302"/>
      <c r="Y95" s="455"/>
    </row>
    <row r="96" ht="15.0" customHeight="1">
      <c r="A96" s="455"/>
      <c r="B96" s="1302"/>
      <c r="C96" s="1302"/>
      <c r="D96" s="1398"/>
      <c r="E96" s="1302"/>
      <c r="F96" s="1302"/>
      <c r="G96" s="1302"/>
      <c r="H96" s="1302"/>
      <c r="I96" s="1302"/>
      <c r="J96" s="1302"/>
      <c r="K96" s="1302"/>
      <c r="L96" s="1302"/>
      <c r="M96" s="1302"/>
      <c r="N96" s="1302"/>
      <c r="O96" s="1302"/>
      <c r="P96" s="1302"/>
      <c r="Q96" s="1302"/>
      <c r="R96" s="1302"/>
      <c r="S96" s="1302"/>
      <c r="T96" s="1302"/>
      <c r="U96" s="1302"/>
      <c r="V96" s="1302"/>
      <c r="W96" s="1302"/>
      <c r="X96" s="1302"/>
      <c r="Y96" s="455"/>
    </row>
    <row r="97" ht="15.0" customHeight="1">
      <c r="A97" s="455"/>
      <c r="B97" s="1399"/>
      <c r="C97" s="1339" t="s">
        <v>1866</v>
      </c>
      <c r="D97" s="19"/>
      <c r="E97" s="19"/>
      <c r="F97" s="19"/>
      <c r="G97" s="19"/>
      <c r="H97" s="19"/>
      <c r="I97" s="19"/>
      <c r="J97" s="19"/>
      <c r="K97" s="19"/>
      <c r="L97" s="19"/>
      <c r="M97" s="19"/>
      <c r="N97" s="19"/>
      <c r="O97" s="19"/>
      <c r="P97" s="19"/>
      <c r="Q97" s="19"/>
      <c r="R97" s="19"/>
      <c r="S97" s="19"/>
      <c r="T97" s="19"/>
      <c r="U97" s="19"/>
      <c r="V97" s="19"/>
      <c r="W97" s="20"/>
      <c r="X97" s="1399"/>
      <c r="Y97" s="455"/>
    </row>
    <row r="98" ht="15.0" customHeight="1">
      <c r="A98" s="455"/>
      <c r="B98" s="1340"/>
      <c r="C98" s="1341" t="s">
        <v>1834</v>
      </c>
      <c r="D98" s="1342" t="s">
        <v>1835</v>
      </c>
      <c r="E98" s="1343" t="s">
        <v>1836</v>
      </c>
      <c r="F98" s="152"/>
      <c r="G98" s="1344"/>
      <c r="H98" s="1345" t="s">
        <v>1837</v>
      </c>
      <c r="I98" s="1345" t="s">
        <v>1838</v>
      </c>
      <c r="J98" s="152"/>
      <c r="K98" s="152"/>
      <c r="L98" s="1346" t="s">
        <v>1839</v>
      </c>
      <c r="M98" s="152"/>
      <c r="N98" s="1345" t="s">
        <v>1840</v>
      </c>
      <c r="O98" s="1344"/>
      <c r="P98" s="1347" t="s">
        <v>1841</v>
      </c>
      <c r="Q98" s="1348" t="s">
        <v>1842</v>
      </c>
      <c r="R98" s="1347" t="s">
        <v>1843</v>
      </c>
      <c r="S98" s="1349" t="s">
        <v>1844</v>
      </c>
      <c r="T98" s="354"/>
      <c r="U98" s="1350"/>
      <c r="V98" s="1345" t="s">
        <v>1845</v>
      </c>
      <c r="W98" s="175"/>
      <c r="X98" s="1340"/>
      <c r="Y98" s="455"/>
    </row>
    <row r="99" ht="15.0" customHeight="1">
      <c r="A99" s="455"/>
      <c r="B99" s="1340"/>
      <c r="C99" s="1187"/>
      <c r="E99" s="1351"/>
      <c r="G99" s="1187"/>
      <c r="H99" s="1352"/>
      <c r="I99" s="1352"/>
      <c r="L99" s="1351"/>
      <c r="N99" s="1352"/>
      <c r="O99" s="1187"/>
      <c r="P99" s="1353"/>
      <c r="Q99" s="1353"/>
      <c r="R99" s="1353"/>
      <c r="S99" s="1354" t="s">
        <v>1846</v>
      </c>
      <c r="T99" s="1355" t="s">
        <v>1847</v>
      </c>
      <c r="U99" s="1355" t="s">
        <v>1848</v>
      </c>
      <c r="V99" s="1352"/>
      <c r="W99" s="318"/>
      <c r="X99" s="1340"/>
      <c r="Y99" s="455"/>
    </row>
    <row r="100">
      <c r="A100" s="455"/>
      <c r="B100" s="1356"/>
      <c r="C100" s="1357" t="b">
        <v>0</v>
      </c>
      <c r="D100" s="1382"/>
      <c r="E100" s="1359"/>
      <c r="F100" s="375"/>
      <c r="G100" s="1360"/>
      <c r="H100" s="1361" t="str">
        <f>IFNA(VLOOKUP($E100,'法術資料'!$K$2:$X$805,4,FALSE),"")</f>
        <v/>
      </c>
      <c r="I100" s="1362" t="str">
        <f>IFNA(VLOOKUP($E100,'法術資料'!$K$2:$X$805,7,FALSE),"")</f>
        <v/>
      </c>
      <c r="J100" s="375"/>
      <c r="K100" s="1360"/>
      <c r="L100" s="1362" t="str">
        <f>IFNA(VLOOKUP($E100,'法術資料'!$K$2:$X$805,8,FALSE),"")</f>
        <v/>
      </c>
      <c r="M100" s="1360"/>
      <c r="N100" s="1363" t="str">
        <f>IFNA(VLOOKUP($E100,'法術資料'!$K$2:$X$805,14,FALSE),"")</f>
        <v/>
      </c>
      <c r="O100" s="1360"/>
      <c r="P100" s="1364" t="str">
        <f>IFNA(VLOOKUP($E100,'法術資料'!$K$2:$X$805,13,FALSE),"")</f>
        <v/>
      </c>
      <c r="Q100" s="1365" t="str">
        <f>IFNA(VLOOKUP($E100,'法術資料'!$K$2:$X$805,5,FALSE),"")</f>
        <v/>
      </c>
      <c r="R100" s="1365" t="str">
        <f>IFNA(VLOOKUP($E100,'法術資料'!$K$2:$X$805,6,FALSE),"")</f>
        <v/>
      </c>
      <c r="S100" s="1366" t="str">
        <f>IFNA(VLOOKUP($E100,'法術資料'!$K$2:$X$805,9,FALSE),"")</f>
        <v/>
      </c>
      <c r="T100" s="1367" t="str">
        <f>IFNA(VLOOKUP($E100,'法術資料'!$K$2:$X$805,10,FALSE),"")</f>
        <v/>
      </c>
      <c r="U100" s="1367" t="str">
        <f>IFNA(VLOOKUP($E100,'法術資料'!$K$2:$X$805,11,FALSE),"")</f>
        <v/>
      </c>
      <c r="V100" s="1368" t="str">
        <f>IFNA(VLOOKUP($E100,'法術資料'!$K$2:$W$805,12,FALSE),"")</f>
        <v/>
      </c>
      <c r="W100" s="376"/>
      <c r="X100" s="1369"/>
      <c r="Y100" s="455"/>
    </row>
    <row r="101">
      <c r="A101" s="455"/>
      <c r="B101" s="1356"/>
      <c r="C101" s="1370" t="b">
        <v>0</v>
      </c>
      <c r="D101" s="1383"/>
      <c r="E101" s="1372"/>
      <c r="F101" s="375"/>
      <c r="G101" s="1360"/>
      <c r="H101" s="1373" t="str">
        <f>IFNA(VLOOKUP($E101,'法術資料'!$K$2:$X$805,4,FALSE),"")</f>
        <v/>
      </c>
      <c r="I101" s="1374" t="str">
        <f>IFNA(VLOOKUP($E101,'法術資料'!$K$2:$X$805,7,FALSE),"")</f>
        <v/>
      </c>
      <c r="J101" s="375"/>
      <c r="K101" s="1360"/>
      <c r="L101" s="1374" t="str">
        <f>IFNA(VLOOKUP($E101,'法術資料'!$K$2:$X$805,8,FALSE),"")</f>
        <v/>
      </c>
      <c r="M101" s="1360"/>
      <c r="N101" s="1375" t="str">
        <f>IFNA(VLOOKUP($E101,'法術資料'!$K$2:$X$805,14,FALSE),"")</f>
        <v/>
      </c>
      <c r="O101" s="1360"/>
      <c r="P101" s="1376" t="str">
        <f>IFNA(VLOOKUP($E101,'法術資料'!$K$2:$X$805,13,FALSE),"")</f>
        <v/>
      </c>
      <c r="Q101" s="1377" t="str">
        <f>IFNA(VLOOKUP($E101,'法術資料'!$K$2:$X$805,5,FALSE),"")</f>
        <v/>
      </c>
      <c r="R101" s="1377" t="str">
        <f>IFNA(VLOOKUP($E101,'法術資料'!$K$2:$X$805,6,FALSE),"")</f>
        <v/>
      </c>
      <c r="S101" s="1378" t="str">
        <f>IFNA(VLOOKUP($E101,'法術資料'!$K$2:$X$805,9,FALSE),"")</f>
        <v/>
      </c>
      <c r="T101" s="1379" t="str">
        <f>IFNA(VLOOKUP($E101,'法術資料'!$K$2:$X$805,10,FALSE),"")</f>
        <v/>
      </c>
      <c r="U101" s="1379" t="str">
        <f>IFNA(VLOOKUP($E101,'法術資料'!$K$2:$X$805,11,FALSE),"")</f>
        <v/>
      </c>
      <c r="V101" s="1380" t="str">
        <f>IFNA(VLOOKUP($E101,'法術資料'!$K$2:$W$805,12,FALSE),"")</f>
        <v/>
      </c>
      <c r="W101" s="376"/>
      <c r="X101" s="1369"/>
      <c r="Y101" s="455"/>
    </row>
    <row r="102">
      <c r="A102" s="455"/>
      <c r="B102" s="1356"/>
      <c r="C102" s="1357" t="b">
        <v>0</v>
      </c>
      <c r="D102" s="1382"/>
      <c r="E102" s="1384"/>
      <c r="F102" s="375"/>
      <c r="G102" s="1360"/>
      <c r="H102" s="1361" t="str">
        <f>IFNA(VLOOKUP($E102,'法術資料'!$K$2:$X$805,4,FALSE),"")</f>
        <v/>
      </c>
      <c r="I102" s="1362" t="str">
        <f>IFNA(VLOOKUP($E102,'法術資料'!$K$2:$X$805,7,FALSE),"")</f>
        <v/>
      </c>
      <c r="J102" s="375"/>
      <c r="K102" s="1360"/>
      <c r="L102" s="1362" t="str">
        <f>IFNA(VLOOKUP($E102,'法術資料'!$K$2:$X$805,8,FALSE),"")</f>
        <v/>
      </c>
      <c r="M102" s="1360"/>
      <c r="N102" s="1363" t="str">
        <f>IFNA(VLOOKUP($E102,'法術資料'!$K$2:$X$805,14,FALSE),"")</f>
        <v/>
      </c>
      <c r="O102" s="1360"/>
      <c r="P102" s="1364" t="str">
        <f>IFNA(VLOOKUP($E102,'法術資料'!$K$2:$X$805,13,FALSE),"")</f>
        <v/>
      </c>
      <c r="Q102" s="1365" t="str">
        <f>IFNA(VLOOKUP($E102,'法術資料'!$K$2:$X$805,5,FALSE),"")</f>
        <v/>
      </c>
      <c r="R102" s="1365" t="str">
        <f>IFNA(VLOOKUP($E102,'法術資料'!$K$2:$X$805,6,FALSE),"")</f>
        <v/>
      </c>
      <c r="S102" s="1366" t="str">
        <f>IFNA(VLOOKUP($E102,'法術資料'!$K$2:$X$805,9,FALSE),"")</f>
        <v/>
      </c>
      <c r="T102" s="1367" t="str">
        <f>IFNA(VLOOKUP($E102,'法術資料'!$K$2:$X$805,10,FALSE),"")</f>
        <v/>
      </c>
      <c r="U102" s="1367" t="str">
        <f>IFNA(VLOOKUP($E102,'法術資料'!$K$2:$X$805,11,FALSE),"")</f>
        <v/>
      </c>
      <c r="V102" s="1368" t="str">
        <f>IFNA(VLOOKUP($E102,'法術資料'!$K$2:$W$805,12,FALSE),"")</f>
        <v/>
      </c>
      <c r="W102" s="376"/>
      <c r="X102" s="1369"/>
      <c r="Y102" s="455"/>
    </row>
    <row r="103">
      <c r="A103" s="455"/>
      <c r="B103" s="1356"/>
      <c r="C103" s="1370" t="b">
        <v>0</v>
      </c>
      <c r="D103" s="1381"/>
      <c r="E103" s="1385"/>
      <c r="F103" s="375"/>
      <c r="G103" s="1360"/>
      <c r="H103" s="1373" t="str">
        <f>IFNA(VLOOKUP($E103,'法術資料'!$K$2:$X$805,4,FALSE),"")</f>
        <v/>
      </c>
      <c r="I103" s="1374" t="str">
        <f>IFNA(VLOOKUP($E103,'法術資料'!$K$2:$X$805,7,FALSE),"")</f>
        <v/>
      </c>
      <c r="J103" s="375"/>
      <c r="K103" s="1360"/>
      <c r="L103" s="1374" t="str">
        <f>IFNA(VLOOKUP($E103,'法術資料'!$K$2:$X$805,8,FALSE),"")</f>
        <v/>
      </c>
      <c r="M103" s="1360"/>
      <c r="N103" s="1375" t="str">
        <f>IFNA(VLOOKUP($E103,'法術資料'!$K$2:$X$805,14,FALSE),"")</f>
        <v/>
      </c>
      <c r="O103" s="1360"/>
      <c r="P103" s="1376" t="str">
        <f>IFNA(VLOOKUP($E103,'法術資料'!$K$2:$X$805,13,FALSE),"")</f>
        <v/>
      </c>
      <c r="Q103" s="1377" t="str">
        <f>IFNA(VLOOKUP($E103,'法術資料'!$K$2:$X$805,5,FALSE),"")</f>
        <v/>
      </c>
      <c r="R103" s="1377" t="str">
        <f>IFNA(VLOOKUP($E103,'法術資料'!$K$2:$X$805,6,FALSE),"")</f>
        <v/>
      </c>
      <c r="S103" s="1378" t="str">
        <f>IFNA(VLOOKUP($E103,'法術資料'!$K$2:$X$805,9,FALSE),"")</f>
        <v/>
      </c>
      <c r="T103" s="1379" t="str">
        <f>IFNA(VLOOKUP($E103,'法術資料'!$K$2:$X$805,10,FALSE),"")</f>
        <v/>
      </c>
      <c r="U103" s="1379" t="str">
        <f>IFNA(VLOOKUP($E103,'法術資料'!$K$2:$X$805,11,FALSE),"")</f>
        <v/>
      </c>
      <c r="V103" s="1380" t="str">
        <f>IFNA(VLOOKUP($E103,'法術資料'!$K$2:$W$805,12,FALSE),"")</f>
        <v/>
      </c>
      <c r="W103" s="376"/>
      <c r="X103" s="1369"/>
      <c r="Y103" s="455"/>
    </row>
    <row r="104">
      <c r="A104" s="455"/>
      <c r="B104" s="1356"/>
      <c r="C104" s="1357" t="b">
        <v>0</v>
      </c>
      <c r="D104" s="1382"/>
      <c r="E104" s="1384"/>
      <c r="F104" s="375"/>
      <c r="G104" s="1360"/>
      <c r="H104" s="1361" t="str">
        <f>IFNA(VLOOKUP($E104,'法術資料'!$K$2:$X$805,4,FALSE),"")</f>
        <v/>
      </c>
      <c r="I104" s="1362" t="str">
        <f>IFNA(VLOOKUP($E104,'法術資料'!$K$2:$X$805,7,FALSE),"")</f>
        <v/>
      </c>
      <c r="J104" s="375"/>
      <c r="K104" s="1360"/>
      <c r="L104" s="1362" t="str">
        <f>IFNA(VLOOKUP($E104,'法術資料'!$K$2:$X$805,8,FALSE),"")</f>
        <v/>
      </c>
      <c r="M104" s="1360"/>
      <c r="N104" s="1363" t="str">
        <f>IFNA(VLOOKUP($E104,'法術資料'!$K$2:$X$805,14,FALSE),"")</f>
        <v/>
      </c>
      <c r="O104" s="1360"/>
      <c r="P104" s="1364" t="str">
        <f>IFNA(VLOOKUP($E104,'法術資料'!$K$2:$X$805,13,FALSE),"")</f>
        <v/>
      </c>
      <c r="Q104" s="1365" t="str">
        <f>IFNA(VLOOKUP($E104,'法術資料'!$K$2:$X$805,5,FALSE),"")</f>
        <v/>
      </c>
      <c r="R104" s="1365" t="str">
        <f>IFNA(VLOOKUP($E104,'法術資料'!$K$2:$X$805,6,FALSE),"")</f>
        <v/>
      </c>
      <c r="S104" s="1366" t="str">
        <f>IFNA(VLOOKUP($E104,'法術資料'!$K$2:$X$805,9,FALSE),"")</f>
        <v/>
      </c>
      <c r="T104" s="1367" t="str">
        <f>IFNA(VLOOKUP($E104,'法術資料'!$K$2:$X$805,10,FALSE),"")</f>
        <v/>
      </c>
      <c r="U104" s="1367" t="str">
        <f>IFNA(VLOOKUP($E104,'法術資料'!$K$2:$X$805,11,FALSE),"")</f>
        <v/>
      </c>
      <c r="V104" s="1368" t="str">
        <f>IFNA(VLOOKUP($E104,'法術資料'!$K$2:$W$805,12,FALSE),"")</f>
        <v/>
      </c>
      <c r="W104" s="376"/>
      <c r="X104" s="1369"/>
      <c r="Y104" s="455"/>
    </row>
    <row r="105">
      <c r="A105" s="455"/>
      <c r="B105" s="1356"/>
      <c r="C105" s="1386" t="b">
        <v>0</v>
      </c>
      <c r="D105" s="1387"/>
      <c r="E105" s="1388"/>
      <c r="F105" s="417"/>
      <c r="G105" s="1389"/>
      <c r="H105" s="1390" t="str">
        <f>IFNA(VLOOKUP($E105,'法術資料'!$K$2:$X$805,4,FALSE),"")</f>
        <v/>
      </c>
      <c r="I105" s="1391" t="str">
        <f>IFNA(VLOOKUP($E105,'法術資料'!$K$2:$X$805,7,FALSE),"")</f>
        <v/>
      </c>
      <c r="J105" s="417"/>
      <c r="K105" s="1389"/>
      <c r="L105" s="1391" t="str">
        <f>IFNA(VLOOKUP($E105,'法術資料'!$K$2:$X$805,8,FALSE),"")</f>
        <v/>
      </c>
      <c r="M105" s="1389"/>
      <c r="N105" s="1392" t="str">
        <f>IFNA(VLOOKUP($E105,'法術資料'!$K$2:$X$805,14,FALSE),"")</f>
        <v/>
      </c>
      <c r="O105" s="1389"/>
      <c r="P105" s="1393" t="str">
        <f>IFNA(VLOOKUP($E105,'法術資料'!$K$2:$X$805,13,FALSE),"")</f>
        <v/>
      </c>
      <c r="Q105" s="1394" t="str">
        <f>IFNA(VLOOKUP($E105,'法術資料'!$K$2:$X$805,5,FALSE),"")</f>
        <v/>
      </c>
      <c r="R105" s="1394" t="str">
        <f>IFNA(VLOOKUP($E105,'法術資料'!$K$2:$X$805,6,FALSE),"")</f>
        <v/>
      </c>
      <c r="S105" s="1395" t="str">
        <f>IFNA(VLOOKUP($E105,'法術資料'!$K$2:$X$805,9,FALSE),"")</f>
        <v/>
      </c>
      <c r="T105" s="1396" t="str">
        <f>IFNA(VLOOKUP($E105,'法術資料'!$K$2:$X$805,10,FALSE),"")</f>
        <v/>
      </c>
      <c r="U105" s="1396" t="str">
        <f>IFNA(VLOOKUP($E105,'法術資料'!$K$2:$X$805,11,FALSE),"")</f>
        <v/>
      </c>
      <c r="V105" s="1397" t="str">
        <f>IFNA(VLOOKUP($E105,'法術資料'!$K$2:$W$805,12,FALSE),"")</f>
        <v/>
      </c>
      <c r="W105" s="517"/>
      <c r="X105" s="1369"/>
      <c r="Y105" s="455"/>
    </row>
    <row r="106" ht="15.0" customHeight="1">
      <c r="A106" s="455"/>
      <c r="B106" s="1302"/>
      <c r="C106" s="1302"/>
      <c r="D106" s="1398"/>
      <c r="E106" s="1302"/>
      <c r="F106" s="1302"/>
      <c r="G106" s="1302"/>
      <c r="H106" s="1302"/>
      <c r="I106" s="1302"/>
      <c r="J106" s="1302"/>
      <c r="K106" s="1302"/>
      <c r="L106" s="1302"/>
      <c r="M106" s="1302"/>
      <c r="N106" s="1302"/>
      <c r="O106" s="1302"/>
      <c r="P106" s="1302"/>
      <c r="Q106" s="1302"/>
      <c r="R106" s="1302"/>
      <c r="S106" s="1302"/>
      <c r="T106" s="1302"/>
      <c r="U106" s="1302"/>
      <c r="V106" s="1302"/>
      <c r="W106" s="1302"/>
      <c r="X106" s="1302"/>
      <c r="Y106" s="455"/>
    </row>
    <row r="107" ht="15.0" customHeight="1">
      <c r="A107" s="455"/>
      <c r="B107" s="1302"/>
      <c r="C107" s="1302"/>
      <c r="D107" s="1398"/>
      <c r="E107" s="1302"/>
      <c r="F107" s="1302"/>
      <c r="G107" s="1302"/>
      <c r="H107" s="1302"/>
      <c r="I107" s="1302"/>
      <c r="J107" s="1302"/>
      <c r="K107" s="1302"/>
      <c r="L107" s="1302"/>
      <c r="M107" s="1302"/>
      <c r="N107" s="1302"/>
      <c r="O107" s="1302"/>
      <c r="P107" s="1302"/>
      <c r="Q107" s="1302"/>
      <c r="R107" s="1302"/>
      <c r="S107" s="1302"/>
      <c r="T107" s="1302"/>
      <c r="U107" s="1302"/>
      <c r="V107" s="1302"/>
      <c r="W107" s="1302"/>
      <c r="X107" s="1302"/>
      <c r="Y107" s="455"/>
    </row>
    <row r="108" ht="15.0" customHeight="1">
      <c r="A108" s="455"/>
      <c r="B108" s="1399"/>
      <c r="C108" s="1339" t="s">
        <v>1867</v>
      </c>
      <c r="D108" s="19"/>
      <c r="E108" s="19"/>
      <c r="F108" s="19"/>
      <c r="G108" s="19"/>
      <c r="H108" s="19"/>
      <c r="I108" s="19"/>
      <c r="J108" s="19"/>
      <c r="K108" s="19"/>
      <c r="L108" s="19"/>
      <c r="M108" s="19"/>
      <c r="N108" s="19"/>
      <c r="O108" s="19"/>
      <c r="P108" s="19"/>
      <c r="Q108" s="19"/>
      <c r="R108" s="19"/>
      <c r="S108" s="19"/>
      <c r="T108" s="19"/>
      <c r="U108" s="19"/>
      <c r="V108" s="19"/>
      <c r="W108" s="20"/>
      <c r="X108" s="1399"/>
      <c r="Y108" s="455"/>
    </row>
    <row r="109" ht="15.0" customHeight="1">
      <c r="A109" s="455"/>
      <c r="B109" s="1340"/>
      <c r="C109" s="1341" t="s">
        <v>1834</v>
      </c>
      <c r="D109" s="1342" t="s">
        <v>1835</v>
      </c>
      <c r="E109" s="1343" t="s">
        <v>1836</v>
      </c>
      <c r="F109" s="152"/>
      <c r="G109" s="1344"/>
      <c r="H109" s="1345" t="s">
        <v>1837</v>
      </c>
      <c r="I109" s="1345" t="s">
        <v>1838</v>
      </c>
      <c r="J109" s="152"/>
      <c r="K109" s="152"/>
      <c r="L109" s="1346" t="s">
        <v>1839</v>
      </c>
      <c r="M109" s="152"/>
      <c r="N109" s="1345" t="s">
        <v>1840</v>
      </c>
      <c r="O109" s="1344"/>
      <c r="P109" s="1347" t="s">
        <v>1841</v>
      </c>
      <c r="Q109" s="1348" t="s">
        <v>1842</v>
      </c>
      <c r="R109" s="1347" t="s">
        <v>1843</v>
      </c>
      <c r="S109" s="1349" t="s">
        <v>1844</v>
      </c>
      <c r="T109" s="354"/>
      <c r="U109" s="1350"/>
      <c r="V109" s="1345" t="s">
        <v>1845</v>
      </c>
      <c r="W109" s="175"/>
      <c r="X109" s="1340"/>
      <c r="Y109" s="455"/>
    </row>
    <row r="110" ht="15.0" customHeight="1">
      <c r="A110" s="455"/>
      <c r="B110" s="1340"/>
      <c r="C110" s="1187"/>
      <c r="E110" s="1351"/>
      <c r="G110" s="1187"/>
      <c r="H110" s="1352"/>
      <c r="I110" s="1352"/>
      <c r="L110" s="1351"/>
      <c r="N110" s="1352"/>
      <c r="O110" s="1187"/>
      <c r="P110" s="1353"/>
      <c r="Q110" s="1353"/>
      <c r="R110" s="1353"/>
      <c r="S110" s="1354" t="s">
        <v>1846</v>
      </c>
      <c r="T110" s="1355" t="s">
        <v>1847</v>
      </c>
      <c r="U110" s="1355" t="s">
        <v>1848</v>
      </c>
      <c r="V110" s="1352"/>
      <c r="W110" s="318"/>
      <c r="X110" s="1340"/>
      <c r="Y110" s="455"/>
    </row>
    <row r="111">
      <c r="A111" s="455"/>
      <c r="B111" s="1356"/>
      <c r="C111" s="1357" t="b">
        <v>0</v>
      </c>
      <c r="D111" s="1382"/>
      <c r="E111" s="1359"/>
      <c r="F111" s="375"/>
      <c r="G111" s="1360"/>
      <c r="H111" s="1361" t="str">
        <f>IFNA(VLOOKUP($E111,'法術資料'!$K$2:$X$805,4,FALSE),"")</f>
        <v/>
      </c>
      <c r="I111" s="1362" t="str">
        <f>IFNA(VLOOKUP($E111,'法術資料'!$K$2:$X$805,7,FALSE),"")</f>
        <v/>
      </c>
      <c r="J111" s="375"/>
      <c r="K111" s="1360"/>
      <c r="L111" s="1362" t="str">
        <f>IFNA(VLOOKUP($E111,'法術資料'!$K$2:$X$805,8,FALSE),"")</f>
        <v/>
      </c>
      <c r="M111" s="1360"/>
      <c r="N111" s="1363" t="str">
        <f>IFNA(VLOOKUP($E111,'法術資料'!$K$2:$X$805,14,FALSE),"")</f>
        <v/>
      </c>
      <c r="O111" s="1360"/>
      <c r="P111" s="1364" t="str">
        <f>IFNA(VLOOKUP($E111,'法術資料'!$K$2:$X$805,13,FALSE),"")</f>
        <v/>
      </c>
      <c r="Q111" s="1365" t="str">
        <f>IFNA(VLOOKUP($E111,'法術資料'!$K$2:$X$805,5,FALSE),"")</f>
        <v/>
      </c>
      <c r="R111" s="1365" t="str">
        <f>IFNA(VLOOKUP($E111,'法術資料'!$K$2:$X$805,6,FALSE),"")</f>
        <v/>
      </c>
      <c r="S111" s="1366" t="str">
        <f>IFNA(VLOOKUP($E111,'法術資料'!$K$2:$X$805,9,FALSE),"")</f>
        <v/>
      </c>
      <c r="T111" s="1367" t="str">
        <f>IFNA(VLOOKUP($E111,'法術資料'!$K$2:$X$805,10,FALSE),"")</f>
        <v/>
      </c>
      <c r="U111" s="1367" t="str">
        <f>IFNA(VLOOKUP($E111,'法術資料'!$K$2:$X$805,11,FALSE),"")</f>
        <v/>
      </c>
      <c r="V111" s="1368" t="str">
        <f>IFNA(VLOOKUP($E111,'法術資料'!$K$2:$W$805,12,FALSE),"")</f>
        <v/>
      </c>
      <c r="W111" s="376"/>
      <c r="X111" s="1369"/>
      <c r="Y111" s="455"/>
    </row>
    <row r="112">
      <c r="A112" s="455"/>
      <c r="B112" s="1356"/>
      <c r="C112" s="1370" t="b">
        <v>0</v>
      </c>
      <c r="D112" s="1383"/>
      <c r="E112" s="1372"/>
      <c r="F112" s="375"/>
      <c r="G112" s="1360"/>
      <c r="H112" s="1373" t="str">
        <f>IFNA(VLOOKUP($E112,'法術資料'!$K$2:$X$805,4,FALSE),"")</f>
        <v/>
      </c>
      <c r="I112" s="1374" t="str">
        <f>IFNA(VLOOKUP($E112,'法術資料'!$K$2:$X$805,7,FALSE),"")</f>
        <v/>
      </c>
      <c r="J112" s="375"/>
      <c r="K112" s="1360"/>
      <c r="L112" s="1374" t="str">
        <f>IFNA(VLOOKUP($E112,'法術資料'!$K$2:$X$805,8,FALSE),"")</f>
        <v/>
      </c>
      <c r="M112" s="1360"/>
      <c r="N112" s="1375" t="str">
        <f>IFNA(VLOOKUP($E112,'法術資料'!$K$2:$X$805,14,FALSE),"")</f>
        <v/>
      </c>
      <c r="O112" s="1360"/>
      <c r="P112" s="1376" t="str">
        <f>IFNA(VLOOKUP($E112,'法術資料'!$K$2:$X$805,13,FALSE),"")</f>
        <v/>
      </c>
      <c r="Q112" s="1377" t="str">
        <f>IFNA(VLOOKUP($E112,'法術資料'!$K$2:$X$805,5,FALSE),"")</f>
        <v/>
      </c>
      <c r="R112" s="1377" t="str">
        <f>IFNA(VLOOKUP($E112,'法術資料'!$K$2:$X$805,6,FALSE),"")</f>
        <v/>
      </c>
      <c r="S112" s="1378" t="str">
        <f>IFNA(VLOOKUP($E112,'法術資料'!$K$2:$X$805,9,FALSE),"")</f>
        <v/>
      </c>
      <c r="T112" s="1379" t="str">
        <f>IFNA(VLOOKUP($E112,'法術資料'!$K$2:$X$805,10,FALSE),"")</f>
        <v/>
      </c>
      <c r="U112" s="1379" t="str">
        <f>IFNA(VLOOKUP($E112,'法術資料'!$K$2:$X$805,11,FALSE),"")</f>
        <v/>
      </c>
      <c r="V112" s="1380" t="str">
        <f>IFNA(VLOOKUP($E112,'法術資料'!$K$2:$W$805,12,FALSE),"")</f>
        <v/>
      </c>
      <c r="W112" s="376"/>
      <c r="X112" s="1369"/>
      <c r="Y112" s="455"/>
    </row>
    <row r="113">
      <c r="A113" s="455"/>
      <c r="B113" s="1356"/>
      <c r="C113" s="1357" t="b">
        <v>0</v>
      </c>
      <c r="D113" s="1382"/>
      <c r="E113" s="1384"/>
      <c r="F113" s="375"/>
      <c r="G113" s="1360"/>
      <c r="H113" s="1361" t="str">
        <f>IFNA(VLOOKUP($E113,'法術資料'!$K$2:$X$805,4,FALSE),"")</f>
        <v/>
      </c>
      <c r="I113" s="1362" t="str">
        <f>IFNA(VLOOKUP($E113,'法術資料'!$K$2:$X$805,7,FALSE),"")</f>
        <v/>
      </c>
      <c r="J113" s="375"/>
      <c r="K113" s="1360"/>
      <c r="L113" s="1362" t="str">
        <f>IFNA(VLOOKUP($E113,'法術資料'!$K$2:$X$805,8,FALSE),"")</f>
        <v/>
      </c>
      <c r="M113" s="1360"/>
      <c r="N113" s="1363" t="str">
        <f>IFNA(VLOOKUP($E113,'法術資料'!$K$2:$X$805,14,FALSE),"")</f>
        <v/>
      </c>
      <c r="O113" s="1360"/>
      <c r="P113" s="1364" t="str">
        <f>IFNA(VLOOKUP($E113,'法術資料'!$K$2:$X$805,13,FALSE),"")</f>
        <v/>
      </c>
      <c r="Q113" s="1365" t="str">
        <f>IFNA(VLOOKUP($E113,'法術資料'!$K$2:$X$805,5,FALSE),"")</f>
        <v/>
      </c>
      <c r="R113" s="1365" t="str">
        <f>IFNA(VLOOKUP($E113,'法術資料'!$K$2:$X$805,6,FALSE),"")</f>
        <v/>
      </c>
      <c r="S113" s="1366" t="str">
        <f>IFNA(VLOOKUP($E113,'法術資料'!$K$2:$X$805,9,FALSE),"")</f>
        <v/>
      </c>
      <c r="T113" s="1367" t="str">
        <f>IFNA(VLOOKUP($E113,'法術資料'!$K$2:$X$805,10,FALSE),"")</f>
        <v/>
      </c>
      <c r="U113" s="1367" t="str">
        <f>IFNA(VLOOKUP($E113,'法術資料'!$K$2:$X$805,11,FALSE),"")</f>
        <v/>
      </c>
      <c r="V113" s="1368" t="str">
        <f>IFNA(VLOOKUP($E113,'法術資料'!$K$2:$W$805,12,FALSE),"")</f>
        <v/>
      </c>
      <c r="W113" s="376"/>
      <c r="X113" s="1369"/>
      <c r="Y113" s="455"/>
    </row>
    <row r="114">
      <c r="A114" s="455"/>
      <c r="B114" s="1356"/>
      <c r="C114" s="1370" t="b">
        <v>0</v>
      </c>
      <c r="D114" s="1381"/>
      <c r="E114" s="1385"/>
      <c r="F114" s="375"/>
      <c r="G114" s="1360"/>
      <c r="H114" s="1373" t="str">
        <f>IFNA(VLOOKUP($E114,'法術資料'!$K$2:$X$805,4,FALSE),"")</f>
        <v/>
      </c>
      <c r="I114" s="1374" t="str">
        <f>IFNA(VLOOKUP($E114,'法術資料'!$K$2:$X$805,7,FALSE),"")</f>
        <v/>
      </c>
      <c r="J114" s="375"/>
      <c r="K114" s="1360"/>
      <c r="L114" s="1374" t="str">
        <f>IFNA(VLOOKUP($E114,'法術資料'!$K$2:$X$805,8,FALSE),"")</f>
        <v/>
      </c>
      <c r="M114" s="1360"/>
      <c r="N114" s="1375" t="str">
        <f>IFNA(VLOOKUP($E114,'法術資料'!$K$2:$X$805,14,FALSE),"")</f>
        <v/>
      </c>
      <c r="O114" s="1360"/>
      <c r="P114" s="1376" t="str">
        <f>IFNA(VLOOKUP($E114,'法術資料'!$K$2:$X$805,13,FALSE),"")</f>
        <v/>
      </c>
      <c r="Q114" s="1377" t="str">
        <f>IFNA(VLOOKUP($E114,'法術資料'!$K$2:$X$805,5,FALSE),"")</f>
        <v/>
      </c>
      <c r="R114" s="1377" t="str">
        <f>IFNA(VLOOKUP($E114,'法術資料'!$K$2:$X$805,6,FALSE),"")</f>
        <v/>
      </c>
      <c r="S114" s="1378" t="str">
        <f>IFNA(VLOOKUP($E114,'法術資料'!$K$2:$X$805,9,FALSE),"")</f>
        <v/>
      </c>
      <c r="T114" s="1379" t="str">
        <f>IFNA(VLOOKUP($E114,'法術資料'!$K$2:$X$805,10,FALSE),"")</f>
        <v/>
      </c>
      <c r="U114" s="1379" t="str">
        <f>IFNA(VLOOKUP($E114,'法術資料'!$K$2:$X$805,11,FALSE),"")</f>
        <v/>
      </c>
      <c r="V114" s="1380" t="str">
        <f>IFNA(VLOOKUP($E114,'法術資料'!$K$2:$W$805,12,FALSE),"")</f>
        <v/>
      </c>
      <c r="W114" s="376"/>
      <c r="X114" s="1369"/>
      <c r="Y114" s="455"/>
    </row>
    <row r="115">
      <c r="A115" s="455"/>
      <c r="B115" s="1356"/>
      <c r="C115" s="1357" t="b">
        <v>0</v>
      </c>
      <c r="D115" s="1382"/>
      <c r="E115" s="1384"/>
      <c r="F115" s="375"/>
      <c r="G115" s="1360"/>
      <c r="H115" s="1361" t="str">
        <f>IFNA(VLOOKUP($E115,'法術資料'!$K$2:$X$805,4,FALSE),"")</f>
        <v/>
      </c>
      <c r="I115" s="1362" t="str">
        <f>IFNA(VLOOKUP($E115,'法術資料'!$K$2:$X$805,7,FALSE),"")</f>
        <v/>
      </c>
      <c r="J115" s="375"/>
      <c r="K115" s="1360"/>
      <c r="L115" s="1362" t="str">
        <f>IFNA(VLOOKUP($E115,'法術資料'!$K$2:$X$805,8,FALSE),"")</f>
        <v/>
      </c>
      <c r="M115" s="1360"/>
      <c r="N115" s="1363" t="str">
        <f>IFNA(VLOOKUP($E115,'法術資料'!$K$2:$X$805,14,FALSE),"")</f>
        <v/>
      </c>
      <c r="O115" s="1360"/>
      <c r="P115" s="1364" t="str">
        <f>IFNA(VLOOKUP($E115,'法術資料'!$K$2:$X$805,13,FALSE),"")</f>
        <v/>
      </c>
      <c r="Q115" s="1365" t="str">
        <f>IFNA(VLOOKUP($E115,'法術資料'!$K$2:$X$805,5,FALSE),"")</f>
        <v/>
      </c>
      <c r="R115" s="1365" t="str">
        <f>IFNA(VLOOKUP($E115,'法術資料'!$K$2:$X$805,6,FALSE),"")</f>
        <v/>
      </c>
      <c r="S115" s="1366" t="str">
        <f>IFNA(VLOOKUP($E115,'法術資料'!$K$2:$X$805,9,FALSE),"")</f>
        <v/>
      </c>
      <c r="T115" s="1367" t="str">
        <f>IFNA(VLOOKUP($E115,'法術資料'!$K$2:$X$805,10,FALSE),"")</f>
        <v/>
      </c>
      <c r="U115" s="1367" t="str">
        <f>IFNA(VLOOKUP($E115,'法術資料'!$K$2:$X$805,11,FALSE),"")</f>
        <v/>
      </c>
      <c r="V115" s="1368" t="str">
        <f>IFNA(VLOOKUP($E115,'法術資料'!$K$2:$W$805,12,FALSE),"")</f>
        <v/>
      </c>
      <c r="W115" s="376"/>
      <c r="X115" s="1369"/>
      <c r="Y115" s="455"/>
    </row>
    <row r="116">
      <c r="A116" s="455"/>
      <c r="B116" s="1356"/>
      <c r="C116" s="1386" t="b">
        <v>0</v>
      </c>
      <c r="D116" s="1387"/>
      <c r="E116" s="1388"/>
      <c r="F116" s="417"/>
      <c r="G116" s="1389"/>
      <c r="H116" s="1390" t="str">
        <f>IFNA(VLOOKUP($E116,'法術資料'!$K$2:$X$805,4,FALSE),"")</f>
        <v/>
      </c>
      <c r="I116" s="1391" t="str">
        <f>IFNA(VLOOKUP($E116,'法術資料'!$K$2:$X$805,7,FALSE),"")</f>
        <v/>
      </c>
      <c r="J116" s="417"/>
      <c r="K116" s="1389"/>
      <c r="L116" s="1391" t="str">
        <f>IFNA(VLOOKUP($E116,'法術資料'!$K$2:$X$805,8,FALSE),"")</f>
        <v/>
      </c>
      <c r="M116" s="1389"/>
      <c r="N116" s="1392" t="str">
        <f>IFNA(VLOOKUP($E116,'法術資料'!$K$2:$X$805,14,FALSE),"")</f>
        <v/>
      </c>
      <c r="O116" s="1389"/>
      <c r="P116" s="1393" t="str">
        <f>IFNA(VLOOKUP($E116,'法術資料'!$K$2:$X$805,13,FALSE),"")</f>
        <v/>
      </c>
      <c r="Q116" s="1394" t="str">
        <f>IFNA(VLOOKUP($E116,'法術資料'!$K$2:$X$805,5,FALSE),"")</f>
        <v/>
      </c>
      <c r="R116" s="1394" t="str">
        <f>IFNA(VLOOKUP($E116,'法術資料'!$K$2:$X$805,6,FALSE),"")</f>
        <v/>
      </c>
      <c r="S116" s="1395" t="str">
        <f>IFNA(VLOOKUP($E116,'法術資料'!$K$2:$X$805,9,FALSE),"")</f>
        <v/>
      </c>
      <c r="T116" s="1396" t="str">
        <f>IFNA(VLOOKUP($E116,'法術資料'!$K$2:$X$805,10,FALSE),"")</f>
        <v/>
      </c>
      <c r="U116" s="1396" t="str">
        <f>IFNA(VLOOKUP($E116,'法術資料'!$K$2:$X$805,11,FALSE),"")</f>
        <v/>
      </c>
      <c r="V116" s="1397" t="str">
        <f>IFNA(VLOOKUP($E116,'法術資料'!$K$2:$W$805,12,FALSE),"")</f>
        <v/>
      </c>
      <c r="W116" s="517"/>
      <c r="X116" s="1369"/>
      <c r="Y116" s="455"/>
    </row>
    <row r="117" ht="15.0" customHeight="1">
      <c r="A117" s="455"/>
      <c r="B117" s="1302"/>
      <c r="C117" s="1302"/>
      <c r="D117" s="1398"/>
      <c r="E117" s="1302"/>
      <c r="F117" s="1302"/>
      <c r="G117" s="1302"/>
      <c r="H117" s="1302"/>
      <c r="I117" s="1302"/>
      <c r="J117" s="1302"/>
      <c r="K117" s="1302"/>
      <c r="L117" s="1302"/>
      <c r="M117" s="1302"/>
      <c r="N117" s="1302"/>
      <c r="O117" s="1302"/>
      <c r="P117" s="1302"/>
      <c r="Q117" s="1302"/>
      <c r="R117" s="1302"/>
      <c r="S117" s="1302"/>
      <c r="T117" s="1302"/>
      <c r="U117" s="1302"/>
      <c r="V117" s="1302"/>
      <c r="W117" s="1302"/>
      <c r="X117" s="1302"/>
      <c r="Y117" s="455"/>
    </row>
    <row r="118" ht="15.0" customHeight="1">
      <c r="A118" s="455"/>
      <c r="B118" s="1302"/>
      <c r="C118" s="1302"/>
      <c r="D118" s="1398"/>
      <c r="E118" s="1302"/>
      <c r="F118" s="1302"/>
      <c r="G118" s="1302"/>
      <c r="H118" s="1302"/>
      <c r="I118" s="1302"/>
      <c r="J118" s="1302"/>
      <c r="K118" s="1302"/>
      <c r="L118" s="1302"/>
      <c r="M118" s="1302"/>
      <c r="N118" s="1302"/>
      <c r="O118" s="1302"/>
      <c r="P118" s="1302"/>
      <c r="Q118" s="1302"/>
      <c r="R118" s="1302"/>
      <c r="S118" s="1302"/>
      <c r="T118" s="1302"/>
      <c r="U118" s="1302"/>
      <c r="V118" s="1302"/>
      <c r="W118" s="1302"/>
      <c r="X118" s="1302"/>
      <c r="Y118" s="455"/>
    </row>
    <row r="119" ht="15.0" customHeight="1">
      <c r="A119" s="455"/>
      <c r="B119" s="1399"/>
      <c r="C119" s="1339" t="s">
        <v>1868</v>
      </c>
      <c r="D119" s="19"/>
      <c r="E119" s="19"/>
      <c r="F119" s="19"/>
      <c r="G119" s="19"/>
      <c r="H119" s="19"/>
      <c r="I119" s="19"/>
      <c r="J119" s="19"/>
      <c r="K119" s="19"/>
      <c r="L119" s="19"/>
      <c r="M119" s="19"/>
      <c r="N119" s="19"/>
      <c r="O119" s="19"/>
      <c r="P119" s="19"/>
      <c r="Q119" s="19"/>
      <c r="R119" s="19"/>
      <c r="S119" s="19"/>
      <c r="T119" s="19"/>
      <c r="U119" s="19"/>
      <c r="V119" s="19"/>
      <c r="W119" s="20"/>
      <c r="X119" s="1399"/>
      <c r="Y119" s="455"/>
    </row>
    <row r="120" ht="15.0" customHeight="1">
      <c r="A120" s="455"/>
      <c r="B120" s="1340"/>
      <c r="C120" s="1341" t="s">
        <v>1834</v>
      </c>
      <c r="D120" s="1342" t="s">
        <v>1835</v>
      </c>
      <c r="E120" s="1343" t="s">
        <v>1836</v>
      </c>
      <c r="F120" s="152"/>
      <c r="G120" s="1344"/>
      <c r="H120" s="1345" t="s">
        <v>1837</v>
      </c>
      <c r="I120" s="1345" t="s">
        <v>1838</v>
      </c>
      <c r="J120" s="152"/>
      <c r="K120" s="152"/>
      <c r="L120" s="1346" t="s">
        <v>1839</v>
      </c>
      <c r="M120" s="152"/>
      <c r="N120" s="1345" t="s">
        <v>1840</v>
      </c>
      <c r="O120" s="1344"/>
      <c r="P120" s="1347" t="s">
        <v>1841</v>
      </c>
      <c r="Q120" s="1348" t="s">
        <v>1842</v>
      </c>
      <c r="R120" s="1347" t="s">
        <v>1843</v>
      </c>
      <c r="S120" s="1349" t="s">
        <v>1844</v>
      </c>
      <c r="T120" s="354"/>
      <c r="U120" s="1350"/>
      <c r="V120" s="1345" t="s">
        <v>1845</v>
      </c>
      <c r="W120" s="175"/>
      <c r="X120" s="1340"/>
      <c r="Y120" s="455"/>
    </row>
    <row r="121" ht="15.0" customHeight="1">
      <c r="A121" s="455"/>
      <c r="B121" s="1340"/>
      <c r="C121" s="1187"/>
      <c r="E121" s="1351"/>
      <c r="G121" s="1187"/>
      <c r="H121" s="1352"/>
      <c r="I121" s="1352"/>
      <c r="L121" s="1351"/>
      <c r="N121" s="1352"/>
      <c r="O121" s="1187"/>
      <c r="P121" s="1353"/>
      <c r="Q121" s="1353"/>
      <c r="R121" s="1353"/>
      <c r="S121" s="1354" t="s">
        <v>1846</v>
      </c>
      <c r="T121" s="1355" t="s">
        <v>1847</v>
      </c>
      <c r="U121" s="1355" t="s">
        <v>1848</v>
      </c>
      <c r="V121" s="1352"/>
      <c r="W121" s="318"/>
      <c r="X121" s="1340"/>
      <c r="Y121" s="455"/>
    </row>
    <row r="122">
      <c r="A122" s="455"/>
      <c r="B122" s="1356"/>
      <c r="C122" s="1357" t="b">
        <v>0</v>
      </c>
      <c r="D122" s="1382"/>
      <c r="E122" s="1384"/>
      <c r="F122" s="375"/>
      <c r="G122" s="1360"/>
      <c r="H122" s="1361" t="str">
        <f>IFNA(VLOOKUP($E122,'法術資料'!$K$2:$X$805,4,FALSE),"")</f>
        <v/>
      </c>
      <c r="I122" s="1362" t="str">
        <f>IFNA(VLOOKUP($E122,'法術資料'!$K$2:$X$805,7,FALSE),"")</f>
        <v/>
      </c>
      <c r="J122" s="375"/>
      <c r="K122" s="1360"/>
      <c r="L122" s="1362" t="str">
        <f>IFNA(VLOOKUP($E122,'法術資料'!$K$2:$X$805,8,FALSE),"")</f>
        <v/>
      </c>
      <c r="M122" s="1360"/>
      <c r="N122" s="1363" t="str">
        <f>IFNA(VLOOKUP($E122,'法術資料'!$K$2:$X$805,14,FALSE),"")</f>
        <v/>
      </c>
      <c r="O122" s="1360"/>
      <c r="P122" s="1364" t="str">
        <f>IFNA(VLOOKUP($E122,'法術資料'!$K$2:$X$805,13,FALSE),"")</f>
        <v/>
      </c>
      <c r="Q122" s="1365" t="str">
        <f>IFNA(VLOOKUP($E122,'法術資料'!$K$2:$X$805,5,FALSE),"")</f>
        <v/>
      </c>
      <c r="R122" s="1365" t="str">
        <f>IFNA(VLOOKUP($E122,'法術資料'!$K$2:$X$805,6,FALSE),"")</f>
        <v/>
      </c>
      <c r="S122" s="1366" t="str">
        <f>IFNA(VLOOKUP($E122,'法術資料'!$K$2:$X$805,9,FALSE),"")</f>
        <v/>
      </c>
      <c r="T122" s="1367" t="str">
        <f>IFNA(VLOOKUP($E122,'法術資料'!$K$2:$X$805,10,FALSE),"")</f>
        <v/>
      </c>
      <c r="U122" s="1367" t="str">
        <f>IFNA(VLOOKUP($E122,'法術資料'!$K$2:$X$805,11,FALSE),"")</f>
        <v/>
      </c>
      <c r="V122" s="1368" t="str">
        <f>IFNA(VLOOKUP($E122,'法術資料'!$K$2:$W$805,12,FALSE),"")</f>
        <v/>
      </c>
      <c r="W122" s="376"/>
      <c r="X122" s="1369"/>
      <c r="Y122" s="455"/>
    </row>
    <row r="123">
      <c r="A123" s="455"/>
      <c r="B123" s="1356"/>
      <c r="C123" s="1370" t="b">
        <v>0</v>
      </c>
      <c r="D123" s="1381"/>
      <c r="E123" s="1385"/>
      <c r="F123" s="375"/>
      <c r="G123" s="1360"/>
      <c r="H123" s="1373" t="str">
        <f>IFNA(VLOOKUP($E123,'法術資料'!$K$2:$X$805,4,FALSE),"")</f>
        <v/>
      </c>
      <c r="I123" s="1374" t="str">
        <f>IFNA(VLOOKUP($E123,'法術資料'!$K$2:$X$805,7,FALSE),"")</f>
        <v/>
      </c>
      <c r="J123" s="375"/>
      <c r="K123" s="1360"/>
      <c r="L123" s="1374" t="str">
        <f>IFNA(VLOOKUP($E123,'法術資料'!$K$2:$X$805,8,FALSE),"")</f>
        <v/>
      </c>
      <c r="M123" s="1360"/>
      <c r="N123" s="1375" t="str">
        <f>IFNA(VLOOKUP($E123,'法術資料'!$K$2:$X$805,14,FALSE),"")</f>
        <v/>
      </c>
      <c r="O123" s="1360"/>
      <c r="P123" s="1376" t="str">
        <f>IFNA(VLOOKUP($E123,'法術資料'!$K$2:$X$805,13,FALSE),"")</f>
        <v/>
      </c>
      <c r="Q123" s="1377" t="str">
        <f>IFNA(VLOOKUP($E123,'法術資料'!$K$2:$X$805,5,FALSE),"")</f>
        <v/>
      </c>
      <c r="R123" s="1377" t="str">
        <f>IFNA(VLOOKUP($E123,'法術資料'!$K$2:$X$805,6,FALSE),"")</f>
        <v/>
      </c>
      <c r="S123" s="1378" t="str">
        <f>IFNA(VLOOKUP($E123,'法術資料'!$K$2:$X$805,9,FALSE),"")</f>
        <v/>
      </c>
      <c r="T123" s="1379" t="str">
        <f>IFNA(VLOOKUP($E123,'法術資料'!$K$2:$X$805,10,FALSE),"")</f>
        <v/>
      </c>
      <c r="U123" s="1379" t="str">
        <f>IFNA(VLOOKUP($E123,'法術資料'!$K$2:$X$805,11,FALSE),"")</f>
        <v/>
      </c>
      <c r="V123" s="1380" t="str">
        <f>IFNA(VLOOKUP($E123,'法術資料'!$K$2:$W$805,12,FALSE),"")</f>
        <v/>
      </c>
      <c r="W123" s="376"/>
      <c r="X123" s="1369"/>
      <c r="Y123" s="455"/>
    </row>
    <row r="124">
      <c r="A124" s="455"/>
      <c r="B124" s="1356"/>
      <c r="C124" s="1357" t="b">
        <v>0</v>
      </c>
      <c r="D124" s="1382"/>
      <c r="E124" s="1384"/>
      <c r="F124" s="375"/>
      <c r="G124" s="1360"/>
      <c r="H124" s="1361" t="str">
        <f>IFNA(VLOOKUP($E124,'法術資料'!$K$2:$X$805,4,FALSE),"")</f>
        <v/>
      </c>
      <c r="I124" s="1362" t="str">
        <f>IFNA(VLOOKUP($E124,'法術資料'!$K$2:$X$805,7,FALSE),"")</f>
        <v/>
      </c>
      <c r="J124" s="375"/>
      <c r="K124" s="1360"/>
      <c r="L124" s="1362" t="str">
        <f>IFNA(VLOOKUP($E124,'法術資料'!$K$2:$X$805,8,FALSE),"")</f>
        <v/>
      </c>
      <c r="M124" s="1360"/>
      <c r="N124" s="1363" t="str">
        <f>IFNA(VLOOKUP($E124,'法術資料'!$K$2:$X$805,14,FALSE),"")</f>
        <v/>
      </c>
      <c r="O124" s="1360"/>
      <c r="P124" s="1364" t="str">
        <f>IFNA(VLOOKUP($E124,'法術資料'!$K$2:$X$805,13,FALSE),"")</f>
        <v/>
      </c>
      <c r="Q124" s="1365" t="str">
        <f>IFNA(VLOOKUP($E124,'法術資料'!$K$2:$X$805,5,FALSE),"")</f>
        <v/>
      </c>
      <c r="R124" s="1365" t="str">
        <f>IFNA(VLOOKUP($E124,'法術資料'!$K$2:$X$805,6,FALSE),"")</f>
        <v/>
      </c>
      <c r="S124" s="1366" t="str">
        <f>IFNA(VLOOKUP($E124,'法術資料'!$K$2:$X$805,9,FALSE),"")</f>
        <v/>
      </c>
      <c r="T124" s="1367" t="str">
        <f>IFNA(VLOOKUP($E124,'法術資料'!$K$2:$X$805,10,FALSE),"")</f>
        <v/>
      </c>
      <c r="U124" s="1367" t="str">
        <f>IFNA(VLOOKUP($E124,'法術資料'!$K$2:$X$805,11,FALSE),"")</f>
        <v/>
      </c>
      <c r="V124" s="1368" t="str">
        <f>IFNA(VLOOKUP($E124,'法術資料'!$K$2:$W$805,12,FALSE),"")</f>
        <v/>
      </c>
      <c r="W124" s="376"/>
      <c r="X124" s="1369"/>
      <c r="Y124" s="455"/>
    </row>
    <row r="125">
      <c r="A125" s="455"/>
      <c r="B125" s="1356"/>
      <c r="C125" s="1386" t="b">
        <v>0</v>
      </c>
      <c r="D125" s="1387"/>
      <c r="E125" s="1388"/>
      <c r="F125" s="417"/>
      <c r="G125" s="1389"/>
      <c r="H125" s="1390" t="str">
        <f>IFNA(VLOOKUP($E125,'法術資料'!$K$2:$X$805,4,FALSE),"")</f>
        <v/>
      </c>
      <c r="I125" s="1391" t="str">
        <f>IFNA(VLOOKUP($E125,'法術資料'!$K$2:$X$805,7,FALSE),"")</f>
        <v/>
      </c>
      <c r="J125" s="417"/>
      <c r="K125" s="1389"/>
      <c r="L125" s="1391" t="str">
        <f>IFNA(VLOOKUP($E125,'法術資料'!$K$2:$X$805,8,FALSE),"")</f>
        <v/>
      </c>
      <c r="M125" s="1389"/>
      <c r="N125" s="1392" t="str">
        <f>IFNA(VLOOKUP($E125,'法術資料'!$K$2:$X$805,14,FALSE),"")</f>
        <v/>
      </c>
      <c r="O125" s="1389"/>
      <c r="P125" s="1393" t="str">
        <f>IFNA(VLOOKUP($E125,'法術資料'!$K$2:$X$805,13,FALSE),"")</f>
        <v/>
      </c>
      <c r="Q125" s="1394" t="str">
        <f>IFNA(VLOOKUP($E125,'法術資料'!$K$2:$X$805,5,FALSE),"")</f>
        <v/>
      </c>
      <c r="R125" s="1394" t="str">
        <f>IFNA(VLOOKUP($E125,'法術資料'!$K$2:$X$805,6,FALSE),"")</f>
        <v/>
      </c>
      <c r="S125" s="1395" t="str">
        <f>IFNA(VLOOKUP($E125,'法術資料'!$K$2:$X$805,9,FALSE),"")</f>
        <v/>
      </c>
      <c r="T125" s="1396" t="str">
        <f>IFNA(VLOOKUP($E125,'法術資料'!$K$2:$X$805,10,FALSE),"")</f>
        <v/>
      </c>
      <c r="U125" s="1396" t="str">
        <f>IFNA(VLOOKUP($E125,'法術資料'!$K$2:$X$805,11,FALSE),"")</f>
        <v/>
      </c>
      <c r="V125" s="1397" t="str">
        <f>IFNA(VLOOKUP($E125,'法術資料'!$K$2:$W$805,12,FALSE),"")</f>
        <v/>
      </c>
      <c r="W125" s="517"/>
      <c r="X125" s="1369"/>
      <c r="Y125" s="455"/>
    </row>
    <row r="126" ht="15.0" customHeight="1">
      <c r="A126" s="455"/>
      <c r="B126" s="1302"/>
      <c r="C126" s="1302"/>
      <c r="D126" s="1398"/>
      <c r="E126" s="1302"/>
      <c r="F126" s="1302"/>
      <c r="G126" s="1302"/>
      <c r="H126" s="1302"/>
      <c r="I126" s="1302"/>
      <c r="J126" s="1302"/>
      <c r="K126" s="1302"/>
      <c r="L126" s="1302"/>
      <c r="M126" s="1302"/>
      <c r="N126" s="1302"/>
      <c r="O126" s="1302"/>
      <c r="P126" s="1302"/>
      <c r="Q126" s="1302"/>
      <c r="R126" s="1302"/>
      <c r="S126" s="1302"/>
      <c r="T126" s="1302"/>
      <c r="U126" s="1302"/>
      <c r="V126" s="1302"/>
      <c r="W126" s="1302"/>
      <c r="X126" s="1302"/>
      <c r="Y126" s="455"/>
    </row>
    <row r="127" ht="15.0" customHeight="1">
      <c r="A127" s="455"/>
      <c r="B127" s="1302"/>
      <c r="C127" s="1302"/>
      <c r="D127" s="1398"/>
      <c r="E127" s="1302"/>
      <c r="F127" s="1302"/>
      <c r="G127" s="1302"/>
      <c r="H127" s="1302"/>
      <c r="I127" s="1302"/>
      <c r="J127" s="1302"/>
      <c r="K127" s="1302"/>
      <c r="L127" s="1302"/>
      <c r="M127" s="1302"/>
      <c r="N127" s="1302"/>
      <c r="O127" s="1302"/>
      <c r="P127" s="1302"/>
      <c r="Q127" s="1302"/>
      <c r="R127" s="1302"/>
      <c r="S127" s="1302"/>
      <c r="T127" s="1302"/>
      <c r="U127" s="1302"/>
      <c r="V127" s="1302"/>
      <c r="W127" s="1302"/>
      <c r="X127" s="1302"/>
      <c r="Y127" s="455"/>
    </row>
    <row r="128" ht="15.0" customHeight="1">
      <c r="A128" s="455"/>
      <c r="B128" s="1399"/>
      <c r="C128" s="1339" t="s">
        <v>1869</v>
      </c>
      <c r="D128" s="19"/>
      <c r="E128" s="19"/>
      <c r="F128" s="19"/>
      <c r="G128" s="19"/>
      <c r="H128" s="19"/>
      <c r="I128" s="19"/>
      <c r="J128" s="19"/>
      <c r="K128" s="19"/>
      <c r="L128" s="19"/>
      <c r="M128" s="19"/>
      <c r="N128" s="19"/>
      <c r="O128" s="19"/>
      <c r="P128" s="19"/>
      <c r="Q128" s="19"/>
      <c r="R128" s="19"/>
      <c r="S128" s="19"/>
      <c r="T128" s="19"/>
      <c r="U128" s="19"/>
      <c r="V128" s="19"/>
      <c r="W128" s="20"/>
      <c r="X128" s="1399"/>
      <c r="Y128" s="455"/>
    </row>
    <row r="129" ht="15.0" customHeight="1">
      <c r="A129" s="455"/>
      <c r="B129" s="1340"/>
      <c r="C129" s="1341" t="s">
        <v>1834</v>
      </c>
      <c r="D129" s="1342" t="s">
        <v>1835</v>
      </c>
      <c r="E129" s="1343" t="s">
        <v>1836</v>
      </c>
      <c r="F129" s="152"/>
      <c r="G129" s="1344"/>
      <c r="H129" s="1345" t="s">
        <v>1837</v>
      </c>
      <c r="I129" s="1345" t="s">
        <v>1838</v>
      </c>
      <c r="J129" s="152"/>
      <c r="K129" s="152"/>
      <c r="L129" s="1346" t="s">
        <v>1839</v>
      </c>
      <c r="M129" s="152"/>
      <c r="N129" s="1345" t="s">
        <v>1840</v>
      </c>
      <c r="O129" s="1344"/>
      <c r="P129" s="1347" t="s">
        <v>1841</v>
      </c>
      <c r="Q129" s="1348" t="s">
        <v>1842</v>
      </c>
      <c r="R129" s="1347" t="s">
        <v>1843</v>
      </c>
      <c r="S129" s="1349" t="s">
        <v>1844</v>
      </c>
      <c r="T129" s="354"/>
      <c r="U129" s="1350"/>
      <c r="V129" s="1345" t="s">
        <v>1845</v>
      </c>
      <c r="W129" s="175"/>
      <c r="X129" s="1340"/>
      <c r="Y129" s="455"/>
    </row>
    <row r="130" ht="15.0" customHeight="1">
      <c r="A130" s="455"/>
      <c r="B130" s="1340"/>
      <c r="C130" s="1187"/>
      <c r="E130" s="1351"/>
      <c r="G130" s="1187"/>
      <c r="H130" s="1352"/>
      <c r="I130" s="1352"/>
      <c r="L130" s="1351"/>
      <c r="N130" s="1352"/>
      <c r="O130" s="1187"/>
      <c r="P130" s="1353"/>
      <c r="Q130" s="1353"/>
      <c r="R130" s="1353"/>
      <c r="S130" s="1354" t="s">
        <v>1846</v>
      </c>
      <c r="T130" s="1355" t="s">
        <v>1847</v>
      </c>
      <c r="U130" s="1355" t="s">
        <v>1848</v>
      </c>
      <c r="V130" s="1352"/>
      <c r="W130" s="318"/>
      <c r="X130" s="1340"/>
      <c r="Y130" s="455"/>
    </row>
    <row r="131">
      <c r="A131" s="455"/>
      <c r="B131" s="1356"/>
      <c r="C131" s="1357" t="b">
        <v>0</v>
      </c>
      <c r="D131" s="1382"/>
      <c r="E131" s="1359"/>
      <c r="F131" s="375"/>
      <c r="G131" s="1360"/>
      <c r="H131" s="1361" t="str">
        <f>IFNA(VLOOKUP($E131,'法術資料'!$K$2:$X$805,4,FALSE),"")</f>
        <v/>
      </c>
      <c r="I131" s="1362" t="str">
        <f>IFNA(VLOOKUP($E131,'法術資料'!$K$2:$X$805,7,FALSE),"")</f>
        <v/>
      </c>
      <c r="J131" s="375"/>
      <c r="K131" s="1360"/>
      <c r="L131" s="1362" t="str">
        <f>IFNA(VLOOKUP($E131,'法術資料'!$K$2:$X$805,8,FALSE),"")</f>
        <v/>
      </c>
      <c r="M131" s="1360"/>
      <c r="N131" s="1363" t="str">
        <f>IFNA(VLOOKUP($E131,'法術資料'!$K$2:$X$805,14,FALSE),"")</f>
        <v/>
      </c>
      <c r="O131" s="1360"/>
      <c r="P131" s="1364" t="str">
        <f>IFNA(VLOOKUP($E131,'法術資料'!$K$2:$X$805,13,FALSE),"")</f>
        <v/>
      </c>
      <c r="Q131" s="1365" t="str">
        <f>IFNA(VLOOKUP($E131,'法術資料'!$K$2:$X$805,5,FALSE),"")</f>
        <v/>
      </c>
      <c r="R131" s="1365" t="str">
        <f>IFNA(VLOOKUP($E131,'法術資料'!$K$2:$X$805,6,FALSE),"")</f>
        <v/>
      </c>
      <c r="S131" s="1366" t="str">
        <f>IFNA(VLOOKUP($E131,'法術資料'!$K$2:$X$805,9,FALSE),"")</f>
        <v/>
      </c>
      <c r="T131" s="1367" t="str">
        <f>IFNA(VLOOKUP($E131,'法術資料'!$K$2:$X$805,10,FALSE),"")</f>
        <v/>
      </c>
      <c r="U131" s="1367" t="str">
        <f>IFNA(VLOOKUP($E131,'法術資料'!$K$2:$X$805,11,FALSE),"")</f>
        <v/>
      </c>
      <c r="V131" s="1368" t="str">
        <f>IFNA(VLOOKUP($E131,'法術資料'!$K$2:$W$805,12,FALSE),"")</f>
        <v/>
      </c>
      <c r="W131" s="376"/>
      <c r="X131" s="1369"/>
      <c r="Y131" s="455"/>
    </row>
    <row r="132">
      <c r="A132" s="455"/>
      <c r="B132" s="1356"/>
      <c r="C132" s="1370" t="b">
        <v>0</v>
      </c>
      <c r="D132" s="1381"/>
      <c r="E132" s="1385"/>
      <c r="F132" s="375"/>
      <c r="G132" s="1360"/>
      <c r="H132" s="1373" t="str">
        <f>IFNA(VLOOKUP($E132,'法術資料'!$K$2:$X$805,4,FALSE),"")</f>
        <v/>
      </c>
      <c r="I132" s="1374" t="str">
        <f>IFNA(VLOOKUP($E132,'法術資料'!$K$2:$X$805,7,FALSE),"")</f>
        <v/>
      </c>
      <c r="J132" s="375"/>
      <c r="K132" s="1360"/>
      <c r="L132" s="1374" t="str">
        <f>IFNA(VLOOKUP($E132,'法術資料'!$K$2:$X$805,8,FALSE),"")</f>
        <v/>
      </c>
      <c r="M132" s="1360"/>
      <c r="N132" s="1375" t="str">
        <f>IFNA(VLOOKUP($E132,'法術資料'!$K$2:$X$805,14,FALSE),"")</f>
        <v/>
      </c>
      <c r="O132" s="1360"/>
      <c r="P132" s="1376" t="str">
        <f>IFNA(VLOOKUP($E132,'法術資料'!$K$2:$X$805,13,FALSE),"")</f>
        <v/>
      </c>
      <c r="Q132" s="1377" t="str">
        <f>IFNA(VLOOKUP($E132,'法術資料'!$K$2:$X$805,5,FALSE),"")</f>
        <v/>
      </c>
      <c r="R132" s="1377" t="str">
        <f>IFNA(VLOOKUP($E132,'法術資料'!$K$2:$X$805,6,FALSE),"")</f>
        <v/>
      </c>
      <c r="S132" s="1378" t="str">
        <f>IFNA(VLOOKUP($E132,'法術資料'!$K$2:$X$805,9,FALSE),"")</f>
        <v/>
      </c>
      <c r="T132" s="1379" t="str">
        <f>IFNA(VLOOKUP($E132,'法術資料'!$K$2:$X$805,10,FALSE),"")</f>
        <v/>
      </c>
      <c r="U132" s="1379" t="str">
        <f>IFNA(VLOOKUP($E132,'法術資料'!$K$2:$X$805,11,FALSE),"")</f>
        <v/>
      </c>
      <c r="V132" s="1380" t="str">
        <f>IFNA(VLOOKUP($E132,'法術資料'!$K$2:$W$805,12,FALSE),"")</f>
        <v/>
      </c>
      <c r="W132" s="376"/>
      <c r="X132" s="1369"/>
      <c r="Y132" s="455"/>
    </row>
    <row r="133">
      <c r="A133" s="455"/>
      <c r="B133" s="1356"/>
      <c r="C133" s="1357" t="b">
        <v>0</v>
      </c>
      <c r="D133" s="1382"/>
      <c r="E133" s="1384"/>
      <c r="F133" s="375"/>
      <c r="G133" s="1360"/>
      <c r="H133" s="1361" t="str">
        <f>IFNA(VLOOKUP($E133,'法術資料'!$K$2:$X$805,4,FALSE),"")</f>
        <v/>
      </c>
      <c r="I133" s="1362" t="str">
        <f>IFNA(VLOOKUP($E133,'法術資料'!$K$2:$X$805,7,FALSE),"")</f>
        <v/>
      </c>
      <c r="J133" s="375"/>
      <c r="K133" s="1360"/>
      <c r="L133" s="1362" t="str">
        <f>IFNA(VLOOKUP($E133,'法術資料'!$K$2:$X$805,8,FALSE),"")</f>
        <v/>
      </c>
      <c r="M133" s="1360"/>
      <c r="N133" s="1363" t="str">
        <f>IFNA(VLOOKUP($E133,'法術資料'!$K$2:$X$805,14,FALSE),"")</f>
        <v/>
      </c>
      <c r="O133" s="1360"/>
      <c r="P133" s="1364" t="str">
        <f>IFNA(VLOOKUP($E133,'法術資料'!$K$2:$X$805,13,FALSE),"")</f>
        <v/>
      </c>
      <c r="Q133" s="1365" t="str">
        <f>IFNA(VLOOKUP($E133,'法術資料'!$K$2:$X$805,5,FALSE),"")</f>
        <v/>
      </c>
      <c r="R133" s="1365" t="str">
        <f>IFNA(VLOOKUP($E133,'法術資料'!$K$2:$X$805,6,FALSE),"")</f>
        <v/>
      </c>
      <c r="S133" s="1366" t="str">
        <f>IFNA(VLOOKUP($E133,'法術資料'!$K$2:$X$805,9,FALSE),"")</f>
        <v/>
      </c>
      <c r="T133" s="1367" t="str">
        <f>IFNA(VLOOKUP($E133,'法術資料'!$K$2:$X$805,10,FALSE),"")</f>
        <v/>
      </c>
      <c r="U133" s="1367" t="str">
        <f>IFNA(VLOOKUP($E133,'法術資料'!$K$2:$X$805,11,FALSE),"")</f>
        <v/>
      </c>
      <c r="V133" s="1368" t="str">
        <f>IFNA(VLOOKUP($E133,'法術資料'!$K$2:$W$805,12,FALSE),"")</f>
        <v/>
      </c>
      <c r="W133" s="376"/>
      <c r="X133" s="1369"/>
      <c r="Y133" s="455"/>
    </row>
    <row r="134">
      <c r="A134" s="455"/>
      <c r="B134" s="1356"/>
      <c r="C134" s="1386" t="b">
        <v>0</v>
      </c>
      <c r="D134" s="1387"/>
      <c r="E134" s="1388"/>
      <c r="F134" s="417"/>
      <c r="G134" s="1389"/>
      <c r="H134" s="1390" t="str">
        <f>IFNA(VLOOKUP($E134,'法術資料'!$K$2:$X$805,4,FALSE),"")</f>
        <v/>
      </c>
      <c r="I134" s="1391" t="str">
        <f>IFNA(VLOOKUP($E134,'法術資料'!$K$2:$X$805,7,FALSE),"")</f>
        <v/>
      </c>
      <c r="J134" s="417"/>
      <c r="K134" s="1389"/>
      <c r="L134" s="1391" t="str">
        <f>IFNA(VLOOKUP($E134,'法術資料'!$K$2:$X$805,8,FALSE),"")</f>
        <v/>
      </c>
      <c r="M134" s="1389"/>
      <c r="N134" s="1392" t="str">
        <f>IFNA(VLOOKUP($E134,'法術資料'!$K$2:$X$805,14,FALSE),"")</f>
        <v/>
      </c>
      <c r="O134" s="1389"/>
      <c r="P134" s="1393" t="str">
        <f>IFNA(VLOOKUP($E134,'法術資料'!$K$2:$X$805,13,FALSE),"")</f>
        <v/>
      </c>
      <c r="Q134" s="1394" t="str">
        <f>IFNA(VLOOKUP($E134,'法術資料'!$K$2:$X$805,5,FALSE),"")</f>
        <v/>
      </c>
      <c r="R134" s="1394" t="str">
        <f>IFNA(VLOOKUP($E134,'法術資料'!$K$2:$X$805,6,FALSE),"")</f>
        <v/>
      </c>
      <c r="S134" s="1395" t="str">
        <f>IFNA(VLOOKUP($E134,'法術資料'!$K$2:$X$805,9,FALSE),"")</f>
        <v/>
      </c>
      <c r="T134" s="1396" t="str">
        <f>IFNA(VLOOKUP($E134,'法術資料'!$K$2:$X$805,10,FALSE),"")</f>
        <v/>
      </c>
      <c r="U134" s="1396" t="str">
        <f>IFNA(VLOOKUP($E134,'法術資料'!$K$2:$X$805,11,FALSE),"")</f>
        <v/>
      </c>
      <c r="V134" s="1397" t="str">
        <f>IFNA(VLOOKUP($E134,'法術資料'!$K$2:$W$805,12,FALSE),"")</f>
        <v/>
      </c>
      <c r="W134" s="517"/>
      <c r="X134" s="1369"/>
      <c r="Y134" s="455"/>
    </row>
    <row r="135" ht="15.0" customHeight="1">
      <c r="A135" s="455"/>
      <c r="B135" s="1404"/>
      <c r="C135" s="1405"/>
      <c r="D135" s="1406"/>
      <c r="E135" s="1405"/>
      <c r="F135" s="1405"/>
      <c r="G135" s="1405"/>
      <c r="H135" s="1407"/>
      <c r="I135" s="1408"/>
      <c r="J135" s="1408"/>
      <c r="K135" s="1408"/>
      <c r="L135" s="1408"/>
      <c r="M135" s="1408"/>
      <c r="N135" s="1408"/>
      <c r="O135" s="1408"/>
      <c r="P135" s="1408"/>
      <c r="Q135" s="1408"/>
      <c r="R135" s="1408"/>
      <c r="S135" s="1408"/>
      <c r="T135" s="1408"/>
      <c r="U135" s="1408"/>
      <c r="V135" s="1408"/>
      <c r="W135" s="1408"/>
      <c r="X135" s="1409"/>
      <c r="Y135" s="455"/>
    </row>
    <row r="136" ht="15.0" customHeight="1">
      <c r="A136" s="1410" t="s">
        <v>370</v>
      </c>
      <c r="B136" s="1411"/>
      <c r="C136" s="1411"/>
      <c r="D136" s="455"/>
      <c r="E136" s="455"/>
      <c r="F136" s="455"/>
      <c r="G136" s="455"/>
      <c r="H136" s="455"/>
      <c r="I136" s="455"/>
      <c r="J136" s="455"/>
      <c r="K136" s="455"/>
      <c r="L136" s="455"/>
      <c r="M136" s="455"/>
      <c r="N136" s="455"/>
      <c r="O136" s="455"/>
      <c r="P136" s="455"/>
      <c r="Q136" s="455"/>
      <c r="R136" s="455"/>
      <c r="S136" s="455"/>
      <c r="T136" s="455"/>
      <c r="U136" s="455"/>
      <c r="V136" s="455"/>
      <c r="W136" s="1411"/>
      <c r="X136" s="1411"/>
      <c r="Y136" s="1411"/>
    </row>
  </sheetData>
  <mergeCells count="500">
    <mergeCell ref="L22:M22"/>
    <mergeCell ref="N22:O22"/>
    <mergeCell ref="I20:K20"/>
    <mergeCell ref="L20:M20"/>
    <mergeCell ref="N20:O20"/>
    <mergeCell ref="I21:K21"/>
    <mergeCell ref="L21:M21"/>
    <mergeCell ref="N21:O21"/>
    <mergeCell ref="I22:K22"/>
    <mergeCell ref="V18:W18"/>
    <mergeCell ref="V19:W19"/>
    <mergeCell ref="V20:W20"/>
    <mergeCell ref="V21:W21"/>
    <mergeCell ref="V22:W22"/>
    <mergeCell ref="V23:W23"/>
    <mergeCell ref="V24:W24"/>
    <mergeCell ref="V25:W25"/>
    <mergeCell ref="V26:W26"/>
    <mergeCell ref="V31:W32"/>
    <mergeCell ref="V33:W33"/>
    <mergeCell ref="V34:W34"/>
    <mergeCell ref="V35:W35"/>
    <mergeCell ref="V36:W36"/>
    <mergeCell ref="V49:W49"/>
    <mergeCell ref="V50:W50"/>
    <mergeCell ref="V51:W51"/>
    <mergeCell ref="V52:W52"/>
    <mergeCell ref="V53:W53"/>
    <mergeCell ref="V54:W54"/>
    <mergeCell ref="V55:W55"/>
    <mergeCell ref="V37:W37"/>
    <mergeCell ref="V38:W38"/>
    <mergeCell ref="V39:W39"/>
    <mergeCell ref="V40:W40"/>
    <mergeCell ref="V41:W41"/>
    <mergeCell ref="V42:W42"/>
    <mergeCell ref="V48:W48"/>
    <mergeCell ref="N1:N3"/>
    <mergeCell ref="B4:X4"/>
    <mergeCell ref="C6:D6"/>
    <mergeCell ref="F6:M6"/>
    <mergeCell ref="P8:U8"/>
    <mergeCell ref="P10:U10"/>
    <mergeCell ref="P12:U12"/>
    <mergeCell ref="C15:W15"/>
    <mergeCell ref="C11:D11"/>
    <mergeCell ref="F13:G13"/>
    <mergeCell ref="H13:I13"/>
    <mergeCell ref="C16:C17"/>
    <mergeCell ref="D16:D17"/>
    <mergeCell ref="E16:G17"/>
    <mergeCell ref="H16:H17"/>
    <mergeCell ref="L16:M17"/>
    <mergeCell ref="N16:O17"/>
    <mergeCell ref="P16:P17"/>
    <mergeCell ref="Q16:Q17"/>
    <mergeCell ref="R16:R17"/>
    <mergeCell ref="S16:U16"/>
    <mergeCell ref="V16:W17"/>
    <mergeCell ref="I16:K17"/>
    <mergeCell ref="I18:K18"/>
    <mergeCell ref="L18:M18"/>
    <mergeCell ref="N18:O18"/>
    <mergeCell ref="I19:K19"/>
    <mergeCell ref="L19:M19"/>
    <mergeCell ref="N19:O19"/>
    <mergeCell ref="L25:M25"/>
    <mergeCell ref="N25:O25"/>
    <mergeCell ref="I23:K23"/>
    <mergeCell ref="L23:M23"/>
    <mergeCell ref="N23:O23"/>
    <mergeCell ref="I24:K24"/>
    <mergeCell ref="L24:M24"/>
    <mergeCell ref="N24:O24"/>
    <mergeCell ref="I25:K25"/>
    <mergeCell ref="C30:W30"/>
    <mergeCell ref="S31:U31"/>
    <mergeCell ref="I26:K26"/>
    <mergeCell ref="L26:M26"/>
    <mergeCell ref="N26:O26"/>
    <mergeCell ref="I27:K27"/>
    <mergeCell ref="L27:M27"/>
    <mergeCell ref="N27:O27"/>
    <mergeCell ref="V27:W27"/>
    <mergeCell ref="I35:K35"/>
    <mergeCell ref="I36:K36"/>
    <mergeCell ref="E33:G33"/>
    <mergeCell ref="E34:G34"/>
    <mergeCell ref="I34:K34"/>
    <mergeCell ref="L34:M34"/>
    <mergeCell ref="N34:O34"/>
    <mergeCell ref="E35:G35"/>
    <mergeCell ref="E36:G36"/>
    <mergeCell ref="E18:G18"/>
    <mergeCell ref="E19:G19"/>
    <mergeCell ref="E20:G20"/>
    <mergeCell ref="E21:G21"/>
    <mergeCell ref="E22:G22"/>
    <mergeCell ref="E23:G23"/>
    <mergeCell ref="E24:G24"/>
    <mergeCell ref="L33:M33"/>
    <mergeCell ref="N33:O33"/>
    <mergeCell ref="I31:K32"/>
    <mergeCell ref="L31:M32"/>
    <mergeCell ref="N31:O32"/>
    <mergeCell ref="P31:P32"/>
    <mergeCell ref="Q31:Q32"/>
    <mergeCell ref="R31:R32"/>
    <mergeCell ref="I33:K33"/>
    <mergeCell ref="E25:G25"/>
    <mergeCell ref="E26:G26"/>
    <mergeCell ref="E27:G27"/>
    <mergeCell ref="C31:C32"/>
    <mergeCell ref="D31:D32"/>
    <mergeCell ref="E31:G32"/>
    <mergeCell ref="H31:H32"/>
    <mergeCell ref="L35:M35"/>
    <mergeCell ref="N35:O35"/>
    <mergeCell ref="L36:M36"/>
    <mergeCell ref="N36:O36"/>
    <mergeCell ref="L40:M40"/>
    <mergeCell ref="N40:O40"/>
    <mergeCell ref="I46:K47"/>
    <mergeCell ref="L46:M47"/>
    <mergeCell ref="S46:U46"/>
    <mergeCell ref="V46:W47"/>
    <mergeCell ref="E42:G42"/>
    <mergeCell ref="I42:K42"/>
    <mergeCell ref="L42:M42"/>
    <mergeCell ref="N42:O42"/>
    <mergeCell ref="C45:W45"/>
    <mergeCell ref="C46:C47"/>
    <mergeCell ref="D46:D47"/>
    <mergeCell ref="N59:O60"/>
    <mergeCell ref="P59:P60"/>
    <mergeCell ref="N61:O61"/>
    <mergeCell ref="N62:O62"/>
    <mergeCell ref="I59:K60"/>
    <mergeCell ref="L59:M60"/>
    <mergeCell ref="E61:G61"/>
    <mergeCell ref="I61:K61"/>
    <mergeCell ref="L61:M61"/>
    <mergeCell ref="I62:K62"/>
    <mergeCell ref="L62:M62"/>
    <mergeCell ref="Q85:Q86"/>
    <mergeCell ref="R85:R86"/>
    <mergeCell ref="D85:D86"/>
    <mergeCell ref="E85:G86"/>
    <mergeCell ref="H85:H86"/>
    <mergeCell ref="I85:K86"/>
    <mergeCell ref="L85:M86"/>
    <mergeCell ref="N85:O86"/>
    <mergeCell ref="P85:P86"/>
    <mergeCell ref="E87:G87"/>
    <mergeCell ref="E88:G88"/>
    <mergeCell ref="E89:G89"/>
    <mergeCell ref="E90:G90"/>
    <mergeCell ref="E91:G91"/>
    <mergeCell ref="E92:G92"/>
    <mergeCell ref="E93:G93"/>
    <mergeCell ref="E94:G94"/>
    <mergeCell ref="E76:G76"/>
    <mergeCell ref="E77:G77"/>
    <mergeCell ref="E78:G78"/>
    <mergeCell ref="E79:G79"/>
    <mergeCell ref="E80:G80"/>
    <mergeCell ref="E81:G81"/>
    <mergeCell ref="C85:C86"/>
    <mergeCell ref="L89:M89"/>
    <mergeCell ref="N89:O89"/>
    <mergeCell ref="I87:K87"/>
    <mergeCell ref="L87:M87"/>
    <mergeCell ref="N87:O87"/>
    <mergeCell ref="I88:K88"/>
    <mergeCell ref="L88:M88"/>
    <mergeCell ref="N88:O88"/>
    <mergeCell ref="I89:K89"/>
    <mergeCell ref="I93:K93"/>
    <mergeCell ref="L93:M93"/>
    <mergeCell ref="N93:O93"/>
    <mergeCell ref="I94:K94"/>
    <mergeCell ref="L94:M94"/>
    <mergeCell ref="N94:O94"/>
    <mergeCell ref="P72:P73"/>
    <mergeCell ref="Q72:Q73"/>
    <mergeCell ref="V66:W66"/>
    <mergeCell ref="V67:W67"/>
    <mergeCell ref="V68:W68"/>
    <mergeCell ref="C71:W71"/>
    <mergeCell ref="C72:C73"/>
    <mergeCell ref="D72:D73"/>
    <mergeCell ref="E72:G73"/>
    <mergeCell ref="V72:W73"/>
    <mergeCell ref="L76:M76"/>
    <mergeCell ref="L77:M77"/>
    <mergeCell ref="L78:M78"/>
    <mergeCell ref="L79:M79"/>
    <mergeCell ref="L80:M80"/>
    <mergeCell ref="L81:M81"/>
    <mergeCell ref="I77:K77"/>
    <mergeCell ref="I78:K78"/>
    <mergeCell ref="I79:K79"/>
    <mergeCell ref="I80:K80"/>
    <mergeCell ref="I81:K81"/>
    <mergeCell ref="N77:O77"/>
    <mergeCell ref="N78:O78"/>
    <mergeCell ref="N79:O79"/>
    <mergeCell ref="N80:O80"/>
    <mergeCell ref="N81:O81"/>
    <mergeCell ref="V79:W79"/>
    <mergeCell ref="V80:W80"/>
    <mergeCell ref="V81:W81"/>
    <mergeCell ref="C84:W84"/>
    <mergeCell ref="S85:U85"/>
    <mergeCell ref="V85:W86"/>
    <mergeCell ref="V87:W87"/>
    <mergeCell ref="Q98:Q99"/>
    <mergeCell ref="R98:R99"/>
    <mergeCell ref="S98:U98"/>
    <mergeCell ref="V98:W99"/>
    <mergeCell ref="H109:H110"/>
    <mergeCell ref="I109:K110"/>
    <mergeCell ref="L109:M110"/>
    <mergeCell ref="N109:O110"/>
    <mergeCell ref="P109:P110"/>
    <mergeCell ref="Q109:Q110"/>
    <mergeCell ref="R109:R110"/>
    <mergeCell ref="S109:U109"/>
    <mergeCell ref="E104:G104"/>
    <mergeCell ref="E105:G105"/>
    <mergeCell ref="I105:K105"/>
    <mergeCell ref="L105:M105"/>
    <mergeCell ref="N105:O105"/>
    <mergeCell ref="C108:W108"/>
    <mergeCell ref="C109:C110"/>
    <mergeCell ref="V109:W110"/>
    <mergeCell ref="N98:O99"/>
    <mergeCell ref="P98:P99"/>
    <mergeCell ref="I98:K99"/>
    <mergeCell ref="I100:K100"/>
    <mergeCell ref="C97:W97"/>
    <mergeCell ref="C98:C99"/>
    <mergeCell ref="D98:D99"/>
    <mergeCell ref="E98:G99"/>
    <mergeCell ref="H98:H99"/>
    <mergeCell ref="L98:M99"/>
    <mergeCell ref="E100:G100"/>
    <mergeCell ref="V100:W100"/>
    <mergeCell ref="L102:M102"/>
    <mergeCell ref="N102:O102"/>
    <mergeCell ref="L103:M103"/>
    <mergeCell ref="N103:O103"/>
    <mergeCell ref="V103:W103"/>
    <mergeCell ref="V104:W104"/>
    <mergeCell ref="V105:W105"/>
    <mergeCell ref="L100:M100"/>
    <mergeCell ref="N100:O100"/>
    <mergeCell ref="E101:G101"/>
    <mergeCell ref="L101:M101"/>
    <mergeCell ref="N101:O101"/>
    <mergeCell ref="V101:W101"/>
    <mergeCell ref="E102:G102"/>
    <mergeCell ref="V102:W102"/>
    <mergeCell ref="I101:K101"/>
    <mergeCell ref="I102:K102"/>
    <mergeCell ref="E103:G103"/>
    <mergeCell ref="I103:K103"/>
    <mergeCell ref="I104:K104"/>
    <mergeCell ref="L104:M104"/>
    <mergeCell ref="N104:O104"/>
    <mergeCell ref="L112:M112"/>
    <mergeCell ref="N112:O112"/>
    <mergeCell ref="V112:W112"/>
    <mergeCell ref="R120:R121"/>
    <mergeCell ref="S120:U120"/>
    <mergeCell ref="L116:M116"/>
    <mergeCell ref="N116:O116"/>
    <mergeCell ref="V116:W116"/>
    <mergeCell ref="C119:W119"/>
    <mergeCell ref="C120:C121"/>
    <mergeCell ref="D120:D121"/>
    <mergeCell ref="E120:G121"/>
    <mergeCell ref="V120:W121"/>
    <mergeCell ref="D109:D110"/>
    <mergeCell ref="E109:G110"/>
    <mergeCell ref="E111:G111"/>
    <mergeCell ref="L111:M111"/>
    <mergeCell ref="N111:O111"/>
    <mergeCell ref="V111:W111"/>
    <mergeCell ref="E112:G112"/>
    <mergeCell ref="V113:W113"/>
    <mergeCell ref="I114:K114"/>
    <mergeCell ref="L114:M114"/>
    <mergeCell ref="V114:W114"/>
    <mergeCell ref="V115:W115"/>
    <mergeCell ref="I111:K111"/>
    <mergeCell ref="I112:K112"/>
    <mergeCell ref="E113:G113"/>
    <mergeCell ref="I113:K113"/>
    <mergeCell ref="L113:M113"/>
    <mergeCell ref="N113:O113"/>
    <mergeCell ref="N114:O114"/>
    <mergeCell ref="E114:G114"/>
    <mergeCell ref="E115:G115"/>
    <mergeCell ref="I115:K115"/>
    <mergeCell ref="L115:M115"/>
    <mergeCell ref="N115:O115"/>
    <mergeCell ref="E116:G116"/>
    <mergeCell ref="I116:K116"/>
    <mergeCell ref="P120:P121"/>
    <mergeCell ref="Q120:Q121"/>
    <mergeCell ref="V122:W122"/>
    <mergeCell ref="V123:W123"/>
    <mergeCell ref="V124:W124"/>
    <mergeCell ref="V125:W125"/>
    <mergeCell ref="E124:G124"/>
    <mergeCell ref="E125:G125"/>
    <mergeCell ref="N125:O125"/>
    <mergeCell ref="H120:H121"/>
    <mergeCell ref="I120:K121"/>
    <mergeCell ref="E122:G122"/>
    <mergeCell ref="I122:K122"/>
    <mergeCell ref="E123:G123"/>
    <mergeCell ref="I123:K123"/>
    <mergeCell ref="I124:K124"/>
    <mergeCell ref="I125:K125"/>
    <mergeCell ref="E37:G37"/>
    <mergeCell ref="I37:K37"/>
    <mergeCell ref="L37:M37"/>
    <mergeCell ref="N37:O37"/>
    <mergeCell ref="I38:K38"/>
    <mergeCell ref="L38:M38"/>
    <mergeCell ref="N38:O38"/>
    <mergeCell ref="I40:K40"/>
    <mergeCell ref="I41:K41"/>
    <mergeCell ref="L41:M41"/>
    <mergeCell ref="N41:O41"/>
    <mergeCell ref="E38:G38"/>
    <mergeCell ref="E39:G39"/>
    <mergeCell ref="I39:K39"/>
    <mergeCell ref="L39:M39"/>
    <mergeCell ref="N39:O39"/>
    <mergeCell ref="E40:G40"/>
    <mergeCell ref="E41:G41"/>
    <mergeCell ref="Q46:Q47"/>
    <mergeCell ref="R46:R47"/>
    <mergeCell ref="I51:K51"/>
    <mergeCell ref="I52:K52"/>
    <mergeCell ref="N53:O53"/>
    <mergeCell ref="N54:O54"/>
    <mergeCell ref="N55:O55"/>
    <mergeCell ref="N46:O47"/>
    <mergeCell ref="P46:P47"/>
    <mergeCell ref="N48:O48"/>
    <mergeCell ref="N49:O49"/>
    <mergeCell ref="N50:O50"/>
    <mergeCell ref="N51:O51"/>
    <mergeCell ref="N52:O52"/>
    <mergeCell ref="I64:K64"/>
    <mergeCell ref="I65:K65"/>
    <mergeCell ref="L65:M65"/>
    <mergeCell ref="N65:O65"/>
    <mergeCell ref="E62:G62"/>
    <mergeCell ref="E63:G63"/>
    <mergeCell ref="I63:K63"/>
    <mergeCell ref="L63:M63"/>
    <mergeCell ref="N63:O63"/>
    <mergeCell ref="E64:G64"/>
    <mergeCell ref="E65:G65"/>
    <mergeCell ref="E67:G67"/>
    <mergeCell ref="E68:G68"/>
    <mergeCell ref="I68:K68"/>
    <mergeCell ref="L68:M68"/>
    <mergeCell ref="N68:O68"/>
    <mergeCell ref="E66:G66"/>
    <mergeCell ref="I66:K66"/>
    <mergeCell ref="L66:M66"/>
    <mergeCell ref="N66:O66"/>
    <mergeCell ref="I67:K67"/>
    <mergeCell ref="L67:M67"/>
    <mergeCell ref="N67:O67"/>
    <mergeCell ref="E46:G47"/>
    <mergeCell ref="H46:H47"/>
    <mergeCell ref="E48:G48"/>
    <mergeCell ref="I48:K48"/>
    <mergeCell ref="L48:M48"/>
    <mergeCell ref="I49:K49"/>
    <mergeCell ref="L49:M49"/>
    <mergeCell ref="E49:G49"/>
    <mergeCell ref="E50:G50"/>
    <mergeCell ref="I50:K50"/>
    <mergeCell ref="L50:M50"/>
    <mergeCell ref="E51:G51"/>
    <mergeCell ref="L51:M51"/>
    <mergeCell ref="L52:M52"/>
    <mergeCell ref="E52:G52"/>
    <mergeCell ref="E53:G53"/>
    <mergeCell ref="I53:K53"/>
    <mergeCell ref="L53:M53"/>
    <mergeCell ref="E54:G54"/>
    <mergeCell ref="L54:M54"/>
    <mergeCell ref="E55:G55"/>
    <mergeCell ref="L55:M55"/>
    <mergeCell ref="Q59:Q60"/>
    <mergeCell ref="R59:R60"/>
    <mergeCell ref="I54:K54"/>
    <mergeCell ref="I55:K55"/>
    <mergeCell ref="C58:W58"/>
    <mergeCell ref="C59:C60"/>
    <mergeCell ref="D59:D60"/>
    <mergeCell ref="E59:G60"/>
    <mergeCell ref="H59:H60"/>
    <mergeCell ref="L64:M64"/>
    <mergeCell ref="N64:O64"/>
    <mergeCell ref="S59:U59"/>
    <mergeCell ref="V59:W60"/>
    <mergeCell ref="V61:W61"/>
    <mergeCell ref="V62:W62"/>
    <mergeCell ref="V63:W63"/>
    <mergeCell ref="V64:W64"/>
    <mergeCell ref="V65:W65"/>
    <mergeCell ref="H72:H73"/>
    <mergeCell ref="I72:K73"/>
    <mergeCell ref="E74:G74"/>
    <mergeCell ref="I74:K74"/>
    <mergeCell ref="E75:G75"/>
    <mergeCell ref="I75:K75"/>
    <mergeCell ref="I76:K76"/>
    <mergeCell ref="L72:M73"/>
    <mergeCell ref="N72:O73"/>
    <mergeCell ref="L74:M74"/>
    <mergeCell ref="N74:O74"/>
    <mergeCell ref="L75:M75"/>
    <mergeCell ref="N75:O75"/>
    <mergeCell ref="N76:O76"/>
    <mergeCell ref="L92:M92"/>
    <mergeCell ref="N92:O92"/>
    <mergeCell ref="I90:K90"/>
    <mergeCell ref="L90:M90"/>
    <mergeCell ref="N90:O90"/>
    <mergeCell ref="I91:K91"/>
    <mergeCell ref="L91:M91"/>
    <mergeCell ref="N91:O91"/>
    <mergeCell ref="I92:K92"/>
    <mergeCell ref="R72:R73"/>
    <mergeCell ref="S72:U72"/>
    <mergeCell ref="V74:W74"/>
    <mergeCell ref="V75:W75"/>
    <mergeCell ref="V76:W76"/>
    <mergeCell ref="V77:W77"/>
    <mergeCell ref="V78:W78"/>
    <mergeCell ref="V88:W88"/>
    <mergeCell ref="V89:W89"/>
    <mergeCell ref="V90:W90"/>
    <mergeCell ref="V91:W91"/>
    <mergeCell ref="V92:W92"/>
    <mergeCell ref="V93:W93"/>
    <mergeCell ref="V94:W94"/>
    <mergeCell ref="L120:M121"/>
    <mergeCell ref="N120:O121"/>
    <mergeCell ref="L122:M122"/>
    <mergeCell ref="N122:O122"/>
    <mergeCell ref="L123:M123"/>
    <mergeCell ref="N123:O123"/>
    <mergeCell ref="N124:O124"/>
    <mergeCell ref="N129:O130"/>
    <mergeCell ref="P129:P130"/>
    <mergeCell ref="N131:O131"/>
    <mergeCell ref="N132:O132"/>
    <mergeCell ref="N133:O133"/>
    <mergeCell ref="N134:O134"/>
    <mergeCell ref="Q129:Q130"/>
    <mergeCell ref="R129:R130"/>
    <mergeCell ref="S129:U129"/>
    <mergeCell ref="V129:W130"/>
    <mergeCell ref="V131:W131"/>
    <mergeCell ref="V132:W132"/>
    <mergeCell ref="V133:W133"/>
    <mergeCell ref="V134:W134"/>
    <mergeCell ref="L124:M124"/>
    <mergeCell ref="L125:M125"/>
    <mergeCell ref="C128:W128"/>
    <mergeCell ref="C129:C130"/>
    <mergeCell ref="D129:D130"/>
    <mergeCell ref="E129:G130"/>
    <mergeCell ref="H129:H130"/>
    <mergeCell ref="E132:G132"/>
    <mergeCell ref="E133:G133"/>
    <mergeCell ref="I133:K133"/>
    <mergeCell ref="L133:M133"/>
    <mergeCell ref="E134:G134"/>
    <mergeCell ref="I134:K134"/>
    <mergeCell ref="L134:M134"/>
    <mergeCell ref="I129:K130"/>
    <mergeCell ref="L129:M130"/>
    <mergeCell ref="E131:G131"/>
    <mergeCell ref="I131:K131"/>
    <mergeCell ref="L131:M131"/>
    <mergeCell ref="I132:K132"/>
    <mergeCell ref="L132:M132"/>
  </mergeCells>
  <conditionalFormatting sqref="J7 G8:H8">
    <cfRule type="expression" dxfId="6" priority="1">
      <formula>$D$12&lt;3</formula>
    </cfRule>
  </conditionalFormatting>
  <conditionalFormatting sqref="G7:H7">
    <cfRule type="expression" dxfId="6" priority="2">
      <formula>$D$12&lt;1</formula>
    </cfRule>
  </conditionalFormatting>
  <conditionalFormatting sqref="D2:G2">
    <cfRule type="notContainsBlanks" dxfId="4" priority="3">
      <formula>LEN(TRIM(D2))&gt;0</formula>
    </cfRule>
  </conditionalFormatting>
  <conditionalFormatting sqref="C18:C27 C33:C42 C48:C55 C61:C68 C74:C81 C87:C94 C100:C105 C111:C116 C122:C125 C131:C134">
    <cfRule type="expression" dxfId="4" priority="4">
      <formula>ㄍㄧ</formula>
    </cfRule>
  </conditionalFormatting>
  <conditionalFormatting sqref="L10">
    <cfRule type="expression" dxfId="72" priority="5">
      <formula>$D12&lt;17</formula>
    </cfRule>
  </conditionalFormatting>
  <conditionalFormatting sqref="L9">
    <cfRule type="expression" dxfId="6" priority="6">
      <formula>$D12&lt;15</formula>
    </cfRule>
  </conditionalFormatting>
  <conditionalFormatting sqref="M8">
    <cfRule type="expression" dxfId="73" priority="7">
      <formula>$D12&lt;20</formula>
    </cfRule>
  </conditionalFormatting>
  <conditionalFormatting sqref="L8">
    <cfRule type="expression" dxfId="5" priority="8">
      <formula>$D12&lt;13</formula>
    </cfRule>
  </conditionalFormatting>
  <conditionalFormatting sqref="M7">
    <cfRule type="expression" dxfId="5" priority="9">
      <formula>$D12&lt;19</formula>
    </cfRule>
  </conditionalFormatting>
  <conditionalFormatting sqref="L7">
    <cfRule type="expression" dxfId="6" priority="10">
      <formula>$D12&lt;11</formula>
    </cfRule>
  </conditionalFormatting>
  <conditionalFormatting sqref="I11">
    <cfRule type="expression" dxfId="5" priority="11">
      <formula>$D12&lt;18</formula>
    </cfRule>
  </conditionalFormatting>
  <conditionalFormatting sqref="H11">
    <cfRule type="expression" dxfId="5" priority="12">
      <formula>$D12&lt;10</formula>
    </cfRule>
  </conditionalFormatting>
  <conditionalFormatting sqref="G11">
    <cfRule type="expression" dxfId="5" priority="13">
      <formula>$D12&lt;9</formula>
    </cfRule>
  </conditionalFormatting>
  <conditionalFormatting sqref="I10">
    <cfRule type="expression" dxfId="5" priority="14">
      <formula>$D12&lt;9</formula>
    </cfRule>
  </conditionalFormatting>
  <conditionalFormatting sqref="H10">
    <cfRule type="expression" dxfId="5" priority="15">
      <formula>$D12&lt;8</formula>
    </cfRule>
  </conditionalFormatting>
  <conditionalFormatting sqref="G10">
    <cfRule type="expression" dxfId="72" priority="16">
      <formula>$D12&lt;7</formula>
    </cfRule>
  </conditionalFormatting>
  <conditionalFormatting sqref="I9">
    <cfRule type="expression" dxfId="5" priority="17">
      <formula>$D12&lt;6</formula>
    </cfRule>
  </conditionalFormatting>
  <conditionalFormatting sqref="G9:H9">
    <cfRule type="expression" dxfId="6" priority="18">
      <formula>$D$12&lt;5</formula>
    </cfRule>
  </conditionalFormatting>
  <conditionalFormatting sqref="I8">
    <cfRule type="expression" dxfId="6" priority="19">
      <formula>$D12&lt;4</formula>
    </cfRule>
  </conditionalFormatting>
  <conditionalFormatting sqref="I7">
    <cfRule type="expression" dxfId="5" priority="20">
      <formula>$D12&lt;2</formula>
    </cfRule>
  </conditionalFormatting>
  <conditionalFormatting sqref="J13">
    <cfRule type="expression" dxfId="5" priority="21">
      <formula>$D$13&lt;1</formula>
    </cfRule>
  </conditionalFormatting>
  <conditionalFormatting sqref="K13">
    <cfRule type="expression" dxfId="6" priority="22">
      <formula>$D$13&lt;2</formula>
    </cfRule>
  </conditionalFormatting>
  <conditionalFormatting sqref="L13">
    <cfRule type="expression" dxfId="5" priority="23">
      <formula>$D$13&lt;11</formula>
    </cfRule>
  </conditionalFormatting>
  <conditionalFormatting sqref="M13">
    <cfRule type="expression" dxfId="6" priority="24">
      <formula>$D$13&lt;17</formula>
    </cfRule>
  </conditionalFormatting>
  <dataValidations>
    <dataValidation type="list" allowBlank="1" sqref="E61:E68">
      <formula1>'法術篩選'!$D$2:$D$200</formula1>
    </dataValidation>
    <dataValidation type="list" allowBlank="1" sqref="E111:E116">
      <formula1>'法術篩選'!$H$2:$H$200</formula1>
    </dataValidation>
    <dataValidation type="list" allowBlank="1" sqref="E18:E27">
      <formula1>'法術篩選'!$A$2:$A$200</formula1>
    </dataValidation>
    <dataValidation type="list" allowBlank="1" sqref="E74:E81">
      <formula1>'法術篩選'!$E$2:$E$200</formula1>
    </dataValidation>
    <dataValidation type="list" allowBlank="1" sqref="E122:E125">
      <formula1>'法術篩選'!$I$2:$I$200</formula1>
    </dataValidation>
    <dataValidation type="list" allowBlank="1" sqref="D18:D27 D33:D42 D48:D55 D61:D68 D74:D81 D87:D94 D100:D105 D111:D116 D122:D125 D131:D134">
      <formula1>'索引資料'!$E$3:$E$14</formula1>
    </dataValidation>
    <dataValidation type="list" allowBlank="1" sqref="E33:E42">
      <formula1>'法術篩選'!$B$2:$B$200</formula1>
    </dataValidation>
    <dataValidation type="list" allowBlank="1" sqref="E87:E94">
      <formula1>'法術篩選'!$F$2:$F$200</formula1>
    </dataValidation>
    <dataValidation type="list" allowBlank="1" sqref="E131:E134">
      <formula1>'法術篩選'!$J$2:$J$200</formula1>
    </dataValidation>
    <dataValidation type="list" allowBlank="1" sqref="E48:E55">
      <formula1>'法術篩選'!$C$2:$C$200</formula1>
    </dataValidation>
    <dataValidation type="list" allowBlank="1" sqref="E100:E105">
      <formula1>'法術篩選'!$G$2:$G$200</formula1>
    </dataValidation>
  </dataValidations>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0" width="20.14"/>
  </cols>
  <sheetData>
    <row r="1">
      <c r="A1" s="1412" t="s">
        <v>1870</v>
      </c>
      <c r="B1" s="905" t="s">
        <v>1871</v>
      </c>
      <c r="C1" s="905" t="s">
        <v>1872</v>
      </c>
      <c r="D1" s="905" t="s">
        <v>1873</v>
      </c>
      <c r="E1" s="905" t="s">
        <v>1874</v>
      </c>
      <c r="F1" s="905" t="s">
        <v>1875</v>
      </c>
      <c r="G1" s="905" t="s">
        <v>1876</v>
      </c>
      <c r="H1" s="905" t="s">
        <v>1877</v>
      </c>
      <c r="I1" s="905" t="s">
        <v>1878</v>
      </c>
      <c r="J1" s="1413" t="s">
        <v>1879</v>
      </c>
    </row>
    <row r="2">
      <c r="A2" s="907" t="s">
        <v>1853</v>
      </c>
      <c r="B2" s="969" t="s">
        <v>1880</v>
      </c>
      <c r="C2" s="907" t="s">
        <v>1881</v>
      </c>
      <c r="D2" s="969" t="s">
        <v>609</v>
      </c>
      <c r="E2" s="907" t="s">
        <v>1882</v>
      </c>
      <c r="F2" s="969" t="s">
        <v>643</v>
      </c>
      <c r="G2" s="907" t="s">
        <v>1883</v>
      </c>
      <c r="H2" s="907" t="s">
        <v>1884</v>
      </c>
      <c r="I2" s="969" t="s">
        <v>1885</v>
      </c>
      <c r="J2" s="969" t="s">
        <v>1886</v>
      </c>
    </row>
    <row r="3">
      <c r="A3" s="969" t="s">
        <v>1887</v>
      </c>
      <c r="B3" s="969" t="s">
        <v>1888</v>
      </c>
      <c r="C3" s="969" t="s">
        <v>1889</v>
      </c>
      <c r="D3" s="969" t="s">
        <v>1890</v>
      </c>
      <c r="E3" s="969" t="s">
        <v>1891</v>
      </c>
      <c r="F3" s="969" t="s">
        <v>1892</v>
      </c>
      <c r="G3" s="969" t="s">
        <v>1893</v>
      </c>
      <c r="H3" s="969" t="s">
        <v>1894</v>
      </c>
      <c r="I3" s="969" t="s">
        <v>1895</v>
      </c>
      <c r="J3" s="969" t="s">
        <v>1896</v>
      </c>
    </row>
    <row r="4">
      <c r="A4" s="969" t="s">
        <v>1897</v>
      </c>
      <c r="B4" s="969" t="s">
        <v>1898</v>
      </c>
      <c r="C4" s="907" t="s">
        <v>1899</v>
      </c>
      <c r="D4" s="969" t="s">
        <v>1900</v>
      </c>
      <c r="E4" s="969" t="s">
        <v>1901</v>
      </c>
      <c r="F4" s="969" t="s">
        <v>1902</v>
      </c>
      <c r="G4" s="969" t="s">
        <v>1903</v>
      </c>
      <c r="H4" s="969" t="s">
        <v>1904</v>
      </c>
      <c r="I4" s="969" t="s">
        <v>1905</v>
      </c>
      <c r="J4" s="969" t="s">
        <v>1906</v>
      </c>
    </row>
    <row r="5">
      <c r="A5" s="969" t="s">
        <v>1907</v>
      </c>
      <c r="B5" s="969" t="s">
        <v>1908</v>
      </c>
      <c r="C5" s="969" t="s">
        <v>1909</v>
      </c>
      <c r="D5" s="969" t="s">
        <v>1910</v>
      </c>
      <c r="E5" s="969" t="s">
        <v>1911</v>
      </c>
      <c r="F5" s="969" t="s">
        <v>1912</v>
      </c>
      <c r="G5" s="969" t="s">
        <v>1913</v>
      </c>
      <c r="H5" s="969" t="s">
        <v>1914</v>
      </c>
      <c r="I5" s="969" t="s">
        <v>1915</v>
      </c>
      <c r="J5" s="969" t="s">
        <v>1916</v>
      </c>
    </row>
    <row r="6">
      <c r="A6" s="969" t="s">
        <v>1917</v>
      </c>
      <c r="B6" s="969" t="s">
        <v>1918</v>
      </c>
      <c r="C6" s="907" t="s">
        <v>1919</v>
      </c>
      <c r="D6" s="969" t="s">
        <v>1920</v>
      </c>
      <c r="E6" s="969" t="s">
        <v>1921</v>
      </c>
      <c r="F6" s="969" t="s">
        <v>1922</v>
      </c>
      <c r="G6" s="907" t="s">
        <v>1923</v>
      </c>
      <c r="H6" s="969" t="s">
        <v>1924</v>
      </c>
      <c r="I6" s="969" t="s">
        <v>1925</v>
      </c>
      <c r="J6" s="969" t="s">
        <v>1926</v>
      </c>
    </row>
    <row r="7">
      <c r="A7" s="969" t="s">
        <v>1927</v>
      </c>
      <c r="B7" s="969" t="s">
        <v>1928</v>
      </c>
      <c r="C7" s="969" t="s">
        <v>1929</v>
      </c>
      <c r="D7" s="969" t="s">
        <v>1930</v>
      </c>
      <c r="E7" s="969" t="s">
        <v>1931</v>
      </c>
      <c r="F7" s="969" t="s">
        <v>1932</v>
      </c>
      <c r="G7" s="969" t="s">
        <v>1933</v>
      </c>
      <c r="H7" s="969" t="s">
        <v>1934</v>
      </c>
      <c r="I7" s="969" t="s">
        <v>1935</v>
      </c>
      <c r="J7" s="969" t="s">
        <v>1936</v>
      </c>
    </row>
    <row r="8">
      <c r="A8" s="969" t="s">
        <v>1937</v>
      </c>
      <c r="B8" s="969" t="s">
        <v>1938</v>
      </c>
      <c r="C8" s="969" t="s">
        <v>1939</v>
      </c>
      <c r="D8" s="969" t="s">
        <v>1940</v>
      </c>
      <c r="E8" s="969" t="s">
        <v>1941</v>
      </c>
      <c r="F8" s="969" t="s">
        <v>1942</v>
      </c>
      <c r="G8" s="969" t="s">
        <v>1943</v>
      </c>
      <c r="H8" s="969" t="s">
        <v>1944</v>
      </c>
      <c r="I8" s="969" t="s">
        <v>1945</v>
      </c>
      <c r="J8" s="969" t="s">
        <v>1946</v>
      </c>
    </row>
    <row r="9">
      <c r="A9" s="969" t="s">
        <v>1947</v>
      </c>
      <c r="B9" s="969" t="s">
        <v>1948</v>
      </c>
      <c r="C9" s="969" t="s">
        <v>1949</v>
      </c>
      <c r="D9" s="969" t="s">
        <v>1950</v>
      </c>
      <c r="E9" s="969" t="s">
        <v>1951</v>
      </c>
      <c r="F9" s="969" t="s">
        <v>1952</v>
      </c>
      <c r="G9" s="969" t="s">
        <v>1953</v>
      </c>
      <c r="H9" s="969" t="s">
        <v>1954</v>
      </c>
      <c r="I9" s="969" t="s">
        <v>1955</v>
      </c>
      <c r="J9" s="969" t="s">
        <v>1956</v>
      </c>
    </row>
    <row r="10">
      <c r="A10" s="969" t="s">
        <v>1957</v>
      </c>
      <c r="B10" s="969" t="s">
        <v>1958</v>
      </c>
      <c r="C10" s="969" t="s">
        <v>1959</v>
      </c>
      <c r="D10" s="907" t="s">
        <v>1960</v>
      </c>
      <c r="E10" s="907" t="s">
        <v>1961</v>
      </c>
      <c r="F10" s="969" t="s">
        <v>1962</v>
      </c>
      <c r="G10" s="969" t="s">
        <v>1963</v>
      </c>
      <c r="H10" s="969" t="s">
        <v>1964</v>
      </c>
      <c r="I10" s="969" t="s">
        <v>1965</v>
      </c>
      <c r="J10" s="969" t="s">
        <v>1966</v>
      </c>
    </row>
    <row r="11">
      <c r="A11" s="969" t="s">
        <v>1967</v>
      </c>
      <c r="B11" s="969" t="s">
        <v>1968</v>
      </c>
      <c r="C11" s="969" t="s">
        <v>1969</v>
      </c>
      <c r="D11" s="969" t="s">
        <v>1970</v>
      </c>
      <c r="E11" s="907" t="s">
        <v>1971</v>
      </c>
      <c r="F11" s="969" t="s">
        <v>1972</v>
      </c>
      <c r="G11" s="969" t="s">
        <v>1973</v>
      </c>
      <c r="H11" s="969" t="s">
        <v>1974</v>
      </c>
      <c r="I11" s="969" t="s">
        <v>1975</v>
      </c>
      <c r="J11" s="969" t="s">
        <v>1976</v>
      </c>
    </row>
    <row r="12">
      <c r="A12" s="969" t="s">
        <v>1851</v>
      </c>
      <c r="B12" s="969" t="s">
        <v>1977</v>
      </c>
      <c r="C12" s="969" t="s">
        <v>1978</v>
      </c>
      <c r="D12" s="969" t="s">
        <v>1979</v>
      </c>
      <c r="E12" s="969" t="s">
        <v>1980</v>
      </c>
      <c r="F12" s="907" t="s">
        <v>1981</v>
      </c>
      <c r="G12" s="969" t="s">
        <v>1982</v>
      </c>
      <c r="H12" s="969" t="s">
        <v>1983</v>
      </c>
      <c r="I12" s="969" t="s">
        <v>1984</v>
      </c>
      <c r="J12" s="969" t="s">
        <v>1985</v>
      </c>
    </row>
    <row r="13">
      <c r="A13" s="969" t="s">
        <v>1986</v>
      </c>
      <c r="B13" s="969" t="s">
        <v>1987</v>
      </c>
      <c r="C13" s="969" t="s">
        <v>1988</v>
      </c>
      <c r="D13" s="969" t="s">
        <v>1989</v>
      </c>
      <c r="E13" s="969" t="s">
        <v>1990</v>
      </c>
      <c r="F13" s="969" t="s">
        <v>1991</v>
      </c>
      <c r="G13" s="969" t="s">
        <v>1992</v>
      </c>
      <c r="H13" s="969" t="s">
        <v>1993</v>
      </c>
      <c r="I13" s="969" t="s">
        <v>1994</v>
      </c>
      <c r="J13" s="969" t="s">
        <v>1995</v>
      </c>
    </row>
    <row r="14">
      <c r="A14" s="969" t="s">
        <v>1996</v>
      </c>
      <c r="B14" s="969" t="s">
        <v>1997</v>
      </c>
      <c r="C14" s="969" t="s">
        <v>1998</v>
      </c>
      <c r="D14" s="969" t="s">
        <v>1999</v>
      </c>
      <c r="E14" s="969" t="s">
        <v>2000</v>
      </c>
      <c r="F14" s="969" t="s">
        <v>2001</v>
      </c>
      <c r="G14" s="969" t="s">
        <v>2002</v>
      </c>
      <c r="H14" s="969" t="s">
        <v>2003</v>
      </c>
      <c r="I14" s="969" t="s">
        <v>2004</v>
      </c>
      <c r="J14" s="969" t="s">
        <v>2005</v>
      </c>
    </row>
    <row r="15">
      <c r="A15" s="969" t="s">
        <v>2006</v>
      </c>
      <c r="B15" s="907" t="s">
        <v>2007</v>
      </c>
      <c r="C15" s="969" t="s">
        <v>2008</v>
      </c>
      <c r="D15" s="969" t="s">
        <v>2009</v>
      </c>
      <c r="E15" s="969" t="s">
        <v>2010</v>
      </c>
      <c r="F15" s="969" t="s">
        <v>2011</v>
      </c>
      <c r="G15" s="969" t="s">
        <v>2012</v>
      </c>
      <c r="H15" s="969" t="s">
        <v>2013</v>
      </c>
      <c r="I15" s="969" t="s">
        <v>2014</v>
      </c>
      <c r="J15" s="969" t="s">
        <v>2015</v>
      </c>
    </row>
    <row r="16">
      <c r="A16" s="969" t="s">
        <v>2016</v>
      </c>
      <c r="B16" s="969" t="s">
        <v>2017</v>
      </c>
      <c r="C16" s="969" t="s">
        <v>2018</v>
      </c>
      <c r="D16" s="969" t="s">
        <v>2019</v>
      </c>
      <c r="E16" s="969" t="s">
        <v>2020</v>
      </c>
      <c r="F16" s="969" t="s">
        <v>2021</v>
      </c>
      <c r="G16" s="969" t="s">
        <v>2022</v>
      </c>
      <c r="H16" s="969" t="s">
        <v>2023</v>
      </c>
      <c r="I16" s="969" t="s">
        <v>2024</v>
      </c>
      <c r="J16" s="969" t="s">
        <v>2025</v>
      </c>
    </row>
    <row r="17">
      <c r="A17" s="969" t="s">
        <v>2026</v>
      </c>
      <c r="B17" s="969" t="s">
        <v>2027</v>
      </c>
      <c r="C17" s="969" t="s">
        <v>2028</v>
      </c>
      <c r="D17" s="969" t="s">
        <v>2029</v>
      </c>
      <c r="E17" s="969" t="s">
        <v>2030</v>
      </c>
      <c r="F17" s="969" t="s">
        <v>2031</v>
      </c>
      <c r="G17" s="969" t="s">
        <v>2032</v>
      </c>
      <c r="H17" s="969" t="s">
        <v>2033</v>
      </c>
      <c r="I17" s="969" t="s">
        <v>2034</v>
      </c>
      <c r="J17" s="969" t="s">
        <v>2035</v>
      </c>
    </row>
    <row r="18">
      <c r="A18" s="969" t="s">
        <v>1852</v>
      </c>
      <c r="B18" s="969" t="s">
        <v>2036</v>
      </c>
      <c r="C18" s="969" t="s">
        <v>2037</v>
      </c>
      <c r="D18" s="969" t="s">
        <v>2038</v>
      </c>
      <c r="E18" s="969" t="s">
        <v>2039</v>
      </c>
      <c r="F18" s="969" t="s">
        <v>2040</v>
      </c>
      <c r="G18" s="969" t="s">
        <v>2041</v>
      </c>
      <c r="H18" s="969" t="s">
        <v>2042</v>
      </c>
      <c r="I18" s="969" t="s">
        <v>2043</v>
      </c>
      <c r="J18" s="921" t="str">
        <f>if('請先閱讀'!$F$31=true,"災厄之刃","")</f>
        <v>災厄之刃</v>
      </c>
    </row>
    <row r="19">
      <c r="A19" s="969" t="s">
        <v>2044</v>
      </c>
      <c r="B19" s="969" t="s">
        <v>2045</v>
      </c>
      <c r="C19" s="969" t="s">
        <v>2046</v>
      </c>
      <c r="D19" s="969" t="s">
        <v>2047</v>
      </c>
      <c r="E19" s="969" t="s">
        <v>2048</v>
      </c>
      <c r="F19" s="969" t="s">
        <v>2049</v>
      </c>
      <c r="G19" s="969" t="s">
        <v>2050</v>
      </c>
      <c r="H19" s="969" t="s">
        <v>2051</v>
      </c>
      <c r="I19" s="969" t="s">
        <v>2052</v>
      </c>
      <c r="J19" s="916" t="str">
        <f>IF('請先閱讀'!$O$28=true,"悖論術","")</f>
        <v/>
      </c>
    </row>
    <row r="20">
      <c r="A20" s="969" t="s">
        <v>2053</v>
      </c>
      <c r="B20" s="969" t="s">
        <v>2054</v>
      </c>
      <c r="C20" s="969" t="s">
        <v>2055</v>
      </c>
      <c r="D20" s="969" t="s">
        <v>2056</v>
      </c>
      <c r="E20" s="969" t="s">
        <v>2057</v>
      </c>
      <c r="F20" s="969" t="s">
        <v>2058</v>
      </c>
      <c r="G20" s="969" t="s">
        <v>2059</v>
      </c>
      <c r="H20" s="969" t="s">
        <v>2060</v>
      </c>
      <c r="I20" s="921" t="str">
        <f>if('請先閱讀'!$F$31=true,"密斯特拉神聖之星","")</f>
        <v>密斯特拉神聖之星</v>
      </c>
      <c r="J20" s="1414" t="str">
        <f>IF('請先閱讀'!$O$30=true,"忘卻波","")</f>
        <v/>
      </c>
    </row>
    <row r="21">
      <c r="A21" s="969" t="s">
        <v>1849</v>
      </c>
      <c r="B21" s="969" t="s">
        <v>2061</v>
      </c>
      <c r="C21" s="969" t="s">
        <v>2062</v>
      </c>
      <c r="D21" s="969" t="s">
        <v>2063</v>
      </c>
      <c r="E21" s="969" t="s">
        <v>2064</v>
      </c>
      <c r="F21" s="969" t="s">
        <v>2065</v>
      </c>
      <c r="G21" s="969" t="s">
        <v>2066</v>
      </c>
      <c r="H21" s="969" t="s">
        <v>2067</v>
      </c>
      <c r="I21" s="1414" t="str">
        <f>IF('請先閱讀'!$O$30=true,"請神術","")</f>
        <v/>
      </c>
      <c r="J21" s="917" t="str">
        <f>IF('請先閱讀'!$O$31=true,"完美術","")</f>
        <v/>
      </c>
    </row>
    <row r="22">
      <c r="A22" s="969" t="s">
        <v>2068</v>
      </c>
      <c r="B22" s="969" t="s">
        <v>2069</v>
      </c>
      <c r="C22" s="969" t="s">
        <v>2070</v>
      </c>
      <c r="D22" s="969" t="s">
        <v>2071</v>
      </c>
      <c r="E22" s="969" t="s">
        <v>622</v>
      </c>
      <c r="F22" s="969" t="s">
        <v>2072</v>
      </c>
      <c r="G22" s="969" t="s">
        <v>2073</v>
      </c>
      <c r="H22" s="969" t="s">
        <v>2074</v>
      </c>
      <c r="I22" s="917" t="str">
        <f>IF('請先閱讀'!$O$31=true,"死亡蔓延","")</f>
        <v/>
      </c>
      <c r="J22" s="917" t="str">
        <f>IF('請先閱讀'!$O$31=true,"鳳凰涅槃","")</f>
        <v/>
      </c>
    </row>
    <row r="23">
      <c r="A23" s="969" t="s">
        <v>2075</v>
      </c>
      <c r="B23" s="969" t="s">
        <v>2076</v>
      </c>
      <c r="C23" s="969" t="s">
        <v>2077</v>
      </c>
      <c r="D23" s="969" t="s">
        <v>2078</v>
      </c>
      <c r="E23" s="969" t="s">
        <v>2079</v>
      </c>
      <c r="F23" s="969" t="s">
        <v>2080</v>
      </c>
      <c r="G23" s="969" t="s">
        <v>2081</v>
      </c>
      <c r="H23" s="921" t="str">
        <f>if('請先閱讀'!$F$31=true,"欣布癒合秘術","")</f>
        <v>欣布癒合秘術</v>
      </c>
      <c r="I23" s="917" t="str">
        <f>IF('請先閱讀'!$O$31=true,"剝皮術","")</f>
        <v/>
      </c>
      <c r="J23" s="917" t="str">
        <f>IF('請先閱讀'!$O$31=true,"不朽篡奪","")</f>
        <v/>
      </c>
    </row>
    <row r="24">
      <c r="A24" s="969" t="s">
        <v>2082</v>
      </c>
      <c r="B24" s="969" t="s">
        <v>2083</v>
      </c>
      <c r="C24" s="969" t="s">
        <v>594</v>
      </c>
      <c r="D24" s="969" t="s">
        <v>2084</v>
      </c>
      <c r="E24" s="969" t="s">
        <v>2085</v>
      </c>
      <c r="F24" s="969" t="s">
        <v>2086</v>
      </c>
      <c r="G24" s="969" t="s">
        <v>2087</v>
      </c>
      <c r="H24" s="1414" t="str">
        <f>IF('請先閱讀'!$O$30=true,"阿撒托斯的恐怖詛咒","")</f>
        <v/>
      </c>
      <c r="I24" s="917" t="str">
        <f>IF('請先閱讀'!$O$31=true,"生命匯流","")</f>
        <v/>
      </c>
      <c r="J24" s="917" t="str">
        <f>IF('請先閱讀'!$O$31=true,"抹去面容","")</f>
        <v/>
      </c>
    </row>
    <row r="25">
      <c r="A25" s="969" t="s">
        <v>1850</v>
      </c>
      <c r="B25" s="969" t="s">
        <v>2088</v>
      </c>
      <c r="C25" s="969" t="s">
        <v>2089</v>
      </c>
      <c r="D25" s="969" t="s">
        <v>2090</v>
      </c>
      <c r="E25" s="969" t="s">
        <v>2091</v>
      </c>
      <c r="F25" s="969" t="s">
        <v>2092</v>
      </c>
      <c r="G25" s="969" t="s">
        <v>2093</v>
      </c>
      <c r="H25" s="917" t="str">
        <f>IF('請先閱讀'!$O$31=true,"樹化詛咒","")</f>
        <v/>
      </c>
      <c r="I25" s="917" t="str">
        <f>IF('請先閱讀'!$O$31=true,"腥紅血雨","")</f>
        <v/>
      </c>
      <c r="J25" s="969"/>
    </row>
    <row r="26">
      <c r="A26" s="969" t="s">
        <v>2094</v>
      </c>
      <c r="B26" s="969" t="s">
        <v>2095</v>
      </c>
      <c r="C26" s="969" t="s">
        <v>2096</v>
      </c>
      <c r="D26" s="969" t="s">
        <v>2097</v>
      </c>
      <c r="E26" s="969" t="s">
        <v>2098</v>
      </c>
      <c r="F26" s="969" t="s">
        <v>2099</v>
      </c>
      <c r="G26" s="969" t="s">
        <v>2100</v>
      </c>
      <c r="H26" s="917" t="str">
        <f>IF('請先閱讀'!$O$31=true,"破體而出","")</f>
        <v/>
      </c>
      <c r="I26" s="917" t="str">
        <f>IF('請先閱讀'!$O$31=true,"奴役亡靈","")</f>
        <v/>
      </c>
      <c r="J26" s="969"/>
    </row>
    <row r="27">
      <c r="A27" s="969" t="s">
        <v>2101</v>
      </c>
      <c r="B27" s="969" t="s">
        <v>2102</v>
      </c>
      <c r="C27" s="969" t="s">
        <v>2103</v>
      </c>
      <c r="D27" s="969" t="s">
        <v>2104</v>
      </c>
      <c r="E27" s="969" t="s">
        <v>2105</v>
      </c>
      <c r="F27" s="969" t="s">
        <v>2106</v>
      </c>
      <c r="G27" s="969" t="s">
        <v>654</v>
      </c>
      <c r="H27" s="917" t="str">
        <f>IF('請先閱讀'!$O$31=true,"血肉剝離","")</f>
        <v/>
      </c>
      <c r="I27" s="917" t="str">
        <f>IF('請先閱讀'!$O$31=true,"陰鬱之牆","")</f>
        <v/>
      </c>
      <c r="J27" s="969"/>
    </row>
    <row r="28">
      <c r="A28" s="969" t="s">
        <v>2107</v>
      </c>
      <c r="B28" s="969" t="s">
        <v>2108</v>
      </c>
      <c r="C28" s="969" t="s">
        <v>2109</v>
      </c>
      <c r="D28" s="969" t="s">
        <v>2110</v>
      </c>
      <c r="E28" s="969" t="s">
        <v>2111</v>
      </c>
      <c r="F28" s="969" t="s">
        <v>2112</v>
      </c>
      <c r="G28" s="969" t="s">
        <v>2113</v>
      </c>
      <c r="H28" s="917" t="str">
        <f>IF('請先閱讀'!$O$31=true,"律令致殘","")</f>
        <v/>
      </c>
      <c r="I28" s="969"/>
      <c r="J28" s="969"/>
    </row>
    <row r="29">
      <c r="A29" s="969" t="s">
        <v>2114</v>
      </c>
      <c r="B29" s="969" t="s">
        <v>2115</v>
      </c>
      <c r="C29" s="969" t="s">
        <v>2116</v>
      </c>
      <c r="D29" s="969" t="s">
        <v>2117</v>
      </c>
      <c r="E29" s="969" t="s">
        <v>2118</v>
      </c>
      <c r="F29" s="969" t="s">
        <v>2119</v>
      </c>
      <c r="G29" s="969" t="s">
        <v>2120</v>
      </c>
      <c r="H29" s="917" t="str">
        <f>IF('請先閱讀'!$O$31=true,"緋紅彈幕","")</f>
        <v/>
      </c>
      <c r="I29" s="969"/>
      <c r="J29" s="969"/>
    </row>
    <row r="30">
      <c r="A30" s="969" t="s">
        <v>2121</v>
      </c>
      <c r="B30" s="969" t="s">
        <v>592</v>
      </c>
      <c r="C30" s="969" t="s">
        <v>2122</v>
      </c>
      <c r="D30" s="969" t="s">
        <v>2123</v>
      </c>
      <c r="E30" s="969" t="s">
        <v>2124</v>
      </c>
      <c r="F30" s="969" t="s">
        <v>2125</v>
      </c>
      <c r="G30" s="969" t="s">
        <v>2126</v>
      </c>
      <c r="H30" s="969"/>
      <c r="I30" s="969"/>
      <c r="J30" s="969"/>
    </row>
    <row r="31">
      <c r="A31" s="969" t="s">
        <v>2127</v>
      </c>
      <c r="B31" s="969" t="s">
        <v>2128</v>
      </c>
      <c r="C31" s="969" t="s">
        <v>2129</v>
      </c>
      <c r="D31" s="969" t="s">
        <v>2130</v>
      </c>
      <c r="E31" s="969" t="s">
        <v>2131</v>
      </c>
      <c r="F31" s="969" t="s">
        <v>2132</v>
      </c>
      <c r="G31" s="969" t="s">
        <v>2133</v>
      </c>
      <c r="H31" s="969"/>
      <c r="I31" s="969"/>
      <c r="J31" s="969"/>
    </row>
    <row r="32">
      <c r="A32" s="969" t="s">
        <v>2134</v>
      </c>
      <c r="B32" s="969" t="s">
        <v>2135</v>
      </c>
      <c r="C32" s="969" t="s">
        <v>1861</v>
      </c>
      <c r="D32" s="969" t="s">
        <v>2136</v>
      </c>
      <c r="E32" s="969" t="s">
        <v>2137</v>
      </c>
      <c r="F32" s="969" t="s">
        <v>2138</v>
      </c>
      <c r="G32" s="969" t="s">
        <v>2139</v>
      </c>
      <c r="H32" s="969"/>
      <c r="I32" s="969"/>
      <c r="J32" s="969"/>
    </row>
    <row r="33">
      <c r="A33" s="969" t="s">
        <v>2140</v>
      </c>
      <c r="B33" s="969" t="s">
        <v>2141</v>
      </c>
      <c r="C33" s="969" t="s">
        <v>2142</v>
      </c>
      <c r="D33" s="969" t="s">
        <v>2143</v>
      </c>
      <c r="E33" s="969" t="s">
        <v>2144</v>
      </c>
      <c r="F33" s="969" t="s">
        <v>2145</v>
      </c>
      <c r="G33" s="969" t="s">
        <v>2146</v>
      </c>
      <c r="H33" s="969"/>
      <c r="I33" s="969"/>
      <c r="J33" s="969"/>
    </row>
    <row r="34">
      <c r="A34" s="969" t="s">
        <v>2147</v>
      </c>
      <c r="B34" s="969" t="s">
        <v>2148</v>
      </c>
      <c r="C34" s="969" t="s">
        <v>2149</v>
      </c>
      <c r="D34" s="969" t="s">
        <v>2150</v>
      </c>
      <c r="E34" s="969" t="s">
        <v>2151</v>
      </c>
      <c r="F34" s="969" t="s">
        <v>2152</v>
      </c>
      <c r="G34" s="969" t="s">
        <v>2153</v>
      </c>
      <c r="H34" s="969"/>
      <c r="I34" s="969"/>
      <c r="J34" s="969"/>
    </row>
    <row r="35">
      <c r="A35" s="969" t="s">
        <v>2154</v>
      </c>
      <c r="B35" s="969" t="s">
        <v>2155</v>
      </c>
      <c r="C35" s="969" t="s">
        <v>2156</v>
      </c>
      <c r="D35" s="969" t="s">
        <v>2157</v>
      </c>
      <c r="E35" s="907" t="s">
        <v>2158</v>
      </c>
      <c r="F35" s="969" t="s">
        <v>2159</v>
      </c>
      <c r="G35" s="969" t="s">
        <v>2160</v>
      </c>
      <c r="H35" s="969"/>
      <c r="I35" s="969"/>
      <c r="J35" s="969"/>
    </row>
    <row r="36">
      <c r="A36" s="913" t="str">
        <f>IF('請先閱讀'!$O$27=true,"鮮血箭","")</f>
        <v/>
      </c>
      <c r="B36" s="969" t="s">
        <v>2161</v>
      </c>
      <c r="C36" s="969" t="s">
        <v>2162</v>
      </c>
      <c r="D36" s="969" t="s">
        <v>2163</v>
      </c>
      <c r="E36" s="969" t="s">
        <v>2164</v>
      </c>
      <c r="F36" s="969" t="s">
        <v>2165</v>
      </c>
      <c r="G36" s="921" t="str">
        <f>if('請先閱讀'!$F$31=true,"凋零輓歌","")</f>
        <v>凋零輓歌</v>
      </c>
      <c r="H36" s="969"/>
      <c r="I36" s="969"/>
      <c r="J36" s="969"/>
    </row>
    <row r="37">
      <c r="A37" s="913" t="str">
        <f>IF('請先閱讀'!$O$27=true,"瓦解術","")</f>
        <v/>
      </c>
      <c r="B37" s="969" t="s">
        <v>2166</v>
      </c>
      <c r="C37" s="969" t="s">
        <v>2167</v>
      </c>
      <c r="D37" s="969" t="s">
        <v>2168</v>
      </c>
      <c r="E37" s="969" t="s">
        <v>2169</v>
      </c>
      <c r="F37" s="969" t="s">
        <v>2170</v>
      </c>
      <c r="G37" s="921" t="str">
        <f>if('請先閱讀'!$F$31=true,"伊爾明斯特絢麗光球","")</f>
        <v>伊爾明斯特絢麗光球</v>
      </c>
      <c r="H37" s="969"/>
      <c r="I37" s="969"/>
      <c r="J37" s="969"/>
    </row>
    <row r="38">
      <c r="A38" s="913" t="str">
        <f>IF('請先閱讀'!$O$27=true,"灼眼術","")</f>
        <v/>
      </c>
      <c r="B38" s="969" t="s">
        <v>2171</v>
      </c>
      <c r="C38" s="969" t="s">
        <v>2172</v>
      </c>
      <c r="D38" s="969" t="s">
        <v>2173</v>
      </c>
      <c r="E38" s="969" t="s">
        <v>627</v>
      </c>
      <c r="F38" s="969" t="s">
        <v>2174</v>
      </c>
      <c r="G38" s="981" t="str">
        <f>if('請先閱讀'!$F$36=true,"李歐蒙的無意義討論","")</f>
        <v/>
      </c>
      <c r="H38" s="969"/>
      <c r="I38" s="969"/>
      <c r="J38" s="969"/>
    </row>
    <row r="39">
      <c r="A39" s="913" t="str">
        <f>IF('請先閱讀'!$O$27=true,"神秘面容","")</f>
        <v/>
      </c>
      <c r="B39" s="969" t="s">
        <v>2175</v>
      </c>
      <c r="C39" s="969" t="s">
        <v>2176</v>
      </c>
      <c r="D39" s="969" t="s">
        <v>2177</v>
      </c>
      <c r="E39" s="969" t="s">
        <v>632</v>
      </c>
      <c r="F39" s="969" t="s">
        <v>2178</v>
      </c>
      <c r="G39" s="913" t="str">
        <f>IF('請先閱讀'!$O$27=true,"鬼怖沖鋒","")</f>
        <v/>
      </c>
      <c r="H39" s="969"/>
      <c r="I39" s="969"/>
      <c r="J39" s="969"/>
    </row>
    <row r="40">
      <c r="A40" s="916" t="str">
        <f>IF(OR('請先閱讀'!O$29=true,'請先閱讀'!O28=true),"指槍","")</f>
        <v/>
      </c>
      <c r="B40" s="969" t="s">
        <v>2179</v>
      </c>
      <c r="C40" s="969" t="s">
        <v>2180</v>
      </c>
      <c r="D40" s="969" t="s">
        <v>2181</v>
      </c>
      <c r="E40" s="969" t="s">
        <v>637</v>
      </c>
      <c r="F40" s="969" t="s">
        <v>648</v>
      </c>
      <c r="G40" s="916" t="str">
        <f>IF('請先閱讀'!O$29=true,"防彈結界","")</f>
        <v/>
      </c>
      <c r="H40" s="969"/>
      <c r="I40" s="969"/>
      <c r="J40" s="969"/>
    </row>
    <row r="41">
      <c r="A41" s="916" t="str">
        <f>IF('請先閱讀'!O$29=true,"隱蔽射擊","")</f>
        <v/>
      </c>
      <c r="B41" s="969" t="s">
        <v>2182</v>
      </c>
      <c r="C41" s="969" t="s">
        <v>2183</v>
      </c>
      <c r="D41" s="969" t="s">
        <v>2184</v>
      </c>
      <c r="E41" s="969" t="s">
        <v>2185</v>
      </c>
      <c r="F41" s="969" t="s">
        <v>652</v>
      </c>
      <c r="G41" s="916" t="str">
        <f>IF('請先閱讀'!$O$28=true,"命運遊戲","")</f>
        <v/>
      </c>
      <c r="H41" s="969"/>
      <c r="I41" s="969"/>
      <c r="J41" s="969"/>
    </row>
    <row r="42">
      <c r="A42" s="916" t="str">
        <f>IF('請先閱讀'!$O$28=true,"思考片刻","")</f>
        <v/>
      </c>
      <c r="B42" s="969" t="s">
        <v>2186</v>
      </c>
      <c r="C42" s="969" t="s">
        <v>1862</v>
      </c>
      <c r="D42" s="969" t="s">
        <v>2187</v>
      </c>
      <c r="E42" s="969" t="s">
        <v>2188</v>
      </c>
      <c r="F42" s="969" t="s">
        <v>2189</v>
      </c>
      <c r="G42" s="1414" t="str">
        <f>IF('請先閱讀'!$O$30=true,"赤印術","")</f>
        <v/>
      </c>
      <c r="H42" s="969"/>
      <c r="I42" s="969"/>
      <c r="J42" s="969"/>
    </row>
    <row r="43">
      <c r="A43" s="1414" t="str">
        <f>IF('請先閱讀'!$O$30=true,"貓之躍動","")</f>
        <v/>
      </c>
      <c r="B43" s="969" t="s">
        <v>2190</v>
      </c>
      <c r="C43" s="969" t="s">
        <v>2191</v>
      </c>
      <c r="D43" s="969" t="s">
        <v>2192</v>
      </c>
      <c r="E43" s="921" t="str">
        <f>if('請先閱讀'!$F$31=true,"反衝術","")</f>
        <v>反衝術</v>
      </c>
      <c r="F43" s="969" t="s">
        <v>2193</v>
      </c>
      <c r="G43" s="917" t="str">
        <f>IF('請先閱讀'!$O$31=true,"血潮","")</f>
        <v/>
      </c>
      <c r="H43" s="969"/>
      <c r="I43" s="969"/>
      <c r="J43" s="969"/>
    </row>
    <row r="44">
      <c r="A44" s="1414" t="str">
        <f>IF('請先閱讀'!$O$30=true,"透特之頌","")</f>
        <v/>
      </c>
      <c r="B44" s="969" t="s">
        <v>2194</v>
      </c>
      <c r="C44" s="969" t="s">
        <v>2195</v>
      </c>
      <c r="D44" s="969" t="s">
        <v>2196</v>
      </c>
      <c r="E44" s="921" t="str">
        <f>if('請先閱讀'!$F$31=true,"末日黑潮","")</f>
        <v>末日黑潮</v>
      </c>
      <c r="F44" s="969" t="s">
        <v>2197</v>
      </c>
      <c r="G44" s="917" t="str">
        <f>IF('請先閱讀'!$O$31=true,"貝雷特之鎖","")</f>
        <v/>
      </c>
      <c r="H44" s="969"/>
      <c r="I44" s="969"/>
      <c r="J44" s="969"/>
    </row>
    <row r="45">
      <c r="A45" s="1414" t="str">
        <f>IF('請先閱讀'!$O$30=true,"惑影術","")</f>
        <v/>
      </c>
      <c r="B45" s="969" t="s">
        <v>1859</v>
      </c>
      <c r="C45" s="969" t="s">
        <v>2198</v>
      </c>
      <c r="D45" s="969" t="s">
        <v>2199</v>
      </c>
      <c r="E45" s="921" t="str">
        <f>if('請先閱讀'!$F$31=true,"咒火風暴","")</f>
        <v>咒火風暴</v>
      </c>
      <c r="F45" s="969" t="s">
        <v>2200</v>
      </c>
      <c r="G45" s="917" t="str">
        <f>IF('請先閱讀'!$O$31=true,"光輝冠冕","")</f>
        <v/>
      </c>
      <c r="H45" s="969"/>
      <c r="I45" s="969"/>
      <c r="J45" s="969"/>
    </row>
    <row r="46">
      <c r="A46" s="1414" t="str">
        <f>IF('請先閱讀'!$O$30=true,"邪眼術","")</f>
        <v/>
      </c>
      <c r="B46" s="969" t="s">
        <v>2201</v>
      </c>
      <c r="C46" s="969" t="s">
        <v>2202</v>
      </c>
      <c r="D46" s="969" t="s">
        <v>2203</v>
      </c>
      <c r="E46" s="981" t="str">
        <f>if('請先閱讀'!$F$36=true,"化杖為蛇","")</f>
        <v/>
      </c>
      <c r="F46" s="969" t="s">
        <v>2204</v>
      </c>
      <c r="G46" s="917" t="str">
        <f>IF('請先閱讀'!$O$31=true,"虛榮執念詛咒","")</f>
        <v/>
      </c>
      <c r="H46" s="969"/>
      <c r="I46" s="969"/>
      <c r="J46" s="969"/>
    </row>
    <row r="47">
      <c r="A47" s="917" t="str">
        <f>IF('請先閱讀'!$O$31=true,"行兇署名","")</f>
        <v/>
      </c>
      <c r="B47" s="969" t="s">
        <v>1855</v>
      </c>
      <c r="C47" s="969" t="s">
        <v>2205</v>
      </c>
      <c r="D47" s="969" t="s">
        <v>612</v>
      </c>
      <c r="E47" s="913" t="str">
        <f>IF('請先閱讀'!$O$27=true,"活埋術","")</f>
        <v/>
      </c>
      <c r="F47" s="969" t="s">
        <v>2206</v>
      </c>
      <c r="G47" s="917" t="str">
        <f>IF('請先閱讀'!$O$31=true,"知覺崩潰詛咒","")</f>
        <v/>
      </c>
      <c r="H47" s="969"/>
      <c r="I47" s="969"/>
      <c r="J47" s="969"/>
    </row>
    <row r="48">
      <c r="A48" s="917" t="str">
        <f>IF('請先閱讀'!$O$31=true,"駭人驚嚇","")</f>
        <v/>
      </c>
      <c r="B48" s="969" t="s">
        <v>2207</v>
      </c>
      <c r="C48" s="969" t="s">
        <v>2208</v>
      </c>
      <c r="D48" s="969" t="s">
        <v>617</v>
      </c>
      <c r="E48" s="913" t="str">
        <f>IF('請先閱讀'!$O$27=true,"野性呼喚","")</f>
        <v/>
      </c>
      <c r="F48" s="969" t="s">
        <v>2209</v>
      </c>
      <c r="G48" s="917" t="str">
        <f>IF('請先閱讀'!$O$31=true,"狂亂暴怒詛咒","")</f>
        <v/>
      </c>
      <c r="H48" s="969"/>
      <c r="I48" s="969"/>
      <c r="J48" s="969"/>
    </row>
    <row r="49">
      <c r="A49" s="917" t="str">
        <f>IF('請先閱讀'!$O$31=true,"聖言","")</f>
        <v/>
      </c>
      <c r="B49" s="969" t="s">
        <v>2210</v>
      </c>
      <c r="C49" s="969" t="s">
        <v>2211</v>
      </c>
      <c r="D49" s="969" t="s">
        <v>2212</v>
      </c>
      <c r="E49" s="913" t="str">
        <f>IF('請先閱讀'!$O$27=true,"薪火焚身","")</f>
        <v/>
      </c>
      <c r="F49" s="969" t="s">
        <v>2213</v>
      </c>
      <c r="G49" s="917" t="str">
        <f>IF('請先閱讀'!$O$31=true,"大地蠕蟲","")</f>
        <v/>
      </c>
      <c r="H49" s="969"/>
      <c r="I49" s="969"/>
      <c r="J49" s="969"/>
    </row>
    <row r="50">
      <c r="A50" s="917" t="str">
        <f>IF('請先閱讀'!$O$31=true,"狩獵感知","")</f>
        <v/>
      </c>
      <c r="B50" s="969" t="s">
        <v>2214</v>
      </c>
      <c r="C50" s="969" t="s">
        <v>2215</v>
      </c>
      <c r="D50" s="969" t="s">
        <v>2216</v>
      </c>
      <c r="E50" s="913" t="str">
        <f>IF('請先閱讀'!$O$27=true,"絕望侵襲","")</f>
        <v/>
      </c>
      <c r="F50" s="921" t="str">
        <f>if('請先閱讀'!$F$31=true,"艾拉斯卓月輝斗篷","")</f>
        <v>艾拉斯卓月輝斗篷</v>
      </c>
      <c r="G50" s="917" t="str">
        <f>IF('請先閱讀'!$O$31=true,"穿心箭","")</f>
        <v/>
      </c>
      <c r="H50" s="969"/>
      <c r="I50" s="969"/>
      <c r="J50" s="969"/>
    </row>
    <row r="51">
      <c r="A51" s="917" t="str">
        <f>IF('請先閱讀'!$O$31=true,"幻象樂器","")</f>
        <v/>
      </c>
      <c r="B51" s="907" t="s">
        <v>2217</v>
      </c>
      <c r="C51" s="969" t="s">
        <v>2218</v>
      </c>
      <c r="D51" s="969" t="s">
        <v>2219</v>
      </c>
      <c r="E51" s="913" t="str">
        <f>IF('請先閱讀'!$O$27=true,"兇殺鴉群","")</f>
        <v/>
      </c>
      <c r="F51" s="921" t="str">
        <f>if('請先閱讀'!$F$31=true,"桑縞元素附權","")</f>
        <v>桑縞元素附權</v>
      </c>
      <c r="G51" s="917" t="str">
        <f>IF('請先閱讀'!$O$31=true,"熔化詛咒","")</f>
        <v/>
      </c>
      <c r="H51" s="969"/>
      <c r="I51" s="969"/>
      <c r="J51" s="969"/>
    </row>
    <row r="52">
      <c r="A52" s="917" t="str">
        <f>IF('請先閱讀'!$O$31=true,"保鮮術","")</f>
        <v/>
      </c>
      <c r="B52" s="969" t="s">
        <v>2220</v>
      </c>
      <c r="C52" s="969" t="s">
        <v>2221</v>
      </c>
      <c r="D52" s="969" t="s">
        <v>2222</v>
      </c>
      <c r="E52" s="913" t="str">
        <f>IF('請先閱讀'!$O$27=true,"傀儡掌控","")</f>
        <v/>
      </c>
      <c r="F52" s="913" t="str">
        <f>IF('請先閱讀'!$O$27=true,"收割場","")</f>
        <v/>
      </c>
      <c r="G52" s="917" t="str">
        <f>IF('請先閱讀'!$O$31=true,"編織神粹","")</f>
        <v/>
      </c>
      <c r="H52" s="969"/>
      <c r="I52" s="969"/>
      <c r="J52" s="969"/>
    </row>
    <row r="53">
      <c r="A53" s="911" t="str">
        <f>IF('請先閱讀'!$O$33=true,"安黛爾靜默聖所","")</f>
        <v/>
      </c>
      <c r="B53" s="969" t="s">
        <v>2223</v>
      </c>
      <c r="C53" s="969" t="s">
        <v>2224</v>
      </c>
      <c r="D53" s="969" t="s">
        <v>2225</v>
      </c>
      <c r="E53" s="913" t="str">
        <f>IF('請先閱讀'!$O$27=true,"祭獻虹吸","")</f>
        <v/>
      </c>
      <c r="F53" s="913" t="str">
        <f>IF('請先閱讀'!$O$27=true,"幸運護符","")</f>
        <v/>
      </c>
      <c r="G53" s="969"/>
      <c r="H53" s="969"/>
      <c r="I53" s="969"/>
      <c r="J53" s="969"/>
    </row>
    <row r="54">
      <c r="A54" s="911" t="str">
        <f>IF('請先閱讀'!$O$33=true,"力場爆","")</f>
        <v/>
      </c>
      <c r="B54" s="969" t="s">
        <v>1856</v>
      </c>
      <c r="C54" s="969" t="s">
        <v>2226</v>
      </c>
      <c r="D54" s="921" t="str">
        <f>if('請先閱讀'!$F$31=true,"噪音護盾","")</f>
        <v>噪音護盾</v>
      </c>
      <c r="E54" s="913" t="str">
        <f>IF('請先閱讀'!$O$27=true,"牧人聖所","")</f>
        <v/>
      </c>
      <c r="F54" s="913" t="str">
        <f>IF('請先閱讀'!$O$27=true,"鏡像痛苦","")</f>
        <v/>
      </c>
      <c r="H54" s="969"/>
      <c r="I54" s="969"/>
      <c r="J54" s="969"/>
    </row>
    <row r="55">
      <c r="A55" s="911" t="str">
        <f>IF('請先閱讀'!$O$33=true,"魔法工藝","")</f>
        <v/>
      </c>
      <c r="B55" s="969" t="s">
        <v>2227</v>
      </c>
      <c r="C55" s="969" t="s">
        <v>2228</v>
      </c>
      <c r="D55" s="921" t="str">
        <f>if('請先閱讀'!$F$31=true,"召喚構裝體之力","")</f>
        <v>召喚構裝體之力</v>
      </c>
      <c r="E55" s="916" t="str">
        <f>IF('請先閱讀'!$O$28=true,"嚴重警告","")</f>
        <v/>
      </c>
      <c r="F55" s="1414" t="str">
        <f>IF('請先閱讀'!$O$30=true,"舊日通神術","")</f>
        <v/>
      </c>
      <c r="G55" s="969"/>
      <c r="H55" s="969"/>
      <c r="I55" s="969"/>
      <c r="J55" s="969"/>
    </row>
    <row r="56">
      <c r="B56" s="969" t="s">
        <v>2229</v>
      </c>
      <c r="C56" s="969" t="s">
        <v>2230</v>
      </c>
      <c r="D56" s="921" t="str">
        <f>if('請先閱讀'!$F$31=true,"萊拉銀輝長槍","")</f>
        <v>萊拉銀輝長槍</v>
      </c>
      <c r="E56" s="916" t="str">
        <f>IF('請先閱讀'!$O$28=true,"曼迪的野性隨從","")</f>
        <v/>
      </c>
      <c r="F56" s="1414" t="str">
        <f>IF('請先閱讀'!$O$30=true,"送神術","")</f>
        <v/>
      </c>
      <c r="G56" s="969"/>
      <c r="H56" s="969"/>
      <c r="I56" s="969"/>
      <c r="J56" s="969"/>
    </row>
    <row r="57">
      <c r="A57" s="969"/>
      <c r="B57" s="969" t="s">
        <v>1857</v>
      </c>
      <c r="C57" s="969" t="s">
        <v>2231</v>
      </c>
      <c r="D57" s="921" t="str">
        <f>if('請先閱讀'!$F$31=true,"希倫劇毒靈蛇","")</f>
        <v>希倫劇毒靈蛇</v>
      </c>
      <c r="E57" s="1414" t="str">
        <f>IF('請先閱讀'!$O$30=true,"蘇萊曼之塵","")</f>
        <v/>
      </c>
      <c r="F57" s="1414" t="str">
        <f>IF('請先閱讀'!$O$30=true,"貓貓大混亂","")</f>
        <v/>
      </c>
      <c r="G57" s="969"/>
      <c r="H57" s="969"/>
      <c r="I57" s="969"/>
      <c r="J57" s="969"/>
    </row>
    <row r="58">
      <c r="A58" s="969"/>
      <c r="B58" s="969" t="s">
        <v>2232</v>
      </c>
      <c r="C58" s="969" t="s">
        <v>2233</v>
      </c>
      <c r="D58" s="981" t="str">
        <f>if('請先閱讀'!$F$36=true,"星界之潮","")</f>
        <v/>
      </c>
      <c r="E58" s="1414" t="str">
        <f>IF('請先閱讀'!$O$30=true,"猶格·索托斯之拳","")</f>
        <v/>
      </c>
      <c r="F58" s="1414" t="str">
        <f>IF('請先閱讀'!$O$30=true,"暗影召喚術","")</f>
        <v/>
      </c>
      <c r="G58" s="969"/>
      <c r="H58" s="969"/>
      <c r="I58" s="969"/>
      <c r="J58" s="969"/>
    </row>
    <row r="59">
      <c r="A59" s="969"/>
      <c r="B59" s="969" t="s">
        <v>2234</v>
      </c>
      <c r="C59" s="969" t="s">
        <v>2235</v>
      </c>
      <c r="D59" s="913" t="str">
        <f>IF('請先閱讀'!$O$27=true,"爬行腐爛","")</f>
        <v/>
      </c>
      <c r="E59" s="917" t="str">
        <f>IF('請先閱讀'!$O$31=true,"猩紅法陣","")</f>
        <v/>
      </c>
      <c r="F59" s="917" t="str">
        <f>IF('請先閱讀'!$O$31=true,"命途多舛詛咒","")</f>
        <v/>
      </c>
      <c r="G59" s="969"/>
      <c r="H59" s="969"/>
      <c r="I59" s="969"/>
      <c r="J59" s="969"/>
    </row>
    <row r="60">
      <c r="A60" s="969"/>
      <c r="B60" s="969" t="s">
        <v>2236</v>
      </c>
      <c r="C60" s="969" t="s">
        <v>2237</v>
      </c>
      <c r="D60" s="913" t="str">
        <f>IF('請先閱讀'!$O$27=true,"猩紅收穫","")</f>
        <v/>
      </c>
      <c r="E60" s="917" t="str">
        <f>IF('請先閱讀'!$O$31=true,"噬腦術","")</f>
        <v/>
      </c>
      <c r="F60" s="917" t="str">
        <f>IF('請先閱讀'!$O$31=true,"貪得無厭詛咒","")</f>
        <v/>
      </c>
      <c r="G60" s="969"/>
      <c r="H60" s="969"/>
      <c r="I60" s="969"/>
      <c r="J60" s="969"/>
    </row>
    <row r="61">
      <c r="A61" s="969"/>
      <c r="B61" s="969" t="s">
        <v>2238</v>
      </c>
      <c r="C61" s="969" t="s">
        <v>603</v>
      </c>
      <c r="D61" s="913" t="str">
        <f>IF('請先閱讀'!$O$27=true,"歪曲守禦","")</f>
        <v/>
      </c>
      <c r="E61" s="917" t="str">
        <f>IF('請先閱讀'!$O$31=true,"不復衰老詛咒","")</f>
        <v/>
      </c>
      <c r="F61" s="917" t="str">
        <f>IF('請先閱讀'!$O$31=true,"高等活化死屍","")</f>
        <v/>
      </c>
      <c r="G61" s="969"/>
      <c r="H61" s="969"/>
      <c r="I61" s="969"/>
      <c r="J61" s="969"/>
    </row>
    <row r="62">
      <c r="A62" s="969"/>
      <c r="B62" s="969" t="s">
        <v>2239</v>
      </c>
      <c r="C62" s="969" t="s">
        <v>2240</v>
      </c>
      <c r="D62" s="913" t="str">
        <f>IF('請先閱讀'!$O$27=true,"剔除鐮刀","")</f>
        <v/>
      </c>
      <c r="E62" s="917" t="str">
        <f>IF('請先閱讀'!$O$31=true,"腐敗惡疫詛咒","")</f>
        <v/>
      </c>
      <c r="F62" s="917" t="str">
        <f>IF('請先閱讀'!$O$31=true,"煽動暴亂","")</f>
        <v/>
      </c>
      <c r="G62" s="969"/>
      <c r="H62" s="969"/>
      <c r="I62" s="969"/>
      <c r="J62" s="969"/>
    </row>
    <row r="63">
      <c r="A63" s="969"/>
      <c r="B63" s="969" t="s">
        <v>2241</v>
      </c>
      <c r="C63" s="969" t="s">
        <v>2242</v>
      </c>
      <c r="D63" s="913" t="str">
        <f>IF('請先閱讀'!$O$27=true,"詛咒噪聲","")</f>
        <v/>
      </c>
      <c r="E63" s="917" t="str">
        <f>IF('請先閱讀'!$O$31=true,"失情絕憶詛咒","")</f>
        <v/>
      </c>
      <c r="F63" s="917" t="str">
        <f>IF('請先閱讀'!$O$31=true,"猛毒賦權","")</f>
        <v/>
      </c>
      <c r="G63" s="969"/>
      <c r="H63" s="969"/>
      <c r="I63" s="969"/>
      <c r="J63" s="969"/>
    </row>
    <row r="64">
      <c r="A64" s="969"/>
      <c r="B64" s="969" t="s">
        <v>1858</v>
      </c>
      <c r="C64" s="969" t="s">
        <v>2243</v>
      </c>
      <c r="D64" s="913" t="str">
        <f>IF('請先閱讀'!$O$27=true,"豐收月輝","")</f>
        <v/>
      </c>
      <c r="E64" s="917" t="str">
        <f>IF('請先閱讀'!$O$31=true,"黑暗祭禮","")</f>
        <v/>
      </c>
      <c r="F64" s="917" t="str">
        <f>IF('請先閱讀'!$O$31=true,"微死術","")</f>
        <v/>
      </c>
      <c r="G64" s="969"/>
      <c r="H64" s="969"/>
      <c r="I64" s="969"/>
      <c r="J64" s="969"/>
    </row>
    <row r="65">
      <c r="A65" s="969"/>
      <c r="B65" s="969" t="s">
        <v>2244</v>
      </c>
      <c r="C65" s="921" t="str">
        <f>if('請先閱讀'!$F$31=true,"死亡護甲","")</f>
        <v>死亡護甲</v>
      </c>
      <c r="D65" s="913" t="str">
        <f>IF('請先閱讀'!$O$27=true,"孤立術","")</f>
        <v/>
      </c>
      <c r="E65" s="917" t="str">
        <f>IF('請先閱讀'!$O$31=true,"原初之力","")</f>
        <v/>
      </c>
      <c r="F65" s="917" t="str">
        <f>IF('請先閱讀'!$O$31=true,"魔法鏡","")</f>
        <v/>
      </c>
      <c r="G65" s="969"/>
      <c r="H65" s="969"/>
      <c r="I65" s="969"/>
      <c r="J65" s="969"/>
    </row>
    <row r="66">
      <c r="A66" s="969"/>
      <c r="B66" s="921" t="str">
        <f>if('請先閱讀'!$F$31=true,"咒火魔焰","")</f>
        <v>咒火魔焰</v>
      </c>
      <c r="C66" s="921" t="str">
        <f>if('請先閱讀'!$F$31=true,"德萊雅小幫手","")</f>
        <v>德萊雅小幫手</v>
      </c>
      <c r="D66" s="913" t="str">
        <f>IF('請先閱讀'!$O$27=true,"殉道術","")</f>
        <v/>
      </c>
      <c r="E66" s="917" t="str">
        <f>IF('請先閱讀'!$O$31=true,"風馳電掣","")</f>
        <v/>
      </c>
      <c r="F66" s="917" t="str">
        <f>IF('請先閱讀'!$O$31=true,"貶為凡胎","")</f>
        <v/>
      </c>
      <c r="G66" s="969"/>
      <c r="H66" s="969"/>
      <c r="I66" s="969"/>
      <c r="J66" s="969"/>
    </row>
    <row r="67">
      <c r="A67" s="969"/>
      <c r="B67" s="921" t="str">
        <f>if('請先閱讀'!$F$31=true,"壓制術","")</f>
        <v>壓制術</v>
      </c>
      <c r="C67" s="921" t="str">
        <f>if('請先閱讀'!$F$31=true,"伊爾明斯特法術閃避","")</f>
        <v>伊爾明斯特法術閃避</v>
      </c>
      <c r="D67" s="913" t="str">
        <f>IF('請先閱讀'!$O$27=true,"悼亡迷霧","")</f>
        <v/>
      </c>
      <c r="E67" s="917" t="str">
        <f>IF('請先閱讀'!$O$31=true,"連鎖審判","")</f>
        <v/>
      </c>
      <c r="F67" s="917" t="str">
        <f>IF('請先閱讀'!$O$31=true,"怨靈群襲","")</f>
        <v/>
      </c>
      <c r="G67" s="969"/>
      <c r="H67" s="969"/>
      <c r="I67" s="969"/>
      <c r="J67" s="969"/>
    </row>
    <row r="68">
      <c r="A68" s="969"/>
      <c r="B68" s="981" t="str">
        <f>if('請先閱讀'!$F$36=true,"蜂鳴術","")</f>
        <v/>
      </c>
      <c r="C68" s="911" t="str">
        <f>if('請先閱讀'!$F$34=true,"人工生命僕從","")</f>
        <v>人工生命僕從</v>
      </c>
      <c r="D68" s="913" t="str">
        <f>IF('請先閱讀'!$O$27=true,"牧群聖所","")</f>
        <v/>
      </c>
      <c r="E68" s="917" t="str">
        <f>IF('請先閱讀'!$O$31=true,"超凡斬","")</f>
        <v/>
      </c>
      <c r="F68" s="917" t="str">
        <f>IF('請先閱讀'!$O$31=true,"濺血斬","")</f>
        <v/>
      </c>
      <c r="G68" s="969"/>
      <c r="H68" s="969"/>
      <c r="I68" s="969"/>
      <c r="J68" s="969"/>
    </row>
    <row r="69">
      <c r="A69" s="969"/>
      <c r="B69" s="981" t="str">
        <f>if('請先閱讀'!$F$36=true,"狡詐之音","")</f>
        <v/>
      </c>
      <c r="C69" s="913" t="str">
        <f>IF('請先閱讀'!$O$27=true,"血祭","")</f>
        <v/>
      </c>
      <c r="D69" s="913" t="str">
        <f>IF('請先閱讀'!$O$27=true,"朱紅黎明","")</f>
        <v/>
      </c>
      <c r="E69" s="917" t="str">
        <f>IF('請先閱讀'!$O$31=true,"凝血軀鞘","")</f>
        <v/>
      </c>
      <c r="G69" s="969"/>
      <c r="H69" s="969"/>
      <c r="I69" s="969"/>
      <c r="J69" s="969"/>
    </row>
    <row r="70">
      <c r="A70" s="969"/>
      <c r="B70" s="913" t="str">
        <f>IF('請先閱讀'!$O$27=true,"先祖交流","")</f>
        <v/>
      </c>
      <c r="C70" s="913" t="str">
        <f>IF('請先閱讀'!$O$27=true,"定罪鎖鏈","")</f>
        <v/>
      </c>
      <c r="D70" s="913" t="str">
        <f>IF('請先閱讀'!$O$27=true,"汲影術","")</f>
        <v/>
      </c>
      <c r="E70" s="969"/>
      <c r="F70" s="969"/>
      <c r="G70" s="969"/>
      <c r="H70" s="969"/>
      <c r="I70" s="969"/>
      <c r="J70" s="969"/>
    </row>
    <row r="71">
      <c r="A71" s="969"/>
      <c r="B71" s="913" t="str">
        <f>IF('請先閱讀'!$O$27=true,"迷惑亡靈","")</f>
        <v/>
      </c>
      <c r="C71" s="913" t="str">
        <f>IF('請先閱讀'!$O$27=true,"迷失者合唱","")</f>
        <v/>
      </c>
      <c r="D71" s="916" t="str">
        <f>IF('請先閱讀'!O$29=true,"召喚加農砲彈","")</f>
        <v/>
      </c>
      <c r="E71" s="969"/>
      <c r="F71" s="969"/>
      <c r="G71" s="969"/>
      <c r="H71" s="969"/>
      <c r="I71" s="969"/>
      <c r="J71" s="969"/>
    </row>
    <row r="72">
      <c r="A72" s="969"/>
      <c r="B72" s="913" t="str">
        <f>IF('請先閱讀'!$O$27=true,"魔鬼報償","")</f>
        <v/>
      </c>
      <c r="C72" s="913" t="str">
        <f>IF('請先閱讀'!$O$27=true,"黯然銷魂曲","")</f>
        <v/>
      </c>
      <c r="D72" s="916" t="str">
        <f>IF('請先閱讀'!$O$28=true,"多臂術","")</f>
        <v/>
      </c>
      <c r="E72" s="969"/>
      <c r="F72" s="969"/>
      <c r="G72" s="969"/>
      <c r="H72" s="969"/>
      <c r="I72" s="969"/>
      <c r="J72" s="969"/>
    </row>
    <row r="73">
      <c r="A73" s="969"/>
      <c r="B73" s="913" t="str">
        <f>IF('請先閱讀'!$O$27=true,"飢渴刃","")</f>
        <v/>
      </c>
      <c r="C73" s="913" t="str">
        <f>IF('請先閱讀'!$O$27=true,"緋色秘密","")</f>
        <v/>
      </c>
      <c r="D73" s="1414" t="str">
        <f>IF('請先閱讀'!$O$30=true,"腐爛外皮之詛咒","")</f>
        <v/>
      </c>
      <c r="E73" s="969"/>
      <c r="F73" s="969"/>
      <c r="G73" s="969"/>
      <c r="H73" s="969"/>
      <c r="I73" s="969"/>
      <c r="J73" s="969"/>
    </row>
    <row r="74">
      <c r="A74" s="969"/>
      <c r="B74" s="916" t="str">
        <f>IF('請先閱讀'!O$29=true,"衝擊彈","")</f>
        <v/>
      </c>
      <c r="C74" s="913" t="str">
        <f>IF('請先閱讀'!$O$27=true,"夏日清風","")</f>
        <v/>
      </c>
      <c r="D74" s="1414" t="str">
        <f>IF('請先閱讀'!$O$30=true,"末日","")</f>
        <v/>
      </c>
      <c r="E74" s="969"/>
      <c r="F74" s="969"/>
      <c r="G74" s="969"/>
      <c r="H74" s="969"/>
      <c r="I74" s="969"/>
      <c r="J74" s="969"/>
    </row>
    <row r="75">
      <c r="A75" s="969"/>
      <c r="B75" s="916" t="str">
        <f>IF('請先閱讀'!O$29=true,"召喚掩體","")</f>
        <v/>
      </c>
      <c r="C75" s="913" t="str">
        <f>IF('請先閱讀'!$O$27=true,"潰心低語","")</f>
        <v/>
      </c>
      <c r="D75" s="1414" t="str">
        <f>IF('請先閱讀'!$O$30=true,"幻影豹","")</f>
        <v/>
      </c>
      <c r="E75" s="969"/>
      <c r="F75" s="969"/>
      <c r="G75" s="969"/>
      <c r="H75" s="969"/>
      <c r="I75" s="969"/>
      <c r="J75" s="969"/>
    </row>
    <row r="76">
      <c r="A76" s="969"/>
      <c r="B76" s="916" t="str">
        <f>IF('請先閱讀'!O$29=true,"貫穿射擊","")</f>
        <v/>
      </c>
      <c r="C76" s="913" t="str">
        <f>IF('請先閱讀'!$O$27=true,"死神面紗","")</f>
        <v/>
      </c>
      <c r="D76" s="1414" t="str">
        <f>IF('請先閱讀'!$O$30=true,"幽影噴發","")</f>
        <v/>
      </c>
      <c r="E76" s="969"/>
      <c r="F76" s="969"/>
      <c r="G76" s="969"/>
      <c r="H76" s="969"/>
      <c r="I76" s="969"/>
      <c r="J76" s="969"/>
    </row>
    <row r="77">
      <c r="A77" s="969"/>
      <c r="B77" s="916" t="str">
        <f>IF('請先閱讀'!$O$28=true,"增速術/減速術","")</f>
        <v/>
      </c>
      <c r="C77" s="916" t="str">
        <f>IF('請先閱讀'!O$29=true,"卡膛術","")</f>
        <v/>
      </c>
      <c r="D77" s="1414" t="str">
        <f>IF('請先閱讀'!$O$30=true,"維瑞之印","")</f>
        <v/>
      </c>
      <c r="E77" s="969"/>
      <c r="F77" s="969"/>
      <c r="G77" s="969"/>
      <c r="H77" s="969"/>
      <c r="I77" s="969"/>
      <c r="J77" s="969"/>
    </row>
    <row r="78">
      <c r="A78" s="969"/>
      <c r="B78" s="916" t="str">
        <f>IF('請先閱讀'!$O$28=true,"顯露線索","")</f>
        <v/>
      </c>
      <c r="C78" s="916" t="str">
        <f>IF('請先閱讀'!O$29=true,"葉忒羅自動換彈","")</f>
        <v/>
      </c>
      <c r="D78" s="917" t="str">
        <f>IF('請先閱讀'!$O$31=true,"血連結","")</f>
        <v/>
      </c>
      <c r="E78" s="969"/>
      <c r="F78" s="969"/>
      <c r="G78" s="969"/>
      <c r="H78" s="969"/>
      <c r="I78" s="969"/>
      <c r="J78" s="969"/>
    </row>
    <row r="79">
      <c r="A79" s="969"/>
      <c r="B79" s="916" t="str">
        <f>IF('請先閱讀'!$O$28=true,"延後術","")</f>
        <v/>
      </c>
      <c r="C79" s="916" t="str">
        <f>IF('請先閱讀'!$O$28=true,"拋出窗外","")</f>
        <v/>
      </c>
      <c r="D79" s="917" t="str">
        <f>IF('請先閱讀'!$O$31=true,"喚醒狂獸","")</f>
        <v/>
      </c>
      <c r="E79" s="969"/>
      <c r="F79" s="969"/>
      <c r="G79" s="969"/>
      <c r="H79" s="969"/>
      <c r="I79" s="969"/>
      <c r="J79" s="969"/>
    </row>
    <row r="80">
      <c r="A80" s="969"/>
      <c r="B80" s="916" t="str">
        <f>IF('請先閱讀'!$O$28=true,"記憶術","")</f>
        <v/>
      </c>
      <c r="C80" s="916" t="str">
        <f>IF('請先閱讀'!$O$28=true,"宿醉術","")</f>
        <v/>
      </c>
      <c r="D80" s="917" t="str">
        <f>IF('請先閱讀'!$O$31=true,"召喚植物之力","")</f>
        <v/>
      </c>
      <c r="E80" s="969"/>
      <c r="F80" s="969"/>
      <c r="G80" s="969"/>
      <c r="H80" s="969"/>
      <c r="I80" s="969"/>
      <c r="J80" s="969"/>
    </row>
    <row r="81">
      <c r="A81" s="969"/>
      <c r="B81" s="916" t="str">
        <f>IF('請先閱讀'!$O$28=true,"散播謠言","")</f>
        <v/>
      </c>
      <c r="C81" s="916" t="str">
        <f>IF('請先閱讀'!$O$28=true,"回溯術","")</f>
        <v/>
      </c>
      <c r="D81" s="917" t="str">
        <f>IF('請先閱讀'!$O$31=true,"偏執傲慢詛咒","")</f>
        <v/>
      </c>
      <c r="E81" s="969"/>
      <c r="F81" s="969"/>
      <c r="G81" s="969"/>
      <c r="H81" s="969"/>
      <c r="I81" s="969"/>
      <c r="J81" s="969"/>
    </row>
    <row r="82">
      <c r="A82" s="969"/>
      <c r="B82" s="1414" t="str">
        <f>IF('請先閱讀'!$O$30=true,"戈爾戈羅斯形體扭曲術","")</f>
        <v/>
      </c>
      <c r="C82" s="1414" t="str">
        <f>IF('請先閱讀'!$O$30=true,"深淵之息","")</f>
        <v/>
      </c>
      <c r="D82" s="917" t="str">
        <f>IF('請先閱讀'!$O$31=true,"貪婪飢餓詛咒","")</f>
        <v/>
      </c>
      <c r="E82" s="969"/>
      <c r="F82" s="969"/>
      <c r="G82" s="969"/>
      <c r="H82" s="969"/>
      <c r="I82" s="969"/>
      <c r="J82" s="969"/>
    </row>
    <row r="83">
      <c r="A83" s="969"/>
      <c r="B83" s="1414" t="str">
        <f>IF('請先閱讀'!$O$30=true,"拉萊耶造霧術","")</f>
        <v/>
      </c>
      <c r="C83" s="1414" t="str">
        <f>IF('請先閱讀'!$O$30=true,"黑暗攫握","")</f>
        <v/>
      </c>
      <c r="D83" s="917" t="str">
        <f>IF('請先閱讀'!$O$31=true,"元素吐息","")</f>
        <v/>
      </c>
      <c r="E83" s="969"/>
      <c r="F83" s="969"/>
      <c r="G83" s="969"/>
      <c r="H83" s="969"/>
      <c r="I83" s="969"/>
      <c r="J83" s="969"/>
    </row>
    <row r="84">
      <c r="A84" s="969"/>
      <c r="B84" s="1414" t="str">
        <f>IF('請先閱讀'!$O$30=true,"黑潮","")</f>
        <v/>
      </c>
      <c r="C84" s="1414" t="str">
        <f>IF('請先閱讀'!$O$30=true,"貓之優雅","")</f>
        <v/>
      </c>
      <c r="D84" s="917" t="str">
        <f>IF('請先閱讀'!$O$31=true,"艾默琳的精華灌注","")</f>
        <v/>
      </c>
      <c r="E84" s="969"/>
      <c r="F84" s="969"/>
      <c r="G84" s="969"/>
      <c r="H84" s="969"/>
      <c r="I84" s="969"/>
      <c r="J84" s="969"/>
    </row>
    <row r="85">
      <c r="A85" s="969"/>
      <c r="B85" s="1414" t="str">
        <f>IF('請先閱讀'!$O$30=true,"暗影觸須","")</f>
        <v/>
      </c>
      <c r="C85" s="917" t="str">
        <f>IF('請先閱讀'!$O$31=true,"腫脹術","")</f>
        <v/>
      </c>
      <c r="D85" s="917" t="str">
        <f>IF('請先閱讀'!$O$31=true,"萃取鐵質","")</f>
        <v/>
      </c>
      <c r="E85" s="969"/>
      <c r="F85" s="969"/>
      <c r="G85" s="969"/>
      <c r="H85" s="969"/>
      <c r="I85" s="969"/>
      <c r="J85" s="969"/>
    </row>
    <row r="86">
      <c r="A86" s="969"/>
      <c r="B86" s="917" t="str">
        <f>IF('請先閱讀'!$O$31=true,"奧法庇佑","")</f>
        <v/>
      </c>
      <c r="C86" s="917" t="str">
        <f>IF('請先閱讀'!$O$31=true,"血鬼火","")</f>
        <v/>
      </c>
      <c r="D86" s="917" t="str">
        <f>IF('請先閱讀'!$O$31=true,"快閃高燒","")</f>
        <v/>
      </c>
      <c r="E86" s="969"/>
      <c r="F86" s="969"/>
      <c r="G86" s="969"/>
      <c r="H86" s="969"/>
      <c r="I86" s="969"/>
      <c r="J86" s="969"/>
    </row>
    <row r="87">
      <c r="A87" s="969"/>
      <c r="B87" s="917" t="str">
        <f>IF('請先閱讀'!$O$31=true,"輔助瞄準","")</f>
        <v/>
      </c>
      <c r="C87" s="917" t="str">
        <f>IF('請先閱讀'!$O$31=true,"放血術","")</f>
        <v/>
      </c>
      <c r="D87" s="917" t="str">
        <f>IF('請先閱讀'!$O$31=true,"梅爾法速修課程","")</f>
        <v/>
      </c>
      <c r="E87" s="969"/>
      <c r="F87" s="969"/>
      <c r="G87" s="969"/>
      <c r="H87" s="969"/>
      <c r="I87" s="969"/>
      <c r="J87" s="969"/>
    </row>
    <row r="88">
      <c r="A88" s="969"/>
      <c r="B88" s="917" t="str">
        <f>IF('請先閱讀'!$O$31=true,"束縛誓約","")</f>
        <v/>
      </c>
      <c r="C88" s="917" t="str">
        <f>IF('請先閱讀'!$O$31=true,"震暈爆","")</f>
        <v/>
      </c>
      <c r="D88" s="917" t="str">
        <f>IF('請先閱讀'!$O$31=true,"鏡像法術","")</f>
        <v/>
      </c>
      <c r="E88" s="969"/>
      <c r="F88" s="969"/>
      <c r="G88" s="969"/>
      <c r="H88" s="969"/>
      <c r="I88" s="969"/>
      <c r="J88" s="969"/>
    </row>
    <row r="89">
      <c r="A89" s="969"/>
      <c r="B89" s="917" t="str">
        <f>IF('請先閱讀'!$O$31=true,"鮮血噴湧","")</f>
        <v/>
      </c>
      <c r="C89" s="917" t="str">
        <f>IF('請先閱讀'!$O$31=true,"注法武裝","")</f>
        <v/>
      </c>
      <c r="D89" s="917" t="str">
        <f>IF('請先閱讀'!$O$31=true,"復甦術","")</f>
        <v/>
      </c>
      <c r="E89" s="969"/>
      <c r="F89" s="969"/>
      <c r="G89" s="969"/>
      <c r="H89" s="969"/>
      <c r="I89" s="969"/>
      <c r="J89" s="969"/>
    </row>
    <row r="90">
      <c r="A90" s="969"/>
      <c r="B90" s="917" t="str">
        <f>IF('請先閱讀'!$O$31=true,"血禍符文","")</f>
        <v/>
      </c>
      <c r="C90" s="917" t="str">
        <f>IF('請先閱讀'!$O$31=true,"邪魔血肉","")</f>
        <v/>
      </c>
      <c r="D90" s="917" t="str">
        <f>IF('請先閱讀'!$O$31=true,"緋紅傀儡","")</f>
        <v/>
      </c>
      <c r="E90" s="969"/>
      <c r="F90" s="969"/>
      <c r="G90" s="969"/>
      <c r="H90" s="969"/>
      <c r="I90" s="969"/>
      <c r="J90" s="969"/>
    </row>
    <row r="91">
      <c r="A91" s="969"/>
      <c r="B91" s="917" t="str">
        <f>IF('請先閱讀'!$O$31=true,"沸血術","")</f>
        <v/>
      </c>
      <c r="C91" s="917" t="str">
        <f>IF('請先閱讀'!$O$31=true,"生命繫索","")</f>
        <v/>
      </c>
      <c r="D91" s="917" t="str">
        <f>IF('請先閱讀'!$O$31=true,"蛇舌術","")</f>
        <v/>
      </c>
      <c r="E91" s="969"/>
      <c r="F91" s="969"/>
      <c r="G91" s="969"/>
      <c r="H91" s="969"/>
      <c r="I91" s="969"/>
      <c r="J91" s="969"/>
    </row>
    <row r="92">
      <c r="A92" s="969"/>
      <c r="B92" s="917" t="str">
        <f>IF('請先閱讀'!$O$31=true,"虛耗術","")</f>
        <v/>
      </c>
      <c r="C92" s="917" t="str">
        <f>IF('請先閱讀'!$O$31=true,"蔓生術","")</f>
        <v/>
      </c>
      <c r="D92" s="917" t="str">
        <f>IF('請先閱讀'!$O$31=true,"窒息術","")</f>
        <v/>
      </c>
      <c r="E92" s="969"/>
      <c r="F92" s="969"/>
      <c r="G92" s="969"/>
      <c r="H92" s="969"/>
      <c r="I92" s="969"/>
      <c r="J92" s="969"/>
    </row>
    <row r="93">
      <c r="A93" s="969"/>
      <c r="B93" s="917" t="str">
        <f>IF('請先閱讀'!$O$31=true,"匍匐之觸","")</f>
        <v/>
      </c>
      <c r="C93" s="917" t="str">
        <f>IF('請先閱讀'!$O$31=true,"緋紅護盾","")</f>
        <v/>
      </c>
      <c r="D93" s="917" t="str">
        <f>IF('請先閱讀'!$O$31=true,"深海精魂召喚術","")</f>
        <v/>
      </c>
      <c r="E93" s="969"/>
      <c r="F93" s="969"/>
      <c r="G93" s="969"/>
      <c r="H93" s="969"/>
      <c r="I93" s="969"/>
      <c r="J93" s="969"/>
    </row>
    <row r="94">
      <c r="A94" s="969"/>
      <c r="B94" s="917" t="str">
        <f>IF('請先閱讀'!$O$31=true,"猩紅之鞭","")</f>
        <v/>
      </c>
      <c r="C94" s="917" t="str">
        <f>IF('請先閱讀'!$O$31=true,"封印施法","")</f>
        <v/>
      </c>
      <c r="D94" s="969"/>
      <c r="E94" s="969"/>
      <c r="F94" s="969"/>
      <c r="G94" s="969"/>
      <c r="H94" s="969"/>
      <c r="I94" s="969"/>
      <c r="J94" s="969"/>
    </row>
    <row r="95">
      <c r="A95" s="969"/>
      <c r="B95" s="917" t="str">
        <f>IF('請先閱讀'!$O$31=true,"幽靈光","")</f>
        <v/>
      </c>
      <c r="C95" s="917" t="str">
        <f>IF('請先閱讀'!$O$31=true,"血脈感知","")</f>
        <v/>
      </c>
      <c r="D95" s="969"/>
      <c r="E95" s="969"/>
      <c r="F95" s="969"/>
      <c r="G95" s="969"/>
      <c r="H95" s="969"/>
      <c r="I95" s="969"/>
      <c r="J95" s="969"/>
    </row>
    <row r="96">
      <c r="A96" s="969"/>
      <c r="B96" s="917" t="str">
        <f>IF('請先閱讀'!$O$31=true,"拓印術","")</f>
        <v/>
      </c>
      <c r="C96" s="917" t="str">
        <f>IF('請先閱讀'!$O$31=true,"植物召喚術","")</f>
        <v/>
      </c>
      <c r="D96" s="969"/>
      <c r="E96" s="969"/>
      <c r="F96" s="969"/>
      <c r="G96" s="969"/>
      <c r="H96" s="969"/>
      <c r="I96" s="969"/>
      <c r="J96" s="969"/>
    </row>
    <row r="97">
      <c r="A97" s="969"/>
      <c r="B97" s="917" t="str">
        <f>IF('請先閱讀'!$O$31=true,"中和靈光","")</f>
        <v/>
      </c>
      <c r="C97" s="917" t="str">
        <f>IF('請先閱讀'!$O$31=true,"竊取精血","")</f>
        <v/>
      </c>
      <c r="D97" s="969"/>
      <c r="E97" s="969"/>
      <c r="F97" s="969"/>
      <c r="G97" s="969"/>
      <c r="H97" s="969"/>
      <c r="I97" s="969"/>
      <c r="J97" s="969"/>
    </row>
    <row r="98">
      <c r="A98" s="969"/>
      <c r="B98" s="917" t="str">
        <f>IF('請先閱讀'!$O$31=true,"鮮血帳幕","")</f>
        <v/>
      </c>
      <c r="C98" s="917" t="str">
        <f>IF('請先閱讀'!$O$31=true,"凋零斬","")</f>
        <v/>
      </c>
      <c r="D98" s="969"/>
      <c r="E98" s="969"/>
      <c r="F98" s="969"/>
      <c r="G98" s="969"/>
      <c r="H98" s="969"/>
      <c r="I98" s="969"/>
      <c r="J98" s="969"/>
    </row>
    <row r="99">
      <c r="A99" s="969"/>
      <c r="B99" s="917" t="str">
        <f>IF('請先閱讀'!$O$31=true,"沈眠術","")</f>
        <v/>
      </c>
      <c r="C99" s="917" t="str">
        <f>IF('請先閱讀'!$O$31=true,"折磨術","")</f>
        <v/>
      </c>
      <c r="D99" s="969"/>
      <c r="E99" s="969"/>
      <c r="F99" s="969"/>
      <c r="G99" s="969"/>
      <c r="H99" s="969"/>
      <c r="I99" s="969"/>
      <c r="J99" s="969"/>
    </row>
    <row r="100">
      <c r="A100" s="969"/>
      <c r="B100" s="917" t="str">
        <f>IF('請先閱讀'!$O$31=true,"荊棘護甲","")</f>
        <v/>
      </c>
      <c r="C100" s="969"/>
      <c r="D100" s="969"/>
      <c r="E100" s="969"/>
      <c r="F100" s="969"/>
      <c r="G100" s="969"/>
      <c r="H100" s="969"/>
      <c r="I100" s="969"/>
      <c r="J100" s="969"/>
    </row>
    <row r="101">
      <c r="A101" s="969"/>
      <c r="B101" s="917" t="str">
        <f>IF('請先閱讀'!$O$31=true,"震顫術","")</f>
        <v/>
      </c>
      <c r="C101" s="969"/>
      <c r="D101" s="969"/>
      <c r="E101" s="969"/>
      <c r="F101" s="969"/>
      <c r="G101" s="969"/>
      <c r="H101" s="969"/>
      <c r="I101" s="969"/>
      <c r="J101" s="969"/>
    </row>
    <row r="102">
      <c r="A102" s="969"/>
      <c r="B102" s="917" t="str">
        <f>IF('請先閱讀'!$O$31=true,"吸血鬼利爪","")</f>
        <v/>
      </c>
      <c r="C102" s="969"/>
      <c r="D102" s="969"/>
      <c r="E102" s="969"/>
      <c r="F102" s="969"/>
      <c r="G102" s="969"/>
      <c r="H102" s="969"/>
      <c r="I102" s="969"/>
      <c r="J102" s="969"/>
    </row>
    <row r="103">
      <c r="A103" s="969"/>
      <c r="B103" s="917" t="str">
        <f>IF('請先閱讀'!$O$31=true,"共振體液","")</f>
        <v/>
      </c>
      <c r="C103" s="969"/>
      <c r="D103" s="969"/>
      <c r="E103" s="969"/>
      <c r="F103" s="969"/>
      <c r="G103" s="969"/>
      <c r="H103" s="969"/>
      <c r="I103" s="969"/>
      <c r="J103" s="969"/>
    </row>
    <row r="104">
      <c r="A104" s="969"/>
      <c r="B104" s="911" t="str">
        <f>IF('請先閱讀'!$O$33=true,"震盪爆發","")</f>
        <v/>
      </c>
      <c r="C104" s="969"/>
      <c r="D104" s="969"/>
      <c r="E104" s="969"/>
      <c r="F104" s="969"/>
      <c r="G104" s="969"/>
      <c r="H104" s="969"/>
      <c r="I104" s="969"/>
      <c r="J104" s="969"/>
    </row>
    <row r="105">
      <c r="A105" s="969"/>
      <c r="B105" s="969"/>
      <c r="C105" s="969"/>
      <c r="D105" s="969"/>
      <c r="E105" s="969"/>
      <c r="F105" s="969"/>
      <c r="G105" s="969"/>
      <c r="H105" s="969"/>
      <c r="I105" s="969"/>
      <c r="J105" s="969"/>
    </row>
    <row r="106">
      <c r="A106" s="969"/>
      <c r="B106" s="969"/>
      <c r="C106" s="969"/>
      <c r="D106" s="969"/>
      <c r="E106" s="969"/>
      <c r="F106" s="969"/>
      <c r="G106" s="969"/>
      <c r="H106" s="969"/>
      <c r="I106" s="969"/>
      <c r="J106" s="969"/>
    </row>
    <row r="107">
      <c r="A107" s="969"/>
      <c r="B107" s="969"/>
      <c r="C107" s="969"/>
      <c r="D107" s="969"/>
      <c r="E107" s="969"/>
      <c r="F107" s="969"/>
      <c r="G107" s="969"/>
      <c r="H107" s="969"/>
      <c r="I107" s="969"/>
      <c r="J107" s="969"/>
    </row>
    <row r="108">
      <c r="A108" s="969"/>
      <c r="B108" s="969"/>
      <c r="C108" s="969"/>
      <c r="D108" s="969"/>
      <c r="E108" s="969"/>
      <c r="F108" s="969"/>
      <c r="G108" s="969"/>
      <c r="H108" s="969"/>
      <c r="I108" s="969"/>
      <c r="J108" s="969"/>
    </row>
    <row r="109">
      <c r="A109" s="969"/>
      <c r="B109" s="969"/>
      <c r="C109" s="969"/>
      <c r="D109" s="969"/>
      <c r="E109" s="969"/>
      <c r="F109" s="969"/>
      <c r="G109" s="969"/>
      <c r="H109" s="969"/>
      <c r="I109" s="969"/>
      <c r="J109" s="969"/>
    </row>
    <row r="110">
      <c r="A110" s="969"/>
      <c r="B110" s="969"/>
      <c r="C110" s="969"/>
      <c r="D110" s="969"/>
      <c r="E110" s="969"/>
      <c r="F110" s="969"/>
      <c r="G110" s="969"/>
      <c r="H110" s="969"/>
      <c r="I110" s="969"/>
      <c r="J110" s="969"/>
    </row>
    <row r="111">
      <c r="A111" s="969"/>
      <c r="B111" s="969"/>
      <c r="C111" s="969"/>
      <c r="D111" s="969"/>
      <c r="E111" s="969"/>
      <c r="F111" s="969"/>
      <c r="G111" s="969"/>
      <c r="H111" s="969"/>
      <c r="I111" s="969"/>
      <c r="J111" s="969"/>
    </row>
    <row r="112">
      <c r="A112" s="969"/>
      <c r="B112" s="969"/>
      <c r="C112" s="969"/>
      <c r="D112" s="969"/>
      <c r="E112" s="969"/>
      <c r="F112" s="969"/>
      <c r="G112" s="969"/>
      <c r="H112" s="969"/>
      <c r="I112" s="969"/>
      <c r="J112" s="969"/>
    </row>
    <row r="113">
      <c r="A113" s="969"/>
      <c r="B113" s="969"/>
      <c r="C113" s="969"/>
      <c r="D113" s="969"/>
      <c r="E113" s="969"/>
      <c r="F113" s="969"/>
      <c r="G113" s="969"/>
      <c r="H113" s="969"/>
      <c r="I113" s="969"/>
      <c r="J113" s="969"/>
    </row>
    <row r="114">
      <c r="A114" s="969"/>
      <c r="B114" s="969"/>
      <c r="C114" s="969"/>
      <c r="D114" s="969"/>
      <c r="E114" s="969"/>
      <c r="F114" s="969"/>
      <c r="G114" s="969"/>
      <c r="H114" s="969"/>
      <c r="I114" s="969"/>
      <c r="J114" s="969"/>
    </row>
    <row r="115">
      <c r="A115" s="969"/>
      <c r="B115" s="969"/>
      <c r="C115" s="969"/>
      <c r="D115" s="969"/>
      <c r="E115" s="969"/>
      <c r="F115" s="969"/>
      <c r="G115" s="969"/>
      <c r="H115" s="969"/>
      <c r="I115" s="969"/>
      <c r="J115" s="969"/>
    </row>
    <row r="116">
      <c r="A116" s="969"/>
      <c r="B116" s="969"/>
      <c r="C116" s="969"/>
      <c r="D116" s="969"/>
      <c r="E116" s="969"/>
      <c r="F116" s="969"/>
      <c r="G116" s="969"/>
      <c r="H116" s="969"/>
      <c r="I116" s="969"/>
      <c r="J116" s="969"/>
    </row>
    <row r="117">
      <c r="A117" s="969"/>
      <c r="B117" s="969"/>
      <c r="C117" s="969"/>
      <c r="D117" s="969"/>
      <c r="E117" s="969"/>
      <c r="F117" s="969"/>
      <c r="G117" s="969"/>
      <c r="H117" s="969"/>
      <c r="I117" s="969"/>
      <c r="J117" s="969"/>
    </row>
    <row r="118">
      <c r="A118" s="969"/>
      <c r="B118" s="969"/>
      <c r="C118" s="969"/>
      <c r="D118" s="969"/>
      <c r="E118" s="969"/>
      <c r="F118" s="969"/>
      <c r="G118" s="969"/>
      <c r="H118" s="969"/>
      <c r="I118" s="969"/>
      <c r="J118" s="969"/>
    </row>
    <row r="119">
      <c r="A119" s="969"/>
      <c r="B119" s="969"/>
      <c r="C119" s="969"/>
      <c r="D119" s="969"/>
      <c r="E119" s="969"/>
      <c r="F119" s="969"/>
      <c r="G119" s="969"/>
      <c r="H119" s="969"/>
      <c r="I119" s="969"/>
      <c r="J119" s="969"/>
    </row>
    <row r="120">
      <c r="A120" s="969"/>
      <c r="B120" s="969"/>
      <c r="C120" s="969"/>
      <c r="D120" s="969"/>
      <c r="E120" s="969"/>
      <c r="F120" s="969"/>
      <c r="G120" s="969"/>
      <c r="H120" s="969"/>
      <c r="I120" s="969"/>
      <c r="J120" s="969"/>
    </row>
    <row r="121">
      <c r="A121" s="969"/>
      <c r="B121" s="969"/>
      <c r="C121" s="969"/>
      <c r="D121" s="969"/>
      <c r="E121" s="969"/>
      <c r="F121" s="969"/>
      <c r="G121" s="969"/>
      <c r="H121" s="969"/>
      <c r="I121" s="969"/>
      <c r="J121" s="969"/>
    </row>
    <row r="122">
      <c r="A122" s="969"/>
      <c r="B122" s="969"/>
      <c r="C122" s="969"/>
      <c r="D122" s="969"/>
      <c r="E122" s="969"/>
      <c r="F122" s="969"/>
      <c r="G122" s="969"/>
      <c r="H122" s="969"/>
      <c r="I122" s="969"/>
      <c r="J122" s="969"/>
    </row>
    <row r="123">
      <c r="A123" s="969"/>
      <c r="B123" s="969"/>
      <c r="C123" s="969"/>
      <c r="D123" s="969"/>
      <c r="E123" s="969"/>
      <c r="F123" s="969"/>
      <c r="G123" s="969"/>
      <c r="H123" s="969"/>
      <c r="I123" s="969"/>
      <c r="J123" s="969"/>
    </row>
    <row r="124">
      <c r="A124" s="969"/>
      <c r="B124" s="969"/>
      <c r="C124" s="969"/>
      <c r="D124" s="969"/>
      <c r="E124" s="969"/>
      <c r="F124" s="969"/>
      <c r="G124" s="969"/>
      <c r="H124" s="969"/>
      <c r="I124" s="969"/>
      <c r="J124" s="969"/>
    </row>
    <row r="125">
      <c r="A125" s="969"/>
      <c r="B125" s="969"/>
      <c r="C125" s="969"/>
      <c r="D125" s="969"/>
      <c r="E125" s="969"/>
      <c r="F125" s="969"/>
      <c r="G125" s="969"/>
      <c r="H125" s="969"/>
      <c r="I125" s="969"/>
      <c r="J125" s="969"/>
    </row>
    <row r="126">
      <c r="A126" s="969"/>
      <c r="B126" s="969"/>
      <c r="C126" s="969"/>
      <c r="D126" s="969"/>
      <c r="E126" s="969"/>
      <c r="F126" s="969"/>
      <c r="G126" s="969"/>
      <c r="H126" s="969"/>
      <c r="I126" s="969"/>
      <c r="J126" s="969"/>
    </row>
    <row r="127">
      <c r="A127" s="969"/>
      <c r="B127" s="969"/>
      <c r="C127" s="969"/>
      <c r="D127" s="969"/>
      <c r="E127" s="969"/>
      <c r="F127" s="969"/>
      <c r="G127" s="969"/>
      <c r="H127" s="969"/>
      <c r="I127" s="969"/>
      <c r="J127" s="969"/>
    </row>
    <row r="128">
      <c r="A128" s="969"/>
      <c r="B128" s="969"/>
      <c r="C128" s="969"/>
      <c r="D128" s="969"/>
      <c r="E128" s="969"/>
      <c r="F128" s="969"/>
      <c r="G128" s="969"/>
      <c r="H128" s="969"/>
      <c r="I128" s="969"/>
      <c r="J128" s="969"/>
    </row>
    <row r="129">
      <c r="A129" s="969"/>
      <c r="B129" s="969"/>
      <c r="C129" s="969"/>
      <c r="D129" s="969"/>
      <c r="E129" s="969"/>
      <c r="F129" s="969"/>
      <c r="G129" s="969"/>
      <c r="H129" s="969"/>
      <c r="I129" s="969"/>
      <c r="J129" s="969"/>
    </row>
    <row r="130">
      <c r="A130" s="969"/>
      <c r="B130" s="969"/>
      <c r="C130" s="969"/>
      <c r="D130" s="969"/>
      <c r="E130" s="969"/>
      <c r="F130" s="969"/>
      <c r="G130" s="969"/>
      <c r="H130" s="969"/>
      <c r="I130" s="969"/>
      <c r="J130" s="969"/>
    </row>
    <row r="131">
      <c r="A131" s="969"/>
      <c r="B131" s="969"/>
      <c r="C131" s="969"/>
      <c r="D131" s="969"/>
      <c r="E131" s="969"/>
      <c r="F131" s="969"/>
      <c r="G131" s="969"/>
      <c r="H131" s="969"/>
      <c r="I131" s="969"/>
      <c r="J131" s="969"/>
    </row>
    <row r="132">
      <c r="A132" s="969"/>
      <c r="B132" s="969"/>
      <c r="C132" s="969"/>
      <c r="D132" s="969"/>
      <c r="E132" s="969"/>
      <c r="F132" s="969"/>
      <c r="G132" s="969"/>
      <c r="H132" s="969"/>
      <c r="I132" s="969"/>
      <c r="J132" s="969"/>
    </row>
    <row r="133">
      <c r="A133" s="969"/>
      <c r="B133" s="969"/>
      <c r="C133" s="969"/>
      <c r="D133" s="969"/>
      <c r="E133" s="969"/>
      <c r="F133" s="969"/>
      <c r="G133" s="969"/>
      <c r="H133" s="969"/>
      <c r="I133" s="969"/>
      <c r="J133" s="969"/>
    </row>
    <row r="134">
      <c r="A134" s="969"/>
      <c r="B134" s="969"/>
      <c r="C134" s="969"/>
      <c r="D134" s="969"/>
      <c r="E134" s="969"/>
      <c r="F134" s="969"/>
      <c r="G134" s="969"/>
      <c r="H134" s="969"/>
      <c r="I134" s="969"/>
      <c r="J134" s="969"/>
    </row>
    <row r="135">
      <c r="A135" s="969"/>
      <c r="B135" s="969"/>
      <c r="C135" s="969"/>
      <c r="D135" s="969"/>
      <c r="E135" s="969"/>
      <c r="F135" s="969"/>
      <c r="G135" s="969"/>
      <c r="H135" s="969"/>
      <c r="I135" s="969"/>
      <c r="J135" s="969"/>
    </row>
    <row r="136">
      <c r="A136" s="969"/>
      <c r="B136" s="969"/>
      <c r="C136" s="969"/>
      <c r="D136" s="969"/>
      <c r="E136" s="969"/>
      <c r="F136" s="969"/>
      <c r="G136" s="969"/>
      <c r="H136" s="969"/>
      <c r="I136" s="969"/>
      <c r="J136" s="969"/>
    </row>
    <row r="137">
      <c r="A137" s="969"/>
      <c r="B137" s="969"/>
      <c r="C137" s="969"/>
      <c r="D137" s="969"/>
      <c r="E137" s="969"/>
      <c r="F137" s="969"/>
      <c r="G137" s="969"/>
      <c r="H137" s="969"/>
      <c r="I137" s="969"/>
      <c r="J137" s="969"/>
    </row>
    <row r="138">
      <c r="A138" s="969"/>
      <c r="B138" s="969"/>
      <c r="C138" s="969"/>
      <c r="D138" s="969"/>
      <c r="E138" s="969"/>
      <c r="F138" s="969"/>
      <c r="G138" s="969"/>
      <c r="H138" s="969"/>
      <c r="I138" s="969"/>
      <c r="J138" s="969"/>
    </row>
    <row r="139">
      <c r="A139" s="969"/>
      <c r="B139" s="969"/>
      <c r="C139" s="969"/>
      <c r="D139" s="969"/>
      <c r="E139" s="969"/>
      <c r="F139" s="969"/>
      <c r="G139" s="969"/>
      <c r="H139" s="969"/>
      <c r="I139" s="969"/>
      <c r="J139" s="969"/>
    </row>
    <row r="140">
      <c r="A140" s="969"/>
      <c r="B140" s="969"/>
      <c r="C140" s="969"/>
      <c r="D140" s="969"/>
      <c r="E140" s="969"/>
      <c r="F140" s="969"/>
      <c r="G140" s="969"/>
      <c r="H140" s="969"/>
      <c r="I140" s="969"/>
      <c r="J140" s="969"/>
    </row>
    <row r="141">
      <c r="A141" s="969"/>
      <c r="B141" s="969"/>
      <c r="C141" s="969"/>
      <c r="D141" s="969"/>
      <c r="E141" s="969"/>
      <c r="F141" s="969"/>
      <c r="G141" s="969"/>
      <c r="H141" s="969"/>
      <c r="I141" s="969"/>
      <c r="J141" s="969"/>
    </row>
    <row r="142">
      <c r="A142" s="969"/>
      <c r="B142" s="969"/>
      <c r="C142" s="969"/>
      <c r="D142" s="969"/>
      <c r="E142" s="969"/>
      <c r="F142" s="969"/>
      <c r="G142" s="969"/>
      <c r="H142" s="969"/>
      <c r="I142" s="969"/>
      <c r="J142" s="969"/>
    </row>
    <row r="143">
      <c r="A143" s="969"/>
      <c r="B143" s="969"/>
      <c r="C143" s="969"/>
      <c r="D143" s="969"/>
      <c r="E143" s="969"/>
      <c r="F143" s="969"/>
      <c r="G143" s="969"/>
      <c r="H143" s="969"/>
      <c r="I143" s="969"/>
      <c r="J143" s="969"/>
    </row>
    <row r="144">
      <c r="A144" s="969"/>
      <c r="B144" s="969"/>
      <c r="C144" s="969"/>
      <c r="D144" s="969"/>
      <c r="E144" s="969"/>
      <c r="F144" s="969"/>
      <c r="G144" s="969"/>
      <c r="H144" s="969"/>
      <c r="I144" s="969"/>
      <c r="J144" s="969"/>
    </row>
    <row r="145">
      <c r="A145" s="969"/>
      <c r="B145" s="969"/>
      <c r="C145" s="969"/>
      <c r="D145" s="969"/>
      <c r="E145" s="969"/>
      <c r="F145" s="969"/>
      <c r="G145" s="969"/>
      <c r="H145" s="969"/>
      <c r="I145" s="969"/>
      <c r="J145" s="969"/>
    </row>
    <row r="146">
      <c r="A146" s="969"/>
      <c r="B146" s="969"/>
      <c r="C146" s="969"/>
      <c r="D146" s="969"/>
      <c r="E146" s="969"/>
      <c r="F146" s="969"/>
      <c r="G146" s="969"/>
      <c r="H146" s="969"/>
      <c r="I146" s="969"/>
      <c r="J146" s="969"/>
    </row>
    <row r="147">
      <c r="A147" s="969"/>
      <c r="B147" s="969"/>
      <c r="C147" s="969"/>
      <c r="D147" s="969"/>
      <c r="E147" s="969"/>
      <c r="F147" s="969"/>
      <c r="G147" s="969"/>
      <c r="H147" s="969"/>
      <c r="I147" s="969"/>
      <c r="J147" s="969"/>
    </row>
    <row r="148">
      <c r="A148" s="969"/>
      <c r="B148" s="969"/>
      <c r="C148" s="969"/>
      <c r="D148" s="969"/>
      <c r="E148" s="969"/>
      <c r="F148" s="969"/>
      <c r="G148" s="969"/>
      <c r="H148" s="969"/>
      <c r="I148" s="969"/>
      <c r="J148" s="969"/>
    </row>
    <row r="149">
      <c r="A149" s="969"/>
      <c r="B149" s="969"/>
      <c r="C149" s="969"/>
      <c r="D149" s="969"/>
      <c r="E149" s="969"/>
      <c r="F149" s="969"/>
      <c r="G149" s="969"/>
      <c r="H149" s="969"/>
      <c r="I149" s="969"/>
      <c r="J149" s="969"/>
    </row>
    <row r="150">
      <c r="A150" s="969"/>
      <c r="B150" s="969"/>
      <c r="C150" s="969"/>
      <c r="D150" s="969"/>
      <c r="E150" s="969"/>
      <c r="F150" s="969"/>
      <c r="G150" s="969"/>
      <c r="H150" s="969"/>
      <c r="I150" s="969"/>
      <c r="J150" s="969"/>
    </row>
    <row r="151">
      <c r="A151" s="969"/>
      <c r="B151" s="969"/>
      <c r="C151" s="969"/>
      <c r="D151" s="969"/>
      <c r="E151" s="969"/>
      <c r="F151" s="969"/>
      <c r="G151" s="969"/>
      <c r="H151" s="969"/>
      <c r="I151" s="969"/>
      <c r="J151" s="969"/>
    </row>
    <row r="152">
      <c r="A152" s="969"/>
      <c r="B152" s="969"/>
      <c r="C152" s="969"/>
      <c r="D152" s="969"/>
      <c r="E152" s="969"/>
      <c r="F152" s="969"/>
      <c r="G152" s="969"/>
      <c r="H152" s="969"/>
      <c r="I152" s="969"/>
      <c r="J152" s="969"/>
    </row>
    <row r="153">
      <c r="A153" s="969"/>
      <c r="B153" s="969"/>
      <c r="C153" s="969"/>
      <c r="D153" s="969"/>
      <c r="E153" s="969"/>
      <c r="F153" s="969"/>
      <c r="G153" s="969"/>
      <c r="H153" s="969"/>
      <c r="I153" s="969"/>
      <c r="J153" s="969"/>
    </row>
    <row r="154">
      <c r="A154" s="969"/>
      <c r="B154" s="969"/>
      <c r="C154" s="969"/>
      <c r="D154" s="969"/>
      <c r="E154" s="969"/>
      <c r="F154" s="969"/>
      <c r="G154" s="969"/>
      <c r="H154" s="969"/>
      <c r="I154" s="969"/>
      <c r="J154" s="969"/>
    </row>
    <row r="155">
      <c r="A155" s="969"/>
      <c r="B155" s="969"/>
      <c r="C155" s="969"/>
      <c r="D155" s="969"/>
      <c r="E155" s="969"/>
      <c r="F155" s="969"/>
      <c r="G155" s="969"/>
      <c r="H155" s="969"/>
      <c r="I155" s="969"/>
      <c r="J155" s="969"/>
    </row>
    <row r="156">
      <c r="A156" s="969"/>
      <c r="B156" s="969"/>
      <c r="C156" s="969"/>
      <c r="D156" s="969"/>
      <c r="E156" s="969"/>
      <c r="F156" s="969"/>
      <c r="G156" s="969"/>
      <c r="H156" s="969"/>
      <c r="I156" s="969"/>
      <c r="J156" s="969"/>
    </row>
    <row r="157">
      <c r="A157" s="969"/>
      <c r="B157" s="969"/>
      <c r="C157" s="969"/>
      <c r="D157" s="969"/>
      <c r="E157" s="969"/>
      <c r="F157" s="969"/>
      <c r="G157" s="969"/>
      <c r="H157" s="969"/>
      <c r="I157" s="969"/>
      <c r="J157" s="969"/>
    </row>
    <row r="158">
      <c r="A158" s="969"/>
      <c r="B158" s="969"/>
      <c r="C158" s="969"/>
      <c r="D158" s="969"/>
      <c r="E158" s="969"/>
      <c r="F158" s="969"/>
      <c r="G158" s="969"/>
      <c r="H158" s="969"/>
      <c r="I158" s="969"/>
      <c r="J158" s="969"/>
    </row>
    <row r="159">
      <c r="A159" s="969"/>
      <c r="B159" s="969"/>
      <c r="C159" s="969"/>
      <c r="D159" s="969"/>
      <c r="E159" s="969"/>
      <c r="F159" s="969"/>
      <c r="G159" s="969"/>
      <c r="H159" s="969"/>
      <c r="I159" s="969"/>
      <c r="J159" s="969"/>
    </row>
    <row r="160">
      <c r="A160" s="969"/>
      <c r="B160" s="969"/>
      <c r="C160" s="969"/>
      <c r="D160" s="969"/>
      <c r="E160" s="969"/>
      <c r="F160" s="969"/>
      <c r="G160" s="969"/>
      <c r="H160" s="969"/>
      <c r="I160" s="969"/>
      <c r="J160" s="969"/>
    </row>
    <row r="161">
      <c r="A161" s="969"/>
      <c r="B161" s="969"/>
      <c r="C161" s="969"/>
      <c r="D161" s="969"/>
      <c r="E161" s="969"/>
      <c r="F161" s="969"/>
      <c r="G161" s="969"/>
      <c r="H161" s="969"/>
      <c r="I161" s="969"/>
      <c r="J161" s="969"/>
    </row>
    <row r="162">
      <c r="A162" s="969"/>
      <c r="B162" s="969"/>
      <c r="C162" s="969"/>
      <c r="D162" s="969"/>
      <c r="E162" s="969"/>
      <c r="F162" s="969"/>
      <c r="G162" s="969"/>
      <c r="H162" s="969"/>
      <c r="I162" s="969"/>
      <c r="J162" s="969"/>
    </row>
    <row r="163">
      <c r="A163" s="969"/>
      <c r="B163" s="969"/>
      <c r="C163" s="969"/>
      <c r="D163" s="969"/>
      <c r="E163" s="969"/>
      <c r="F163" s="969"/>
      <c r="G163" s="969"/>
      <c r="H163" s="969"/>
      <c r="I163" s="969"/>
      <c r="J163" s="969"/>
    </row>
    <row r="164">
      <c r="A164" s="969"/>
      <c r="B164" s="969"/>
      <c r="C164" s="969"/>
      <c r="D164" s="969"/>
      <c r="E164" s="969"/>
      <c r="F164" s="969"/>
      <c r="G164" s="969"/>
      <c r="H164" s="969"/>
      <c r="I164" s="969"/>
      <c r="J164" s="969"/>
    </row>
    <row r="165">
      <c r="A165" s="969"/>
      <c r="B165" s="969"/>
      <c r="C165" s="969"/>
      <c r="D165" s="969"/>
      <c r="E165" s="969"/>
      <c r="F165" s="969"/>
      <c r="G165" s="969"/>
      <c r="H165" s="969"/>
      <c r="I165" s="969"/>
      <c r="J165" s="969"/>
    </row>
    <row r="166">
      <c r="A166" s="969"/>
      <c r="B166" s="969"/>
      <c r="C166" s="969"/>
      <c r="D166" s="969"/>
      <c r="E166" s="969"/>
      <c r="F166" s="969"/>
      <c r="G166" s="969"/>
      <c r="H166" s="969"/>
      <c r="I166" s="969"/>
      <c r="J166" s="969"/>
    </row>
    <row r="167">
      <c r="A167" s="969"/>
      <c r="B167" s="969"/>
      <c r="C167" s="969"/>
      <c r="D167" s="969"/>
      <c r="E167" s="969"/>
      <c r="F167" s="969"/>
      <c r="G167" s="969"/>
      <c r="H167" s="969"/>
      <c r="I167" s="969"/>
      <c r="J167" s="969"/>
    </row>
    <row r="168">
      <c r="A168" s="969"/>
      <c r="B168" s="969"/>
      <c r="C168" s="969"/>
      <c r="D168" s="969"/>
      <c r="E168" s="969"/>
      <c r="F168" s="969"/>
      <c r="G168" s="969"/>
      <c r="H168" s="969"/>
      <c r="I168" s="969"/>
      <c r="J168" s="969"/>
    </row>
    <row r="169">
      <c r="A169" s="969"/>
      <c r="B169" s="969"/>
      <c r="C169" s="969"/>
      <c r="D169" s="969"/>
      <c r="E169" s="969"/>
      <c r="F169" s="969"/>
      <c r="G169" s="969"/>
      <c r="H169" s="969"/>
      <c r="I169" s="969"/>
      <c r="J169" s="969"/>
    </row>
    <row r="170">
      <c r="A170" s="969"/>
      <c r="B170" s="969"/>
      <c r="C170" s="969"/>
      <c r="D170" s="969"/>
      <c r="E170" s="969"/>
      <c r="F170" s="969"/>
      <c r="G170" s="969"/>
      <c r="H170" s="969"/>
      <c r="I170" s="969"/>
      <c r="J170" s="969"/>
    </row>
    <row r="171">
      <c r="A171" s="969"/>
      <c r="B171" s="969"/>
      <c r="C171" s="969"/>
      <c r="D171" s="969"/>
      <c r="E171" s="969"/>
      <c r="F171" s="969"/>
      <c r="G171" s="969"/>
      <c r="H171" s="969"/>
      <c r="I171" s="969"/>
      <c r="J171" s="969"/>
    </row>
    <row r="172">
      <c r="A172" s="969"/>
      <c r="B172" s="969"/>
      <c r="C172" s="969"/>
      <c r="D172" s="969"/>
      <c r="E172" s="969"/>
      <c r="F172" s="969"/>
      <c r="G172" s="969"/>
      <c r="H172" s="969"/>
      <c r="I172" s="969"/>
      <c r="J172" s="969"/>
    </row>
    <row r="173">
      <c r="A173" s="969"/>
      <c r="B173" s="969"/>
      <c r="C173" s="969"/>
      <c r="D173" s="969"/>
      <c r="E173" s="969"/>
      <c r="F173" s="969"/>
      <c r="G173" s="969"/>
      <c r="H173" s="969"/>
      <c r="I173" s="969"/>
      <c r="J173" s="969"/>
    </row>
    <row r="174">
      <c r="A174" s="969"/>
      <c r="B174" s="969"/>
      <c r="C174" s="969"/>
      <c r="D174" s="969"/>
      <c r="E174" s="969"/>
      <c r="F174" s="969"/>
      <c r="G174" s="969"/>
      <c r="H174" s="969"/>
      <c r="I174" s="969"/>
      <c r="J174" s="969"/>
    </row>
    <row r="175">
      <c r="A175" s="969"/>
      <c r="B175" s="969"/>
      <c r="C175" s="969"/>
      <c r="D175" s="969"/>
      <c r="E175" s="969"/>
      <c r="F175" s="969"/>
      <c r="G175" s="969"/>
      <c r="H175" s="969"/>
      <c r="I175" s="969"/>
      <c r="J175" s="969"/>
    </row>
    <row r="176">
      <c r="A176" s="969"/>
      <c r="B176" s="969"/>
      <c r="C176" s="969"/>
      <c r="D176" s="969"/>
      <c r="E176" s="969"/>
      <c r="F176" s="969"/>
      <c r="G176" s="969"/>
      <c r="H176" s="969"/>
      <c r="I176" s="969"/>
      <c r="J176" s="969"/>
    </row>
    <row r="177">
      <c r="A177" s="969"/>
      <c r="B177" s="969"/>
      <c r="C177" s="969"/>
      <c r="D177" s="969"/>
      <c r="E177" s="969"/>
      <c r="F177" s="969"/>
      <c r="G177" s="969"/>
      <c r="H177" s="969"/>
      <c r="I177" s="969"/>
      <c r="J177" s="969"/>
    </row>
    <row r="178">
      <c r="A178" s="969"/>
      <c r="B178" s="969"/>
      <c r="C178" s="969"/>
      <c r="D178" s="969"/>
      <c r="E178" s="969"/>
      <c r="F178" s="969"/>
      <c r="G178" s="969"/>
      <c r="H178" s="969"/>
      <c r="I178" s="969"/>
      <c r="J178" s="969"/>
    </row>
    <row r="179">
      <c r="A179" s="969"/>
      <c r="B179" s="969"/>
      <c r="C179" s="969"/>
      <c r="D179" s="969"/>
      <c r="E179" s="969"/>
      <c r="F179" s="969"/>
      <c r="G179" s="969"/>
      <c r="H179" s="969"/>
      <c r="I179" s="969"/>
      <c r="J179" s="969"/>
    </row>
    <row r="180">
      <c r="A180" s="969"/>
      <c r="B180" s="969"/>
      <c r="C180" s="969"/>
      <c r="D180" s="969"/>
      <c r="E180" s="969"/>
      <c r="F180" s="969"/>
      <c r="G180" s="969"/>
      <c r="H180" s="969"/>
      <c r="I180" s="969"/>
      <c r="J180" s="969"/>
    </row>
    <row r="181">
      <c r="A181" s="969"/>
      <c r="B181" s="969"/>
      <c r="C181" s="969"/>
      <c r="D181" s="969"/>
      <c r="E181" s="969"/>
      <c r="F181" s="969"/>
      <c r="G181" s="969"/>
      <c r="H181" s="969"/>
      <c r="I181" s="969"/>
      <c r="J181" s="969"/>
    </row>
    <row r="182">
      <c r="A182" s="969"/>
      <c r="B182" s="969"/>
      <c r="C182" s="969"/>
      <c r="D182" s="969"/>
      <c r="E182" s="969"/>
      <c r="F182" s="969"/>
      <c r="G182" s="969"/>
      <c r="H182" s="969"/>
      <c r="I182" s="969"/>
      <c r="J182" s="969"/>
    </row>
    <row r="183">
      <c r="A183" s="969"/>
      <c r="B183" s="969"/>
      <c r="C183" s="969"/>
      <c r="D183" s="969"/>
      <c r="E183" s="969"/>
      <c r="F183" s="969"/>
      <c r="G183" s="969"/>
      <c r="H183" s="969"/>
      <c r="I183" s="969"/>
      <c r="J183" s="969"/>
    </row>
    <row r="184">
      <c r="A184" s="969"/>
      <c r="B184" s="969"/>
      <c r="C184" s="969"/>
      <c r="D184" s="969"/>
      <c r="E184" s="969"/>
      <c r="F184" s="969"/>
      <c r="G184" s="969"/>
      <c r="H184" s="969"/>
      <c r="I184" s="969"/>
      <c r="J184" s="969"/>
    </row>
    <row r="185">
      <c r="A185" s="969"/>
      <c r="B185" s="969"/>
      <c r="C185" s="969"/>
      <c r="D185" s="969"/>
      <c r="E185" s="969"/>
      <c r="F185" s="969"/>
      <c r="G185" s="969"/>
      <c r="H185" s="969"/>
      <c r="I185" s="969"/>
      <c r="J185" s="969"/>
    </row>
    <row r="186">
      <c r="A186" s="969"/>
      <c r="B186" s="969"/>
      <c r="C186" s="969"/>
      <c r="D186" s="969"/>
      <c r="E186" s="969"/>
      <c r="F186" s="969"/>
      <c r="G186" s="969"/>
      <c r="H186" s="969"/>
      <c r="I186" s="969"/>
      <c r="J186" s="969"/>
    </row>
    <row r="187">
      <c r="A187" s="969"/>
      <c r="B187" s="969"/>
      <c r="C187" s="969"/>
      <c r="D187" s="969"/>
      <c r="E187" s="969"/>
      <c r="F187" s="969"/>
      <c r="G187" s="969"/>
      <c r="H187" s="969"/>
      <c r="I187" s="969"/>
      <c r="J187" s="969"/>
    </row>
    <row r="188">
      <c r="A188" s="969"/>
      <c r="B188" s="969"/>
      <c r="C188" s="969"/>
      <c r="D188" s="969"/>
      <c r="E188" s="969"/>
      <c r="F188" s="969"/>
      <c r="G188" s="969"/>
      <c r="H188" s="969"/>
      <c r="I188" s="969"/>
      <c r="J188" s="969"/>
    </row>
    <row r="189">
      <c r="A189" s="969"/>
      <c r="B189" s="969"/>
      <c r="C189" s="969"/>
      <c r="D189" s="969"/>
      <c r="E189" s="969"/>
      <c r="F189" s="969"/>
      <c r="G189" s="969"/>
      <c r="H189" s="969"/>
      <c r="I189" s="969"/>
      <c r="J189" s="969"/>
    </row>
    <row r="190">
      <c r="A190" s="969"/>
      <c r="B190" s="969"/>
      <c r="C190" s="969"/>
      <c r="D190" s="969"/>
      <c r="E190" s="969"/>
      <c r="F190" s="969"/>
      <c r="G190" s="969"/>
      <c r="H190" s="969"/>
      <c r="I190" s="969"/>
      <c r="J190" s="969"/>
    </row>
    <row r="191">
      <c r="A191" s="969"/>
      <c r="B191" s="969"/>
      <c r="C191" s="969"/>
      <c r="D191" s="969"/>
      <c r="E191" s="969"/>
      <c r="F191" s="969"/>
      <c r="G191" s="969"/>
      <c r="H191" s="969"/>
      <c r="I191" s="969"/>
      <c r="J191" s="969"/>
    </row>
    <row r="192">
      <c r="A192" s="969"/>
      <c r="B192" s="969"/>
      <c r="C192" s="969"/>
      <c r="D192" s="969"/>
      <c r="E192" s="969"/>
      <c r="F192" s="969"/>
      <c r="G192" s="969"/>
      <c r="H192" s="969"/>
      <c r="I192" s="969"/>
      <c r="J192" s="969"/>
    </row>
    <row r="193">
      <c r="A193" s="969"/>
      <c r="B193" s="969"/>
      <c r="C193" s="969"/>
      <c r="D193" s="969"/>
      <c r="E193" s="969"/>
      <c r="F193" s="969"/>
      <c r="G193" s="969"/>
      <c r="H193" s="969"/>
      <c r="I193" s="969"/>
      <c r="J193" s="969"/>
    </row>
    <row r="194">
      <c r="A194" s="969"/>
      <c r="B194" s="969"/>
      <c r="C194" s="969"/>
      <c r="D194" s="969"/>
      <c r="E194" s="969"/>
      <c r="F194" s="969"/>
      <c r="G194" s="969"/>
      <c r="H194" s="969"/>
      <c r="I194" s="969"/>
      <c r="J194" s="969"/>
    </row>
    <row r="195">
      <c r="A195" s="969"/>
      <c r="B195" s="969"/>
      <c r="C195" s="969"/>
      <c r="D195" s="969"/>
      <c r="E195" s="969"/>
      <c r="F195" s="969"/>
      <c r="G195" s="969"/>
      <c r="H195" s="969"/>
      <c r="I195" s="969"/>
      <c r="J195" s="969"/>
    </row>
    <row r="196">
      <c r="A196" s="969"/>
      <c r="B196" s="969"/>
      <c r="C196" s="969"/>
      <c r="D196" s="969"/>
      <c r="E196" s="969"/>
      <c r="F196" s="969"/>
      <c r="G196" s="969"/>
      <c r="H196" s="969"/>
      <c r="I196" s="969"/>
      <c r="J196" s="969"/>
    </row>
    <row r="197">
      <c r="A197" s="969"/>
      <c r="B197" s="969"/>
      <c r="C197" s="969"/>
      <c r="D197" s="969"/>
      <c r="E197" s="969"/>
      <c r="F197" s="969"/>
      <c r="G197" s="969"/>
      <c r="H197" s="969"/>
      <c r="I197" s="969"/>
      <c r="J197" s="969"/>
    </row>
    <row r="198">
      <c r="A198" s="969"/>
      <c r="B198" s="969"/>
      <c r="C198" s="969"/>
      <c r="D198" s="969"/>
      <c r="E198" s="969"/>
      <c r="F198" s="969"/>
      <c r="G198" s="969"/>
      <c r="H198" s="969"/>
      <c r="I198" s="969"/>
      <c r="J198" s="969"/>
    </row>
    <row r="199">
      <c r="A199" s="969"/>
      <c r="B199" s="969"/>
      <c r="C199" s="969"/>
      <c r="D199" s="969"/>
      <c r="E199" s="969"/>
      <c r="F199" s="969"/>
      <c r="G199" s="969"/>
      <c r="H199" s="969"/>
      <c r="I199" s="969"/>
      <c r="J199" s="969"/>
    </row>
    <row r="200">
      <c r="A200" s="969"/>
      <c r="B200" s="969"/>
      <c r="C200" s="969"/>
      <c r="D200" s="969"/>
      <c r="E200" s="969"/>
      <c r="F200" s="969"/>
      <c r="G200" s="969"/>
      <c r="H200" s="969"/>
      <c r="I200" s="969"/>
      <c r="J200" s="969"/>
    </row>
    <row r="201">
      <c r="A201" s="969"/>
      <c r="B201" s="969"/>
      <c r="C201" s="969"/>
      <c r="D201" s="969"/>
      <c r="E201" s="969"/>
      <c r="F201" s="969"/>
      <c r="G201" s="969"/>
      <c r="H201" s="969"/>
      <c r="I201" s="969"/>
      <c r="J201" s="969"/>
    </row>
    <row r="202">
      <c r="A202" s="969"/>
      <c r="B202" s="969"/>
      <c r="C202" s="969"/>
      <c r="D202" s="969"/>
      <c r="E202" s="969"/>
      <c r="F202" s="969"/>
      <c r="G202" s="969"/>
      <c r="H202" s="969"/>
      <c r="I202" s="969"/>
      <c r="J202" s="969"/>
    </row>
    <row r="203">
      <c r="A203" s="969"/>
      <c r="B203" s="969"/>
      <c r="C203" s="969"/>
      <c r="D203" s="969"/>
      <c r="E203" s="969"/>
      <c r="F203" s="969"/>
      <c r="G203" s="969"/>
      <c r="H203" s="969"/>
      <c r="I203" s="969"/>
      <c r="J203" s="969"/>
    </row>
    <row r="204">
      <c r="A204" s="969"/>
      <c r="B204" s="969"/>
      <c r="C204" s="969"/>
      <c r="D204" s="969"/>
      <c r="E204" s="969"/>
      <c r="F204" s="969"/>
      <c r="G204" s="969"/>
      <c r="H204" s="969"/>
      <c r="I204" s="969"/>
      <c r="J204" s="969"/>
    </row>
    <row r="205">
      <c r="A205" s="969"/>
      <c r="B205" s="969"/>
      <c r="C205" s="969"/>
      <c r="D205" s="969"/>
      <c r="E205" s="969"/>
      <c r="F205" s="969"/>
      <c r="G205" s="969"/>
      <c r="H205" s="969"/>
      <c r="I205" s="969"/>
      <c r="J205" s="969"/>
    </row>
    <row r="206">
      <c r="A206" s="969"/>
      <c r="B206" s="969"/>
      <c r="C206" s="969"/>
      <c r="D206" s="969"/>
      <c r="E206" s="969"/>
      <c r="F206" s="969"/>
      <c r="G206" s="969"/>
      <c r="H206" s="969"/>
      <c r="I206" s="969"/>
      <c r="J206" s="969"/>
    </row>
    <row r="207">
      <c r="A207" s="969"/>
      <c r="B207" s="969"/>
      <c r="C207" s="969"/>
      <c r="D207" s="969"/>
      <c r="E207" s="969"/>
      <c r="F207" s="969"/>
      <c r="G207" s="969"/>
      <c r="H207" s="969"/>
      <c r="I207" s="969"/>
      <c r="J207" s="969"/>
    </row>
    <row r="208">
      <c r="A208" s="969"/>
      <c r="B208" s="969"/>
      <c r="C208" s="969"/>
      <c r="D208" s="969"/>
      <c r="E208" s="969"/>
      <c r="F208" s="969"/>
      <c r="G208" s="969"/>
      <c r="H208" s="969"/>
      <c r="I208" s="969"/>
      <c r="J208" s="969"/>
    </row>
    <row r="209">
      <c r="A209" s="969"/>
      <c r="B209" s="969"/>
      <c r="C209" s="969"/>
      <c r="D209" s="969"/>
      <c r="E209" s="969"/>
      <c r="F209" s="969"/>
      <c r="G209" s="969"/>
      <c r="H209" s="969"/>
      <c r="I209" s="969"/>
      <c r="J209" s="969"/>
    </row>
    <row r="210">
      <c r="A210" s="969"/>
      <c r="B210" s="969"/>
      <c r="C210" s="969"/>
      <c r="D210" s="969"/>
      <c r="E210" s="969"/>
      <c r="F210" s="969"/>
      <c r="G210" s="969"/>
      <c r="H210" s="969"/>
      <c r="I210" s="969"/>
      <c r="J210" s="969"/>
    </row>
    <row r="211">
      <c r="A211" s="969"/>
      <c r="B211" s="969"/>
      <c r="C211" s="969"/>
      <c r="D211" s="969"/>
      <c r="E211" s="969"/>
      <c r="F211" s="969"/>
      <c r="G211" s="969"/>
      <c r="H211" s="969"/>
      <c r="I211" s="969"/>
      <c r="J211" s="969"/>
    </row>
    <row r="212">
      <c r="A212" s="969"/>
      <c r="B212" s="969"/>
      <c r="C212" s="969"/>
      <c r="D212" s="969"/>
      <c r="E212" s="969"/>
      <c r="F212" s="969"/>
      <c r="G212" s="969"/>
      <c r="H212" s="969"/>
      <c r="I212" s="969"/>
      <c r="J212" s="969"/>
    </row>
    <row r="213">
      <c r="A213" s="969"/>
      <c r="B213" s="969"/>
      <c r="C213" s="969"/>
      <c r="D213" s="969"/>
      <c r="E213" s="969"/>
      <c r="F213" s="969"/>
      <c r="G213" s="969"/>
      <c r="H213" s="969"/>
      <c r="I213" s="969"/>
      <c r="J213" s="969"/>
    </row>
    <row r="214">
      <c r="A214" s="969"/>
      <c r="B214" s="969"/>
      <c r="C214" s="969"/>
      <c r="D214" s="969"/>
      <c r="E214" s="969"/>
      <c r="F214" s="969"/>
      <c r="G214" s="969"/>
      <c r="H214" s="969"/>
      <c r="I214" s="969"/>
      <c r="J214" s="969"/>
    </row>
    <row r="215">
      <c r="A215" s="969"/>
      <c r="B215" s="969"/>
      <c r="C215" s="969"/>
      <c r="D215" s="969"/>
      <c r="E215" s="969"/>
      <c r="F215" s="969"/>
      <c r="G215" s="969"/>
      <c r="H215" s="969"/>
      <c r="I215" s="969"/>
      <c r="J215" s="969"/>
    </row>
    <row r="216">
      <c r="A216" s="969"/>
      <c r="B216" s="969"/>
      <c r="C216" s="969"/>
      <c r="D216" s="969"/>
      <c r="E216" s="969"/>
      <c r="F216" s="969"/>
      <c r="G216" s="969"/>
      <c r="H216" s="969"/>
      <c r="I216" s="969"/>
      <c r="J216" s="969"/>
    </row>
    <row r="217">
      <c r="A217" s="969"/>
      <c r="B217" s="969"/>
      <c r="C217" s="969"/>
      <c r="D217" s="969"/>
      <c r="E217" s="969"/>
      <c r="F217" s="969"/>
      <c r="G217" s="969"/>
      <c r="H217" s="969"/>
      <c r="I217" s="969"/>
      <c r="J217" s="969"/>
    </row>
    <row r="218">
      <c r="A218" s="969"/>
      <c r="B218" s="969"/>
      <c r="C218" s="969"/>
      <c r="D218" s="969"/>
      <c r="E218" s="969"/>
      <c r="F218" s="969"/>
      <c r="G218" s="969"/>
      <c r="H218" s="969"/>
      <c r="I218" s="969"/>
      <c r="J218" s="969"/>
    </row>
    <row r="219">
      <c r="A219" s="969"/>
      <c r="B219" s="969"/>
      <c r="C219" s="969"/>
      <c r="D219" s="969"/>
      <c r="E219" s="969"/>
      <c r="F219" s="969"/>
      <c r="G219" s="969"/>
      <c r="H219" s="969"/>
      <c r="I219" s="969"/>
      <c r="J219" s="969"/>
    </row>
    <row r="220">
      <c r="A220" s="969"/>
      <c r="B220" s="969"/>
      <c r="C220" s="969"/>
      <c r="D220" s="969"/>
      <c r="E220" s="969"/>
      <c r="F220" s="969"/>
      <c r="G220" s="969"/>
      <c r="H220" s="969"/>
      <c r="I220" s="969"/>
      <c r="J220" s="969"/>
    </row>
    <row r="221">
      <c r="A221" s="969"/>
      <c r="B221" s="969"/>
      <c r="C221" s="969"/>
      <c r="D221" s="969"/>
      <c r="E221" s="969"/>
      <c r="F221" s="969"/>
      <c r="G221" s="969"/>
      <c r="H221" s="969"/>
      <c r="I221" s="969"/>
      <c r="J221" s="969"/>
    </row>
    <row r="222">
      <c r="A222" s="969"/>
      <c r="B222" s="969"/>
      <c r="C222" s="969"/>
      <c r="D222" s="969"/>
      <c r="E222" s="969"/>
      <c r="F222" s="969"/>
      <c r="G222" s="969"/>
      <c r="H222" s="969"/>
      <c r="I222" s="969"/>
      <c r="J222" s="969"/>
    </row>
    <row r="223">
      <c r="A223" s="969"/>
      <c r="B223" s="969"/>
      <c r="C223" s="969"/>
      <c r="D223" s="969"/>
      <c r="E223" s="969"/>
      <c r="F223" s="969"/>
      <c r="G223" s="969"/>
      <c r="H223" s="969"/>
      <c r="I223" s="969"/>
      <c r="J223" s="969"/>
    </row>
    <row r="224">
      <c r="A224" s="969"/>
      <c r="B224" s="969"/>
      <c r="C224" s="969"/>
      <c r="D224" s="969"/>
      <c r="E224" s="969"/>
      <c r="F224" s="969"/>
      <c r="G224" s="969"/>
      <c r="H224" s="969"/>
      <c r="I224" s="969"/>
      <c r="J224" s="969"/>
    </row>
    <row r="225">
      <c r="A225" s="969"/>
      <c r="B225" s="969"/>
      <c r="C225" s="969"/>
      <c r="D225" s="969"/>
      <c r="E225" s="969"/>
      <c r="F225" s="969"/>
      <c r="G225" s="969"/>
      <c r="H225" s="969"/>
      <c r="I225" s="969"/>
      <c r="J225" s="969"/>
    </row>
    <row r="226">
      <c r="A226" s="969"/>
      <c r="B226" s="969"/>
      <c r="C226" s="969"/>
      <c r="D226" s="969"/>
      <c r="E226" s="969"/>
      <c r="F226" s="969"/>
      <c r="G226" s="969"/>
      <c r="H226" s="969"/>
      <c r="I226" s="969"/>
      <c r="J226" s="969"/>
    </row>
    <row r="227">
      <c r="A227" s="969"/>
      <c r="B227" s="969"/>
      <c r="C227" s="969"/>
      <c r="D227" s="969"/>
      <c r="E227" s="969"/>
      <c r="F227" s="969"/>
      <c r="G227" s="969"/>
      <c r="H227" s="969"/>
      <c r="I227" s="969"/>
      <c r="J227" s="969"/>
    </row>
    <row r="228">
      <c r="A228" s="969"/>
      <c r="B228" s="969"/>
      <c r="C228" s="969"/>
      <c r="D228" s="969"/>
      <c r="E228" s="969"/>
      <c r="F228" s="969"/>
      <c r="G228" s="969"/>
      <c r="H228" s="969"/>
      <c r="I228" s="969"/>
      <c r="J228" s="969"/>
    </row>
    <row r="229">
      <c r="A229" s="969"/>
      <c r="B229" s="969"/>
      <c r="C229" s="969"/>
      <c r="D229" s="969"/>
      <c r="E229" s="969"/>
      <c r="F229" s="969"/>
      <c r="G229" s="969"/>
      <c r="H229" s="969"/>
      <c r="I229" s="969"/>
      <c r="J229" s="969"/>
    </row>
    <row r="230">
      <c r="A230" s="969"/>
      <c r="B230" s="969"/>
      <c r="C230" s="969"/>
      <c r="D230" s="969"/>
      <c r="E230" s="969"/>
      <c r="F230" s="969"/>
      <c r="G230" s="969"/>
      <c r="H230" s="969"/>
      <c r="I230" s="969"/>
      <c r="J230" s="969"/>
    </row>
    <row r="231">
      <c r="A231" s="969"/>
      <c r="B231" s="969"/>
      <c r="C231" s="969"/>
      <c r="D231" s="969"/>
      <c r="E231" s="969"/>
      <c r="F231" s="969"/>
      <c r="G231" s="969"/>
      <c r="H231" s="969"/>
      <c r="I231" s="969"/>
      <c r="J231" s="969"/>
    </row>
    <row r="232">
      <c r="A232" s="969"/>
      <c r="B232" s="969"/>
      <c r="C232" s="969"/>
      <c r="D232" s="969"/>
      <c r="E232" s="969"/>
      <c r="F232" s="969"/>
      <c r="G232" s="969"/>
      <c r="H232" s="969"/>
      <c r="I232" s="969"/>
      <c r="J232" s="969"/>
    </row>
    <row r="233">
      <c r="A233" s="969"/>
      <c r="B233" s="969"/>
      <c r="C233" s="969"/>
      <c r="D233" s="969"/>
      <c r="E233" s="969"/>
      <c r="F233" s="969"/>
      <c r="G233" s="969"/>
      <c r="H233" s="969"/>
      <c r="I233" s="969"/>
      <c r="J233" s="969"/>
    </row>
    <row r="234">
      <c r="A234" s="969"/>
      <c r="B234" s="969"/>
      <c r="C234" s="969"/>
      <c r="D234" s="969"/>
      <c r="E234" s="969"/>
      <c r="F234" s="969"/>
      <c r="G234" s="969"/>
      <c r="H234" s="969"/>
      <c r="I234" s="969"/>
      <c r="J234" s="969"/>
    </row>
    <row r="235">
      <c r="A235" s="969"/>
      <c r="B235" s="969"/>
      <c r="C235" s="969"/>
      <c r="D235" s="969"/>
      <c r="E235" s="969"/>
      <c r="F235" s="969"/>
      <c r="G235" s="969"/>
      <c r="H235" s="969"/>
      <c r="I235" s="969"/>
      <c r="J235" s="969"/>
    </row>
    <row r="236">
      <c r="A236" s="969"/>
      <c r="B236" s="969"/>
      <c r="C236" s="969"/>
      <c r="D236" s="969"/>
      <c r="E236" s="969"/>
      <c r="F236" s="969"/>
      <c r="G236" s="969"/>
      <c r="H236" s="969"/>
      <c r="I236" s="969"/>
      <c r="J236" s="969"/>
    </row>
    <row r="237">
      <c r="A237" s="969"/>
      <c r="B237" s="969"/>
      <c r="C237" s="969"/>
      <c r="D237" s="969"/>
      <c r="E237" s="969"/>
      <c r="F237" s="969"/>
      <c r="G237" s="969"/>
      <c r="H237" s="969"/>
      <c r="I237" s="969"/>
      <c r="J237" s="969"/>
    </row>
    <row r="238">
      <c r="A238" s="969"/>
      <c r="B238" s="969"/>
      <c r="C238" s="969"/>
      <c r="D238" s="969"/>
      <c r="E238" s="969"/>
      <c r="F238" s="969"/>
      <c r="G238" s="969"/>
      <c r="H238" s="969"/>
      <c r="I238" s="969"/>
      <c r="J238" s="969"/>
    </row>
    <row r="239">
      <c r="A239" s="969"/>
      <c r="B239" s="969"/>
      <c r="C239" s="969"/>
      <c r="D239" s="969"/>
      <c r="E239" s="969"/>
      <c r="F239" s="969"/>
      <c r="G239" s="969"/>
      <c r="H239" s="969"/>
      <c r="I239" s="969"/>
      <c r="J239" s="969"/>
    </row>
    <row r="240">
      <c r="A240" s="969"/>
      <c r="B240" s="969"/>
      <c r="C240" s="969"/>
      <c r="D240" s="969"/>
      <c r="E240" s="969"/>
      <c r="F240" s="969"/>
      <c r="G240" s="969"/>
      <c r="H240" s="969"/>
      <c r="I240" s="969"/>
      <c r="J240" s="969"/>
    </row>
    <row r="241">
      <c r="A241" s="969"/>
      <c r="B241" s="969"/>
      <c r="C241" s="969"/>
      <c r="D241" s="969"/>
      <c r="E241" s="969"/>
      <c r="F241" s="969"/>
      <c r="G241" s="969"/>
      <c r="H241" s="969"/>
      <c r="I241" s="969"/>
      <c r="J241" s="969"/>
    </row>
    <row r="242">
      <c r="A242" s="969"/>
      <c r="B242" s="969"/>
      <c r="C242" s="969"/>
      <c r="D242" s="969"/>
      <c r="E242" s="969"/>
      <c r="F242" s="969"/>
      <c r="G242" s="969"/>
      <c r="H242" s="969"/>
      <c r="I242" s="969"/>
      <c r="J242" s="969"/>
    </row>
    <row r="243">
      <c r="A243" s="969"/>
      <c r="B243" s="969"/>
      <c r="C243" s="969"/>
      <c r="D243" s="969"/>
      <c r="E243" s="969"/>
      <c r="F243" s="969"/>
      <c r="G243" s="969"/>
      <c r="H243" s="969"/>
      <c r="I243" s="969"/>
      <c r="J243" s="969"/>
    </row>
    <row r="244">
      <c r="A244" s="969"/>
      <c r="B244" s="969"/>
      <c r="C244" s="969"/>
      <c r="D244" s="969"/>
      <c r="E244" s="969"/>
      <c r="F244" s="969"/>
      <c r="G244" s="969"/>
      <c r="H244" s="969"/>
      <c r="I244" s="969"/>
      <c r="J244" s="969"/>
    </row>
    <row r="245">
      <c r="A245" s="969"/>
      <c r="B245" s="969"/>
      <c r="C245" s="969"/>
      <c r="D245" s="969"/>
      <c r="E245" s="969"/>
      <c r="F245" s="969"/>
      <c r="G245" s="969"/>
      <c r="H245" s="969"/>
      <c r="I245" s="969"/>
      <c r="J245" s="969"/>
    </row>
    <row r="246">
      <c r="A246" s="969"/>
      <c r="B246" s="969"/>
      <c r="C246" s="969"/>
      <c r="D246" s="969"/>
      <c r="E246" s="969"/>
      <c r="F246" s="969"/>
      <c r="G246" s="969"/>
      <c r="H246" s="969"/>
      <c r="I246" s="969"/>
      <c r="J246" s="969"/>
    </row>
    <row r="247">
      <c r="A247" s="969"/>
      <c r="B247" s="969"/>
      <c r="C247" s="969"/>
      <c r="D247" s="969"/>
      <c r="E247" s="969"/>
      <c r="F247" s="969"/>
      <c r="G247" s="969"/>
      <c r="H247" s="969"/>
      <c r="I247" s="969"/>
      <c r="J247" s="969"/>
    </row>
    <row r="248">
      <c r="A248" s="969"/>
      <c r="B248" s="969"/>
      <c r="C248" s="969"/>
      <c r="D248" s="969"/>
      <c r="E248" s="969"/>
      <c r="F248" s="969"/>
      <c r="G248" s="969"/>
      <c r="H248" s="969"/>
      <c r="I248" s="969"/>
      <c r="J248" s="969"/>
    </row>
    <row r="249">
      <c r="A249" s="969"/>
      <c r="B249" s="969"/>
      <c r="C249" s="969"/>
      <c r="D249" s="969"/>
      <c r="E249" s="969"/>
      <c r="F249" s="969"/>
      <c r="G249" s="969"/>
      <c r="H249" s="969"/>
      <c r="I249" s="969"/>
      <c r="J249" s="969"/>
    </row>
    <row r="250">
      <c r="A250" s="969"/>
      <c r="B250" s="969"/>
      <c r="C250" s="969"/>
      <c r="D250" s="969"/>
      <c r="E250" s="969"/>
      <c r="F250" s="969"/>
      <c r="G250" s="969"/>
      <c r="H250" s="969"/>
      <c r="I250" s="969"/>
      <c r="J250" s="969"/>
    </row>
    <row r="251">
      <c r="A251" s="969"/>
      <c r="B251" s="969"/>
      <c r="C251" s="969"/>
      <c r="D251" s="969"/>
      <c r="E251" s="969"/>
      <c r="F251" s="969"/>
      <c r="G251" s="969"/>
      <c r="H251" s="969"/>
      <c r="I251" s="969"/>
      <c r="J251" s="969"/>
    </row>
    <row r="252">
      <c r="A252" s="969"/>
      <c r="B252" s="969"/>
      <c r="C252" s="969"/>
      <c r="D252" s="969"/>
      <c r="E252" s="969"/>
      <c r="F252" s="969"/>
      <c r="G252" s="969"/>
      <c r="H252" s="969"/>
      <c r="I252" s="969"/>
      <c r="J252" s="969"/>
    </row>
    <row r="253">
      <c r="A253" s="969"/>
      <c r="B253" s="969"/>
      <c r="C253" s="969"/>
      <c r="D253" s="969"/>
      <c r="E253" s="969"/>
      <c r="F253" s="969"/>
      <c r="G253" s="969"/>
      <c r="H253" s="969"/>
      <c r="I253" s="969"/>
      <c r="J253" s="969"/>
    </row>
    <row r="254">
      <c r="A254" s="969"/>
      <c r="B254" s="969"/>
      <c r="C254" s="969"/>
      <c r="D254" s="969"/>
      <c r="E254" s="969"/>
      <c r="F254" s="969"/>
      <c r="G254" s="969"/>
      <c r="H254" s="969"/>
      <c r="I254" s="969"/>
      <c r="J254" s="969"/>
    </row>
    <row r="255">
      <c r="A255" s="969"/>
      <c r="B255" s="969"/>
      <c r="C255" s="969"/>
      <c r="D255" s="969"/>
      <c r="E255" s="969"/>
      <c r="F255" s="969"/>
      <c r="G255" s="969"/>
      <c r="H255" s="969"/>
      <c r="I255" s="969"/>
      <c r="J255" s="969"/>
    </row>
    <row r="256">
      <c r="A256" s="969"/>
      <c r="B256" s="969"/>
      <c r="C256" s="969"/>
      <c r="D256" s="969"/>
      <c r="E256" s="969"/>
      <c r="F256" s="969"/>
      <c r="G256" s="969"/>
      <c r="H256" s="969"/>
      <c r="I256" s="969"/>
      <c r="J256" s="969"/>
    </row>
    <row r="257">
      <c r="A257" s="969"/>
      <c r="B257" s="969"/>
      <c r="C257" s="969"/>
      <c r="D257" s="969"/>
      <c r="E257" s="969"/>
      <c r="F257" s="969"/>
      <c r="G257" s="969"/>
      <c r="H257" s="969"/>
      <c r="I257" s="969"/>
      <c r="J257" s="969"/>
    </row>
    <row r="258">
      <c r="A258" s="969"/>
      <c r="B258" s="969"/>
      <c r="C258" s="969"/>
      <c r="D258" s="969"/>
      <c r="E258" s="969"/>
      <c r="F258" s="969"/>
      <c r="G258" s="969"/>
      <c r="H258" s="969"/>
      <c r="I258" s="969"/>
      <c r="J258" s="969"/>
    </row>
    <row r="259">
      <c r="A259" s="969"/>
      <c r="B259" s="969"/>
      <c r="C259" s="969"/>
      <c r="D259" s="969"/>
      <c r="E259" s="969"/>
      <c r="F259" s="969"/>
      <c r="G259" s="969"/>
      <c r="H259" s="969"/>
      <c r="I259" s="969"/>
      <c r="J259" s="969"/>
    </row>
    <row r="260">
      <c r="A260" s="969"/>
      <c r="B260" s="969"/>
      <c r="C260" s="969"/>
      <c r="D260" s="969"/>
      <c r="E260" s="969"/>
      <c r="F260" s="969"/>
      <c r="G260" s="969"/>
      <c r="H260" s="969"/>
      <c r="I260" s="969"/>
      <c r="J260" s="969"/>
    </row>
    <row r="261">
      <c r="A261" s="969"/>
      <c r="B261" s="969"/>
      <c r="C261" s="969"/>
      <c r="D261" s="969"/>
      <c r="E261" s="969"/>
      <c r="F261" s="969"/>
      <c r="G261" s="969"/>
      <c r="H261" s="969"/>
      <c r="I261" s="969"/>
      <c r="J261" s="969"/>
    </row>
    <row r="262">
      <c r="A262" s="969"/>
      <c r="B262" s="969"/>
      <c r="C262" s="969"/>
      <c r="D262" s="969"/>
      <c r="E262" s="969"/>
      <c r="F262" s="969"/>
      <c r="G262" s="969"/>
      <c r="H262" s="969"/>
      <c r="I262" s="969"/>
      <c r="J262" s="969"/>
    </row>
    <row r="263">
      <c r="A263" s="969"/>
      <c r="B263" s="969"/>
      <c r="C263" s="969"/>
      <c r="D263" s="969"/>
      <c r="E263" s="969"/>
      <c r="F263" s="969"/>
      <c r="G263" s="969"/>
      <c r="H263" s="969"/>
      <c r="I263" s="969"/>
      <c r="J263" s="969"/>
    </row>
    <row r="264">
      <c r="A264" s="969"/>
      <c r="B264" s="969"/>
      <c r="C264" s="969"/>
      <c r="D264" s="969"/>
      <c r="E264" s="969"/>
      <c r="F264" s="969"/>
      <c r="G264" s="969"/>
      <c r="H264" s="969"/>
      <c r="I264" s="969"/>
      <c r="J264" s="969"/>
    </row>
    <row r="265">
      <c r="A265" s="969"/>
      <c r="B265" s="969"/>
      <c r="C265" s="969"/>
      <c r="D265" s="969"/>
      <c r="E265" s="969"/>
      <c r="F265" s="969"/>
      <c r="G265" s="969"/>
      <c r="H265" s="969"/>
      <c r="I265" s="969"/>
      <c r="J265" s="969"/>
    </row>
    <row r="266">
      <c r="A266" s="969"/>
      <c r="B266" s="969"/>
      <c r="C266" s="969"/>
      <c r="D266" s="969"/>
      <c r="E266" s="969"/>
      <c r="F266" s="969"/>
      <c r="G266" s="969"/>
      <c r="H266" s="969"/>
      <c r="I266" s="969"/>
      <c r="J266" s="969"/>
    </row>
    <row r="267">
      <c r="A267" s="969"/>
      <c r="B267" s="969"/>
      <c r="C267" s="969"/>
      <c r="D267" s="969"/>
      <c r="E267" s="969"/>
      <c r="F267" s="969"/>
      <c r="G267" s="969"/>
      <c r="H267" s="969"/>
      <c r="I267" s="969"/>
      <c r="J267" s="969"/>
    </row>
    <row r="268">
      <c r="A268" s="969"/>
      <c r="B268" s="969"/>
      <c r="C268" s="969"/>
      <c r="D268" s="969"/>
      <c r="E268" s="969"/>
      <c r="F268" s="969"/>
      <c r="G268" s="969"/>
      <c r="H268" s="969"/>
      <c r="I268" s="969"/>
      <c r="J268" s="969"/>
    </row>
    <row r="269">
      <c r="A269" s="969"/>
      <c r="B269" s="969"/>
      <c r="C269" s="969"/>
      <c r="D269" s="969"/>
      <c r="E269" s="969"/>
      <c r="F269" s="969"/>
      <c r="G269" s="969"/>
      <c r="H269" s="969"/>
      <c r="I269" s="969"/>
      <c r="J269" s="969"/>
    </row>
    <row r="270">
      <c r="A270" s="969"/>
      <c r="B270" s="969"/>
      <c r="C270" s="969"/>
      <c r="D270" s="969"/>
      <c r="E270" s="969"/>
      <c r="F270" s="969"/>
      <c r="G270" s="969"/>
      <c r="H270" s="969"/>
      <c r="I270" s="969"/>
      <c r="J270" s="969"/>
    </row>
    <row r="271">
      <c r="A271" s="969"/>
      <c r="B271" s="969"/>
      <c r="C271" s="969"/>
      <c r="D271" s="969"/>
      <c r="E271" s="969"/>
      <c r="F271" s="969"/>
      <c r="G271" s="969"/>
      <c r="H271" s="969"/>
      <c r="I271" s="969"/>
      <c r="J271" s="969"/>
    </row>
    <row r="272">
      <c r="A272" s="969"/>
      <c r="B272" s="969"/>
      <c r="C272" s="969"/>
      <c r="D272" s="969"/>
      <c r="E272" s="969"/>
      <c r="F272" s="969"/>
      <c r="G272" s="969"/>
      <c r="H272" s="969"/>
      <c r="I272" s="969"/>
      <c r="J272" s="969"/>
    </row>
    <row r="273">
      <c r="A273" s="969"/>
      <c r="B273" s="969"/>
      <c r="C273" s="969"/>
      <c r="D273" s="969"/>
      <c r="E273" s="969"/>
      <c r="F273" s="969"/>
      <c r="G273" s="969"/>
      <c r="H273" s="969"/>
      <c r="I273" s="969"/>
      <c r="J273" s="969"/>
    </row>
    <row r="274">
      <c r="A274" s="969"/>
      <c r="B274" s="969"/>
      <c r="C274" s="969"/>
      <c r="D274" s="969"/>
      <c r="E274" s="969"/>
      <c r="F274" s="969"/>
      <c r="G274" s="969"/>
      <c r="H274" s="969"/>
      <c r="I274" s="969"/>
      <c r="J274" s="969"/>
    </row>
    <row r="275">
      <c r="A275" s="969"/>
      <c r="B275" s="969"/>
      <c r="C275" s="969"/>
      <c r="D275" s="969"/>
      <c r="E275" s="969"/>
      <c r="F275" s="969"/>
      <c r="G275" s="969"/>
      <c r="H275" s="969"/>
      <c r="I275" s="969"/>
      <c r="J275" s="969"/>
    </row>
    <row r="276">
      <c r="A276" s="969"/>
      <c r="B276" s="969"/>
      <c r="C276" s="969"/>
      <c r="D276" s="969"/>
      <c r="E276" s="969"/>
      <c r="F276" s="969"/>
      <c r="G276" s="969"/>
      <c r="H276" s="969"/>
      <c r="I276" s="969"/>
      <c r="J276" s="969"/>
    </row>
    <row r="277">
      <c r="A277" s="969"/>
      <c r="B277" s="969"/>
      <c r="C277" s="969"/>
      <c r="D277" s="969"/>
      <c r="E277" s="969"/>
      <c r="F277" s="969"/>
      <c r="G277" s="969"/>
      <c r="H277" s="969"/>
      <c r="I277" s="969"/>
      <c r="J277" s="969"/>
    </row>
    <row r="278">
      <c r="A278" s="969"/>
      <c r="B278" s="969"/>
      <c r="C278" s="969"/>
      <c r="D278" s="969"/>
      <c r="E278" s="969"/>
      <c r="F278" s="969"/>
      <c r="G278" s="969"/>
      <c r="H278" s="969"/>
      <c r="I278" s="969"/>
      <c r="J278" s="969"/>
    </row>
    <row r="279">
      <c r="A279" s="969"/>
      <c r="B279" s="969"/>
      <c r="C279" s="969"/>
      <c r="D279" s="969"/>
      <c r="E279" s="969"/>
      <c r="F279" s="969"/>
      <c r="G279" s="969"/>
      <c r="H279" s="969"/>
      <c r="I279" s="969"/>
      <c r="J279" s="969"/>
    </row>
    <row r="280">
      <c r="A280" s="969"/>
      <c r="B280" s="969"/>
      <c r="C280" s="969"/>
      <c r="D280" s="969"/>
      <c r="E280" s="969"/>
      <c r="F280" s="969"/>
      <c r="G280" s="969"/>
      <c r="H280" s="969"/>
      <c r="I280" s="969"/>
      <c r="J280" s="969"/>
    </row>
    <row r="281">
      <c r="A281" s="969"/>
      <c r="B281" s="969"/>
      <c r="C281" s="969"/>
      <c r="D281" s="969"/>
      <c r="E281" s="969"/>
      <c r="F281" s="969"/>
      <c r="G281" s="969"/>
      <c r="H281" s="969"/>
      <c r="I281" s="969"/>
      <c r="J281" s="969"/>
    </row>
    <row r="282">
      <c r="A282" s="969"/>
      <c r="B282" s="969"/>
      <c r="C282" s="969"/>
      <c r="D282" s="969"/>
      <c r="E282" s="969"/>
      <c r="F282" s="969"/>
      <c r="G282" s="969"/>
      <c r="H282" s="969"/>
      <c r="I282" s="969"/>
      <c r="J282" s="969"/>
    </row>
    <row r="283">
      <c r="A283" s="969"/>
      <c r="B283" s="969"/>
      <c r="C283" s="969"/>
      <c r="D283" s="969"/>
      <c r="E283" s="969"/>
      <c r="F283" s="969"/>
      <c r="G283" s="969"/>
      <c r="H283" s="969"/>
      <c r="I283" s="969"/>
      <c r="J283" s="969"/>
    </row>
    <row r="284">
      <c r="A284" s="969"/>
      <c r="B284" s="969"/>
      <c r="C284" s="969"/>
      <c r="D284" s="969"/>
      <c r="E284" s="969"/>
      <c r="F284" s="969"/>
      <c r="G284" s="969"/>
      <c r="H284" s="969"/>
      <c r="I284" s="969"/>
      <c r="J284" s="969"/>
    </row>
    <row r="285">
      <c r="A285" s="969"/>
      <c r="B285" s="969"/>
      <c r="C285" s="969"/>
      <c r="D285" s="969"/>
      <c r="E285" s="969"/>
      <c r="F285" s="969"/>
      <c r="G285" s="969"/>
      <c r="H285" s="969"/>
      <c r="I285" s="969"/>
      <c r="J285" s="969"/>
    </row>
    <row r="286">
      <c r="A286" s="969"/>
      <c r="B286" s="969"/>
      <c r="C286" s="969"/>
      <c r="D286" s="969"/>
      <c r="E286" s="969"/>
      <c r="F286" s="969"/>
      <c r="G286" s="969"/>
      <c r="H286" s="969"/>
      <c r="I286" s="969"/>
      <c r="J286" s="969"/>
    </row>
    <row r="287">
      <c r="A287" s="969"/>
      <c r="B287" s="969"/>
      <c r="C287" s="969"/>
      <c r="D287" s="969"/>
      <c r="E287" s="969"/>
      <c r="F287" s="969"/>
      <c r="G287" s="969"/>
      <c r="H287" s="969"/>
      <c r="I287" s="969"/>
      <c r="J287" s="969"/>
    </row>
    <row r="288">
      <c r="A288" s="969"/>
      <c r="B288" s="969"/>
      <c r="C288" s="969"/>
      <c r="D288" s="969"/>
      <c r="E288" s="969"/>
      <c r="F288" s="969"/>
      <c r="G288" s="969"/>
      <c r="H288" s="969"/>
      <c r="I288" s="969"/>
      <c r="J288" s="969"/>
    </row>
    <row r="289">
      <c r="A289" s="969"/>
      <c r="B289" s="969"/>
      <c r="C289" s="969"/>
      <c r="D289" s="969"/>
      <c r="E289" s="969"/>
      <c r="F289" s="969"/>
      <c r="G289" s="969"/>
      <c r="H289" s="969"/>
      <c r="I289" s="969"/>
      <c r="J289" s="969"/>
    </row>
    <row r="290">
      <c r="A290" s="969"/>
      <c r="B290" s="969"/>
      <c r="C290" s="969"/>
      <c r="D290" s="969"/>
      <c r="E290" s="969"/>
      <c r="F290" s="969"/>
      <c r="G290" s="969"/>
      <c r="H290" s="969"/>
      <c r="I290" s="969"/>
      <c r="J290" s="969"/>
    </row>
    <row r="291">
      <c r="A291" s="969"/>
      <c r="B291" s="969"/>
      <c r="C291" s="969"/>
      <c r="D291" s="969"/>
      <c r="E291" s="969"/>
      <c r="F291" s="969"/>
      <c r="G291" s="969"/>
      <c r="H291" s="969"/>
      <c r="I291" s="969"/>
      <c r="J291" s="969"/>
    </row>
    <row r="292">
      <c r="A292" s="969"/>
      <c r="B292" s="969"/>
      <c r="C292" s="969"/>
      <c r="D292" s="969"/>
      <c r="E292" s="969"/>
      <c r="F292" s="969"/>
      <c r="G292" s="969"/>
      <c r="H292" s="969"/>
      <c r="I292" s="969"/>
      <c r="J292" s="969"/>
    </row>
    <row r="293">
      <c r="A293" s="969"/>
      <c r="B293" s="969"/>
      <c r="C293" s="969"/>
      <c r="D293" s="969"/>
      <c r="E293" s="969"/>
      <c r="F293" s="969"/>
      <c r="G293" s="969"/>
      <c r="H293" s="969"/>
      <c r="I293" s="969"/>
      <c r="J293" s="969"/>
    </row>
    <row r="294">
      <c r="A294" s="969"/>
      <c r="B294" s="969"/>
      <c r="C294" s="969"/>
      <c r="D294" s="969"/>
      <c r="E294" s="969"/>
      <c r="F294" s="969"/>
      <c r="G294" s="969"/>
      <c r="H294" s="969"/>
      <c r="I294" s="969"/>
      <c r="J294" s="969"/>
    </row>
    <row r="295">
      <c r="A295" s="969"/>
      <c r="B295" s="969"/>
      <c r="C295" s="969"/>
      <c r="D295" s="969"/>
      <c r="E295" s="969"/>
      <c r="F295" s="969"/>
      <c r="G295" s="969"/>
      <c r="H295" s="969"/>
      <c r="I295" s="969"/>
      <c r="J295" s="969"/>
    </row>
    <row r="296">
      <c r="A296" s="969"/>
      <c r="B296" s="969"/>
      <c r="C296" s="969"/>
      <c r="D296" s="969"/>
      <c r="E296" s="969"/>
      <c r="F296" s="969"/>
      <c r="G296" s="969"/>
      <c r="H296" s="969"/>
      <c r="I296" s="969"/>
      <c r="J296" s="969"/>
    </row>
    <row r="297">
      <c r="A297" s="969"/>
      <c r="B297" s="969"/>
      <c r="C297" s="969"/>
      <c r="D297" s="969"/>
      <c r="E297" s="969"/>
      <c r="F297" s="969"/>
      <c r="G297" s="969"/>
      <c r="H297" s="969"/>
      <c r="I297" s="969"/>
      <c r="J297" s="969"/>
    </row>
    <row r="298">
      <c r="A298" s="969"/>
      <c r="B298" s="969"/>
      <c r="C298" s="969"/>
      <c r="D298" s="969"/>
      <c r="E298" s="969"/>
      <c r="F298" s="969"/>
      <c r="G298" s="969"/>
      <c r="H298" s="969"/>
      <c r="I298" s="969"/>
      <c r="J298" s="969"/>
    </row>
    <row r="299">
      <c r="A299" s="969"/>
      <c r="B299" s="969"/>
      <c r="C299" s="969"/>
      <c r="D299" s="969"/>
      <c r="E299" s="969"/>
      <c r="F299" s="969"/>
      <c r="G299" s="969"/>
      <c r="H299" s="969"/>
      <c r="I299" s="969"/>
      <c r="J299" s="969"/>
    </row>
    <row r="300">
      <c r="A300" s="969"/>
      <c r="B300" s="969"/>
      <c r="C300" s="969"/>
      <c r="D300" s="969"/>
      <c r="E300" s="969"/>
      <c r="F300" s="969"/>
      <c r="G300" s="969"/>
      <c r="H300" s="969"/>
      <c r="I300" s="969"/>
      <c r="J300" s="969"/>
    </row>
    <row r="301">
      <c r="A301" s="969"/>
      <c r="B301" s="969"/>
      <c r="C301" s="969"/>
      <c r="D301" s="969"/>
      <c r="E301" s="969"/>
      <c r="F301" s="969"/>
      <c r="G301" s="969"/>
      <c r="H301" s="969"/>
      <c r="I301" s="969"/>
      <c r="J301" s="969"/>
    </row>
    <row r="302">
      <c r="A302" s="969"/>
      <c r="B302" s="969"/>
      <c r="C302" s="969"/>
      <c r="D302" s="969"/>
      <c r="E302" s="969"/>
      <c r="F302" s="969"/>
      <c r="G302" s="969"/>
      <c r="H302" s="969"/>
      <c r="I302" s="969"/>
      <c r="J302" s="969"/>
    </row>
    <row r="303">
      <c r="A303" s="969"/>
      <c r="B303" s="969"/>
      <c r="C303" s="969"/>
      <c r="D303" s="969"/>
      <c r="E303" s="969"/>
      <c r="F303" s="969"/>
      <c r="G303" s="969"/>
      <c r="H303" s="969"/>
      <c r="I303" s="969"/>
      <c r="J303" s="969"/>
    </row>
    <row r="304">
      <c r="A304" s="969"/>
      <c r="B304" s="969"/>
      <c r="C304" s="969"/>
      <c r="D304" s="969"/>
      <c r="E304" s="969"/>
      <c r="F304" s="969"/>
      <c r="G304" s="969"/>
      <c r="H304" s="969"/>
      <c r="I304" s="969"/>
      <c r="J304" s="969"/>
    </row>
    <row r="305">
      <c r="A305" s="969"/>
      <c r="B305" s="969"/>
      <c r="C305" s="969"/>
      <c r="D305" s="969"/>
      <c r="E305" s="969"/>
      <c r="F305" s="969"/>
      <c r="G305" s="969"/>
      <c r="H305" s="969"/>
      <c r="I305" s="969"/>
      <c r="J305" s="969"/>
    </row>
    <row r="306">
      <c r="A306" s="969"/>
      <c r="B306" s="969"/>
      <c r="C306" s="969"/>
      <c r="D306" s="969"/>
      <c r="E306" s="969"/>
      <c r="F306" s="969"/>
      <c r="G306" s="969"/>
      <c r="H306" s="969"/>
      <c r="I306" s="969"/>
      <c r="J306" s="969"/>
    </row>
    <row r="307">
      <c r="A307" s="969"/>
      <c r="B307" s="969"/>
      <c r="C307" s="969"/>
      <c r="D307" s="969"/>
      <c r="E307" s="969"/>
      <c r="F307" s="969"/>
      <c r="G307" s="969"/>
      <c r="H307" s="969"/>
      <c r="I307" s="969"/>
      <c r="J307" s="969"/>
    </row>
    <row r="308">
      <c r="A308" s="969"/>
      <c r="B308" s="969"/>
      <c r="C308" s="969"/>
      <c r="D308" s="969"/>
      <c r="E308" s="969"/>
      <c r="F308" s="969"/>
      <c r="G308" s="969"/>
      <c r="H308" s="969"/>
      <c r="I308" s="969"/>
      <c r="J308" s="969"/>
    </row>
    <row r="309">
      <c r="A309" s="969"/>
      <c r="B309" s="969"/>
      <c r="C309" s="969"/>
      <c r="D309" s="969"/>
      <c r="E309" s="969"/>
      <c r="F309" s="969"/>
      <c r="G309" s="969"/>
      <c r="H309" s="969"/>
      <c r="I309" s="969"/>
      <c r="J309" s="969"/>
    </row>
    <row r="310">
      <c r="A310" s="969"/>
      <c r="B310" s="969"/>
      <c r="C310" s="969"/>
      <c r="D310" s="969"/>
      <c r="E310" s="969"/>
      <c r="F310" s="969"/>
      <c r="G310" s="969"/>
      <c r="H310" s="969"/>
      <c r="I310" s="969"/>
      <c r="J310" s="969"/>
    </row>
    <row r="311">
      <c r="A311" s="969"/>
      <c r="B311" s="969"/>
      <c r="C311" s="969"/>
      <c r="D311" s="969"/>
      <c r="E311" s="969"/>
      <c r="F311" s="969"/>
      <c r="G311" s="969"/>
      <c r="H311" s="969"/>
      <c r="I311" s="969"/>
      <c r="J311" s="969"/>
    </row>
    <row r="312">
      <c r="A312" s="969"/>
      <c r="B312" s="969"/>
      <c r="C312" s="969"/>
      <c r="D312" s="969"/>
      <c r="E312" s="969"/>
      <c r="F312" s="969"/>
      <c r="G312" s="969"/>
      <c r="H312" s="969"/>
      <c r="I312" s="969"/>
      <c r="J312" s="969"/>
    </row>
    <row r="313">
      <c r="A313" s="969"/>
      <c r="B313" s="969"/>
      <c r="C313" s="969"/>
      <c r="D313" s="969"/>
      <c r="E313" s="969"/>
      <c r="F313" s="969"/>
      <c r="G313" s="969"/>
      <c r="H313" s="969"/>
      <c r="I313" s="969"/>
      <c r="J313" s="969"/>
    </row>
    <row r="314">
      <c r="A314" s="969"/>
      <c r="B314" s="969"/>
      <c r="C314" s="969"/>
      <c r="D314" s="969"/>
      <c r="E314" s="969"/>
      <c r="F314" s="969"/>
      <c r="G314" s="969"/>
      <c r="H314" s="969"/>
      <c r="I314" s="969"/>
      <c r="J314" s="969"/>
    </row>
    <row r="315">
      <c r="A315" s="969"/>
      <c r="B315" s="969"/>
      <c r="C315" s="969"/>
      <c r="D315" s="969"/>
      <c r="E315" s="969"/>
      <c r="F315" s="969"/>
      <c r="G315" s="969"/>
      <c r="H315" s="969"/>
      <c r="I315" s="969"/>
      <c r="J315" s="969"/>
    </row>
    <row r="316">
      <c r="A316" s="969"/>
      <c r="B316" s="969"/>
      <c r="C316" s="969"/>
      <c r="D316" s="969"/>
      <c r="E316" s="969"/>
      <c r="F316" s="969"/>
      <c r="G316" s="969"/>
      <c r="H316" s="969"/>
      <c r="I316" s="969"/>
      <c r="J316" s="969"/>
    </row>
    <row r="317">
      <c r="A317" s="969"/>
      <c r="B317" s="969"/>
      <c r="C317" s="969"/>
      <c r="D317" s="969"/>
      <c r="E317" s="969"/>
      <c r="F317" s="969"/>
      <c r="G317" s="969"/>
      <c r="H317" s="969"/>
      <c r="I317" s="969"/>
      <c r="J317" s="969"/>
    </row>
    <row r="318">
      <c r="A318" s="969"/>
      <c r="B318" s="969"/>
      <c r="C318" s="969"/>
      <c r="D318" s="969"/>
      <c r="E318" s="969"/>
      <c r="F318" s="969"/>
      <c r="G318" s="969"/>
      <c r="H318" s="969"/>
      <c r="I318" s="969"/>
      <c r="J318" s="969"/>
    </row>
    <row r="319">
      <c r="A319" s="969"/>
      <c r="B319" s="969"/>
      <c r="C319" s="969"/>
      <c r="D319" s="969"/>
      <c r="E319" s="969"/>
      <c r="F319" s="969"/>
      <c r="G319" s="969"/>
      <c r="H319" s="969"/>
      <c r="I319" s="969"/>
      <c r="J319" s="969"/>
    </row>
    <row r="320">
      <c r="A320" s="969"/>
      <c r="B320" s="969"/>
      <c r="C320" s="969"/>
      <c r="D320" s="969"/>
      <c r="E320" s="969"/>
      <c r="F320" s="969"/>
      <c r="G320" s="969"/>
      <c r="H320" s="969"/>
      <c r="I320" s="969"/>
      <c r="J320" s="969"/>
    </row>
    <row r="321">
      <c r="A321" s="969"/>
      <c r="B321" s="969"/>
      <c r="C321" s="969"/>
      <c r="D321" s="969"/>
      <c r="E321" s="969"/>
      <c r="F321" s="969"/>
      <c r="G321" s="969"/>
      <c r="H321" s="969"/>
      <c r="I321" s="969"/>
      <c r="J321" s="969"/>
    </row>
    <row r="322">
      <c r="A322" s="969"/>
      <c r="B322" s="969"/>
      <c r="C322" s="969"/>
      <c r="D322" s="969"/>
      <c r="E322" s="969"/>
      <c r="F322" s="969"/>
      <c r="G322" s="969"/>
      <c r="H322" s="969"/>
      <c r="I322" s="969"/>
      <c r="J322" s="969"/>
    </row>
    <row r="323">
      <c r="A323" s="969"/>
      <c r="B323" s="969"/>
      <c r="C323" s="969"/>
      <c r="D323" s="969"/>
      <c r="E323" s="969"/>
      <c r="F323" s="969"/>
      <c r="G323" s="969"/>
      <c r="H323" s="969"/>
      <c r="I323" s="969"/>
      <c r="J323" s="969"/>
    </row>
    <row r="324">
      <c r="A324" s="969"/>
      <c r="B324" s="969"/>
      <c r="C324" s="969"/>
      <c r="D324" s="969"/>
      <c r="E324" s="969"/>
      <c r="F324" s="969"/>
      <c r="G324" s="969"/>
      <c r="H324" s="969"/>
      <c r="I324" s="969"/>
      <c r="J324" s="969"/>
    </row>
    <row r="325">
      <c r="A325" s="969"/>
      <c r="B325" s="969"/>
      <c r="C325" s="969"/>
      <c r="D325" s="969"/>
      <c r="E325" s="969"/>
      <c r="F325" s="969"/>
      <c r="G325" s="969"/>
      <c r="H325" s="969"/>
      <c r="I325" s="969"/>
      <c r="J325" s="969"/>
    </row>
    <row r="326">
      <c r="A326" s="969"/>
      <c r="B326" s="969"/>
      <c r="C326" s="969"/>
      <c r="D326" s="969"/>
      <c r="E326" s="969"/>
      <c r="F326" s="969"/>
      <c r="G326" s="969"/>
      <c r="H326" s="969"/>
      <c r="I326" s="969"/>
      <c r="J326" s="969"/>
    </row>
    <row r="327">
      <c r="A327" s="969"/>
      <c r="B327" s="969"/>
      <c r="C327" s="969"/>
      <c r="D327" s="969"/>
      <c r="E327" s="969"/>
      <c r="F327" s="969"/>
      <c r="G327" s="969"/>
      <c r="H327" s="969"/>
      <c r="I327" s="969"/>
      <c r="J327" s="969"/>
    </row>
    <row r="328">
      <c r="A328" s="969"/>
      <c r="B328" s="969"/>
      <c r="C328" s="969"/>
      <c r="D328" s="969"/>
      <c r="E328" s="969"/>
      <c r="F328" s="969"/>
      <c r="G328" s="969"/>
      <c r="H328" s="969"/>
      <c r="I328" s="969"/>
      <c r="J328" s="969"/>
    </row>
    <row r="329">
      <c r="A329" s="969"/>
      <c r="B329" s="969"/>
      <c r="C329" s="969"/>
      <c r="D329" s="969"/>
      <c r="E329" s="969"/>
      <c r="F329" s="969"/>
      <c r="G329" s="969"/>
      <c r="H329" s="969"/>
      <c r="I329" s="969"/>
      <c r="J329" s="969"/>
    </row>
    <row r="330">
      <c r="A330" s="969"/>
      <c r="B330" s="969"/>
      <c r="C330" s="969"/>
      <c r="D330" s="969"/>
      <c r="E330" s="969"/>
      <c r="F330" s="969"/>
      <c r="G330" s="969"/>
      <c r="H330" s="969"/>
      <c r="I330" s="969"/>
      <c r="J330" s="969"/>
    </row>
    <row r="331">
      <c r="A331" s="969"/>
      <c r="B331" s="969"/>
      <c r="C331" s="969"/>
      <c r="D331" s="969"/>
      <c r="E331" s="969"/>
      <c r="F331" s="969"/>
      <c r="G331" s="969"/>
      <c r="H331" s="969"/>
      <c r="I331" s="969"/>
      <c r="J331" s="969"/>
    </row>
    <row r="332">
      <c r="A332" s="969"/>
      <c r="B332" s="969"/>
      <c r="C332" s="969"/>
      <c r="D332" s="969"/>
      <c r="E332" s="969"/>
      <c r="F332" s="969"/>
      <c r="G332" s="969"/>
      <c r="H332" s="969"/>
      <c r="I332" s="969"/>
      <c r="J332" s="969"/>
    </row>
    <row r="333">
      <c r="A333" s="969"/>
      <c r="B333" s="969"/>
      <c r="C333" s="969"/>
      <c r="D333" s="969"/>
      <c r="E333" s="969"/>
      <c r="F333" s="969"/>
      <c r="G333" s="969"/>
      <c r="H333" s="969"/>
      <c r="I333" s="969"/>
      <c r="J333" s="969"/>
    </row>
    <row r="334">
      <c r="A334" s="969"/>
      <c r="B334" s="969"/>
      <c r="C334" s="969"/>
      <c r="D334" s="969"/>
      <c r="E334" s="969"/>
      <c r="F334" s="969"/>
      <c r="G334" s="969"/>
      <c r="H334" s="969"/>
      <c r="I334" s="969"/>
      <c r="J334" s="969"/>
    </row>
    <row r="335">
      <c r="A335" s="969"/>
      <c r="B335" s="969"/>
      <c r="C335" s="969"/>
      <c r="D335" s="969"/>
      <c r="E335" s="969"/>
      <c r="F335" s="969"/>
      <c r="G335" s="969"/>
      <c r="H335" s="969"/>
      <c r="I335" s="969"/>
      <c r="J335" s="969"/>
    </row>
    <row r="336">
      <c r="A336" s="969"/>
      <c r="B336" s="969"/>
      <c r="C336" s="969"/>
      <c r="D336" s="969"/>
      <c r="E336" s="969"/>
      <c r="F336" s="969"/>
      <c r="G336" s="969"/>
      <c r="H336" s="969"/>
      <c r="I336" s="969"/>
      <c r="J336" s="969"/>
    </row>
    <row r="337">
      <c r="A337" s="969"/>
      <c r="B337" s="969"/>
      <c r="C337" s="969"/>
      <c r="D337" s="969"/>
      <c r="E337" s="969"/>
      <c r="F337" s="969"/>
      <c r="G337" s="969"/>
      <c r="H337" s="969"/>
      <c r="I337" s="969"/>
      <c r="J337" s="969"/>
    </row>
    <row r="338">
      <c r="A338" s="969"/>
      <c r="B338" s="969"/>
      <c r="C338" s="969"/>
      <c r="D338" s="969"/>
      <c r="E338" s="969"/>
      <c r="F338" s="969"/>
      <c r="G338" s="969"/>
      <c r="H338" s="969"/>
      <c r="I338" s="969"/>
      <c r="J338" s="969"/>
    </row>
    <row r="339">
      <c r="A339" s="969"/>
      <c r="B339" s="969"/>
      <c r="C339" s="969"/>
      <c r="D339" s="969"/>
      <c r="E339" s="969"/>
      <c r="F339" s="969"/>
      <c r="G339" s="969"/>
      <c r="H339" s="969"/>
      <c r="I339" s="969"/>
      <c r="J339" s="969"/>
    </row>
    <row r="340">
      <c r="A340" s="969"/>
      <c r="B340" s="969"/>
      <c r="C340" s="969"/>
      <c r="D340" s="969"/>
      <c r="E340" s="969"/>
      <c r="F340" s="969"/>
      <c r="G340" s="969"/>
      <c r="H340" s="969"/>
      <c r="I340" s="969"/>
      <c r="J340" s="969"/>
    </row>
    <row r="341">
      <c r="A341" s="969"/>
      <c r="B341" s="969"/>
      <c r="C341" s="969"/>
      <c r="D341" s="969"/>
      <c r="E341" s="969"/>
      <c r="F341" s="969"/>
      <c r="G341" s="969"/>
      <c r="H341" s="969"/>
      <c r="I341" s="969"/>
      <c r="J341" s="969"/>
    </row>
    <row r="342">
      <c r="A342" s="969"/>
      <c r="B342" s="969"/>
      <c r="C342" s="969"/>
      <c r="D342" s="969"/>
      <c r="E342" s="969"/>
      <c r="F342" s="969"/>
      <c r="G342" s="969"/>
      <c r="H342" s="969"/>
      <c r="I342" s="969"/>
      <c r="J342" s="969"/>
    </row>
    <row r="343">
      <c r="A343" s="969"/>
      <c r="B343" s="969"/>
      <c r="C343" s="969"/>
      <c r="D343" s="969"/>
      <c r="E343" s="969"/>
      <c r="F343" s="969"/>
      <c r="G343" s="969"/>
      <c r="H343" s="969"/>
      <c r="I343" s="969"/>
      <c r="J343" s="969"/>
    </row>
    <row r="344">
      <c r="A344" s="969"/>
      <c r="B344" s="969"/>
      <c r="C344" s="969"/>
      <c r="D344" s="969"/>
      <c r="E344" s="969"/>
      <c r="F344" s="969"/>
      <c r="G344" s="969"/>
      <c r="H344" s="969"/>
      <c r="I344" s="969"/>
      <c r="J344" s="969"/>
    </row>
    <row r="345">
      <c r="A345" s="969"/>
      <c r="B345" s="969"/>
      <c r="C345" s="969"/>
      <c r="D345" s="969"/>
      <c r="E345" s="969"/>
      <c r="F345" s="969"/>
      <c r="G345" s="969"/>
      <c r="H345" s="969"/>
      <c r="I345" s="969"/>
      <c r="J345" s="969"/>
    </row>
    <row r="346">
      <c r="A346" s="969"/>
      <c r="B346" s="969"/>
      <c r="C346" s="969"/>
      <c r="D346" s="969"/>
      <c r="E346" s="969"/>
      <c r="F346" s="969"/>
      <c r="G346" s="969"/>
      <c r="H346" s="969"/>
      <c r="I346" s="969"/>
      <c r="J346" s="969"/>
    </row>
    <row r="347">
      <c r="A347" s="969"/>
      <c r="B347" s="969"/>
      <c r="C347" s="969"/>
      <c r="D347" s="969"/>
      <c r="E347" s="969"/>
      <c r="F347" s="969"/>
      <c r="G347" s="969"/>
      <c r="H347" s="969"/>
      <c r="I347" s="969"/>
      <c r="J347" s="969"/>
    </row>
    <row r="348">
      <c r="A348" s="969"/>
      <c r="B348" s="969"/>
      <c r="C348" s="969"/>
      <c r="D348" s="969"/>
      <c r="E348" s="969"/>
      <c r="F348" s="969"/>
      <c r="G348" s="969"/>
      <c r="H348" s="969"/>
      <c r="I348" s="969"/>
      <c r="J348" s="969"/>
    </row>
    <row r="349">
      <c r="A349" s="969"/>
      <c r="B349" s="969"/>
      <c r="C349" s="969"/>
      <c r="D349" s="969"/>
      <c r="E349" s="969"/>
      <c r="F349" s="969"/>
      <c r="G349" s="969"/>
      <c r="H349" s="969"/>
      <c r="I349" s="969"/>
      <c r="J349" s="969"/>
    </row>
    <row r="350">
      <c r="A350" s="969"/>
      <c r="B350" s="969"/>
      <c r="C350" s="969"/>
      <c r="D350" s="969"/>
      <c r="E350" s="969"/>
      <c r="F350" s="969"/>
      <c r="G350" s="969"/>
      <c r="H350" s="969"/>
      <c r="I350" s="969"/>
      <c r="J350" s="969"/>
    </row>
    <row r="351">
      <c r="A351" s="969"/>
      <c r="B351" s="969"/>
      <c r="C351" s="969"/>
      <c r="D351" s="969"/>
      <c r="E351" s="969"/>
      <c r="F351" s="969"/>
      <c r="G351" s="969"/>
      <c r="H351" s="969"/>
      <c r="I351" s="969"/>
      <c r="J351" s="969"/>
    </row>
    <row r="352">
      <c r="A352" s="969"/>
      <c r="B352" s="969"/>
      <c r="C352" s="969"/>
      <c r="D352" s="969"/>
      <c r="E352" s="969"/>
      <c r="F352" s="969"/>
      <c r="G352" s="969"/>
      <c r="H352" s="969"/>
      <c r="I352" s="969"/>
      <c r="J352" s="969"/>
    </row>
    <row r="353">
      <c r="A353" s="969"/>
      <c r="B353" s="969"/>
      <c r="C353" s="969"/>
      <c r="D353" s="969"/>
      <c r="E353" s="969"/>
      <c r="F353" s="969"/>
      <c r="G353" s="969"/>
      <c r="H353" s="969"/>
      <c r="I353" s="969"/>
      <c r="J353" s="969"/>
    </row>
    <row r="354">
      <c r="A354" s="969"/>
      <c r="B354" s="969"/>
      <c r="C354" s="969"/>
      <c r="D354" s="969"/>
      <c r="E354" s="969"/>
      <c r="F354" s="969"/>
      <c r="G354" s="969"/>
      <c r="H354" s="969"/>
      <c r="I354" s="969"/>
      <c r="J354" s="969"/>
    </row>
    <row r="355">
      <c r="A355" s="969"/>
      <c r="B355" s="969"/>
      <c r="C355" s="969"/>
      <c r="D355" s="969"/>
      <c r="E355" s="969"/>
      <c r="F355" s="969"/>
      <c r="G355" s="969"/>
      <c r="H355" s="969"/>
      <c r="I355" s="969"/>
      <c r="J355" s="969"/>
    </row>
    <row r="356">
      <c r="A356" s="969"/>
      <c r="B356" s="969"/>
      <c r="C356" s="969"/>
      <c r="D356" s="969"/>
      <c r="E356" s="969"/>
      <c r="F356" s="969"/>
      <c r="G356" s="969"/>
      <c r="H356" s="969"/>
      <c r="I356" s="969"/>
      <c r="J356" s="969"/>
    </row>
    <row r="357">
      <c r="A357" s="969"/>
      <c r="B357" s="969"/>
      <c r="C357" s="969"/>
      <c r="D357" s="969"/>
      <c r="E357" s="969"/>
      <c r="F357" s="969"/>
      <c r="G357" s="969"/>
      <c r="H357" s="969"/>
      <c r="I357" s="969"/>
      <c r="J357" s="969"/>
    </row>
    <row r="358">
      <c r="A358" s="969"/>
      <c r="B358" s="969"/>
      <c r="C358" s="969"/>
      <c r="D358" s="969"/>
      <c r="E358" s="969"/>
      <c r="F358" s="969"/>
      <c r="G358" s="969"/>
      <c r="H358" s="969"/>
      <c r="I358" s="969"/>
      <c r="J358" s="969"/>
    </row>
    <row r="359">
      <c r="A359" s="969"/>
      <c r="B359" s="969"/>
      <c r="C359" s="969"/>
      <c r="D359" s="969"/>
      <c r="E359" s="969"/>
      <c r="F359" s="969"/>
      <c r="G359" s="969"/>
      <c r="H359" s="969"/>
      <c r="I359" s="969"/>
      <c r="J359" s="969"/>
    </row>
    <row r="360">
      <c r="A360" s="969"/>
      <c r="B360" s="969"/>
      <c r="C360" s="969"/>
      <c r="D360" s="969"/>
      <c r="E360" s="969"/>
      <c r="F360" s="969"/>
      <c r="G360" s="969"/>
      <c r="H360" s="969"/>
      <c r="I360" s="969"/>
      <c r="J360" s="969"/>
    </row>
    <row r="361">
      <c r="A361" s="969"/>
      <c r="B361" s="969"/>
      <c r="C361" s="969"/>
      <c r="D361" s="969"/>
      <c r="E361" s="969"/>
      <c r="F361" s="969"/>
      <c r="G361" s="969"/>
      <c r="H361" s="969"/>
      <c r="I361" s="969"/>
      <c r="J361" s="969"/>
    </row>
    <row r="362">
      <c r="A362" s="969"/>
      <c r="B362" s="969"/>
      <c r="C362" s="969"/>
      <c r="D362" s="969"/>
      <c r="E362" s="969"/>
      <c r="F362" s="969"/>
      <c r="G362" s="969"/>
      <c r="H362" s="969"/>
      <c r="I362" s="969"/>
      <c r="J362" s="969"/>
    </row>
    <row r="363">
      <c r="A363" s="969"/>
      <c r="B363" s="969"/>
      <c r="C363" s="969"/>
      <c r="D363" s="969"/>
      <c r="E363" s="969"/>
      <c r="F363" s="969"/>
      <c r="G363" s="969"/>
      <c r="H363" s="969"/>
      <c r="I363" s="969"/>
      <c r="J363" s="969"/>
    </row>
    <row r="364">
      <c r="A364" s="969"/>
      <c r="B364" s="969"/>
      <c r="C364" s="969"/>
      <c r="D364" s="969"/>
      <c r="E364" s="969"/>
      <c r="F364" s="969"/>
      <c r="G364" s="969"/>
      <c r="H364" s="969"/>
      <c r="I364" s="969"/>
      <c r="J364" s="969"/>
    </row>
    <row r="365">
      <c r="A365" s="969"/>
      <c r="B365" s="969"/>
      <c r="C365" s="969"/>
      <c r="D365" s="969"/>
      <c r="E365" s="969"/>
      <c r="F365" s="969"/>
      <c r="G365" s="969"/>
      <c r="H365" s="969"/>
      <c r="I365" s="969"/>
      <c r="J365" s="969"/>
    </row>
    <row r="366">
      <c r="A366" s="969"/>
      <c r="B366" s="969"/>
      <c r="C366" s="969"/>
      <c r="D366" s="969"/>
      <c r="E366" s="969"/>
      <c r="F366" s="969"/>
      <c r="G366" s="969"/>
      <c r="H366" s="969"/>
      <c r="I366" s="969"/>
      <c r="J366" s="969"/>
    </row>
    <row r="367">
      <c r="A367" s="969"/>
      <c r="B367" s="969"/>
      <c r="C367" s="969"/>
      <c r="D367" s="969"/>
      <c r="E367" s="969"/>
      <c r="F367" s="969"/>
      <c r="G367" s="969"/>
      <c r="H367" s="969"/>
      <c r="I367" s="969"/>
      <c r="J367" s="969"/>
    </row>
    <row r="368">
      <c r="A368" s="969"/>
      <c r="B368" s="969"/>
      <c r="C368" s="969"/>
      <c r="D368" s="969"/>
      <c r="E368" s="969"/>
      <c r="F368" s="969"/>
      <c r="G368" s="969"/>
      <c r="H368" s="969"/>
      <c r="I368" s="969"/>
      <c r="J368" s="969"/>
    </row>
    <row r="369">
      <c r="A369" s="969"/>
      <c r="B369" s="969"/>
      <c r="C369" s="969"/>
      <c r="D369" s="969"/>
      <c r="E369" s="969"/>
      <c r="F369" s="969"/>
      <c r="G369" s="969"/>
      <c r="H369" s="969"/>
      <c r="I369" s="969"/>
      <c r="J369" s="969"/>
    </row>
    <row r="370">
      <c r="A370" s="969"/>
      <c r="B370" s="969"/>
      <c r="C370" s="969"/>
      <c r="D370" s="969"/>
      <c r="E370" s="969"/>
      <c r="F370" s="969"/>
      <c r="G370" s="969"/>
      <c r="H370" s="969"/>
      <c r="I370" s="969"/>
      <c r="J370" s="969"/>
    </row>
    <row r="371">
      <c r="A371" s="969"/>
      <c r="B371" s="969"/>
      <c r="C371" s="969"/>
      <c r="D371" s="969"/>
      <c r="E371" s="969"/>
      <c r="F371" s="969"/>
      <c r="G371" s="969"/>
      <c r="H371" s="969"/>
      <c r="I371" s="969"/>
      <c r="J371" s="969"/>
    </row>
    <row r="372">
      <c r="A372" s="969"/>
      <c r="B372" s="969"/>
      <c r="C372" s="969"/>
      <c r="D372" s="969"/>
      <c r="E372" s="969"/>
      <c r="F372" s="969"/>
      <c r="G372" s="969"/>
      <c r="H372" s="969"/>
      <c r="I372" s="969"/>
      <c r="J372" s="969"/>
    </row>
    <row r="373">
      <c r="A373" s="969"/>
      <c r="B373" s="969"/>
      <c r="C373" s="969"/>
      <c r="D373" s="969"/>
      <c r="E373" s="969"/>
      <c r="F373" s="969"/>
      <c r="G373" s="969"/>
      <c r="H373" s="969"/>
      <c r="I373" s="969"/>
      <c r="J373" s="969"/>
    </row>
    <row r="374">
      <c r="A374" s="969"/>
      <c r="B374" s="969"/>
      <c r="C374" s="969"/>
      <c r="D374" s="969"/>
      <c r="E374" s="969"/>
      <c r="F374" s="969"/>
      <c r="G374" s="969"/>
      <c r="H374" s="969"/>
      <c r="I374" s="969"/>
      <c r="J374" s="969"/>
    </row>
    <row r="375">
      <c r="A375" s="969"/>
      <c r="B375" s="969"/>
      <c r="C375" s="969"/>
      <c r="D375" s="969"/>
      <c r="E375" s="969"/>
      <c r="F375" s="969"/>
      <c r="G375" s="969"/>
      <c r="H375" s="969"/>
      <c r="I375" s="969"/>
      <c r="J375" s="969"/>
    </row>
    <row r="376">
      <c r="A376" s="969"/>
      <c r="B376" s="969"/>
      <c r="C376" s="969"/>
      <c r="D376" s="969"/>
      <c r="E376" s="969"/>
      <c r="F376" s="969"/>
      <c r="G376" s="969"/>
      <c r="H376" s="969"/>
      <c r="I376" s="969"/>
      <c r="J376" s="969"/>
    </row>
    <row r="377">
      <c r="A377" s="969"/>
      <c r="B377" s="969"/>
      <c r="C377" s="969"/>
      <c r="D377" s="969"/>
      <c r="E377" s="969"/>
      <c r="F377" s="969"/>
      <c r="G377" s="969"/>
      <c r="H377" s="969"/>
      <c r="I377" s="969"/>
      <c r="J377" s="969"/>
    </row>
    <row r="378">
      <c r="A378" s="969"/>
      <c r="B378" s="969"/>
      <c r="C378" s="969"/>
      <c r="D378" s="969"/>
      <c r="E378" s="969"/>
      <c r="F378" s="969"/>
      <c r="G378" s="969"/>
      <c r="H378" s="969"/>
      <c r="I378" s="969"/>
      <c r="J378" s="969"/>
    </row>
    <row r="379">
      <c r="A379" s="969"/>
      <c r="B379" s="969"/>
      <c r="C379" s="969"/>
      <c r="D379" s="969"/>
      <c r="E379" s="969"/>
      <c r="F379" s="969"/>
      <c r="G379" s="969"/>
      <c r="H379" s="969"/>
      <c r="I379" s="969"/>
      <c r="J379" s="969"/>
    </row>
    <row r="380">
      <c r="A380" s="969"/>
      <c r="B380" s="969"/>
      <c r="C380" s="969"/>
      <c r="D380" s="969"/>
      <c r="E380" s="969"/>
      <c r="F380" s="969"/>
      <c r="G380" s="969"/>
      <c r="H380" s="969"/>
      <c r="I380" s="969"/>
      <c r="J380" s="969"/>
    </row>
    <row r="381">
      <c r="A381" s="969"/>
      <c r="B381" s="969"/>
      <c r="C381" s="969"/>
      <c r="D381" s="969"/>
      <c r="E381" s="969"/>
      <c r="F381" s="969"/>
      <c r="G381" s="969"/>
      <c r="H381" s="969"/>
      <c r="I381" s="969"/>
      <c r="J381" s="969"/>
    </row>
    <row r="382">
      <c r="A382" s="969"/>
      <c r="B382" s="969"/>
      <c r="C382" s="969"/>
      <c r="D382" s="969"/>
      <c r="E382" s="969"/>
      <c r="F382" s="969"/>
      <c r="G382" s="969"/>
      <c r="H382" s="969"/>
      <c r="I382" s="969"/>
      <c r="J382" s="969"/>
    </row>
    <row r="383">
      <c r="A383" s="969"/>
      <c r="B383" s="969"/>
      <c r="C383" s="969"/>
      <c r="D383" s="969"/>
      <c r="E383" s="969"/>
      <c r="F383" s="969"/>
      <c r="G383" s="969"/>
      <c r="H383" s="969"/>
      <c r="I383" s="969"/>
      <c r="J383" s="969"/>
    </row>
    <row r="384">
      <c r="A384" s="969"/>
      <c r="B384" s="969"/>
      <c r="C384" s="969"/>
      <c r="D384" s="969"/>
      <c r="E384" s="969"/>
      <c r="F384" s="969"/>
      <c r="G384" s="969"/>
      <c r="H384" s="969"/>
      <c r="I384" s="969"/>
      <c r="J384" s="969"/>
    </row>
    <row r="385">
      <c r="A385" s="969"/>
      <c r="B385" s="969"/>
      <c r="C385" s="969"/>
      <c r="D385" s="969"/>
      <c r="E385" s="969"/>
      <c r="F385" s="969"/>
      <c r="G385" s="969"/>
      <c r="H385" s="969"/>
      <c r="I385" s="969"/>
      <c r="J385" s="969"/>
    </row>
    <row r="386">
      <c r="A386" s="969"/>
      <c r="B386" s="969"/>
      <c r="C386" s="969"/>
      <c r="D386" s="969"/>
      <c r="E386" s="969"/>
      <c r="F386" s="969"/>
      <c r="G386" s="969"/>
      <c r="H386" s="969"/>
      <c r="I386" s="969"/>
      <c r="J386" s="969"/>
    </row>
    <row r="387">
      <c r="A387" s="969"/>
      <c r="B387" s="969"/>
      <c r="C387" s="969"/>
      <c r="D387" s="969"/>
      <c r="E387" s="969"/>
      <c r="F387" s="969"/>
      <c r="G387" s="969"/>
      <c r="H387" s="969"/>
      <c r="I387" s="969"/>
      <c r="J387" s="969"/>
    </row>
    <row r="388">
      <c r="A388" s="969"/>
      <c r="B388" s="969"/>
      <c r="C388" s="969"/>
      <c r="D388" s="969"/>
      <c r="E388" s="969"/>
      <c r="F388" s="969"/>
      <c r="G388" s="969"/>
      <c r="H388" s="969"/>
      <c r="I388" s="969"/>
      <c r="J388" s="969"/>
    </row>
    <row r="389">
      <c r="A389" s="969"/>
      <c r="B389" s="969"/>
      <c r="C389" s="969"/>
      <c r="D389" s="969"/>
      <c r="E389" s="969"/>
      <c r="F389" s="969"/>
      <c r="G389" s="969"/>
      <c r="H389" s="969"/>
      <c r="I389" s="969"/>
      <c r="J389" s="969"/>
    </row>
    <row r="390">
      <c r="A390" s="969"/>
      <c r="B390" s="969"/>
      <c r="C390" s="969"/>
      <c r="D390" s="969"/>
      <c r="E390" s="969"/>
      <c r="F390" s="969"/>
      <c r="G390" s="969"/>
      <c r="H390" s="969"/>
      <c r="I390" s="969"/>
      <c r="J390" s="969"/>
    </row>
    <row r="391">
      <c r="A391" s="969"/>
      <c r="B391" s="969"/>
      <c r="C391" s="969"/>
      <c r="D391" s="969"/>
      <c r="E391" s="969"/>
      <c r="F391" s="969"/>
      <c r="G391" s="969"/>
      <c r="H391" s="969"/>
      <c r="I391" s="969"/>
      <c r="J391" s="969"/>
    </row>
    <row r="392">
      <c r="A392" s="969"/>
      <c r="B392" s="969"/>
      <c r="C392" s="969"/>
      <c r="D392" s="969"/>
      <c r="E392" s="969"/>
      <c r="F392" s="969"/>
      <c r="G392" s="969"/>
      <c r="H392" s="969"/>
      <c r="I392" s="969"/>
      <c r="J392" s="969"/>
    </row>
    <row r="393">
      <c r="A393" s="969"/>
      <c r="B393" s="969"/>
      <c r="C393" s="969"/>
      <c r="D393" s="969"/>
      <c r="E393" s="969"/>
      <c r="F393" s="969"/>
      <c r="G393" s="969"/>
      <c r="H393" s="969"/>
      <c r="I393" s="969"/>
      <c r="J393" s="969"/>
    </row>
    <row r="394">
      <c r="A394" s="969"/>
      <c r="B394" s="969"/>
      <c r="C394" s="969"/>
      <c r="D394" s="969"/>
      <c r="E394" s="969"/>
      <c r="F394" s="969"/>
      <c r="G394" s="969"/>
      <c r="H394" s="969"/>
      <c r="I394" s="969"/>
      <c r="J394" s="969"/>
    </row>
    <row r="395">
      <c r="A395" s="969"/>
      <c r="B395" s="969"/>
      <c r="C395" s="969"/>
      <c r="D395" s="969"/>
      <c r="E395" s="969"/>
      <c r="F395" s="969"/>
      <c r="G395" s="969"/>
      <c r="H395" s="969"/>
      <c r="I395" s="969"/>
      <c r="J395" s="969"/>
    </row>
    <row r="396">
      <c r="A396" s="969"/>
      <c r="B396" s="969"/>
      <c r="C396" s="969"/>
      <c r="D396" s="969"/>
      <c r="E396" s="969"/>
      <c r="F396" s="969"/>
      <c r="G396" s="969"/>
      <c r="H396" s="969"/>
      <c r="I396" s="969"/>
      <c r="J396" s="969"/>
    </row>
    <row r="397">
      <c r="A397" s="969"/>
      <c r="B397" s="969"/>
      <c r="C397" s="969"/>
      <c r="D397" s="969"/>
      <c r="E397" s="969"/>
      <c r="F397" s="969"/>
      <c r="G397" s="969"/>
      <c r="H397" s="969"/>
      <c r="I397" s="969"/>
      <c r="J397" s="969"/>
    </row>
    <row r="398">
      <c r="A398" s="969"/>
      <c r="B398" s="969"/>
      <c r="C398" s="969"/>
      <c r="D398" s="969"/>
      <c r="E398" s="969"/>
      <c r="F398" s="969"/>
      <c r="G398" s="969"/>
      <c r="H398" s="969"/>
      <c r="I398" s="969"/>
      <c r="J398" s="969"/>
    </row>
    <row r="399">
      <c r="A399" s="969"/>
      <c r="B399" s="969"/>
      <c r="C399" s="969"/>
      <c r="D399" s="969"/>
      <c r="E399" s="969"/>
      <c r="F399" s="969"/>
      <c r="G399" s="969"/>
      <c r="H399" s="969"/>
      <c r="I399" s="969"/>
      <c r="J399" s="969"/>
    </row>
    <row r="400">
      <c r="A400" s="969"/>
      <c r="B400" s="969"/>
      <c r="C400" s="969"/>
      <c r="D400" s="969"/>
      <c r="E400" s="969"/>
      <c r="F400" s="969"/>
      <c r="G400" s="969"/>
      <c r="H400" s="969"/>
      <c r="I400" s="969"/>
      <c r="J400" s="969"/>
    </row>
    <row r="401">
      <c r="A401" s="969"/>
      <c r="B401" s="969"/>
      <c r="C401" s="969"/>
      <c r="D401" s="969"/>
      <c r="E401" s="969"/>
      <c r="F401" s="969"/>
      <c r="G401" s="969"/>
      <c r="H401" s="969"/>
      <c r="I401" s="969"/>
      <c r="J401" s="969"/>
    </row>
    <row r="402">
      <c r="A402" s="969"/>
      <c r="B402" s="969"/>
      <c r="C402" s="969"/>
      <c r="D402" s="969"/>
      <c r="E402" s="969"/>
      <c r="F402" s="969"/>
      <c r="G402" s="969"/>
      <c r="H402" s="969"/>
      <c r="I402" s="969"/>
      <c r="J402" s="969"/>
    </row>
    <row r="403">
      <c r="A403" s="969"/>
      <c r="B403" s="969"/>
      <c r="C403" s="969"/>
      <c r="D403" s="969"/>
      <c r="E403" s="969"/>
      <c r="F403" s="969"/>
      <c r="G403" s="969"/>
      <c r="H403" s="969"/>
      <c r="I403" s="969"/>
      <c r="J403" s="969"/>
    </row>
    <row r="404">
      <c r="A404" s="969"/>
      <c r="B404" s="969"/>
      <c r="C404" s="969"/>
      <c r="D404" s="969"/>
      <c r="E404" s="969"/>
      <c r="F404" s="969"/>
      <c r="G404" s="969"/>
      <c r="H404" s="969"/>
      <c r="I404" s="969"/>
      <c r="J404" s="969"/>
    </row>
    <row r="405">
      <c r="A405" s="969"/>
      <c r="B405" s="969"/>
      <c r="C405" s="969"/>
      <c r="D405" s="969"/>
      <c r="E405" s="969"/>
      <c r="F405" s="969"/>
      <c r="G405" s="969"/>
      <c r="H405" s="969"/>
      <c r="I405" s="969"/>
      <c r="J405" s="969"/>
    </row>
    <row r="406">
      <c r="A406" s="969"/>
      <c r="B406" s="969"/>
      <c r="C406" s="969"/>
      <c r="D406" s="969"/>
      <c r="E406" s="969"/>
      <c r="F406" s="969"/>
      <c r="G406" s="969"/>
      <c r="H406" s="969"/>
      <c r="I406" s="969"/>
      <c r="J406" s="969"/>
    </row>
    <row r="407">
      <c r="A407" s="969"/>
      <c r="B407" s="969"/>
      <c r="C407" s="969"/>
      <c r="D407" s="969"/>
      <c r="E407" s="969"/>
      <c r="F407" s="969"/>
      <c r="G407" s="969"/>
      <c r="H407" s="969"/>
      <c r="I407" s="969"/>
      <c r="J407" s="969"/>
    </row>
    <row r="408">
      <c r="A408" s="969"/>
      <c r="B408" s="969"/>
      <c r="C408" s="969"/>
      <c r="D408" s="969"/>
      <c r="E408" s="969"/>
      <c r="F408" s="969"/>
      <c r="G408" s="969"/>
      <c r="H408" s="969"/>
      <c r="I408" s="969"/>
      <c r="J408" s="969"/>
    </row>
    <row r="409">
      <c r="A409" s="969"/>
      <c r="B409" s="969"/>
      <c r="C409" s="969"/>
      <c r="D409" s="969"/>
      <c r="E409" s="969"/>
      <c r="F409" s="969"/>
      <c r="G409" s="969"/>
      <c r="H409" s="969"/>
      <c r="I409" s="969"/>
      <c r="J409" s="969"/>
    </row>
    <row r="410">
      <c r="A410" s="969"/>
      <c r="B410" s="969"/>
      <c r="C410" s="969"/>
      <c r="D410" s="969"/>
      <c r="E410" s="969"/>
      <c r="F410" s="969"/>
      <c r="G410" s="969"/>
      <c r="H410" s="969"/>
      <c r="I410" s="969"/>
      <c r="J410" s="969"/>
    </row>
    <row r="411">
      <c r="A411" s="969"/>
      <c r="B411" s="969"/>
      <c r="C411" s="969"/>
      <c r="D411" s="969"/>
      <c r="E411" s="969"/>
      <c r="F411" s="969"/>
      <c r="G411" s="969"/>
      <c r="H411" s="969"/>
      <c r="I411" s="969"/>
      <c r="J411" s="969"/>
    </row>
    <row r="412">
      <c r="A412" s="969"/>
      <c r="B412" s="969"/>
      <c r="C412" s="969"/>
      <c r="D412" s="969"/>
      <c r="E412" s="969"/>
      <c r="F412" s="969"/>
      <c r="G412" s="969"/>
      <c r="H412" s="969"/>
      <c r="I412" s="969"/>
      <c r="J412" s="969"/>
    </row>
    <row r="413">
      <c r="A413" s="969"/>
      <c r="B413" s="969"/>
      <c r="C413" s="969"/>
      <c r="D413" s="969"/>
      <c r="E413" s="969"/>
      <c r="F413" s="969"/>
      <c r="G413" s="969"/>
      <c r="H413" s="969"/>
      <c r="I413" s="969"/>
      <c r="J413" s="969"/>
    </row>
    <row r="414">
      <c r="A414" s="969"/>
      <c r="B414" s="969"/>
      <c r="C414" s="969"/>
      <c r="D414" s="969"/>
      <c r="E414" s="969"/>
      <c r="F414" s="969"/>
      <c r="G414" s="969"/>
      <c r="H414" s="969"/>
      <c r="I414" s="969"/>
      <c r="J414" s="969"/>
    </row>
    <row r="415">
      <c r="A415" s="969"/>
      <c r="B415" s="969"/>
      <c r="C415" s="969"/>
      <c r="D415" s="969"/>
      <c r="E415" s="969"/>
      <c r="F415" s="969"/>
      <c r="G415" s="969"/>
      <c r="H415" s="969"/>
      <c r="I415" s="969"/>
      <c r="J415" s="969"/>
    </row>
    <row r="416">
      <c r="A416" s="969"/>
      <c r="B416" s="969"/>
      <c r="C416" s="969"/>
      <c r="D416" s="969"/>
      <c r="E416" s="969"/>
      <c r="F416" s="969"/>
      <c r="G416" s="969"/>
      <c r="H416" s="969"/>
      <c r="I416" s="969"/>
      <c r="J416" s="969"/>
    </row>
    <row r="417">
      <c r="A417" s="969"/>
      <c r="B417" s="969"/>
      <c r="C417" s="969"/>
      <c r="D417" s="969"/>
      <c r="E417" s="969"/>
      <c r="F417" s="969"/>
      <c r="G417" s="969"/>
      <c r="H417" s="969"/>
      <c r="I417" s="969"/>
      <c r="J417" s="969"/>
    </row>
    <row r="418">
      <c r="A418" s="969"/>
      <c r="B418" s="969"/>
      <c r="C418" s="969"/>
      <c r="D418" s="969"/>
      <c r="E418" s="969"/>
      <c r="F418" s="969"/>
      <c r="G418" s="969"/>
      <c r="H418" s="969"/>
      <c r="I418" s="969"/>
      <c r="J418" s="969"/>
    </row>
    <row r="419">
      <c r="A419" s="969"/>
      <c r="B419" s="969"/>
      <c r="C419" s="969"/>
      <c r="D419" s="969"/>
      <c r="E419" s="969"/>
      <c r="F419" s="969"/>
      <c r="G419" s="969"/>
      <c r="H419" s="969"/>
      <c r="I419" s="969"/>
      <c r="J419" s="969"/>
    </row>
    <row r="420">
      <c r="A420" s="969"/>
      <c r="B420" s="969"/>
      <c r="C420" s="969"/>
      <c r="D420" s="969"/>
      <c r="E420" s="969"/>
      <c r="F420" s="969"/>
      <c r="G420" s="969"/>
      <c r="H420" s="969"/>
      <c r="I420" s="969"/>
      <c r="J420" s="969"/>
    </row>
    <row r="421">
      <c r="A421" s="969"/>
      <c r="B421" s="969"/>
      <c r="C421" s="969"/>
      <c r="D421" s="969"/>
      <c r="E421" s="969"/>
      <c r="F421" s="969"/>
      <c r="G421" s="969"/>
      <c r="H421" s="969"/>
      <c r="I421" s="969"/>
      <c r="J421" s="969"/>
    </row>
    <row r="422">
      <c r="A422" s="969"/>
      <c r="B422" s="969"/>
      <c r="C422" s="969"/>
      <c r="D422" s="969"/>
      <c r="E422" s="969"/>
      <c r="F422" s="969"/>
      <c r="G422" s="969"/>
      <c r="H422" s="969"/>
      <c r="I422" s="969"/>
      <c r="J422" s="969"/>
    </row>
    <row r="423">
      <c r="A423" s="969"/>
      <c r="B423" s="969"/>
      <c r="C423" s="969"/>
      <c r="D423" s="969"/>
      <c r="E423" s="969"/>
      <c r="F423" s="969"/>
      <c r="G423" s="969"/>
      <c r="H423" s="969"/>
      <c r="I423" s="969"/>
      <c r="J423" s="969"/>
    </row>
    <row r="424">
      <c r="A424" s="969"/>
      <c r="B424" s="969"/>
      <c r="C424" s="969"/>
      <c r="D424" s="969"/>
      <c r="E424" s="969"/>
      <c r="F424" s="969"/>
      <c r="G424" s="969"/>
      <c r="H424" s="969"/>
      <c r="I424" s="969"/>
      <c r="J424" s="969"/>
    </row>
    <row r="425">
      <c r="A425" s="969"/>
      <c r="B425" s="969"/>
      <c r="C425" s="969"/>
      <c r="D425" s="969"/>
      <c r="E425" s="969"/>
      <c r="F425" s="969"/>
      <c r="G425" s="969"/>
      <c r="H425" s="969"/>
      <c r="I425" s="969"/>
      <c r="J425" s="969"/>
    </row>
    <row r="426">
      <c r="A426" s="969"/>
      <c r="B426" s="969"/>
      <c r="C426" s="969"/>
      <c r="D426" s="969"/>
      <c r="E426" s="969"/>
      <c r="F426" s="969"/>
      <c r="G426" s="969"/>
      <c r="H426" s="969"/>
      <c r="I426" s="969"/>
      <c r="J426" s="969"/>
    </row>
    <row r="427">
      <c r="A427" s="969"/>
      <c r="B427" s="969"/>
      <c r="C427" s="969"/>
      <c r="D427" s="969"/>
      <c r="E427" s="969"/>
      <c r="F427" s="969"/>
      <c r="G427" s="969"/>
      <c r="H427" s="969"/>
      <c r="I427" s="969"/>
      <c r="J427" s="969"/>
    </row>
    <row r="428">
      <c r="A428" s="969"/>
      <c r="B428" s="969"/>
      <c r="C428" s="969"/>
      <c r="D428" s="969"/>
      <c r="E428" s="969"/>
      <c r="F428" s="969"/>
      <c r="G428" s="969"/>
      <c r="H428" s="969"/>
      <c r="I428" s="969"/>
      <c r="J428" s="969"/>
    </row>
    <row r="429">
      <c r="A429" s="969"/>
      <c r="B429" s="969"/>
      <c r="C429" s="969"/>
      <c r="D429" s="969"/>
      <c r="E429" s="969"/>
      <c r="F429" s="969"/>
      <c r="G429" s="969"/>
      <c r="H429" s="969"/>
      <c r="I429" s="969"/>
      <c r="J429" s="969"/>
    </row>
    <row r="430">
      <c r="A430" s="969"/>
      <c r="B430" s="969"/>
      <c r="C430" s="969"/>
      <c r="D430" s="969"/>
      <c r="E430" s="969"/>
      <c r="F430" s="969"/>
      <c r="G430" s="969"/>
      <c r="H430" s="969"/>
      <c r="I430" s="969"/>
      <c r="J430" s="969"/>
    </row>
    <row r="431">
      <c r="A431" s="969"/>
      <c r="B431" s="969"/>
      <c r="C431" s="969"/>
      <c r="D431" s="969"/>
      <c r="E431" s="969"/>
      <c r="F431" s="969"/>
      <c r="G431" s="969"/>
      <c r="H431" s="969"/>
      <c r="I431" s="969"/>
      <c r="J431" s="969"/>
    </row>
    <row r="432">
      <c r="A432" s="969"/>
      <c r="B432" s="969"/>
      <c r="C432" s="969"/>
      <c r="D432" s="969"/>
      <c r="E432" s="969"/>
      <c r="F432" s="969"/>
      <c r="G432" s="969"/>
      <c r="H432" s="969"/>
      <c r="I432" s="969"/>
      <c r="J432" s="969"/>
    </row>
    <row r="433">
      <c r="A433" s="969"/>
      <c r="B433" s="969"/>
      <c r="C433" s="969"/>
      <c r="D433" s="969"/>
      <c r="E433" s="969"/>
      <c r="F433" s="969"/>
      <c r="G433" s="969"/>
      <c r="H433" s="969"/>
      <c r="I433" s="969"/>
      <c r="J433" s="969"/>
    </row>
    <row r="434">
      <c r="A434" s="969"/>
      <c r="B434" s="969"/>
      <c r="C434" s="969"/>
      <c r="D434" s="969"/>
      <c r="E434" s="969"/>
      <c r="F434" s="969"/>
      <c r="G434" s="969"/>
      <c r="H434" s="969"/>
      <c r="I434" s="969"/>
      <c r="J434" s="969"/>
    </row>
    <row r="435">
      <c r="A435" s="969"/>
      <c r="B435" s="969"/>
      <c r="C435" s="969"/>
      <c r="D435" s="969"/>
      <c r="E435" s="969"/>
      <c r="F435" s="969"/>
      <c r="G435" s="969"/>
      <c r="H435" s="969"/>
      <c r="I435" s="969"/>
      <c r="J435" s="969"/>
    </row>
    <row r="436">
      <c r="A436" s="969"/>
      <c r="B436" s="969"/>
      <c r="C436" s="969"/>
      <c r="D436" s="969"/>
      <c r="E436" s="969"/>
      <c r="F436" s="969"/>
      <c r="G436" s="969"/>
      <c r="H436" s="969"/>
      <c r="I436" s="969"/>
      <c r="J436" s="969"/>
    </row>
    <row r="437">
      <c r="A437" s="969"/>
      <c r="B437" s="969"/>
      <c r="C437" s="969"/>
      <c r="D437" s="969"/>
      <c r="E437" s="969"/>
      <c r="F437" s="969"/>
      <c r="G437" s="969"/>
      <c r="H437" s="969"/>
      <c r="I437" s="969"/>
      <c r="J437" s="969"/>
    </row>
    <row r="438">
      <c r="A438" s="969"/>
      <c r="B438" s="969"/>
      <c r="C438" s="969"/>
      <c r="D438" s="969"/>
      <c r="E438" s="969"/>
      <c r="F438" s="969"/>
      <c r="G438" s="969"/>
      <c r="H438" s="969"/>
      <c r="I438" s="969"/>
      <c r="J438" s="969"/>
    </row>
    <row r="439">
      <c r="A439" s="969"/>
      <c r="B439" s="969"/>
      <c r="C439" s="969"/>
      <c r="D439" s="969"/>
      <c r="E439" s="969"/>
      <c r="F439" s="969"/>
      <c r="G439" s="969"/>
      <c r="H439" s="969"/>
      <c r="I439" s="969"/>
      <c r="J439" s="969"/>
    </row>
    <row r="440">
      <c r="A440" s="969"/>
      <c r="B440" s="969"/>
      <c r="C440" s="969"/>
      <c r="D440" s="969"/>
      <c r="E440" s="969"/>
      <c r="F440" s="969"/>
      <c r="G440" s="969"/>
      <c r="H440" s="969"/>
      <c r="I440" s="969"/>
      <c r="J440" s="969"/>
    </row>
    <row r="441">
      <c r="A441" s="969"/>
      <c r="B441" s="969"/>
      <c r="C441" s="969"/>
      <c r="D441" s="969"/>
      <c r="E441" s="969"/>
      <c r="F441" s="969"/>
      <c r="G441" s="969"/>
      <c r="H441" s="969"/>
      <c r="I441" s="969"/>
      <c r="J441" s="969"/>
    </row>
    <row r="442">
      <c r="A442" s="969"/>
      <c r="B442" s="969"/>
      <c r="C442" s="969"/>
      <c r="D442" s="969"/>
      <c r="E442" s="969"/>
      <c r="F442" s="969"/>
      <c r="G442" s="969"/>
      <c r="H442" s="969"/>
      <c r="I442" s="969"/>
      <c r="J442" s="969"/>
    </row>
    <row r="443">
      <c r="A443" s="969"/>
      <c r="B443" s="969"/>
      <c r="C443" s="969"/>
      <c r="D443" s="969"/>
      <c r="E443" s="969"/>
      <c r="F443" s="969"/>
      <c r="G443" s="969"/>
      <c r="H443" s="969"/>
      <c r="I443" s="969"/>
      <c r="J443" s="969"/>
    </row>
    <row r="444">
      <c r="A444" s="969"/>
      <c r="B444" s="969"/>
      <c r="C444" s="969"/>
      <c r="D444" s="969"/>
      <c r="E444" s="969"/>
      <c r="F444" s="969"/>
      <c r="G444" s="969"/>
      <c r="H444" s="969"/>
      <c r="I444" s="969"/>
      <c r="J444" s="969"/>
    </row>
    <row r="445">
      <c r="A445" s="969"/>
      <c r="B445" s="969"/>
      <c r="C445" s="969"/>
      <c r="D445" s="969"/>
      <c r="E445" s="969"/>
      <c r="F445" s="969"/>
      <c r="G445" s="969"/>
      <c r="H445" s="969"/>
      <c r="I445" s="969"/>
      <c r="J445" s="969"/>
    </row>
    <row r="446">
      <c r="A446" s="969"/>
      <c r="B446" s="969"/>
      <c r="C446" s="969"/>
      <c r="D446" s="969"/>
      <c r="E446" s="969"/>
      <c r="F446" s="969"/>
      <c r="G446" s="969"/>
      <c r="H446" s="969"/>
      <c r="I446" s="969"/>
      <c r="J446" s="969"/>
    </row>
    <row r="447">
      <c r="A447" s="969"/>
      <c r="B447" s="969"/>
      <c r="C447" s="969"/>
      <c r="D447" s="969"/>
      <c r="E447" s="969"/>
      <c r="F447" s="969"/>
      <c r="G447" s="969"/>
      <c r="H447" s="969"/>
      <c r="I447" s="969"/>
      <c r="J447" s="969"/>
    </row>
    <row r="448">
      <c r="A448" s="969"/>
      <c r="B448" s="969"/>
      <c r="C448" s="969"/>
      <c r="D448" s="969"/>
      <c r="E448" s="969"/>
      <c r="F448" s="969"/>
      <c r="G448" s="969"/>
      <c r="H448" s="969"/>
      <c r="I448" s="969"/>
      <c r="J448" s="969"/>
    </row>
    <row r="449">
      <c r="A449" s="969"/>
      <c r="B449" s="969"/>
      <c r="C449" s="969"/>
      <c r="D449" s="969"/>
      <c r="E449" s="969"/>
      <c r="F449" s="969"/>
      <c r="G449" s="969"/>
      <c r="H449" s="969"/>
      <c r="I449" s="969"/>
      <c r="J449" s="969"/>
    </row>
    <row r="450">
      <c r="A450" s="969"/>
      <c r="B450" s="969"/>
      <c r="C450" s="969"/>
      <c r="D450" s="969"/>
      <c r="E450" s="969"/>
      <c r="F450" s="969"/>
      <c r="G450" s="969"/>
      <c r="H450" s="969"/>
      <c r="I450" s="969"/>
      <c r="J450" s="969"/>
    </row>
    <row r="451">
      <c r="A451" s="969"/>
      <c r="B451" s="969"/>
      <c r="C451" s="969"/>
      <c r="D451" s="969"/>
      <c r="E451" s="969"/>
      <c r="F451" s="969"/>
      <c r="G451" s="969"/>
      <c r="H451" s="969"/>
      <c r="I451" s="969"/>
      <c r="J451" s="969"/>
    </row>
    <row r="452">
      <c r="A452" s="969"/>
      <c r="B452" s="969"/>
      <c r="C452" s="969"/>
      <c r="D452" s="969"/>
      <c r="E452" s="969"/>
      <c r="F452" s="969"/>
      <c r="G452" s="969"/>
      <c r="H452" s="969"/>
      <c r="I452" s="969"/>
      <c r="J452" s="969"/>
    </row>
    <row r="453">
      <c r="A453" s="969"/>
      <c r="B453" s="969"/>
      <c r="C453" s="969"/>
      <c r="D453" s="969"/>
      <c r="E453" s="969"/>
      <c r="F453" s="969"/>
      <c r="G453" s="969"/>
      <c r="H453" s="969"/>
      <c r="I453" s="969"/>
      <c r="J453" s="969"/>
    </row>
    <row r="454">
      <c r="A454" s="969"/>
      <c r="B454" s="969"/>
      <c r="C454" s="969"/>
      <c r="D454" s="969"/>
      <c r="E454" s="969"/>
      <c r="F454" s="969"/>
      <c r="G454" s="969"/>
      <c r="H454" s="969"/>
      <c r="I454" s="969"/>
      <c r="J454" s="969"/>
    </row>
    <row r="455">
      <c r="A455" s="969"/>
      <c r="B455" s="969"/>
      <c r="C455" s="969"/>
      <c r="D455" s="969"/>
      <c r="E455" s="969"/>
      <c r="F455" s="969"/>
      <c r="G455" s="969"/>
      <c r="H455" s="969"/>
      <c r="I455" s="969"/>
      <c r="J455" s="969"/>
    </row>
    <row r="456">
      <c r="A456" s="969"/>
      <c r="B456" s="969"/>
      <c r="C456" s="969"/>
      <c r="D456" s="969"/>
      <c r="E456" s="969"/>
      <c r="F456" s="969"/>
      <c r="G456" s="969"/>
      <c r="H456" s="969"/>
      <c r="I456" s="969"/>
      <c r="J456" s="969"/>
    </row>
    <row r="457">
      <c r="A457" s="969"/>
      <c r="B457" s="969"/>
      <c r="C457" s="969"/>
      <c r="D457" s="969"/>
      <c r="E457" s="969"/>
      <c r="F457" s="969"/>
      <c r="G457" s="969"/>
      <c r="H457" s="969"/>
      <c r="I457" s="969"/>
      <c r="J457" s="969"/>
    </row>
    <row r="458">
      <c r="A458" s="969"/>
      <c r="B458" s="969"/>
      <c r="C458" s="969"/>
      <c r="D458" s="969"/>
      <c r="E458" s="969"/>
      <c r="F458" s="969"/>
      <c r="G458" s="969"/>
      <c r="H458" s="969"/>
      <c r="I458" s="969"/>
      <c r="J458" s="969"/>
    </row>
    <row r="459">
      <c r="A459" s="969"/>
      <c r="B459" s="969"/>
      <c r="C459" s="969"/>
      <c r="D459" s="969"/>
      <c r="E459" s="969"/>
      <c r="F459" s="969"/>
      <c r="G459" s="969"/>
      <c r="H459" s="969"/>
      <c r="I459" s="969"/>
      <c r="J459" s="969"/>
    </row>
    <row r="460">
      <c r="A460" s="969"/>
      <c r="B460" s="969"/>
      <c r="C460" s="969"/>
      <c r="D460" s="969"/>
      <c r="E460" s="969"/>
      <c r="F460" s="969"/>
      <c r="G460" s="969"/>
      <c r="H460" s="969"/>
      <c r="I460" s="969"/>
      <c r="J460" s="969"/>
    </row>
    <row r="461">
      <c r="A461" s="969"/>
      <c r="B461" s="969"/>
      <c r="C461" s="969"/>
      <c r="D461" s="969"/>
      <c r="E461" s="969"/>
      <c r="F461" s="969"/>
      <c r="G461" s="969"/>
      <c r="H461" s="969"/>
      <c r="I461" s="969"/>
      <c r="J461" s="969"/>
    </row>
    <row r="462">
      <c r="A462" s="969"/>
      <c r="B462" s="969"/>
      <c r="C462" s="969"/>
      <c r="D462" s="969"/>
      <c r="E462" s="969"/>
      <c r="F462" s="969"/>
      <c r="G462" s="969"/>
      <c r="H462" s="969"/>
      <c r="I462" s="969"/>
      <c r="J462" s="969"/>
    </row>
    <row r="463">
      <c r="A463" s="969"/>
      <c r="B463" s="969"/>
      <c r="C463" s="969"/>
      <c r="D463" s="969"/>
      <c r="E463" s="969"/>
      <c r="F463" s="969"/>
      <c r="G463" s="969"/>
      <c r="H463" s="969"/>
      <c r="I463" s="969"/>
      <c r="J463" s="969"/>
    </row>
    <row r="464">
      <c r="A464" s="969"/>
      <c r="B464" s="969"/>
      <c r="C464" s="969"/>
      <c r="D464" s="969"/>
      <c r="E464" s="969"/>
      <c r="F464" s="969"/>
      <c r="G464" s="969"/>
      <c r="H464" s="969"/>
      <c r="I464" s="969"/>
      <c r="J464" s="969"/>
    </row>
    <row r="465">
      <c r="A465" s="969"/>
      <c r="B465" s="969"/>
      <c r="C465" s="969"/>
      <c r="D465" s="969"/>
      <c r="E465" s="969"/>
      <c r="F465" s="969"/>
      <c r="G465" s="969"/>
      <c r="H465" s="969"/>
      <c r="I465" s="969"/>
      <c r="J465" s="969"/>
    </row>
    <row r="466">
      <c r="A466" s="969"/>
      <c r="B466" s="969"/>
      <c r="C466" s="969"/>
      <c r="D466" s="969"/>
      <c r="E466" s="969"/>
      <c r="F466" s="969"/>
      <c r="G466" s="969"/>
      <c r="H466" s="969"/>
      <c r="I466" s="969"/>
      <c r="J466" s="969"/>
    </row>
    <row r="467">
      <c r="A467" s="969"/>
      <c r="B467" s="969"/>
      <c r="C467" s="969"/>
      <c r="D467" s="969"/>
      <c r="E467" s="969"/>
      <c r="F467" s="969"/>
      <c r="G467" s="969"/>
      <c r="H467" s="969"/>
      <c r="I467" s="969"/>
      <c r="J467" s="969"/>
    </row>
    <row r="468">
      <c r="A468" s="969"/>
      <c r="B468" s="969"/>
      <c r="C468" s="969"/>
      <c r="D468" s="969"/>
      <c r="E468" s="969"/>
      <c r="F468" s="969"/>
      <c r="G468" s="969"/>
      <c r="H468" s="969"/>
      <c r="I468" s="969"/>
      <c r="J468" s="969"/>
    </row>
    <row r="469">
      <c r="A469" s="969"/>
      <c r="B469" s="969"/>
      <c r="C469" s="969"/>
      <c r="D469" s="969"/>
      <c r="E469" s="969"/>
      <c r="F469" s="969"/>
      <c r="G469" s="969"/>
      <c r="H469" s="969"/>
      <c r="I469" s="969"/>
      <c r="J469" s="969"/>
    </row>
    <row r="470">
      <c r="A470" s="969"/>
      <c r="B470" s="969"/>
      <c r="C470" s="969"/>
      <c r="D470" s="969"/>
      <c r="E470" s="969"/>
      <c r="F470" s="969"/>
      <c r="G470" s="969"/>
      <c r="H470" s="969"/>
      <c r="I470" s="969"/>
      <c r="J470" s="969"/>
    </row>
    <row r="471">
      <c r="A471" s="969"/>
      <c r="B471" s="969"/>
      <c r="C471" s="969"/>
      <c r="D471" s="969"/>
      <c r="E471" s="969"/>
      <c r="F471" s="969"/>
      <c r="G471" s="969"/>
      <c r="H471" s="969"/>
      <c r="I471" s="969"/>
      <c r="J471" s="969"/>
    </row>
    <row r="472">
      <c r="A472" s="969"/>
      <c r="B472" s="969"/>
      <c r="C472" s="969"/>
      <c r="D472" s="969"/>
      <c r="E472" s="969"/>
      <c r="F472" s="969"/>
      <c r="G472" s="969"/>
      <c r="H472" s="969"/>
      <c r="I472" s="969"/>
      <c r="J472" s="969"/>
    </row>
    <row r="473">
      <c r="A473" s="969"/>
      <c r="B473" s="969"/>
      <c r="C473" s="969"/>
      <c r="D473" s="969"/>
      <c r="E473" s="969"/>
      <c r="F473" s="969"/>
      <c r="G473" s="969"/>
      <c r="H473" s="969"/>
      <c r="I473" s="969"/>
      <c r="J473" s="969"/>
    </row>
    <row r="474">
      <c r="A474" s="969"/>
      <c r="B474" s="969"/>
      <c r="C474" s="969"/>
      <c r="D474" s="969"/>
      <c r="E474" s="969"/>
      <c r="F474" s="969"/>
      <c r="G474" s="969"/>
      <c r="H474" s="969"/>
      <c r="I474" s="969"/>
      <c r="J474" s="969"/>
    </row>
    <row r="475">
      <c r="A475" s="969"/>
      <c r="B475" s="969"/>
      <c r="C475" s="969"/>
      <c r="D475" s="969"/>
      <c r="E475" s="969"/>
      <c r="F475" s="969"/>
      <c r="G475" s="969"/>
      <c r="H475" s="969"/>
      <c r="I475" s="969"/>
      <c r="J475" s="969"/>
    </row>
    <row r="476">
      <c r="A476" s="969"/>
      <c r="B476" s="969"/>
      <c r="C476" s="969"/>
      <c r="D476" s="969"/>
      <c r="E476" s="969"/>
      <c r="F476" s="969"/>
      <c r="G476" s="969"/>
      <c r="H476" s="969"/>
      <c r="I476" s="969"/>
      <c r="J476" s="969"/>
    </row>
    <row r="477">
      <c r="A477" s="969"/>
      <c r="B477" s="969"/>
      <c r="C477" s="969"/>
      <c r="D477" s="969"/>
      <c r="E477" s="969"/>
      <c r="F477" s="969"/>
      <c r="G477" s="969"/>
      <c r="H477" s="969"/>
      <c r="I477" s="969"/>
      <c r="J477" s="969"/>
    </row>
    <row r="478">
      <c r="A478" s="969"/>
      <c r="B478" s="969"/>
      <c r="C478" s="969"/>
      <c r="D478" s="969"/>
      <c r="E478" s="969"/>
      <c r="F478" s="969"/>
      <c r="G478" s="969"/>
      <c r="H478" s="969"/>
      <c r="I478" s="969"/>
      <c r="J478" s="969"/>
    </row>
    <row r="479">
      <c r="A479" s="969"/>
      <c r="B479" s="969"/>
      <c r="C479" s="969"/>
      <c r="D479" s="969"/>
      <c r="E479" s="969"/>
      <c r="F479" s="969"/>
      <c r="G479" s="969"/>
      <c r="H479" s="969"/>
      <c r="I479" s="969"/>
      <c r="J479" s="969"/>
    </row>
    <row r="480">
      <c r="A480" s="969"/>
      <c r="B480" s="969"/>
      <c r="C480" s="969"/>
      <c r="D480" s="969"/>
      <c r="E480" s="969"/>
      <c r="F480" s="969"/>
      <c r="G480" s="969"/>
      <c r="H480" s="969"/>
      <c r="I480" s="969"/>
      <c r="J480" s="969"/>
    </row>
    <row r="481">
      <c r="A481" s="969"/>
      <c r="B481" s="969"/>
      <c r="C481" s="969"/>
      <c r="D481" s="969"/>
      <c r="E481" s="969"/>
      <c r="F481" s="969"/>
      <c r="G481" s="969"/>
      <c r="H481" s="969"/>
      <c r="I481" s="969"/>
      <c r="J481" s="969"/>
    </row>
    <row r="482">
      <c r="A482" s="969"/>
      <c r="B482" s="969"/>
      <c r="C482" s="969"/>
      <c r="D482" s="969"/>
      <c r="E482" s="969"/>
      <c r="F482" s="969"/>
      <c r="G482" s="969"/>
      <c r="H482" s="969"/>
      <c r="I482" s="969"/>
      <c r="J482" s="969"/>
    </row>
    <row r="483">
      <c r="A483" s="969"/>
      <c r="B483" s="969"/>
      <c r="C483" s="969"/>
      <c r="D483" s="969"/>
      <c r="E483" s="969"/>
      <c r="F483" s="969"/>
      <c r="G483" s="969"/>
      <c r="H483" s="969"/>
      <c r="I483" s="969"/>
      <c r="J483" s="969"/>
    </row>
    <row r="484">
      <c r="A484" s="969"/>
      <c r="B484" s="969"/>
      <c r="C484" s="969"/>
      <c r="D484" s="969"/>
      <c r="E484" s="969"/>
      <c r="F484" s="969"/>
      <c r="G484" s="969"/>
      <c r="H484" s="969"/>
      <c r="I484" s="969"/>
      <c r="J484" s="969"/>
    </row>
    <row r="485">
      <c r="A485" s="969"/>
      <c r="B485" s="969"/>
      <c r="C485" s="969"/>
      <c r="D485" s="969"/>
      <c r="E485" s="969"/>
      <c r="F485" s="969"/>
      <c r="G485" s="969"/>
      <c r="H485" s="969"/>
      <c r="I485" s="969"/>
      <c r="J485" s="969"/>
    </row>
    <row r="486">
      <c r="A486" s="969"/>
      <c r="B486" s="969"/>
      <c r="C486" s="969"/>
      <c r="D486" s="969"/>
      <c r="E486" s="969"/>
      <c r="F486" s="969"/>
      <c r="G486" s="969"/>
      <c r="H486" s="969"/>
      <c r="I486" s="969"/>
      <c r="J486" s="969"/>
    </row>
    <row r="487">
      <c r="A487" s="969"/>
      <c r="B487" s="969"/>
      <c r="C487" s="969"/>
      <c r="D487" s="969"/>
      <c r="E487" s="969"/>
      <c r="F487" s="969"/>
      <c r="G487" s="969"/>
      <c r="H487" s="969"/>
      <c r="I487" s="969"/>
      <c r="J487" s="969"/>
    </row>
    <row r="488">
      <c r="A488" s="969"/>
      <c r="B488" s="969"/>
      <c r="C488" s="969"/>
      <c r="D488" s="969"/>
      <c r="E488" s="969"/>
      <c r="F488" s="969"/>
      <c r="G488" s="969"/>
      <c r="H488" s="969"/>
      <c r="I488" s="969"/>
      <c r="J488" s="969"/>
    </row>
    <row r="489">
      <c r="A489" s="969"/>
      <c r="B489" s="969"/>
      <c r="C489" s="969"/>
      <c r="D489" s="969"/>
      <c r="E489" s="969"/>
      <c r="F489" s="969"/>
      <c r="G489" s="969"/>
      <c r="H489" s="969"/>
      <c r="I489" s="969"/>
      <c r="J489" s="969"/>
    </row>
    <row r="490">
      <c r="A490" s="969"/>
      <c r="B490" s="969"/>
      <c r="C490" s="969"/>
      <c r="D490" s="969"/>
      <c r="E490" s="969"/>
      <c r="F490" s="969"/>
      <c r="G490" s="969"/>
      <c r="H490" s="969"/>
      <c r="I490" s="969"/>
      <c r="J490" s="969"/>
    </row>
    <row r="491">
      <c r="A491" s="969"/>
      <c r="B491" s="969"/>
      <c r="C491" s="969"/>
      <c r="D491" s="969"/>
      <c r="E491" s="969"/>
      <c r="F491" s="969"/>
      <c r="G491" s="969"/>
      <c r="H491" s="969"/>
      <c r="I491" s="969"/>
      <c r="J491" s="969"/>
    </row>
    <row r="492">
      <c r="A492" s="969"/>
      <c r="B492" s="969"/>
      <c r="C492" s="969"/>
      <c r="D492" s="969"/>
      <c r="E492" s="969"/>
      <c r="F492" s="969"/>
      <c r="G492" s="969"/>
      <c r="H492" s="969"/>
      <c r="I492" s="969"/>
      <c r="J492" s="969"/>
    </row>
    <row r="493">
      <c r="A493" s="969"/>
      <c r="B493" s="969"/>
      <c r="C493" s="969"/>
      <c r="D493" s="969"/>
      <c r="E493" s="969"/>
      <c r="F493" s="969"/>
      <c r="G493" s="969"/>
      <c r="H493" s="969"/>
      <c r="I493" s="969"/>
      <c r="J493" s="969"/>
    </row>
    <row r="494">
      <c r="A494" s="969"/>
      <c r="B494" s="969"/>
      <c r="C494" s="969"/>
      <c r="D494" s="969"/>
      <c r="E494" s="969"/>
      <c r="F494" s="969"/>
      <c r="G494" s="969"/>
      <c r="H494" s="969"/>
      <c r="I494" s="969"/>
      <c r="J494" s="969"/>
    </row>
    <row r="495">
      <c r="A495" s="969"/>
      <c r="B495" s="969"/>
      <c r="C495" s="969"/>
      <c r="D495" s="969"/>
      <c r="E495" s="969"/>
      <c r="F495" s="969"/>
      <c r="G495" s="969"/>
      <c r="H495" s="969"/>
      <c r="I495" s="969"/>
      <c r="J495" s="969"/>
    </row>
    <row r="496">
      <c r="A496" s="969"/>
      <c r="B496" s="969"/>
      <c r="C496" s="969"/>
      <c r="D496" s="969"/>
      <c r="E496" s="969"/>
      <c r="F496" s="969"/>
      <c r="G496" s="969"/>
      <c r="H496" s="969"/>
      <c r="I496" s="969"/>
      <c r="J496" s="969"/>
    </row>
    <row r="497">
      <c r="A497" s="969"/>
      <c r="B497" s="969"/>
      <c r="C497" s="969"/>
      <c r="D497" s="969"/>
      <c r="E497" s="969"/>
      <c r="F497" s="969"/>
      <c r="G497" s="969"/>
      <c r="H497" s="969"/>
      <c r="I497" s="969"/>
      <c r="J497" s="969"/>
    </row>
    <row r="498">
      <c r="A498" s="969"/>
      <c r="B498" s="969"/>
      <c r="C498" s="969"/>
      <c r="D498" s="969"/>
      <c r="E498" s="969"/>
      <c r="F498" s="969"/>
      <c r="G498" s="969"/>
      <c r="H498" s="969"/>
      <c r="I498" s="969"/>
      <c r="J498" s="969"/>
    </row>
    <row r="499">
      <c r="A499" s="969"/>
      <c r="B499" s="969"/>
      <c r="C499" s="969"/>
      <c r="D499" s="969"/>
      <c r="E499" s="969"/>
      <c r="F499" s="969"/>
      <c r="G499" s="969"/>
      <c r="H499" s="969"/>
      <c r="I499" s="969"/>
      <c r="J499" s="969"/>
    </row>
    <row r="500">
      <c r="A500" s="969"/>
      <c r="B500" s="969"/>
      <c r="C500" s="969"/>
      <c r="D500" s="969"/>
      <c r="E500" s="969"/>
      <c r="F500" s="969"/>
      <c r="G500" s="969"/>
      <c r="H500" s="969"/>
      <c r="I500" s="969"/>
      <c r="J500" s="969"/>
    </row>
    <row r="501">
      <c r="A501" s="969"/>
      <c r="B501" s="969"/>
      <c r="C501" s="969"/>
      <c r="D501" s="969"/>
      <c r="E501" s="969"/>
      <c r="F501" s="969"/>
      <c r="G501" s="969"/>
      <c r="H501" s="969"/>
      <c r="I501" s="969"/>
      <c r="J501" s="969"/>
    </row>
    <row r="502">
      <c r="A502" s="969"/>
      <c r="B502" s="969"/>
      <c r="C502" s="969"/>
      <c r="D502" s="969"/>
      <c r="E502" s="969"/>
      <c r="F502" s="969"/>
      <c r="G502" s="969"/>
      <c r="H502" s="969"/>
      <c r="I502" s="969"/>
      <c r="J502" s="969"/>
    </row>
    <row r="503">
      <c r="A503" s="969"/>
      <c r="B503" s="969"/>
      <c r="C503" s="969"/>
      <c r="D503" s="969"/>
      <c r="E503" s="969"/>
      <c r="F503" s="969"/>
      <c r="G503" s="969"/>
      <c r="H503" s="969"/>
      <c r="I503" s="969"/>
      <c r="J503" s="969"/>
    </row>
    <row r="504">
      <c r="A504" s="969"/>
      <c r="B504" s="969"/>
      <c r="C504" s="969"/>
      <c r="D504" s="969"/>
      <c r="E504" s="969"/>
      <c r="F504" s="969"/>
      <c r="G504" s="969"/>
      <c r="H504" s="969"/>
      <c r="I504" s="969"/>
      <c r="J504" s="969"/>
    </row>
    <row r="505">
      <c r="A505" s="969"/>
      <c r="B505" s="969"/>
      <c r="C505" s="969"/>
      <c r="D505" s="969"/>
      <c r="E505" s="969"/>
      <c r="F505" s="969"/>
      <c r="G505" s="969"/>
      <c r="H505" s="969"/>
      <c r="I505" s="969"/>
      <c r="J505" s="969"/>
    </row>
    <row r="506">
      <c r="A506" s="969"/>
      <c r="B506" s="969"/>
      <c r="C506" s="969"/>
      <c r="D506" s="969"/>
      <c r="E506" s="969"/>
      <c r="F506" s="969"/>
      <c r="G506" s="969"/>
      <c r="H506" s="969"/>
      <c r="I506" s="969"/>
      <c r="J506" s="969"/>
    </row>
    <row r="507">
      <c r="A507" s="969"/>
      <c r="B507" s="969"/>
      <c r="C507" s="969"/>
      <c r="D507" s="969"/>
      <c r="E507" s="969"/>
      <c r="F507" s="969"/>
      <c r="G507" s="969"/>
      <c r="H507" s="969"/>
      <c r="I507" s="969"/>
      <c r="J507" s="969"/>
    </row>
    <row r="508">
      <c r="A508" s="969"/>
      <c r="B508" s="969"/>
      <c r="C508" s="969"/>
      <c r="D508" s="969"/>
      <c r="E508" s="969"/>
      <c r="F508" s="969"/>
      <c r="G508" s="969"/>
      <c r="H508" s="969"/>
      <c r="I508" s="969"/>
      <c r="J508" s="969"/>
    </row>
    <row r="509">
      <c r="A509" s="969"/>
      <c r="B509" s="969"/>
      <c r="C509" s="969"/>
      <c r="D509" s="969"/>
      <c r="E509" s="969"/>
      <c r="F509" s="969"/>
      <c r="G509" s="969"/>
      <c r="H509" s="969"/>
      <c r="I509" s="969"/>
      <c r="J509" s="969"/>
    </row>
    <row r="510">
      <c r="A510" s="969"/>
      <c r="B510" s="969"/>
      <c r="C510" s="969"/>
      <c r="D510" s="969"/>
      <c r="E510" s="969"/>
      <c r="F510" s="969"/>
      <c r="G510" s="969"/>
      <c r="H510" s="969"/>
      <c r="I510" s="969"/>
      <c r="J510" s="969"/>
    </row>
    <row r="511">
      <c r="A511" s="969"/>
      <c r="B511" s="969"/>
      <c r="C511" s="969"/>
      <c r="D511" s="969"/>
      <c r="E511" s="969"/>
      <c r="F511" s="969"/>
      <c r="G511" s="969"/>
      <c r="H511" s="969"/>
      <c r="I511" s="969"/>
      <c r="J511" s="969"/>
    </row>
    <row r="512">
      <c r="A512" s="969"/>
      <c r="B512" s="969"/>
      <c r="C512" s="969"/>
      <c r="D512" s="969"/>
      <c r="E512" s="969"/>
      <c r="F512" s="969"/>
      <c r="G512" s="969"/>
      <c r="H512" s="969"/>
      <c r="I512" s="969"/>
      <c r="J512" s="969"/>
    </row>
    <row r="513">
      <c r="A513" s="969"/>
      <c r="B513" s="969"/>
      <c r="C513" s="969"/>
      <c r="D513" s="969"/>
      <c r="E513" s="969"/>
      <c r="F513" s="969"/>
      <c r="G513" s="969"/>
      <c r="H513" s="969"/>
      <c r="I513" s="969"/>
      <c r="J513" s="969"/>
    </row>
    <row r="514">
      <c r="A514" s="969"/>
      <c r="B514" s="969"/>
      <c r="C514" s="969"/>
      <c r="D514" s="969"/>
      <c r="E514" s="969"/>
      <c r="F514" s="969"/>
      <c r="G514" s="969"/>
      <c r="H514" s="969"/>
      <c r="I514" s="969"/>
      <c r="J514" s="969"/>
    </row>
    <row r="515">
      <c r="A515" s="969"/>
      <c r="B515" s="969"/>
      <c r="C515" s="969"/>
      <c r="D515" s="969"/>
      <c r="E515" s="969"/>
      <c r="F515" s="969"/>
      <c r="G515" s="969"/>
      <c r="H515" s="969"/>
      <c r="I515" s="969"/>
      <c r="J515" s="969"/>
    </row>
    <row r="516">
      <c r="A516" s="969"/>
      <c r="B516" s="969"/>
      <c r="C516" s="969"/>
      <c r="D516" s="969"/>
      <c r="E516" s="969"/>
      <c r="F516" s="969"/>
      <c r="G516" s="969"/>
      <c r="H516" s="969"/>
      <c r="I516" s="969"/>
      <c r="J516" s="969"/>
    </row>
    <row r="517">
      <c r="A517" s="969"/>
      <c r="B517" s="969"/>
      <c r="C517" s="969"/>
      <c r="D517" s="969"/>
      <c r="E517" s="969"/>
      <c r="F517" s="969"/>
      <c r="G517" s="969"/>
      <c r="H517" s="969"/>
      <c r="I517" s="969"/>
      <c r="J517" s="969"/>
    </row>
    <row r="518">
      <c r="A518" s="969"/>
      <c r="B518" s="969"/>
      <c r="C518" s="969"/>
      <c r="D518" s="969"/>
      <c r="E518" s="969"/>
      <c r="F518" s="969"/>
      <c r="G518" s="969"/>
      <c r="H518" s="969"/>
      <c r="I518" s="969"/>
      <c r="J518" s="969"/>
    </row>
    <row r="519">
      <c r="A519" s="969"/>
      <c r="B519" s="969"/>
      <c r="C519" s="969"/>
      <c r="D519" s="969"/>
      <c r="E519" s="969"/>
      <c r="F519" s="969"/>
      <c r="G519" s="969"/>
      <c r="H519" s="969"/>
      <c r="I519" s="969"/>
      <c r="J519" s="969"/>
    </row>
    <row r="520">
      <c r="A520" s="969"/>
      <c r="B520" s="969"/>
      <c r="C520" s="969"/>
      <c r="D520" s="969"/>
      <c r="E520" s="969"/>
      <c r="F520" s="969"/>
      <c r="G520" s="969"/>
      <c r="H520" s="969"/>
      <c r="I520" s="969"/>
      <c r="J520" s="969"/>
    </row>
    <row r="521">
      <c r="A521" s="969"/>
      <c r="B521" s="969"/>
      <c r="C521" s="969"/>
      <c r="D521" s="969"/>
      <c r="E521" s="969"/>
      <c r="F521" s="969"/>
      <c r="G521" s="969"/>
      <c r="H521" s="969"/>
      <c r="I521" s="969"/>
      <c r="J521" s="969"/>
    </row>
    <row r="522">
      <c r="A522" s="969"/>
      <c r="B522" s="969"/>
      <c r="C522" s="969"/>
      <c r="D522" s="969"/>
      <c r="E522" s="969"/>
      <c r="F522" s="969"/>
      <c r="G522" s="969"/>
      <c r="H522" s="969"/>
      <c r="I522" s="969"/>
      <c r="J522" s="969"/>
    </row>
    <row r="523">
      <c r="A523" s="969"/>
      <c r="B523" s="969"/>
      <c r="C523" s="969"/>
      <c r="D523" s="969"/>
      <c r="E523" s="969"/>
      <c r="F523" s="969"/>
      <c r="G523" s="969"/>
      <c r="H523" s="969"/>
      <c r="I523" s="969"/>
      <c r="J523" s="969"/>
    </row>
    <row r="524">
      <c r="A524" s="969"/>
      <c r="B524" s="969"/>
      <c r="C524" s="969"/>
      <c r="D524" s="969"/>
      <c r="E524" s="969"/>
      <c r="F524" s="969"/>
      <c r="G524" s="969"/>
      <c r="H524" s="969"/>
      <c r="I524" s="969"/>
      <c r="J524" s="969"/>
    </row>
    <row r="525">
      <c r="A525" s="969"/>
      <c r="B525" s="969"/>
      <c r="C525" s="969"/>
      <c r="D525" s="969"/>
      <c r="E525" s="969"/>
      <c r="F525" s="969"/>
      <c r="G525" s="969"/>
      <c r="H525" s="969"/>
      <c r="I525" s="969"/>
      <c r="J525" s="969"/>
    </row>
    <row r="526">
      <c r="A526" s="969"/>
      <c r="B526" s="969"/>
      <c r="C526" s="969"/>
      <c r="D526" s="969"/>
      <c r="E526" s="969"/>
      <c r="F526" s="969"/>
      <c r="G526" s="969"/>
      <c r="H526" s="969"/>
      <c r="I526" s="969"/>
      <c r="J526" s="969"/>
    </row>
    <row r="527">
      <c r="A527" s="969"/>
      <c r="B527" s="969"/>
      <c r="C527" s="969"/>
      <c r="D527" s="969"/>
      <c r="E527" s="969"/>
      <c r="F527" s="969"/>
      <c r="G527" s="969"/>
      <c r="H527" s="969"/>
      <c r="I527" s="969"/>
      <c r="J527" s="969"/>
    </row>
    <row r="528">
      <c r="A528" s="969"/>
      <c r="B528" s="969"/>
      <c r="C528" s="969"/>
      <c r="D528" s="969"/>
      <c r="E528" s="969"/>
      <c r="F528" s="969"/>
      <c r="G528" s="969"/>
      <c r="H528" s="969"/>
      <c r="I528" s="969"/>
      <c r="J528" s="969"/>
    </row>
    <row r="529">
      <c r="A529" s="969"/>
      <c r="B529" s="969"/>
      <c r="C529" s="969"/>
      <c r="D529" s="969"/>
      <c r="E529" s="969"/>
      <c r="F529" s="969"/>
      <c r="G529" s="969"/>
      <c r="H529" s="969"/>
      <c r="I529" s="969"/>
      <c r="J529" s="969"/>
    </row>
    <row r="530">
      <c r="A530" s="969"/>
      <c r="B530" s="969"/>
      <c r="C530" s="969"/>
      <c r="D530" s="969"/>
      <c r="E530" s="969"/>
      <c r="F530" s="969"/>
      <c r="G530" s="969"/>
      <c r="H530" s="969"/>
      <c r="I530" s="969"/>
      <c r="J530" s="969"/>
    </row>
    <row r="531">
      <c r="A531" s="969"/>
      <c r="B531" s="969"/>
      <c r="C531" s="969"/>
      <c r="D531" s="969"/>
      <c r="E531" s="969"/>
      <c r="F531" s="969"/>
      <c r="G531" s="969"/>
      <c r="H531" s="969"/>
      <c r="I531" s="969"/>
      <c r="J531" s="969"/>
    </row>
    <row r="532">
      <c r="A532" s="969"/>
      <c r="B532" s="969"/>
      <c r="C532" s="969"/>
      <c r="D532" s="969"/>
      <c r="E532" s="969"/>
      <c r="F532" s="969"/>
      <c r="G532" s="969"/>
      <c r="H532" s="969"/>
      <c r="I532" s="969"/>
      <c r="J532" s="969"/>
    </row>
    <row r="533">
      <c r="A533" s="969"/>
      <c r="B533" s="969"/>
      <c r="C533" s="969"/>
      <c r="D533" s="969"/>
      <c r="E533" s="969"/>
      <c r="F533" s="969"/>
      <c r="G533" s="969"/>
      <c r="H533" s="969"/>
      <c r="I533" s="969"/>
      <c r="J533" s="969"/>
    </row>
    <row r="534">
      <c r="A534" s="969"/>
      <c r="B534" s="969"/>
      <c r="C534" s="969"/>
      <c r="D534" s="969"/>
      <c r="E534" s="969"/>
      <c r="F534" s="969"/>
      <c r="G534" s="969"/>
      <c r="H534" s="969"/>
      <c r="I534" s="969"/>
      <c r="J534" s="969"/>
    </row>
    <row r="535">
      <c r="A535" s="969"/>
      <c r="B535" s="969"/>
      <c r="C535" s="969"/>
      <c r="D535" s="969"/>
      <c r="E535" s="969"/>
      <c r="F535" s="969"/>
      <c r="G535" s="969"/>
      <c r="H535" s="969"/>
      <c r="I535" s="969"/>
      <c r="J535" s="969"/>
    </row>
    <row r="536">
      <c r="A536" s="969"/>
      <c r="B536" s="969"/>
      <c r="C536" s="969"/>
      <c r="D536" s="969"/>
      <c r="E536" s="969"/>
      <c r="F536" s="969"/>
      <c r="G536" s="969"/>
      <c r="H536" s="969"/>
      <c r="I536" s="969"/>
      <c r="J536" s="969"/>
    </row>
    <row r="537">
      <c r="A537" s="969"/>
      <c r="B537" s="969"/>
      <c r="C537" s="969"/>
      <c r="D537" s="969"/>
      <c r="E537" s="969"/>
      <c r="F537" s="969"/>
      <c r="G537" s="969"/>
      <c r="H537" s="969"/>
      <c r="I537" s="969"/>
      <c r="J537" s="969"/>
    </row>
    <row r="538">
      <c r="A538" s="969"/>
      <c r="B538" s="969"/>
      <c r="C538" s="969"/>
      <c r="D538" s="969"/>
      <c r="E538" s="969"/>
      <c r="F538" s="969"/>
      <c r="G538" s="969"/>
      <c r="H538" s="969"/>
      <c r="I538" s="969"/>
      <c r="J538" s="969"/>
    </row>
    <row r="539">
      <c r="A539" s="969"/>
      <c r="B539" s="969"/>
      <c r="C539" s="969"/>
      <c r="D539" s="969"/>
      <c r="E539" s="969"/>
      <c r="F539" s="969"/>
      <c r="G539" s="969"/>
      <c r="H539" s="969"/>
      <c r="I539" s="969"/>
      <c r="J539" s="969"/>
    </row>
    <row r="540">
      <c r="A540" s="969"/>
      <c r="B540" s="969"/>
      <c r="C540" s="969"/>
      <c r="D540" s="969"/>
      <c r="E540" s="969"/>
      <c r="F540" s="969"/>
      <c r="G540" s="969"/>
      <c r="H540" s="969"/>
      <c r="I540" s="969"/>
      <c r="J540" s="969"/>
    </row>
    <row r="541">
      <c r="A541" s="969"/>
      <c r="B541" s="969"/>
      <c r="C541" s="969"/>
      <c r="D541" s="969"/>
      <c r="E541" s="969"/>
      <c r="F541" s="969"/>
      <c r="G541" s="969"/>
      <c r="H541" s="969"/>
      <c r="I541" s="969"/>
      <c r="J541" s="969"/>
    </row>
    <row r="542">
      <c r="A542" s="969"/>
      <c r="B542" s="969"/>
      <c r="C542" s="969"/>
      <c r="D542" s="969"/>
      <c r="E542" s="969"/>
      <c r="F542" s="969"/>
      <c r="G542" s="969"/>
      <c r="H542" s="969"/>
      <c r="I542" s="969"/>
      <c r="J542" s="969"/>
    </row>
    <row r="543">
      <c r="A543" s="969"/>
      <c r="B543" s="969"/>
      <c r="C543" s="969"/>
      <c r="D543" s="969"/>
      <c r="E543" s="969"/>
      <c r="F543" s="969"/>
      <c r="G543" s="969"/>
      <c r="H543" s="969"/>
      <c r="I543" s="969"/>
      <c r="J543" s="969"/>
    </row>
    <row r="544">
      <c r="A544" s="969"/>
      <c r="B544" s="969"/>
      <c r="C544" s="969"/>
      <c r="D544" s="969"/>
      <c r="E544" s="969"/>
      <c r="F544" s="969"/>
      <c r="G544" s="969"/>
      <c r="H544" s="969"/>
      <c r="I544" s="969"/>
      <c r="J544" s="969"/>
    </row>
    <row r="545">
      <c r="A545" s="969"/>
      <c r="B545" s="969"/>
      <c r="C545" s="969"/>
      <c r="D545" s="969"/>
      <c r="E545" s="969"/>
      <c r="F545" s="969"/>
      <c r="G545" s="969"/>
      <c r="H545" s="969"/>
      <c r="I545" s="969"/>
      <c r="J545" s="969"/>
    </row>
    <row r="546">
      <c r="A546" s="969"/>
      <c r="B546" s="969"/>
      <c r="C546" s="969"/>
      <c r="D546" s="969"/>
      <c r="E546" s="969"/>
      <c r="F546" s="969"/>
      <c r="G546" s="969"/>
      <c r="H546" s="969"/>
      <c r="I546" s="969"/>
      <c r="J546" s="969"/>
    </row>
    <row r="547">
      <c r="A547" s="969"/>
      <c r="B547" s="969"/>
      <c r="C547" s="969"/>
      <c r="D547" s="969"/>
      <c r="E547" s="969"/>
      <c r="F547" s="969"/>
      <c r="G547" s="969"/>
      <c r="H547" s="969"/>
      <c r="I547" s="969"/>
      <c r="J547" s="969"/>
    </row>
    <row r="548">
      <c r="A548" s="969"/>
      <c r="B548" s="969"/>
      <c r="C548" s="969"/>
      <c r="D548" s="969"/>
      <c r="E548" s="969"/>
      <c r="F548" s="969"/>
      <c r="G548" s="969"/>
      <c r="H548" s="969"/>
      <c r="I548" s="969"/>
      <c r="J548" s="969"/>
    </row>
    <row r="549">
      <c r="A549" s="969"/>
      <c r="B549" s="969"/>
      <c r="C549" s="969"/>
      <c r="D549" s="969"/>
      <c r="E549" s="969"/>
      <c r="F549" s="969"/>
      <c r="G549" s="969"/>
      <c r="H549" s="969"/>
      <c r="I549" s="969"/>
      <c r="J549" s="969"/>
    </row>
    <row r="550">
      <c r="A550" s="969"/>
      <c r="B550" s="969"/>
      <c r="C550" s="969"/>
      <c r="D550" s="969"/>
      <c r="E550" s="969"/>
      <c r="F550" s="969"/>
      <c r="G550" s="969"/>
      <c r="H550" s="969"/>
      <c r="I550" s="969"/>
      <c r="J550" s="969"/>
    </row>
    <row r="551">
      <c r="A551" s="969"/>
      <c r="B551" s="969"/>
      <c r="C551" s="969"/>
      <c r="D551" s="969"/>
      <c r="E551" s="969"/>
      <c r="F551" s="969"/>
      <c r="G551" s="969"/>
      <c r="H551" s="969"/>
      <c r="I551" s="969"/>
      <c r="J551" s="969"/>
    </row>
    <row r="552">
      <c r="A552" s="969"/>
      <c r="B552" s="969"/>
      <c r="C552" s="969"/>
      <c r="D552" s="969"/>
      <c r="E552" s="969"/>
      <c r="F552" s="969"/>
      <c r="G552" s="969"/>
      <c r="H552" s="969"/>
      <c r="I552" s="969"/>
      <c r="J552" s="969"/>
    </row>
    <row r="553">
      <c r="A553" s="969"/>
      <c r="B553" s="969"/>
      <c r="C553" s="969"/>
      <c r="D553" s="969"/>
      <c r="E553" s="969"/>
      <c r="F553" s="969"/>
      <c r="G553" s="969"/>
      <c r="H553" s="969"/>
      <c r="I553" s="969"/>
      <c r="J553" s="969"/>
    </row>
    <row r="554">
      <c r="A554" s="969"/>
      <c r="B554" s="969"/>
      <c r="C554" s="969"/>
      <c r="D554" s="969"/>
      <c r="E554" s="969"/>
      <c r="F554" s="969"/>
      <c r="G554" s="969"/>
      <c r="H554" s="969"/>
      <c r="I554" s="969"/>
      <c r="J554" s="969"/>
    </row>
    <row r="555">
      <c r="A555" s="969"/>
      <c r="B555" s="969"/>
      <c r="C555" s="969"/>
      <c r="D555" s="969"/>
      <c r="E555" s="969"/>
      <c r="F555" s="969"/>
      <c r="G555" s="969"/>
      <c r="H555" s="969"/>
      <c r="I555" s="969"/>
      <c r="J555" s="969"/>
    </row>
    <row r="556">
      <c r="A556" s="969"/>
      <c r="B556" s="969"/>
      <c r="C556" s="969"/>
      <c r="D556" s="969"/>
      <c r="E556" s="969"/>
      <c r="F556" s="969"/>
      <c r="G556" s="969"/>
      <c r="H556" s="969"/>
      <c r="I556" s="969"/>
      <c r="J556" s="969"/>
    </row>
    <row r="557">
      <c r="A557" s="969"/>
      <c r="B557" s="969"/>
      <c r="C557" s="969"/>
      <c r="D557" s="969"/>
      <c r="E557" s="969"/>
      <c r="F557" s="969"/>
      <c r="G557" s="969"/>
      <c r="H557" s="969"/>
      <c r="I557" s="969"/>
      <c r="J557" s="969"/>
    </row>
    <row r="558">
      <c r="A558" s="969"/>
      <c r="B558" s="969"/>
      <c r="C558" s="969"/>
      <c r="D558" s="969"/>
      <c r="E558" s="969"/>
      <c r="F558" s="969"/>
      <c r="G558" s="969"/>
      <c r="H558" s="969"/>
      <c r="I558" s="969"/>
      <c r="J558" s="969"/>
    </row>
    <row r="559">
      <c r="A559" s="969"/>
      <c r="B559" s="969"/>
      <c r="C559" s="969"/>
      <c r="D559" s="969"/>
      <c r="E559" s="969"/>
      <c r="F559" s="969"/>
      <c r="G559" s="969"/>
      <c r="H559" s="969"/>
      <c r="I559" s="969"/>
      <c r="J559" s="969"/>
    </row>
    <row r="560">
      <c r="A560" s="969"/>
      <c r="B560" s="969"/>
      <c r="C560" s="969"/>
      <c r="D560" s="969"/>
      <c r="E560" s="969"/>
      <c r="F560" s="969"/>
      <c r="G560" s="969"/>
      <c r="H560" s="969"/>
      <c r="I560" s="969"/>
      <c r="J560" s="969"/>
    </row>
    <row r="561">
      <c r="A561" s="969"/>
      <c r="B561" s="969"/>
      <c r="C561" s="969"/>
      <c r="D561" s="969"/>
      <c r="E561" s="969"/>
      <c r="F561" s="969"/>
      <c r="G561" s="969"/>
      <c r="H561" s="969"/>
      <c r="I561" s="969"/>
      <c r="J561" s="969"/>
    </row>
    <row r="562">
      <c r="A562" s="969"/>
      <c r="B562" s="969"/>
      <c r="C562" s="969"/>
      <c r="D562" s="969"/>
      <c r="E562" s="969"/>
      <c r="F562" s="969"/>
      <c r="G562" s="969"/>
      <c r="H562" s="969"/>
      <c r="I562" s="969"/>
      <c r="J562" s="969"/>
    </row>
    <row r="563">
      <c r="A563" s="969"/>
      <c r="B563" s="969"/>
      <c r="C563" s="969"/>
      <c r="D563" s="969"/>
      <c r="E563" s="969"/>
      <c r="F563" s="969"/>
      <c r="G563" s="969"/>
      <c r="H563" s="969"/>
      <c r="I563" s="969"/>
      <c r="J563" s="969"/>
    </row>
    <row r="564">
      <c r="A564" s="969"/>
      <c r="B564" s="969"/>
      <c r="C564" s="969"/>
      <c r="D564" s="969"/>
      <c r="E564" s="969"/>
      <c r="F564" s="969"/>
      <c r="G564" s="969"/>
      <c r="H564" s="969"/>
      <c r="I564" s="969"/>
      <c r="J564" s="969"/>
    </row>
    <row r="565">
      <c r="A565" s="969"/>
      <c r="B565" s="969"/>
      <c r="C565" s="969"/>
      <c r="D565" s="969"/>
      <c r="E565" s="969"/>
      <c r="F565" s="969"/>
      <c r="G565" s="969"/>
      <c r="H565" s="969"/>
      <c r="I565" s="969"/>
      <c r="J565" s="969"/>
    </row>
    <row r="566">
      <c r="A566" s="969"/>
      <c r="B566" s="969"/>
      <c r="C566" s="969"/>
      <c r="D566" s="969"/>
      <c r="E566" s="969"/>
      <c r="F566" s="969"/>
      <c r="G566" s="969"/>
      <c r="H566" s="969"/>
      <c r="I566" s="969"/>
      <c r="J566" s="969"/>
    </row>
    <row r="567">
      <c r="A567" s="969"/>
      <c r="B567" s="969"/>
      <c r="C567" s="969"/>
      <c r="D567" s="969"/>
      <c r="E567" s="969"/>
      <c r="F567" s="969"/>
      <c r="G567" s="969"/>
      <c r="H567" s="969"/>
      <c r="I567" s="969"/>
      <c r="J567" s="969"/>
    </row>
    <row r="568">
      <c r="A568" s="969"/>
      <c r="B568" s="969"/>
      <c r="C568" s="969"/>
      <c r="D568" s="969"/>
      <c r="E568" s="969"/>
      <c r="F568" s="969"/>
      <c r="G568" s="969"/>
      <c r="H568" s="969"/>
      <c r="I568" s="969"/>
      <c r="J568" s="969"/>
    </row>
    <row r="569">
      <c r="A569" s="969"/>
      <c r="B569" s="969"/>
      <c r="C569" s="969"/>
      <c r="D569" s="969"/>
      <c r="E569" s="969"/>
      <c r="F569" s="969"/>
      <c r="G569" s="969"/>
      <c r="H569" s="969"/>
      <c r="I569" s="969"/>
      <c r="J569" s="969"/>
    </row>
    <row r="570">
      <c r="A570" s="969"/>
      <c r="B570" s="969"/>
      <c r="C570" s="969"/>
      <c r="D570" s="969"/>
      <c r="E570" s="969"/>
      <c r="F570" s="969"/>
      <c r="G570" s="969"/>
      <c r="H570" s="969"/>
      <c r="I570" s="969"/>
      <c r="J570" s="969"/>
    </row>
    <row r="571">
      <c r="A571" s="969"/>
      <c r="B571" s="969"/>
      <c r="C571" s="969"/>
      <c r="D571" s="969"/>
      <c r="E571" s="969"/>
      <c r="F571" s="969"/>
      <c r="G571" s="969"/>
      <c r="H571" s="969"/>
      <c r="I571" s="969"/>
      <c r="J571" s="969"/>
    </row>
    <row r="572">
      <c r="A572" s="969"/>
      <c r="B572" s="969"/>
      <c r="C572" s="969"/>
      <c r="D572" s="969"/>
      <c r="E572" s="969"/>
      <c r="F572" s="969"/>
      <c r="G572" s="969"/>
      <c r="H572" s="969"/>
      <c r="I572" s="969"/>
      <c r="J572" s="969"/>
    </row>
    <row r="573">
      <c r="A573" s="969"/>
      <c r="B573" s="969"/>
      <c r="C573" s="969"/>
      <c r="D573" s="969"/>
      <c r="E573" s="969"/>
      <c r="F573" s="969"/>
      <c r="G573" s="969"/>
      <c r="H573" s="969"/>
      <c r="I573" s="969"/>
      <c r="J573" s="969"/>
    </row>
    <row r="574">
      <c r="A574" s="969"/>
      <c r="B574" s="969"/>
      <c r="C574" s="969"/>
      <c r="D574" s="969"/>
      <c r="E574" s="969"/>
      <c r="F574" s="969"/>
      <c r="G574" s="969"/>
      <c r="H574" s="969"/>
      <c r="I574" s="969"/>
      <c r="J574" s="969"/>
    </row>
    <row r="575">
      <c r="A575" s="969"/>
      <c r="B575" s="969"/>
      <c r="C575" s="969"/>
      <c r="D575" s="969"/>
      <c r="E575" s="969"/>
      <c r="F575" s="969"/>
      <c r="G575" s="969"/>
      <c r="H575" s="969"/>
      <c r="I575" s="969"/>
      <c r="J575" s="969"/>
    </row>
    <row r="576">
      <c r="A576" s="969"/>
      <c r="B576" s="969"/>
      <c r="C576" s="969"/>
      <c r="D576" s="969"/>
      <c r="E576" s="969"/>
      <c r="F576" s="969"/>
      <c r="G576" s="969"/>
      <c r="H576" s="969"/>
      <c r="I576" s="969"/>
      <c r="J576" s="969"/>
    </row>
    <row r="577">
      <c r="A577" s="969"/>
      <c r="B577" s="969"/>
      <c r="C577" s="969"/>
      <c r="D577" s="969"/>
      <c r="E577" s="969"/>
      <c r="F577" s="969"/>
      <c r="G577" s="969"/>
      <c r="H577" s="969"/>
      <c r="I577" s="969"/>
      <c r="J577" s="969"/>
    </row>
    <row r="578">
      <c r="A578" s="969"/>
      <c r="B578" s="969"/>
      <c r="C578" s="969"/>
      <c r="D578" s="969"/>
      <c r="E578" s="969"/>
      <c r="F578" s="969"/>
      <c r="G578" s="969"/>
      <c r="H578" s="969"/>
      <c r="I578" s="969"/>
      <c r="J578" s="969"/>
    </row>
    <row r="579">
      <c r="A579" s="969"/>
      <c r="B579" s="969"/>
      <c r="C579" s="969"/>
      <c r="D579" s="969"/>
      <c r="E579" s="969"/>
      <c r="F579" s="969"/>
      <c r="G579" s="969"/>
      <c r="H579" s="969"/>
      <c r="I579" s="969"/>
      <c r="J579" s="969"/>
    </row>
    <row r="580">
      <c r="A580" s="969"/>
      <c r="B580" s="969"/>
      <c r="C580" s="969"/>
      <c r="D580" s="969"/>
      <c r="E580" s="969"/>
      <c r="F580" s="969"/>
      <c r="G580" s="969"/>
      <c r="H580" s="969"/>
      <c r="I580" s="969"/>
      <c r="J580" s="969"/>
    </row>
    <row r="581">
      <c r="A581" s="969"/>
      <c r="B581" s="969"/>
      <c r="C581" s="969"/>
      <c r="D581" s="969"/>
      <c r="E581" s="969"/>
      <c r="F581" s="969"/>
      <c r="G581" s="969"/>
      <c r="H581" s="969"/>
      <c r="I581" s="969"/>
      <c r="J581" s="969"/>
    </row>
    <row r="582">
      <c r="A582" s="969"/>
      <c r="B582" s="969"/>
      <c r="C582" s="969"/>
      <c r="D582" s="969"/>
      <c r="E582" s="969"/>
      <c r="F582" s="969"/>
      <c r="G582" s="969"/>
      <c r="H582" s="969"/>
      <c r="I582" s="969"/>
      <c r="J582" s="969"/>
    </row>
    <row r="583">
      <c r="A583" s="969"/>
      <c r="B583" s="969"/>
      <c r="C583" s="969"/>
      <c r="D583" s="969"/>
      <c r="E583" s="969"/>
      <c r="F583" s="969"/>
      <c r="G583" s="969"/>
      <c r="H583" s="969"/>
      <c r="I583" s="969"/>
      <c r="J583" s="969"/>
    </row>
    <row r="584">
      <c r="A584" s="969"/>
      <c r="B584" s="969"/>
      <c r="C584" s="969"/>
      <c r="D584" s="969"/>
      <c r="E584" s="969"/>
      <c r="F584" s="969"/>
      <c r="G584" s="969"/>
      <c r="H584" s="969"/>
      <c r="I584" s="969"/>
      <c r="J584" s="969"/>
    </row>
    <row r="585">
      <c r="A585" s="969"/>
      <c r="B585" s="969"/>
      <c r="C585" s="969"/>
      <c r="D585" s="969"/>
      <c r="E585" s="969"/>
      <c r="F585" s="969"/>
      <c r="G585" s="969"/>
      <c r="H585" s="969"/>
      <c r="I585" s="969"/>
      <c r="J585" s="969"/>
    </row>
    <row r="586">
      <c r="A586" s="969"/>
      <c r="B586" s="969"/>
      <c r="C586" s="969"/>
      <c r="D586" s="969"/>
      <c r="E586" s="969"/>
      <c r="F586" s="969"/>
      <c r="G586" s="969"/>
      <c r="H586" s="969"/>
      <c r="I586" s="969"/>
      <c r="J586" s="969"/>
    </row>
    <row r="587">
      <c r="A587" s="969"/>
      <c r="B587" s="969"/>
      <c r="C587" s="969"/>
      <c r="D587" s="969"/>
      <c r="E587" s="969"/>
      <c r="F587" s="969"/>
      <c r="G587" s="969"/>
      <c r="H587" s="969"/>
      <c r="I587" s="969"/>
      <c r="J587" s="969"/>
    </row>
    <row r="588">
      <c r="A588" s="969"/>
      <c r="B588" s="969"/>
      <c r="C588" s="969"/>
      <c r="D588" s="969"/>
      <c r="E588" s="969"/>
      <c r="F588" s="969"/>
      <c r="G588" s="969"/>
      <c r="H588" s="969"/>
      <c r="I588" s="969"/>
      <c r="J588" s="969"/>
    </row>
    <row r="589">
      <c r="A589" s="969"/>
      <c r="B589" s="969"/>
      <c r="C589" s="969"/>
      <c r="D589" s="969"/>
      <c r="E589" s="969"/>
      <c r="F589" s="969"/>
      <c r="G589" s="969"/>
      <c r="H589" s="969"/>
      <c r="I589" s="969"/>
      <c r="J589" s="969"/>
    </row>
    <row r="590">
      <c r="A590" s="969"/>
      <c r="B590" s="969"/>
      <c r="C590" s="969"/>
      <c r="D590" s="969"/>
      <c r="E590" s="969"/>
      <c r="F590" s="969"/>
      <c r="G590" s="969"/>
      <c r="H590" s="969"/>
      <c r="I590" s="969"/>
      <c r="J590" s="969"/>
    </row>
    <row r="591">
      <c r="A591" s="969"/>
      <c r="B591" s="969"/>
      <c r="C591" s="969"/>
      <c r="D591" s="969"/>
      <c r="E591" s="969"/>
      <c r="F591" s="969"/>
      <c r="G591" s="969"/>
      <c r="H591" s="969"/>
      <c r="I591" s="969"/>
      <c r="J591" s="969"/>
    </row>
    <row r="592">
      <c r="A592" s="969"/>
      <c r="B592" s="969"/>
      <c r="C592" s="969"/>
      <c r="D592" s="969"/>
      <c r="E592" s="969"/>
      <c r="F592" s="969"/>
      <c r="G592" s="969"/>
      <c r="H592" s="969"/>
      <c r="I592" s="969"/>
      <c r="J592" s="969"/>
    </row>
    <row r="593">
      <c r="A593" s="969"/>
      <c r="B593" s="969"/>
      <c r="C593" s="969"/>
      <c r="D593" s="969"/>
      <c r="E593" s="969"/>
      <c r="F593" s="969"/>
      <c r="G593" s="969"/>
      <c r="H593" s="969"/>
      <c r="I593" s="969"/>
      <c r="J593" s="969"/>
    </row>
    <row r="594">
      <c r="A594" s="969"/>
      <c r="B594" s="969"/>
      <c r="C594" s="969"/>
      <c r="D594" s="969"/>
      <c r="E594" s="969"/>
      <c r="F594" s="969"/>
      <c r="G594" s="969"/>
      <c r="H594" s="969"/>
      <c r="I594" s="969"/>
      <c r="J594" s="969"/>
    </row>
    <row r="595">
      <c r="A595" s="969"/>
      <c r="B595" s="969"/>
      <c r="C595" s="969"/>
      <c r="D595" s="969"/>
      <c r="E595" s="969"/>
      <c r="F595" s="969"/>
      <c r="G595" s="969"/>
      <c r="H595" s="969"/>
      <c r="I595" s="969"/>
      <c r="J595" s="969"/>
    </row>
    <row r="596">
      <c r="A596" s="969"/>
      <c r="B596" s="969"/>
      <c r="C596" s="969"/>
      <c r="D596" s="969"/>
      <c r="E596" s="969"/>
      <c r="F596" s="969"/>
      <c r="G596" s="969"/>
      <c r="H596" s="969"/>
      <c r="I596" s="969"/>
      <c r="J596" s="969"/>
    </row>
    <row r="597">
      <c r="A597" s="969"/>
      <c r="B597" s="969"/>
      <c r="C597" s="969"/>
      <c r="D597" s="969"/>
      <c r="E597" s="969"/>
      <c r="F597" s="969"/>
      <c r="G597" s="969"/>
      <c r="H597" s="969"/>
      <c r="I597" s="969"/>
      <c r="J597" s="969"/>
    </row>
    <row r="598">
      <c r="A598" s="969"/>
      <c r="B598" s="969"/>
      <c r="C598" s="969"/>
      <c r="D598" s="969"/>
      <c r="E598" s="969"/>
      <c r="F598" s="969"/>
      <c r="G598" s="969"/>
      <c r="H598" s="969"/>
      <c r="I598" s="969"/>
      <c r="J598" s="969"/>
    </row>
    <row r="599">
      <c r="A599" s="969"/>
      <c r="B599" s="969"/>
      <c r="C599" s="969"/>
      <c r="D599" s="969"/>
      <c r="E599" s="969"/>
      <c r="F599" s="969"/>
      <c r="G599" s="969"/>
      <c r="H599" s="969"/>
      <c r="I599" s="969"/>
      <c r="J599" s="969"/>
    </row>
    <row r="600">
      <c r="A600" s="969"/>
      <c r="B600" s="969"/>
      <c r="C600" s="969"/>
      <c r="D600" s="969"/>
      <c r="E600" s="969"/>
      <c r="F600" s="969"/>
      <c r="G600" s="969"/>
      <c r="H600" s="969"/>
      <c r="I600" s="969"/>
      <c r="J600" s="969"/>
    </row>
    <row r="601">
      <c r="A601" s="969"/>
      <c r="B601" s="969"/>
      <c r="C601" s="969"/>
      <c r="D601" s="969"/>
      <c r="E601" s="969"/>
      <c r="F601" s="969"/>
      <c r="G601" s="969"/>
      <c r="H601" s="969"/>
      <c r="I601" s="969"/>
      <c r="J601" s="969"/>
    </row>
    <row r="602">
      <c r="A602" s="969"/>
      <c r="B602" s="969"/>
      <c r="C602" s="969"/>
      <c r="D602" s="969"/>
      <c r="E602" s="969"/>
      <c r="F602" s="969"/>
      <c r="G602" s="969"/>
      <c r="H602" s="969"/>
      <c r="I602" s="969"/>
      <c r="J602" s="969"/>
    </row>
    <row r="603">
      <c r="A603" s="969"/>
      <c r="B603" s="969"/>
      <c r="C603" s="969"/>
      <c r="D603" s="969"/>
      <c r="E603" s="969"/>
      <c r="F603" s="969"/>
      <c r="G603" s="969"/>
      <c r="H603" s="969"/>
      <c r="I603" s="969"/>
      <c r="J603" s="969"/>
    </row>
    <row r="604">
      <c r="A604" s="969"/>
      <c r="B604" s="969"/>
      <c r="C604" s="969"/>
      <c r="D604" s="969"/>
      <c r="E604" s="969"/>
      <c r="F604" s="969"/>
      <c r="G604" s="969"/>
      <c r="H604" s="969"/>
      <c r="I604" s="969"/>
      <c r="J604" s="969"/>
    </row>
    <row r="605">
      <c r="A605" s="969"/>
      <c r="B605" s="969"/>
      <c r="C605" s="969"/>
      <c r="D605" s="969"/>
      <c r="E605" s="969"/>
      <c r="F605" s="969"/>
      <c r="G605" s="969"/>
      <c r="H605" s="969"/>
      <c r="I605" s="969"/>
      <c r="J605" s="969"/>
    </row>
    <row r="606">
      <c r="A606" s="969"/>
      <c r="B606" s="969"/>
      <c r="C606" s="969"/>
      <c r="D606" s="969"/>
      <c r="E606" s="969"/>
      <c r="F606" s="969"/>
      <c r="G606" s="969"/>
      <c r="H606" s="969"/>
      <c r="I606" s="969"/>
      <c r="J606" s="969"/>
    </row>
    <row r="607">
      <c r="A607" s="969"/>
      <c r="B607" s="969"/>
      <c r="C607" s="969"/>
      <c r="D607" s="969"/>
      <c r="E607" s="969"/>
      <c r="F607" s="969"/>
      <c r="G607" s="969"/>
      <c r="H607" s="969"/>
      <c r="I607" s="969"/>
      <c r="J607" s="969"/>
    </row>
    <row r="608">
      <c r="A608" s="969"/>
      <c r="B608" s="969"/>
      <c r="C608" s="969"/>
      <c r="D608" s="969"/>
      <c r="E608" s="969"/>
      <c r="F608" s="969"/>
      <c r="G608" s="969"/>
      <c r="H608" s="969"/>
      <c r="I608" s="969"/>
      <c r="J608" s="969"/>
    </row>
    <row r="609">
      <c r="A609" s="969"/>
      <c r="B609" s="969"/>
      <c r="C609" s="969"/>
      <c r="D609" s="969"/>
      <c r="E609" s="969"/>
      <c r="F609" s="969"/>
      <c r="G609" s="969"/>
      <c r="H609" s="969"/>
      <c r="I609" s="969"/>
      <c r="J609" s="969"/>
    </row>
    <row r="610">
      <c r="A610" s="969"/>
      <c r="B610" s="969"/>
      <c r="C610" s="969"/>
      <c r="D610" s="969"/>
      <c r="E610" s="969"/>
      <c r="F610" s="969"/>
      <c r="G610" s="969"/>
      <c r="H610" s="969"/>
      <c r="I610" s="969"/>
      <c r="J610" s="969"/>
    </row>
    <row r="611">
      <c r="A611" s="969"/>
      <c r="B611" s="969"/>
      <c r="C611" s="969"/>
      <c r="D611" s="969"/>
      <c r="E611" s="969"/>
      <c r="F611" s="969"/>
      <c r="G611" s="969"/>
      <c r="H611" s="969"/>
      <c r="I611" s="969"/>
      <c r="J611" s="969"/>
    </row>
    <row r="612">
      <c r="A612" s="969"/>
      <c r="B612" s="969"/>
      <c r="C612" s="969"/>
      <c r="D612" s="969"/>
      <c r="E612" s="969"/>
      <c r="F612" s="969"/>
      <c r="G612" s="969"/>
      <c r="H612" s="969"/>
      <c r="I612" s="969"/>
      <c r="J612" s="969"/>
    </row>
    <row r="613">
      <c r="A613" s="969"/>
      <c r="B613" s="969"/>
      <c r="C613" s="969"/>
      <c r="D613" s="969"/>
      <c r="E613" s="969"/>
      <c r="F613" s="969"/>
      <c r="G613" s="969"/>
      <c r="H613" s="969"/>
      <c r="I613" s="969"/>
      <c r="J613" s="969"/>
    </row>
    <row r="614">
      <c r="A614" s="969"/>
      <c r="B614" s="969"/>
      <c r="C614" s="969"/>
      <c r="D614" s="969"/>
      <c r="E614" s="969"/>
      <c r="F614" s="969"/>
      <c r="G614" s="969"/>
      <c r="H614" s="969"/>
      <c r="I614" s="969"/>
      <c r="J614" s="969"/>
    </row>
    <row r="615">
      <c r="A615" s="969"/>
      <c r="B615" s="969"/>
      <c r="C615" s="969"/>
      <c r="D615" s="969"/>
      <c r="E615" s="969"/>
      <c r="F615" s="969"/>
      <c r="G615" s="969"/>
      <c r="H615" s="969"/>
      <c r="I615" s="969"/>
      <c r="J615" s="969"/>
    </row>
    <row r="616">
      <c r="A616" s="969"/>
      <c r="B616" s="969"/>
      <c r="C616" s="969"/>
      <c r="D616" s="969"/>
      <c r="E616" s="969"/>
      <c r="F616" s="969"/>
      <c r="G616" s="969"/>
      <c r="H616" s="969"/>
      <c r="I616" s="969"/>
      <c r="J616" s="969"/>
    </row>
    <row r="617">
      <c r="A617" s="969"/>
      <c r="B617" s="969"/>
      <c r="C617" s="969"/>
      <c r="D617" s="969"/>
      <c r="E617" s="969"/>
      <c r="F617" s="969"/>
      <c r="G617" s="969"/>
      <c r="H617" s="969"/>
      <c r="I617" s="969"/>
      <c r="J617" s="969"/>
    </row>
    <row r="618">
      <c r="A618" s="969"/>
      <c r="B618" s="969"/>
      <c r="C618" s="969"/>
      <c r="D618" s="969"/>
      <c r="E618" s="969"/>
      <c r="F618" s="969"/>
      <c r="G618" s="969"/>
      <c r="H618" s="969"/>
      <c r="I618" s="969"/>
      <c r="J618" s="969"/>
    </row>
    <row r="619">
      <c r="A619" s="969"/>
      <c r="B619" s="969"/>
      <c r="C619" s="969"/>
      <c r="D619" s="969"/>
      <c r="E619" s="969"/>
      <c r="F619" s="969"/>
      <c r="G619" s="969"/>
      <c r="H619" s="969"/>
      <c r="I619" s="969"/>
      <c r="J619" s="969"/>
    </row>
    <row r="620">
      <c r="A620" s="969"/>
      <c r="B620" s="969"/>
      <c r="C620" s="969"/>
      <c r="D620" s="969"/>
      <c r="E620" s="969"/>
      <c r="F620" s="969"/>
      <c r="G620" s="969"/>
      <c r="H620" s="969"/>
      <c r="I620" s="969"/>
      <c r="J620" s="969"/>
    </row>
    <row r="621">
      <c r="A621" s="969"/>
      <c r="B621" s="969"/>
      <c r="C621" s="969"/>
      <c r="D621" s="969"/>
      <c r="E621" s="969"/>
      <c r="F621" s="969"/>
      <c r="G621" s="969"/>
      <c r="H621" s="969"/>
      <c r="I621" s="969"/>
      <c r="J621" s="969"/>
    </row>
    <row r="622">
      <c r="A622" s="969"/>
      <c r="B622" s="969"/>
      <c r="C622" s="969"/>
      <c r="D622" s="969"/>
      <c r="E622" s="969"/>
      <c r="F622" s="969"/>
      <c r="G622" s="969"/>
      <c r="H622" s="969"/>
      <c r="I622" s="969"/>
      <c r="J622" s="969"/>
    </row>
    <row r="623">
      <c r="A623" s="969"/>
      <c r="B623" s="969"/>
      <c r="C623" s="969"/>
      <c r="D623" s="969"/>
      <c r="E623" s="969"/>
      <c r="F623" s="969"/>
      <c r="G623" s="969"/>
      <c r="H623" s="969"/>
      <c r="I623" s="969"/>
      <c r="J623" s="969"/>
    </row>
    <row r="624">
      <c r="A624" s="969"/>
      <c r="B624" s="969"/>
      <c r="C624" s="969"/>
      <c r="D624" s="969"/>
      <c r="E624" s="969"/>
      <c r="F624" s="969"/>
      <c r="G624" s="969"/>
      <c r="H624" s="969"/>
      <c r="I624" s="969"/>
      <c r="J624" s="969"/>
    </row>
    <row r="625">
      <c r="A625" s="969"/>
      <c r="B625" s="969"/>
      <c r="C625" s="969"/>
      <c r="D625" s="969"/>
      <c r="E625" s="969"/>
      <c r="F625" s="969"/>
      <c r="G625" s="969"/>
      <c r="H625" s="969"/>
      <c r="I625" s="969"/>
      <c r="J625" s="969"/>
    </row>
    <row r="626">
      <c r="A626" s="969"/>
      <c r="B626" s="969"/>
      <c r="C626" s="969"/>
      <c r="D626" s="969"/>
      <c r="E626" s="969"/>
      <c r="F626" s="969"/>
      <c r="G626" s="969"/>
      <c r="H626" s="969"/>
      <c r="I626" s="969"/>
      <c r="J626" s="969"/>
    </row>
    <row r="627">
      <c r="A627" s="969"/>
      <c r="B627" s="969"/>
      <c r="C627" s="969"/>
      <c r="D627" s="969"/>
      <c r="E627" s="969"/>
      <c r="F627" s="969"/>
      <c r="G627" s="969"/>
      <c r="H627" s="969"/>
      <c r="I627" s="969"/>
      <c r="J627" s="969"/>
    </row>
    <row r="628">
      <c r="A628" s="969"/>
      <c r="B628" s="969"/>
      <c r="C628" s="969"/>
      <c r="D628" s="969"/>
      <c r="E628" s="969"/>
      <c r="F628" s="969"/>
      <c r="G628" s="969"/>
      <c r="H628" s="969"/>
      <c r="I628" s="969"/>
      <c r="J628" s="969"/>
    </row>
    <row r="629">
      <c r="A629" s="969"/>
      <c r="B629" s="969"/>
      <c r="C629" s="969"/>
      <c r="D629" s="969"/>
      <c r="E629" s="969"/>
      <c r="F629" s="969"/>
      <c r="G629" s="969"/>
      <c r="H629" s="969"/>
      <c r="I629" s="969"/>
      <c r="J629" s="969"/>
    </row>
    <row r="630">
      <c r="A630" s="969"/>
      <c r="B630" s="969"/>
      <c r="C630" s="969"/>
      <c r="D630" s="969"/>
      <c r="E630" s="969"/>
      <c r="F630" s="969"/>
      <c r="G630" s="969"/>
      <c r="H630" s="969"/>
      <c r="I630" s="969"/>
      <c r="J630" s="969"/>
    </row>
    <row r="631">
      <c r="A631" s="969"/>
      <c r="B631" s="969"/>
      <c r="C631" s="969"/>
      <c r="D631" s="969"/>
      <c r="E631" s="969"/>
      <c r="F631" s="969"/>
      <c r="G631" s="969"/>
      <c r="H631" s="969"/>
      <c r="I631" s="969"/>
      <c r="J631" s="969"/>
    </row>
    <row r="632">
      <c r="A632" s="969"/>
      <c r="B632" s="969"/>
      <c r="C632" s="969"/>
      <c r="D632" s="969"/>
      <c r="E632" s="969"/>
      <c r="F632" s="969"/>
      <c r="G632" s="969"/>
      <c r="H632" s="969"/>
      <c r="I632" s="969"/>
      <c r="J632" s="969"/>
    </row>
    <row r="633">
      <c r="A633" s="969"/>
      <c r="B633" s="969"/>
      <c r="C633" s="969"/>
      <c r="D633" s="969"/>
      <c r="E633" s="969"/>
      <c r="F633" s="969"/>
      <c r="G633" s="969"/>
      <c r="H633" s="969"/>
      <c r="I633" s="969"/>
      <c r="J633" s="969"/>
    </row>
    <row r="634">
      <c r="A634" s="969"/>
      <c r="B634" s="969"/>
      <c r="C634" s="969"/>
      <c r="D634" s="969"/>
      <c r="E634" s="969"/>
      <c r="F634" s="969"/>
      <c r="G634" s="969"/>
      <c r="H634" s="969"/>
      <c r="I634" s="969"/>
      <c r="J634" s="969"/>
    </row>
    <row r="635">
      <c r="A635" s="969"/>
      <c r="B635" s="969"/>
      <c r="C635" s="969"/>
      <c r="D635" s="969"/>
      <c r="E635" s="969"/>
      <c r="F635" s="969"/>
      <c r="G635" s="969"/>
      <c r="H635" s="969"/>
      <c r="I635" s="969"/>
      <c r="J635" s="969"/>
    </row>
    <row r="636">
      <c r="A636" s="969"/>
      <c r="B636" s="969"/>
      <c r="C636" s="969"/>
      <c r="D636" s="969"/>
      <c r="E636" s="969"/>
      <c r="F636" s="969"/>
      <c r="G636" s="969"/>
      <c r="H636" s="969"/>
      <c r="I636" s="969"/>
      <c r="J636" s="969"/>
    </row>
    <row r="637">
      <c r="A637" s="969"/>
      <c r="B637" s="969"/>
      <c r="C637" s="969"/>
      <c r="D637" s="969"/>
      <c r="E637" s="969"/>
      <c r="F637" s="969"/>
      <c r="G637" s="969"/>
      <c r="H637" s="969"/>
      <c r="I637" s="969"/>
      <c r="J637" s="969"/>
    </row>
    <row r="638">
      <c r="A638" s="969"/>
      <c r="B638" s="969"/>
      <c r="C638" s="969"/>
      <c r="D638" s="969"/>
      <c r="E638" s="969"/>
      <c r="F638" s="969"/>
      <c r="G638" s="969"/>
      <c r="H638" s="969"/>
      <c r="I638" s="969"/>
      <c r="J638" s="969"/>
    </row>
    <row r="639">
      <c r="A639" s="969"/>
      <c r="B639" s="969"/>
      <c r="C639" s="969"/>
      <c r="D639" s="969"/>
      <c r="E639" s="969"/>
      <c r="F639" s="969"/>
      <c r="G639" s="969"/>
      <c r="H639" s="969"/>
      <c r="I639" s="969"/>
      <c r="J639" s="969"/>
    </row>
    <row r="640">
      <c r="A640" s="969"/>
      <c r="B640" s="969"/>
      <c r="C640" s="969"/>
      <c r="D640" s="969"/>
      <c r="E640" s="969"/>
      <c r="F640" s="969"/>
      <c r="G640" s="969"/>
      <c r="H640" s="969"/>
      <c r="I640" s="969"/>
      <c r="J640" s="969"/>
    </row>
    <row r="641">
      <c r="A641" s="969"/>
      <c r="B641" s="969"/>
      <c r="C641" s="969"/>
      <c r="D641" s="969"/>
      <c r="E641" s="969"/>
      <c r="F641" s="969"/>
      <c r="G641" s="969"/>
      <c r="H641" s="969"/>
      <c r="I641" s="969"/>
      <c r="J641" s="969"/>
    </row>
    <row r="642">
      <c r="A642" s="969"/>
      <c r="B642" s="969"/>
      <c r="C642" s="969"/>
      <c r="D642" s="969"/>
      <c r="E642" s="969"/>
      <c r="F642" s="969"/>
      <c r="G642" s="969"/>
      <c r="H642" s="969"/>
      <c r="I642" s="969"/>
      <c r="J642" s="969"/>
    </row>
    <row r="643">
      <c r="A643" s="969"/>
      <c r="B643" s="969"/>
      <c r="C643" s="969"/>
      <c r="D643" s="969"/>
      <c r="E643" s="969"/>
      <c r="F643" s="969"/>
      <c r="G643" s="969"/>
      <c r="H643" s="969"/>
      <c r="I643" s="969"/>
      <c r="J643" s="969"/>
    </row>
    <row r="644">
      <c r="A644" s="969"/>
      <c r="B644" s="969"/>
      <c r="C644" s="969"/>
      <c r="D644" s="969"/>
      <c r="E644" s="969"/>
      <c r="F644" s="969"/>
      <c r="G644" s="969"/>
      <c r="H644" s="969"/>
      <c r="I644" s="969"/>
      <c r="J644" s="969"/>
    </row>
    <row r="645">
      <c r="A645" s="969"/>
      <c r="B645" s="969"/>
      <c r="C645" s="969"/>
      <c r="D645" s="969"/>
      <c r="E645" s="969"/>
      <c r="F645" s="969"/>
      <c r="G645" s="969"/>
      <c r="H645" s="969"/>
      <c r="I645" s="969"/>
      <c r="J645" s="969"/>
    </row>
    <row r="646">
      <c r="A646" s="969"/>
      <c r="B646" s="969"/>
      <c r="C646" s="969"/>
      <c r="D646" s="969"/>
      <c r="E646" s="969"/>
      <c r="F646" s="969"/>
      <c r="G646" s="969"/>
      <c r="H646" s="969"/>
      <c r="I646" s="969"/>
      <c r="J646" s="969"/>
    </row>
    <row r="647">
      <c r="A647" s="969"/>
      <c r="B647" s="969"/>
      <c r="C647" s="969"/>
      <c r="D647" s="969"/>
      <c r="E647" s="969"/>
      <c r="F647" s="969"/>
      <c r="G647" s="969"/>
      <c r="H647" s="969"/>
      <c r="I647" s="969"/>
      <c r="J647" s="969"/>
    </row>
    <row r="648">
      <c r="A648" s="969"/>
      <c r="B648" s="969"/>
      <c r="C648" s="969"/>
      <c r="D648" s="969"/>
      <c r="E648" s="969"/>
      <c r="F648" s="969"/>
      <c r="G648" s="969"/>
      <c r="H648" s="969"/>
      <c r="I648" s="969"/>
      <c r="J648" s="969"/>
    </row>
    <row r="649">
      <c r="A649" s="969"/>
      <c r="B649" s="969"/>
      <c r="C649" s="969"/>
      <c r="D649" s="969"/>
      <c r="E649" s="969"/>
      <c r="F649" s="969"/>
      <c r="G649" s="969"/>
      <c r="H649" s="969"/>
      <c r="I649" s="969"/>
      <c r="J649" s="969"/>
    </row>
    <row r="650">
      <c r="A650" s="969"/>
      <c r="B650" s="969"/>
      <c r="C650" s="969"/>
      <c r="D650" s="969"/>
      <c r="E650" s="969"/>
      <c r="F650" s="969"/>
      <c r="G650" s="969"/>
      <c r="H650" s="969"/>
      <c r="I650" s="969"/>
      <c r="J650" s="969"/>
    </row>
    <row r="651">
      <c r="A651" s="969"/>
      <c r="B651" s="969"/>
      <c r="C651" s="969"/>
      <c r="D651" s="969"/>
      <c r="E651" s="969"/>
      <c r="F651" s="969"/>
      <c r="G651" s="969"/>
      <c r="H651" s="969"/>
      <c r="I651" s="969"/>
      <c r="J651" s="969"/>
    </row>
    <row r="652">
      <c r="A652" s="969"/>
      <c r="B652" s="969"/>
      <c r="C652" s="969"/>
      <c r="D652" s="969"/>
      <c r="E652" s="969"/>
      <c r="F652" s="969"/>
      <c r="G652" s="969"/>
      <c r="H652" s="969"/>
      <c r="I652" s="969"/>
      <c r="J652" s="969"/>
    </row>
    <row r="653">
      <c r="A653" s="969"/>
      <c r="B653" s="969"/>
      <c r="C653" s="969"/>
      <c r="D653" s="969"/>
      <c r="E653" s="969"/>
      <c r="F653" s="969"/>
      <c r="G653" s="969"/>
      <c r="H653" s="969"/>
      <c r="I653" s="969"/>
      <c r="J653" s="969"/>
    </row>
    <row r="654">
      <c r="A654" s="969"/>
      <c r="B654" s="969"/>
      <c r="C654" s="969"/>
      <c r="D654" s="969"/>
      <c r="E654" s="969"/>
      <c r="F654" s="969"/>
      <c r="G654" s="969"/>
      <c r="H654" s="969"/>
      <c r="I654" s="969"/>
      <c r="J654" s="969"/>
    </row>
    <row r="655">
      <c r="A655" s="969"/>
      <c r="B655" s="969"/>
      <c r="C655" s="969"/>
      <c r="D655" s="969"/>
      <c r="E655" s="969"/>
      <c r="F655" s="969"/>
      <c r="G655" s="969"/>
      <c r="H655" s="969"/>
      <c r="I655" s="969"/>
      <c r="J655" s="969"/>
    </row>
    <row r="656">
      <c r="A656" s="969"/>
      <c r="B656" s="969"/>
      <c r="C656" s="969"/>
      <c r="D656" s="969"/>
      <c r="E656" s="969"/>
      <c r="F656" s="969"/>
      <c r="G656" s="969"/>
      <c r="H656" s="969"/>
      <c r="I656" s="969"/>
      <c r="J656" s="969"/>
    </row>
    <row r="657">
      <c r="A657" s="969"/>
      <c r="B657" s="969"/>
      <c r="C657" s="969"/>
      <c r="D657" s="969"/>
      <c r="E657" s="969"/>
      <c r="F657" s="969"/>
      <c r="G657" s="969"/>
      <c r="H657" s="969"/>
      <c r="I657" s="969"/>
      <c r="J657" s="969"/>
    </row>
    <row r="658">
      <c r="A658" s="969"/>
      <c r="B658" s="969"/>
      <c r="C658" s="969"/>
      <c r="D658" s="969"/>
      <c r="E658" s="969"/>
      <c r="F658" s="969"/>
      <c r="G658" s="969"/>
      <c r="H658" s="969"/>
      <c r="I658" s="969"/>
      <c r="J658" s="969"/>
    </row>
    <row r="659">
      <c r="A659" s="969"/>
      <c r="B659" s="969"/>
      <c r="C659" s="969"/>
      <c r="D659" s="969"/>
      <c r="E659" s="969"/>
      <c r="F659" s="969"/>
      <c r="G659" s="969"/>
      <c r="H659" s="969"/>
      <c r="I659" s="969"/>
      <c r="J659" s="969"/>
    </row>
    <row r="660">
      <c r="A660" s="969"/>
      <c r="B660" s="969"/>
      <c r="C660" s="969"/>
      <c r="D660" s="969"/>
      <c r="E660" s="969"/>
      <c r="F660" s="969"/>
      <c r="G660" s="969"/>
      <c r="H660" s="969"/>
      <c r="I660" s="969"/>
      <c r="J660" s="969"/>
    </row>
    <row r="661">
      <c r="A661" s="969"/>
      <c r="B661" s="969"/>
      <c r="C661" s="969"/>
      <c r="D661" s="969"/>
      <c r="E661" s="969"/>
      <c r="F661" s="969"/>
      <c r="G661" s="969"/>
      <c r="H661" s="969"/>
      <c r="I661" s="969"/>
      <c r="J661" s="969"/>
    </row>
    <row r="662">
      <c r="A662" s="969"/>
      <c r="B662" s="969"/>
      <c r="C662" s="969"/>
      <c r="D662" s="969"/>
      <c r="E662" s="969"/>
      <c r="F662" s="969"/>
      <c r="G662" s="969"/>
      <c r="H662" s="969"/>
      <c r="I662" s="969"/>
      <c r="J662" s="969"/>
    </row>
    <row r="663">
      <c r="A663" s="969"/>
      <c r="B663" s="969"/>
      <c r="C663" s="969"/>
      <c r="D663" s="969"/>
      <c r="E663" s="969"/>
      <c r="F663" s="969"/>
      <c r="G663" s="969"/>
      <c r="H663" s="969"/>
      <c r="I663" s="969"/>
      <c r="J663" s="969"/>
    </row>
    <row r="664">
      <c r="A664" s="969"/>
      <c r="B664" s="969"/>
      <c r="C664" s="969"/>
      <c r="D664" s="969"/>
      <c r="E664" s="969"/>
      <c r="F664" s="969"/>
      <c r="G664" s="969"/>
      <c r="H664" s="969"/>
      <c r="I664" s="969"/>
      <c r="J664" s="969"/>
    </row>
    <row r="665">
      <c r="A665" s="969"/>
      <c r="B665" s="969"/>
      <c r="C665" s="969"/>
      <c r="D665" s="969"/>
      <c r="E665" s="969"/>
      <c r="F665" s="969"/>
      <c r="G665" s="969"/>
      <c r="H665" s="969"/>
      <c r="I665" s="969"/>
      <c r="J665" s="969"/>
    </row>
    <row r="666">
      <c r="A666" s="969"/>
      <c r="B666" s="969"/>
      <c r="C666" s="969"/>
      <c r="D666" s="969"/>
      <c r="E666" s="969"/>
      <c r="F666" s="969"/>
      <c r="G666" s="969"/>
      <c r="H666" s="969"/>
      <c r="I666" s="969"/>
      <c r="J666" s="969"/>
    </row>
    <row r="667">
      <c r="A667" s="969"/>
      <c r="B667" s="969"/>
      <c r="C667" s="969"/>
      <c r="D667" s="969"/>
      <c r="E667" s="969"/>
      <c r="F667" s="969"/>
      <c r="G667" s="969"/>
      <c r="H667" s="969"/>
      <c r="I667" s="969"/>
      <c r="J667" s="969"/>
    </row>
    <row r="668">
      <c r="A668" s="969"/>
      <c r="B668" s="969"/>
      <c r="C668" s="969"/>
      <c r="D668" s="969"/>
      <c r="E668" s="969"/>
      <c r="F668" s="969"/>
      <c r="G668" s="969"/>
      <c r="H668" s="969"/>
      <c r="I668" s="969"/>
      <c r="J668" s="969"/>
    </row>
    <row r="669">
      <c r="A669" s="969"/>
      <c r="B669" s="969"/>
      <c r="C669" s="969"/>
      <c r="D669" s="969"/>
      <c r="E669" s="969"/>
      <c r="F669" s="969"/>
      <c r="G669" s="969"/>
      <c r="H669" s="969"/>
      <c r="I669" s="969"/>
      <c r="J669" s="969"/>
    </row>
    <row r="670">
      <c r="A670" s="969"/>
      <c r="B670" s="969"/>
      <c r="C670" s="969"/>
      <c r="D670" s="969"/>
      <c r="E670" s="969"/>
      <c r="F670" s="969"/>
      <c r="G670" s="969"/>
      <c r="H670" s="969"/>
      <c r="I670" s="969"/>
      <c r="J670" s="969"/>
    </row>
    <row r="671">
      <c r="A671" s="969"/>
      <c r="B671" s="969"/>
      <c r="C671" s="969"/>
      <c r="D671" s="969"/>
      <c r="E671" s="969"/>
      <c r="F671" s="969"/>
      <c r="G671" s="969"/>
      <c r="H671" s="969"/>
      <c r="I671" s="969"/>
      <c r="J671" s="969"/>
    </row>
    <row r="672">
      <c r="A672" s="969"/>
      <c r="B672" s="969"/>
      <c r="C672" s="969"/>
      <c r="D672" s="969"/>
      <c r="E672" s="969"/>
      <c r="F672" s="969"/>
      <c r="G672" s="969"/>
      <c r="H672" s="969"/>
      <c r="I672" s="969"/>
      <c r="J672" s="969"/>
    </row>
    <row r="673">
      <c r="A673" s="969"/>
      <c r="B673" s="969"/>
      <c r="C673" s="969"/>
      <c r="D673" s="969"/>
      <c r="E673" s="969"/>
      <c r="F673" s="969"/>
      <c r="G673" s="969"/>
      <c r="H673" s="969"/>
      <c r="I673" s="969"/>
      <c r="J673" s="969"/>
    </row>
    <row r="674">
      <c r="A674" s="969"/>
      <c r="B674" s="969"/>
      <c r="C674" s="969"/>
      <c r="D674" s="969"/>
      <c r="E674" s="969"/>
      <c r="F674" s="969"/>
      <c r="G674" s="969"/>
      <c r="H674" s="969"/>
      <c r="I674" s="969"/>
      <c r="J674" s="969"/>
    </row>
    <row r="675">
      <c r="A675" s="969"/>
      <c r="B675" s="969"/>
      <c r="C675" s="969"/>
      <c r="D675" s="969"/>
      <c r="E675" s="969"/>
      <c r="F675" s="969"/>
      <c r="G675" s="969"/>
      <c r="H675" s="969"/>
      <c r="I675" s="969"/>
      <c r="J675" s="969"/>
    </row>
    <row r="676">
      <c r="A676" s="969"/>
      <c r="B676" s="969"/>
      <c r="C676" s="969"/>
      <c r="D676" s="969"/>
      <c r="E676" s="969"/>
      <c r="F676" s="969"/>
      <c r="G676" s="969"/>
      <c r="H676" s="969"/>
      <c r="I676" s="969"/>
      <c r="J676" s="969"/>
    </row>
    <row r="677">
      <c r="A677" s="969"/>
      <c r="B677" s="969"/>
      <c r="C677" s="969"/>
      <c r="D677" s="969"/>
      <c r="E677" s="969"/>
      <c r="F677" s="969"/>
      <c r="G677" s="969"/>
      <c r="H677" s="969"/>
      <c r="I677" s="969"/>
      <c r="J677" s="969"/>
    </row>
    <row r="678">
      <c r="A678" s="969"/>
      <c r="B678" s="969"/>
      <c r="C678" s="969"/>
      <c r="D678" s="969"/>
      <c r="E678" s="969"/>
      <c r="F678" s="969"/>
      <c r="G678" s="969"/>
      <c r="H678" s="969"/>
      <c r="I678" s="969"/>
      <c r="J678" s="969"/>
    </row>
    <row r="679">
      <c r="A679" s="969"/>
      <c r="B679" s="969"/>
      <c r="C679" s="969"/>
      <c r="D679" s="969"/>
      <c r="E679" s="969"/>
      <c r="F679" s="969"/>
      <c r="G679" s="969"/>
      <c r="H679" s="969"/>
      <c r="I679" s="969"/>
      <c r="J679" s="969"/>
    </row>
    <row r="680">
      <c r="A680" s="969"/>
      <c r="B680" s="969"/>
      <c r="C680" s="969"/>
      <c r="D680" s="969"/>
      <c r="E680" s="969"/>
      <c r="F680" s="969"/>
      <c r="G680" s="969"/>
      <c r="H680" s="969"/>
      <c r="I680" s="969"/>
      <c r="J680" s="969"/>
    </row>
    <row r="681">
      <c r="A681" s="969"/>
      <c r="B681" s="969"/>
      <c r="C681" s="969"/>
      <c r="D681" s="969"/>
      <c r="E681" s="969"/>
      <c r="F681" s="969"/>
      <c r="G681" s="969"/>
      <c r="H681" s="969"/>
      <c r="I681" s="969"/>
      <c r="J681" s="969"/>
    </row>
    <row r="682">
      <c r="A682" s="969"/>
      <c r="B682" s="969"/>
      <c r="C682" s="969"/>
      <c r="D682" s="969"/>
      <c r="E682" s="969"/>
      <c r="F682" s="969"/>
      <c r="G682" s="969"/>
      <c r="H682" s="969"/>
      <c r="I682" s="969"/>
      <c r="J682" s="969"/>
    </row>
    <row r="683">
      <c r="A683" s="969"/>
      <c r="B683" s="969"/>
      <c r="C683" s="969"/>
      <c r="D683" s="969"/>
      <c r="E683" s="969"/>
      <c r="F683" s="969"/>
      <c r="G683" s="969"/>
      <c r="H683" s="969"/>
      <c r="I683" s="969"/>
      <c r="J683" s="969"/>
    </row>
    <row r="684">
      <c r="A684" s="969"/>
      <c r="B684" s="969"/>
      <c r="C684" s="969"/>
      <c r="D684" s="969"/>
      <c r="E684" s="969"/>
      <c r="F684" s="969"/>
      <c r="G684" s="969"/>
      <c r="H684" s="969"/>
      <c r="I684" s="969"/>
      <c r="J684" s="969"/>
    </row>
    <row r="685">
      <c r="A685" s="969"/>
      <c r="B685" s="969"/>
      <c r="C685" s="969"/>
      <c r="D685" s="969"/>
      <c r="E685" s="969"/>
      <c r="F685" s="969"/>
      <c r="G685" s="969"/>
      <c r="H685" s="969"/>
      <c r="I685" s="969"/>
      <c r="J685" s="969"/>
    </row>
    <row r="686">
      <c r="A686" s="969"/>
      <c r="B686" s="969"/>
      <c r="C686" s="969"/>
      <c r="D686" s="969"/>
      <c r="E686" s="969"/>
      <c r="F686" s="969"/>
      <c r="G686" s="969"/>
      <c r="H686" s="969"/>
      <c r="I686" s="969"/>
      <c r="J686" s="969"/>
    </row>
    <row r="687">
      <c r="A687" s="969"/>
      <c r="B687" s="969"/>
      <c r="C687" s="969"/>
      <c r="D687" s="969"/>
      <c r="E687" s="969"/>
      <c r="F687" s="969"/>
      <c r="G687" s="969"/>
      <c r="H687" s="969"/>
      <c r="I687" s="969"/>
      <c r="J687" s="969"/>
    </row>
    <row r="688">
      <c r="A688" s="969"/>
      <c r="B688" s="969"/>
      <c r="C688" s="969"/>
      <c r="D688" s="969"/>
      <c r="E688" s="969"/>
      <c r="F688" s="969"/>
      <c r="G688" s="969"/>
      <c r="H688" s="969"/>
      <c r="I688" s="969"/>
      <c r="J688" s="969"/>
    </row>
    <row r="689">
      <c r="A689" s="969"/>
      <c r="B689" s="969"/>
      <c r="C689" s="969"/>
      <c r="D689" s="969"/>
      <c r="E689" s="969"/>
      <c r="F689" s="969"/>
      <c r="G689" s="969"/>
      <c r="H689" s="969"/>
      <c r="I689" s="969"/>
      <c r="J689" s="969"/>
    </row>
    <row r="690">
      <c r="A690" s="969"/>
      <c r="B690" s="969"/>
      <c r="C690" s="969"/>
      <c r="D690" s="969"/>
      <c r="E690" s="969"/>
      <c r="F690" s="969"/>
      <c r="G690" s="969"/>
      <c r="H690" s="969"/>
      <c r="I690" s="969"/>
      <c r="J690" s="969"/>
    </row>
    <row r="691">
      <c r="A691" s="969"/>
      <c r="B691" s="969"/>
      <c r="C691" s="969"/>
      <c r="D691" s="969"/>
      <c r="E691" s="969"/>
      <c r="F691" s="969"/>
      <c r="G691" s="969"/>
      <c r="H691" s="969"/>
      <c r="I691" s="969"/>
      <c r="J691" s="969"/>
    </row>
    <row r="692">
      <c r="A692" s="969"/>
      <c r="B692" s="969"/>
      <c r="C692" s="969"/>
      <c r="D692" s="969"/>
      <c r="E692" s="969"/>
      <c r="F692" s="969"/>
      <c r="G692" s="969"/>
      <c r="H692" s="969"/>
      <c r="I692" s="969"/>
      <c r="J692" s="969"/>
    </row>
    <row r="693">
      <c r="A693" s="969"/>
      <c r="B693" s="969"/>
      <c r="C693" s="969"/>
      <c r="D693" s="969"/>
      <c r="E693" s="969"/>
      <c r="F693" s="969"/>
      <c r="G693" s="969"/>
      <c r="H693" s="969"/>
      <c r="I693" s="969"/>
      <c r="J693" s="969"/>
    </row>
    <row r="694">
      <c r="A694" s="969"/>
      <c r="B694" s="969"/>
      <c r="C694" s="969"/>
      <c r="D694" s="969"/>
      <c r="E694" s="969"/>
      <c r="F694" s="969"/>
      <c r="G694" s="969"/>
      <c r="H694" s="969"/>
      <c r="I694" s="969"/>
      <c r="J694" s="969"/>
    </row>
    <row r="695">
      <c r="A695" s="969"/>
      <c r="B695" s="969"/>
      <c r="C695" s="969"/>
      <c r="D695" s="969"/>
      <c r="E695" s="969"/>
      <c r="F695" s="969"/>
      <c r="G695" s="969"/>
      <c r="H695" s="969"/>
      <c r="I695" s="969"/>
      <c r="J695" s="969"/>
    </row>
    <row r="696">
      <c r="A696" s="969"/>
      <c r="B696" s="969"/>
      <c r="C696" s="969"/>
      <c r="D696" s="969"/>
      <c r="E696" s="969"/>
      <c r="F696" s="969"/>
      <c r="G696" s="969"/>
      <c r="H696" s="969"/>
      <c r="I696" s="969"/>
      <c r="J696" s="969"/>
    </row>
    <row r="697">
      <c r="A697" s="969"/>
      <c r="B697" s="969"/>
      <c r="C697" s="969"/>
      <c r="D697" s="969"/>
      <c r="E697" s="969"/>
      <c r="F697" s="969"/>
      <c r="G697" s="969"/>
      <c r="H697" s="969"/>
      <c r="I697" s="969"/>
      <c r="J697" s="969"/>
    </row>
    <row r="698">
      <c r="A698" s="969"/>
      <c r="B698" s="969"/>
      <c r="C698" s="969"/>
      <c r="D698" s="969"/>
      <c r="E698" s="969"/>
      <c r="F698" s="969"/>
      <c r="G698" s="969"/>
      <c r="H698" s="969"/>
      <c r="I698" s="969"/>
      <c r="J698" s="969"/>
    </row>
    <row r="699">
      <c r="A699" s="969"/>
      <c r="B699" s="969"/>
      <c r="C699" s="969"/>
      <c r="D699" s="969"/>
      <c r="E699" s="969"/>
      <c r="F699" s="969"/>
      <c r="G699" s="969"/>
      <c r="H699" s="969"/>
      <c r="I699" s="969"/>
      <c r="J699" s="969"/>
    </row>
    <row r="700">
      <c r="A700" s="969"/>
      <c r="B700" s="969"/>
      <c r="C700" s="969"/>
      <c r="D700" s="969"/>
      <c r="E700" s="969"/>
      <c r="F700" s="969"/>
      <c r="G700" s="969"/>
      <c r="H700" s="969"/>
      <c r="I700" s="969"/>
      <c r="J700" s="969"/>
    </row>
    <row r="701">
      <c r="A701" s="969"/>
      <c r="B701" s="969"/>
      <c r="C701" s="969"/>
      <c r="D701" s="969"/>
      <c r="E701" s="969"/>
      <c r="F701" s="969"/>
      <c r="G701" s="969"/>
      <c r="H701" s="969"/>
      <c r="I701" s="969"/>
      <c r="J701" s="969"/>
    </row>
    <row r="702">
      <c r="A702" s="969"/>
      <c r="B702" s="969"/>
      <c r="C702" s="969"/>
      <c r="D702" s="969"/>
      <c r="E702" s="969"/>
      <c r="F702" s="969"/>
      <c r="G702" s="969"/>
      <c r="H702" s="969"/>
      <c r="I702" s="969"/>
      <c r="J702" s="969"/>
    </row>
    <row r="703">
      <c r="A703" s="969"/>
      <c r="B703" s="969"/>
      <c r="C703" s="969"/>
      <c r="D703" s="969"/>
      <c r="E703" s="969"/>
      <c r="F703" s="969"/>
      <c r="G703" s="969"/>
      <c r="H703" s="969"/>
      <c r="I703" s="969"/>
      <c r="J703" s="969"/>
    </row>
    <row r="704">
      <c r="A704" s="969"/>
      <c r="B704" s="969"/>
      <c r="C704" s="969"/>
      <c r="D704" s="969"/>
      <c r="E704" s="969"/>
      <c r="F704" s="969"/>
      <c r="G704" s="969"/>
      <c r="H704" s="969"/>
      <c r="I704" s="969"/>
      <c r="J704" s="969"/>
    </row>
    <row r="705">
      <c r="A705" s="969"/>
      <c r="B705" s="969"/>
      <c r="C705" s="969"/>
      <c r="D705" s="969"/>
      <c r="E705" s="969"/>
      <c r="F705" s="969"/>
      <c r="G705" s="969"/>
      <c r="H705" s="969"/>
      <c r="I705" s="969"/>
      <c r="J705" s="969"/>
    </row>
    <row r="706">
      <c r="A706" s="969"/>
      <c r="B706" s="969"/>
      <c r="C706" s="969"/>
      <c r="D706" s="969"/>
      <c r="E706" s="969"/>
      <c r="F706" s="969"/>
      <c r="G706" s="969"/>
      <c r="H706" s="969"/>
      <c r="I706" s="969"/>
      <c r="J706" s="969"/>
    </row>
    <row r="707">
      <c r="A707" s="969"/>
      <c r="B707" s="969"/>
      <c r="C707" s="969"/>
      <c r="D707" s="969"/>
      <c r="E707" s="969"/>
      <c r="F707" s="969"/>
      <c r="G707" s="969"/>
      <c r="H707" s="969"/>
      <c r="I707" s="969"/>
      <c r="J707" s="969"/>
    </row>
    <row r="708">
      <c r="A708" s="969"/>
      <c r="B708" s="969"/>
      <c r="C708" s="969"/>
      <c r="D708" s="969"/>
      <c r="E708" s="969"/>
      <c r="F708" s="969"/>
      <c r="G708" s="969"/>
      <c r="H708" s="969"/>
      <c r="I708" s="969"/>
      <c r="J708" s="969"/>
    </row>
    <row r="709">
      <c r="A709" s="969"/>
      <c r="B709" s="969"/>
      <c r="C709" s="969"/>
      <c r="D709" s="969"/>
      <c r="E709" s="969"/>
      <c r="F709" s="969"/>
      <c r="G709" s="969"/>
      <c r="H709" s="969"/>
      <c r="I709" s="969"/>
      <c r="J709" s="969"/>
    </row>
    <row r="710">
      <c r="A710" s="969"/>
      <c r="B710" s="969"/>
      <c r="C710" s="969"/>
      <c r="D710" s="969"/>
      <c r="E710" s="969"/>
      <c r="F710" s="969"/>
      <c r="G710" s="969"/>
      <c r="H710" s="969"/>
      <c r="I710" s="969"/>
      <c r="J710" s="969"/>
    </row>
    <row r="711">
      <c r="A711" s="969"/>
      <c r="B711" s="969"/>
      <c r="C711" s="969"/>
      <c r="D711" s="969"/>
      <c r="E711" s="969"/>
      <c r="F711" s="969"/>
      <c r="G711" s="969"/>
      <c r="H711" s="969"/>
      <c r="I711" s="969"/>
      <c r="J711" s="969"/>
    </row>
    <row r="712">
      <c r="A712" s="969"/>
      <c r="B712" s="969"/>
      <c r="C712" s="969"/>
      <c r="D712" s="969"/>
      <c r="E712" s="969"/>
      <c r="F712" s="969"/>
      <c r="G712" s="969"/>
      <c r="H712" s="969"/>
      <c r="I712" s="969"/>
      <c r="J712" s="969"/>
    </row>
    <row r="713">
      <c r="A713" s="969"/>
      <c r="B713" s="969"/>
      <c r="C713" s="969"/>
      <c r="D713" s="969"/>
      <c r="E713" s="969"/>
      <c r="F713" s="969"/>
      <c r="G713" s="969"/>
      <c r="H713" s="969"/>
      <c r="I713" s="969"/>
      <c r="J713" s="969"/>
    </row>
    <row r="714">
      <c r="A714" s="969"/>
      <c r="B714" s="969"/>
      <c r="C714" s="969"/>
      <c r="D714" s="969"/>
      <c r="E714" s="969"/>
      <c r="F714" s="969"/>
      <c r="G714" s="969"/>
      <c r="H714" s="969"/>
      <c r="I714" s="969"/>
      <c r="J714" s="969"/>
    </row>
    <row r="715">
      <c r="A715" s="969"/>
      <c r="B715" s="969"/>
      <c r="C715" s="969"/>
      <c r="D715" s="969"/>
      <c r="E715" s="969"/>
      <c r="F715" s="969"/>
      <c r="G715" s="969"/>
      <c r="H715" s="969"/>
      <c r="I715" s="969"/>
      <c r="J715" s="969"/>
    </row>
    <row r="716">
      <c r="A716" s="969"/>
      <c r="B716" s="969"/>
      <c r="C716" s="969"/>
      <c r="D716" s="969"/>
      <c r="E716" s="969"/>
      <c r="F716" s="969"/>
      <c r="G716" s="969"/>
      <c r="H716" s="969"/>
      <c r="I716" s="969"/>
      <c r="J716" s="969"/>
    </row>
    <row r="717">
      <c r="A717" s="969"/>
      <c r="B717" s="969"/>
      <c r="C717" s="969"/>
      <c r="D717" s="969"/>
      <c r="E717" s="969"/>
      <c r="F717" s="969"/>
      <c r="G717" s="969"/>
      <c r="H717" s="969"/>
      <c r="I717" s="969"/>
      <c r="J717" s="969"/>
    </row>
    <row r="718">
      <c r="A718" s="969"/>
      <c r="B718" s="969"/>
      <c r="C718" s="969"/>
      <c r="D718" s="969"/>
      <c r="E718" s="969"/>
      <c r="F718" s="969"/>
      <c r="G718" s="969"/>
      <c r="H718" s="969"/>
      <c r="I718" s="969"/>
      <c r="J718" s="969"/>
    </row>
    <row r="719">
      <c r="A719" s="969"/>
      <c r="B719" s="969"/>
      <c r="C719" s="969"/>
      <c r="D719" s="969"/>
      <c r="E719" s="969"/>
      <c r="F719" s="969"/>
      <c r="G719" s="969"/>
      <c r="H719" s="969"/>
      <c r="I719" s="969"/>
      <c r="J719" s="969"/>
    </row>
    <row r="720">
      <c r="A720" s="969"/>
      <c r="B720" s="969"/>
      <c r="C720" s="969"/>
      <c r="D720" s="969"/>
      <c r="E720" s="969"/>
      <c r="F720" s="969"/>
      <c r="G720" s="969"/>
      <c r="H720" s="969"/>
      <c r="I720" s="969"/>
      <c r="J720" s="969"/>
    </row>
    <row r="721">
      <c r="A721" s="969"/>
      <c r="B721" s="969"/>
      <c r="C721" s="969"/>
      <c r="D721" s="969"/>
      <c r="E721" s="969"/>
      <c r="F721" s="969"/>
      <c r="G721" s="969"/>
      <c r="H721" s="969"/>
      <c r="I721" s="969"/>
      <c r="J721" s="969"/>
    </row>
    <row r="722">
      <c r="A722" s="969"/>
      <c r="B722" s="969"/>
      <c r="C722" s="969"/>
      <c r="D722" s="969"/>
      <c r="E722" s="969"/>
      <c r="F722" s="969"/>
      <c r="G722" s="969"/>
      <c r="H722" s="969"/>
      <c r="I722" s="969"/>
      <c r="J722" s="969"/>
    </row>
    <row r="723">
      <c r="A723" s="969"/>
      <c r="B723" s="969"/>
      <c r="C723" s="969"/>
      <c r="D723" s="969"/>
      <c r="E723" s="969"/>
      <c r="F723" s="969"/>
      <c r="G723" s="969"/>
      <c r="H723" s="969"/>
      <c r="I723" s="969"/>
      <c r="J723" s="969"/>
    </row>
    <row r="724">
      <c r="A724" s="969"/>
      <c r="B724" s="969"/>
      <c r="C724" s="969"/>
      <c r="D724" s="969"/>
      <c r="E724" s="969"/>
      <c r="F724" s="969"/>
      <c r="G724" s="969"/>
      <c r="H724" s="969"/>
      <c r="I724" s="969"/>
      <c r="J724" s="969"/>
    </row>
    <row r="725">
      <c r="A725" s="969"/>
      <c r="B725" s="969"/>
      <c r="C725" s="969"/>
      <c r="D725" s="969"/>
      <c r="E725" s="969"/>
      <c r="F725" s="969"/>
      <c r="G725" s="969"/>
      <c r="H725" s="969"/>
      <c r="I725" s="969"/>
      <c r="J725" s="969"/>
    </row>
    <row r="726">
      <c r="A726" s="969"/>
      <c r="B726" s="969"/>
      <c r="C726" s="969"/>
      <c r="D726" s="969"/>
      <c r="E726" s="969"/>
      <c r="F726" s="969"/>
      <c r="G726" s="969"/>
      <c r="H726" s="969"/>
      <c r="I726" s="969"/>
      <c r="J726" s="969"/>
    </row>
    <row r="727">
      <c r="A727" s="969"/>
      <c r="B727" s="969"/>
      <c r="C727" s="969"/>
      <c r="D727" s="969"/>
      <c r="E727" s="969"/>
      <c r="F727" s="969"/>
      <c r="G727" s="969"/>
      <c r="H727" s="969"/>
      <c r="I727" s="969"/>
      <c r="J727" s="969"/>
    </row>
    <row r="728">
      <c r="A728" s="969"/>
      <c r="B728" s="969"/>
      <c r="C728" s="969"/>
      <c r="D728" s="969"/>
      <c r="E728" s="969"/>
      <c r="F728" s="969"/>
      <c r="G728" s="969"/>
      <c r="H728" s="969"/>
      <c r="I728" s="969"/>
      <c r="J728" s="969"/>
    </row>
    <row r="729">
      <c r="A729" s="969"/>
      <c r="B729" s="969"/>
      <c r="C729" s="969"/>
      <c r="D729" s="969"/>
      <c r="E729" s="969"/>
      <c r="F729" s="969"/>
      <c r="G729" s="969"/>
      <c r="H729" s="969"/>
      <c r="I729" s="969"/>
      <c r="J729" s="969"/>
    </row>
    <row r="730">
      <c r="A730" s="969"/>
      <c r="B730" s="969"/>
      <c r="C730" s="969"/>
      <c r="D730" s="969"/>
      <c r="E730" s="969"/>
      <c r="F730" s="969"/>
      <c r="G730" s="969"/>
      <c r="H730" s="969"/>
      <c r="I730" s="969"/>
      <c r="J730" s="969"/>
    </row>
    <row r="731">
      <c r="A731" s="969"/>
      <c r="B731" s="969"/>
      <c r="C731" s="969"/>
      <c r="D731" s="969"/>
      <c r="E731" s="969"/>
      <c r="F731" s="969"/>
      <c r="G731" s="969"/>
      <c r="H731" s="969"/>
      <c r="I731" s="969"/>
      <c r="J731" s="969"/>
    </row>
    <row r="732">
      <c r="A732" s="969"/>
      <c r="B732" s="969"/>
      <c r="C732" s="969"/>
      <c r="D732" s="969"/>
      <c r="E732" s="969"/>
      <c r="F732" s="969"/>
      <c r="G732" s="969"/>
      <c r="H732" s="969"/>
      <c r="I732" s="969"/>
      <c r="J732" s="969"/>
    </row>
    <row r="733">
      <c r="A733" s="969"/>
      <c r="B733" s="969"/>
      <c r="C733" s="969"/>
      <c r="D733" s="969"/>
      <c r="E733" s="969"/>
      <c r="F733" s="969"/>
      <c r="G733" s="969"/>
      <c r="H733" s="969"/>
      <c r="I733" s="969"/>
      <c r="J733" s="969"/>
    </row>
    <row r="734">
      <c r="A734" s="969"/>
      <c r="B734" s="969"/>
      <c r="C734" s="969"/>
      <c r="D734" s="969"/>
      <c r="E734" s="969"/>
      <c r="F734" s="969"/>
      <c r="G734" s="969"/>
      <c r="H734" s="969"/>
      <c r="I734" s="969"/>
      <c r="J734" s="969"/>
    </row>
    <row r="735">
      <c r="A735" s="969"/>
      <c r="B735" s="969"/>
      <c r="C735" s="969"/>
      <c r="D735" s="969"/>
      <c r="E735" s="969"/>
      <c r="F735" s="969"/>
      <c r="G735" s="969"/>
      <c r="H735" s="969"/>
      <c r="I735" s="969"/>
      <c r="J735" s="969"/>
    </row>
    <row r="736">
      <c r="A736" s="969"/>
      <c r="B736" s="969"/>
      <c r="C736" s="969"/>
      <c r="D736" s="969"/>
      <c r="E736" s="969"/>
      <c r="F736" s="969"/>
      <c r="G736" s="969"/>
      <c r="H736" s="969"/>
      <c r="I736" s="969"/>
      <c r="J736" s="969"/>
    </row>
    <row r="737">
      <c r="A737" s="969"/>
      <c r="B737" s="969"/>
      <c r="C737" s="969"/>
      <c r="D737" s="969"/>
      <c r="E737" s="969"/>
      <c r="F737" s="969"/>
      <c r="G737" s="969"/>
      <c r="H737" s="969"/>
      <c r="I737" s="969"/>
      <c r="J737" s="969"/>
    </row>
    <row r="738">
      <c r="A738" s="969"/>
      <c r="B738" s="969"/>
      <c r="C738" s="969"/>
      <c r="D738" s="969"/>
      <c r="E738" s="969"/>
      <c r="F738" s="969"/>
      <c r="G738" s="969"/>
      <c r="H738" s="969"/>
      <c r="I738" s="969"/>
      <c r="J738" s="969"/>
    </row>
    <row r="739">
      <c r="A739" s="969"/>
      <c r="B739" s="969"/>
      <c r="C739" s="969"/>
      <c r="D739" s="969"/>
      <c r="E739" s="969"/>
      <c r="F739" s="969"/>
      <c r="G739" s="969"/>
      <c r="H739" s="969"/>
      <c r="I739" s="969"/>
      <c r="J739" s="969"/>
    </row>
    <row r="740">
      <c r="A740" s="969"/>
      <c r="B740" s="969"/>
      <c r="C740" s="969"/>
      <c r="D740" s="969"/>
      <c r="E740" s="969"/>
      <c r="F740" s="969"/>
      <c r="G740" s="969"/>
      <c r="H740" s="969"/>
      <c r="I740" s="969"/>
      <c r="J740" s="969"/>
    </row>
    <row r="741">
      <c r="A741" s="969"/>
      <c r="B741" s="969"/>
      <c r="C741" s="969"/>
      <c r="D741" s="969"/>
      <c r="E741" s="969"/>
      <c r="F741" s="969"/>
      <c r="G741" s="969"/>
      <c r="H741" s="969"/>
      <c r="I741" s="969"/>
      <c r="J741" s="969"/>
    </row>
    <row r="742">
      <c r="A742" s="969"/>
      <c r="B742" s="969"/>
      <c r="C742" s="969"/>
      <c r="D742" s="969"/>
      <c r="E742" s="969"/>
      <c r="F742" s="969"/>
      <c r="G742" s="969"/>
      <c r="H742" s="969"/>
      <c r="I742" s="969"/>
      <c r="J742" s="969"/>
    </row>
    <row r="743">
      <c r="A743" s="969"/>
      <c r="B743" s="969"/>
      <c r="C743" s="969"/>
      <c r="D743" s="969"/>
      <c r="E743" s="969"/>
      <c r="F743" s="969"/>
      <c r="G743" s="969"/>
      <c r="H743" s="969"/>
      <c r="I743" s="969"/>
      <c r="J743" s="969"/>
    </row>
    <row r="744">
      <c r="A744" s="969"/>
      <c r="B744" s="969"/>
      <c r="C744" s="969"/>
      <c r="D744" s="969"/>
      <c r="E744" s="969"/>
      <c r="F744" s="969"/>
      <c r="G744" s="969"/>
      <c r="H744" s="969"/>
      <c r="I744" s="969"/>
      <c r="J744" s="969"/>
    </row>
    <row r="745">
      <c r="A745" s="969"/>
      <c r="B745" s="969"/>
      <c r="C745" s="969"/>
      <c r="D745" s="969"/>
      <c r="E745" s="969"/>
      <c r="F745" s="969"/>
      <c r="G745" s="969"/>
      <c r="H745" s="969"/>
      <c r="I745" s="969"/>
      <c r="J745" s="969"/>
    </row>
    <row r="746">
      <c r="A746" s="969"/>
      <c r="B746" s="969"/>
      <c r="C746" s="969"/>
      <c r="D746" s="969"/>
      <c r="E746" s="969"/>
      <c r="F746" s="969"/>
      <c r="G746" s="969"/>
      <c r="H746" s="969"/>
      <c r="I746" s="969"/>
      <c r="J746" s="969"/>
    </row>
    <row r="747">
      <c r="A747" s="969"/>
      <c r="B747" s="969"/>
      <c r="C747" s="969"/>
      <c r="D747" s="969"/>
      <c r="E747" s="969"/>
      <c r="F747" s="969"/>
      <c r="G747" s="969"/>
      <c r="H747" s="969"/>
      <c r="I747" s="969"/>
      <c r="J747" s="969"/>
    </row>
    <row r="748">
      <c r="A748" s="969"/>
      <c r="B748" s="969"/>
      <c r="C748" s="969"/>
      <c r="D748" s="969"/>
      <c r="E748" s="969"/>
      <c r="F748" s="969"/>
      <c r="G748" s="969"/>
      <c r="H748" s="969"/>
      <c r="I748" s="969"/>
      <c r="J748" s="969"/>
    </row>
    <row r="749">
      <c r="A749" s="969"/>
      <c r="B749" s="969"/>
      <c r="C749" s="969"/>
      <c r="D749" s="969"/>
      <c r="E749" s="969"/>
      <c r="F749" s="969"/>
      <c r="G749" s="969"/>
      <c r="H749" s="969"/>
      <c r="I749" s="969"/>
      <c r="J749" s="969"/>
    </row>
    <row r="750">
      <c r="A750" s="969"/>
      <c r="B750" s="969"/>
      <c r="C750" s="969"/>
      <c r="D750" s="969"/>
      <c r="E750" s="969"/>
      <c r="F750" s="969"/>
      <c r="G750" s="969"/>
      <c r="H750" s="969"/>
      <c r="I750" s="969"/>
      <c r="J750" s="969"/>
    </row>
    <row r="751">
      <c r="A751" s="969"/>
      <c r="B751" s="969"/>
      <c r="C751" s="969"/>
      <c r="D751" s="969"/>
      <c r="E751" s="969"/>
      <c r="F751" s="969"/>
      <c r="G751" s="969"/>
      <c r="H751" s="969"/>
      <c r="I751" s="969"/>
      <c r="J751" s="969"/>
    </row>
    <row r="752">
      <c r="A752" s="969"/>
      <c r="B752" s="969"/>
      <c r="C752" s="969"/>
      <c r="D752" s="969"/>
      <c r="E752" s="969"/>
      <c r="F752" s="969"/>
      <c r="G752" s="969"/>
      <c r="H752" s="969"/>
      <c r="I752" s="969"/>
      <c r="J752" s="969"/>
    </row>
    <row r="753">
      <c r="A753" s="969"/>
      <c r="B753" s="969"/>
      <c r="C753" s="969"/>
      <c r="D753" s="969"/>
      <c r="E753" s="969"/>
      <c r="F753" s="969"/>
      <c r="G753" s="969"/>
      <c r="H753" s="969"/>
      <c r="I753" s="969"/>
      <c r="J753" s="969"/>
    </row>
    <row r="754">
      <c r="A754" s="969"/>
      <c r="B754" s="969"/>
      <c r="C754" s="969"/>
      <c r="D754" s="969"/>
      <c r="E754" s="969"/>
      <c r="F754" s="969"/>
      <c r="G754" s="969"/>
      <c r="H754" s="969"/>
      <c r="I754" s="969"/>
      <c r="J754" s="969"/>
    </row>
    <row r="755">
      <c r="A755" s="969"/>
      <c r="B755" s="969"/>
      <c r="C755" s="969"/>
      <c r="D755" s="969"/>
      <c r="E755" s="969"/>
      <c r="F755" s="969"/>
      <c r="G755" s="969"/>
      <c r="H755" s="969"/>
      <c r="I755" s="969"/>
      <c r="J755" s="969"/>
    </row>
    <row r="756">
      <c r="A756" s="969"/>
      <c r="B756" s="969"/>
      <c r="C756" s="969"/>
      <c r="D756" s="969"/>
      <c r="E756" s="969"/>
      <c r="F756" s="969"/>
      <c r="G756" s="969"/>
      <c r="H756" s="969"/>
      <c r="I756" s="969"/>
      <c r="J756" s="969"/>
    </row>
    <row r="757">
      <c r="A757" s="969"/>
      <c r="B757" s="969"/>
      <c r="C757" s="969"/>
      <c r="D757" s="969"/>
      <c r="E757" s="969"/>
      <c r="F757" s="969"/>
      <c r="G757" s="969"/>
      <c r="H757" s="969"/>
      <c r="I757" s="969"/>
      <c r="J757" s="969"/>
    </row>
    <row r="758">
      <c r="A758" s="969"/>
      <c r="B758" s="969"/>
      <c r="C758" s="969"/>
      <c r="D758" s="969"/>
      <c r="E758" s="969"/>
      <c r="F758" s="969"/>
      <c r="G758" s="969"/>
      <c r="H758" s="969"/>
      <c r="I758" s="969"/>
      <c r="J758" s="969"/>
    </row>
    <row r="759">
      <c r="A759" s="969"/>
      <c r="B759" s="969"/>
      <c r="C759" s="969"/>
      <c r="D759" s="969"/>
      <c r="E759" s="969"/>
      <c r="F759" s="969"/>
      <c r="G759" s="969"/>
      <c r="H759" s="969"/>
      <c r="I759" s="969"/>
      <c r="J759" s="969"/>
    </row>
    <row r="760">
      <c r="A760" s="969"/>
      <c r="B760" s="969"/>
      <c r="C760" s="969"/>
      <c r="D760" s="969"/>
      <c r="E760" s="969"/>
      <c r="F760" s="969"/>
      <c r="G760" s="969"/>
      <c r="H760" s="969"/>
      <c r="I760" s="969"/>
      <c r="J760" s="969"/>
    </row>
    <row r="761">
      <c r="A761" s="969"/>
      <c r="B761" s="969"/>
      <c r="C761" s="969"/>
      <c r="D761" s="969"/>
      <c r="E761" s="969"/>
      <c r="F761" s="969"/>
      <c r="G761" s="969"/>
      <c r="H761" s="969"/>
      <c r="I761" s="969"/>
      <c r="J761" s="969"/>
    </row>
    <row r="762">
      <c r="A762" s="969"/>
      <c r="B762" s="969"/>
      <c r="C762" s="969"/>
      <c r="D762" s="969"/>
      <c r="E762" s="969"/>
      <c r="F762" s="969"/>
      <c r="G762" s="969"/>
      <c r="H762" s="969"/>
      <c r="I762" s="969"/>
      <c r="J762" s="969"/>
    </row>
    <row r="763">
      <c r="A763" s="969"/>
      <c r="B763" s="969"/>
      <c r="C763" s="969"/>
      <c r="D763" s="969"/>
      <c r="E763" s="969"/>
      <c r="F763" s="969"/>
      <c r="G763" s="969"/>
      <c r="H763" s="969"/>
      <c r="I763" s="969"/>
      <c r="J763" s="969"/>
    </row>
    <row r="764">
      <c r="A764" s="969"/>
      <c r="B764" s="969"/>
      <c r="C764" s="969"/>
      <c r="D764" s="969"/>
      <c r="E764" s="969"/>
      <c r="F764" s="969"/>
      <c r="G764" s="969"/>
      <c r="H764" s="969"/>
      <c r="I764" s="969"/>
      <c r="J764" s="969"/>
    </row>
    <row r="765">
      <c r="A765" s="969"/>
      <c r="B765" s="969"/>
      <c r="C765" s="969"/>
      <c r="D765" s="969"/>
      <c r="E765" s="969"/>
      <c r="F765" s="969"/>
      <c r="G765" s="969"/>
      <c r="H765" s="969"/>
      <c r="I765" s="969"/>
      <c r="J765" s="969"/>
    </row>
    <row r="766">
      <c r="A766" s="969"/>
      <c r="B766" s="969"/>
      <c r="C766" s="969"/>
      <c r="D766" s="969"/>
      <c r="E766" s="969"/>
      <c r="F766" s="969"/>
      <c r="G766" s="969"/>
      <c r="H766" s="969"/>
      <c r="I766" s="969"/>
      <c r="J766" s="969"/>
    </row>
    <row r="767">
      <c r="A767" s="969"/>
      <c r="B767" s="969"/>
      <c r="C767" s="969"/>
      <c r="D767" s="969"/>
      <c r="E767" s="969"/>
      <c r="F767" s="969"/>
      <c r="G767" s="969"/>
      <c r="H767" s="969"/>
      <c r="I767" s="969"/>
      <c r="J767" s="969"/>
    </row>
    <row r="768">
      <c r="A768" s="969"/>
      <c r="B768" s="969"/>
      <c r="C768" s="969"/>
      <c r="D768" s="969"/>
      <c r="E768" s="969"/>
      <c r="F768" s="969"/>
      <c r="G768" s="969"/>
      <c r="H768" s="969"/>
      <c r="I768" s="969"/>
      <c r="J768" s="969"/>
    </row>
    <row r="769">
      <c r="A769" s="969"/>
      <c r="B769" s="969"/>
      <c r="C769" s="969"/>
      <c r="D769" s="969"/>
      <c r="E769" s="969"/>
      <c r="F769" s="969"/>
      <c r="G769" s="969"/>
      <c r="H769" s="969"/>
      <c r="I769" s="969"/>
      <c r="J769" s="969"/>
    </row>
    <row r="770">
      <c r="A770" s="969"/>
      <c r="B770" s="969"/>
      <c r="C770" s="969"/>
      <c r="D770" s="969"/>
      <c r="E770" s="969"/>
      <c r="F770" s="969"/>
      <c r="G770" s="969"/>
      <c r="H770" s="969"/>
      <c r="I770" s="969"/>
      <c r="J770" s="969"/>
    </row>
    <row r="771">
      <c r="A771" s="969"/>
      <c r="B771" s="969"/>
      <c r="C771" s="969"/>
      <c r="D771" s="969"/>
      <c r="E771" s="969"/>
      <c r="F771" s="969"/>
      <c r="G771" s="969"/>
      <c r="H771" s="969"/>
      <c r="I771" s="969"/>
      <c r="J771" s="969"/>
    </row>
    <row r="772">
      <c r="A772" s="969"/>
      <c r="B772" s="969"/>
      <c r="C772" s="969"/>
      <c r="D772" s="969"/>
      <c r="E772" s="969"/>
      <c r="F772" s="969"/>
      <c r="G772" s="969"/>
      <c r="H772" s="969"/>
      <c r="I772" s="969"/>
      <c r="J772" s="969"/>
    </row>
    <row r="773">
      <c r="A773" s="969"/>
      <c r="B773" s="969"/>
      <c r="C773" s="969"/>
      <c r="D773" s="969"/>
      <c r="E773" s="969"/>
      <c r="F773" s="969"/>
      <c r="G773" s="969"/>
      <c r="H773" s="969"/>
      <c r="I773" s="969"/>
      <c r="J773" s="969"/>
    </row>
    <row r="774">
      <c r="A774" s="969"/>
      <c r="B774" s="969"/>
      <c r="C774" s="969"/>
      <c r="D774" s="969"/>
      <c r="E774" s="969"/>
      <c r="F774" s="969"/>
      <c r="G774" s="969"/>
      <c r="H774" s="969"/>
      <c r="I774" s="969"/>
      <c r="J774" s="969"/>
    </row>
    <row r="775">
      <c r="A775" s="969"/>
      <c r="B775" s="969"/>
      <c r="C775" s="969"/>
      <c r="D775" s="969"/>
      <c r="E775" s="969"/>
      <c r="F775" s="969"/>
      <c r="G775" s="969"/>
      <c r="H775" s="969"/>
      <c r="I775" s="969"/>
      <c r="J775" s="969"/>
    </row>
    <row r="776">
      <c r="A776" s="969"/>
      <c r="B776" s="969"/>
      <c r="C776" s="969"/>
      <c r="D776" s="969"/>
      <c r="E776" s="969"/>
      <c r="F776" s="969"/>
      <c r="G776" s="969"/>
      <c r="H776" s="969"/>
      <c r="I776" s="969"/>
      <c r="J776" s="969"/>
    </row>
    <row r="777">
      <c r="A777" s="969"/>
      <c r="B777" s="969"/>
      <c r="C777" s="969"/>
      <c r="D777" s="969"/>
      <c r="E777" s="969"/>
      <c r="F777" s="969"/>
      <c r="G777" s="969"/>
      <c r="H777" s="969"/>
      <c r="I777" s="969"/>
      <c r="J777" s="969"/>
    </row>
    <row r="778">
      <c r="A778" s="969"/>
      <c r="B778" s="969"/>
      <c r="C778" s="969"/>
      <c r="D778" s="969"/>
      <c r="E778" s="969"/>
      <c r="F778" s="969"/>
      <c r="G778" s="969"/>
      <c r="H778" s="969"/>
      <c r="I778" s="969"/>
      <c r="J778" s="969"/>
    </row>
    <row r="779">
      <c r="A779" s="969"/>
      <c r="B779" s="969"/>
      <c r="C779" s="969"/>
      <c r="D779" s="969"/>
      <c r="E779" s="969"/>
      <c r="F779" s="969"/>
      <c r="G779" s="969"/>
      <c r="H779" s="969"/>
      <c r="I779" s="969"/>
      <c r="J779" s="969"/>
    </row>
    <row r="780">
      <c r="A780" s="969"/>
      <c r="B780" s="969"/>
      <c r="C780" s="969"/>
      <c r="D780" s="969"/>
      <c r="E780" s="969"/>
      <c r="F780" s="969"/>
      <c r="G780" s="969"/>
      <c r="H780" s="969"/>
      <c r="I780" s="969"/>
      <c r="J780" s="969"/>
    </row>
    <row r="781">
      <c r="A781" s="969"/>
      <c r="B781" s="969"/>
      <c r="C781" s="969"/>
      <c r="D781" s="969"/>
      <c r="E781" s="969"/>
      <c r="F781" s="969"/>
      <c r="G781" s="969"/>
      <c r="H781" s="969"/>
      <c r="I781" s="969"/>
      <c r="J781" s="969"/>
    </row>
    <row r="782">
      <c r="A782" s="969"/>
      <c r="B782" s="969"/>
      <c r="C782" s="969"/>
      <c r="D782" s="969"/>
      <c r="E782" s="969"/>
      <c r="F782" s="969"/>
      <c r="G782" s="969"/>
      <c r="H782" s="969"/>
      <c r="I782" s="969"/>
      <c r="J782" s="969"/>
    </row>
    <row r="783">
      <c r="A783" s="969"/>
      <c r="B783" s="969"/>
      <c r="C783" s="969"/>
      <c r="D783" s="969"/>
      <c r="E783" s="969"/>
      <c r="F783" s="969"/>
      <c r="G783" s="969"/>
      <c r="H783" s="969"/>
      <c r="I783" s="969"/>
      <c r="J783" s="969"/>
    </row>
    <row r="784">
      <c r="A784" s="969"/>
      <c r="B784" s="969"/>
      <c r="C784" s="969"/>
      <c r="D784" s="969"/>
      <c r="E784" s="969"/>
      <c r="F784" s="969"/>
      <c r="G784" s="969"/>
      <c r="H784" s="969"/>
      <c r="I784" s="969"/>
      <c r="J784" s="969"/>
    </row>
    <row r="785">
      <c r="A785" s="969"/>
      <c r="B785" s="969"/>
      <c r="C785" s="969"/>
      <c r="D785" s="969"/>
      <c r="E785" s="969"/>
      <c r="F785" s="969"/>
      <c r="G785" s="969"/>
      <c r="H785" s="969"/>
      <c r="I785" s="969"/>
      <c r="J785" s="969"/>
    </row>
    <row r="786">
      <c r="A786" s="969"/>
      <c r="B786" s="969"/>
      <c r="C786" s="969"/>
      <c r="D786" s="969"/>
      <c r="E786" s="969"/>
      <c r="F786" s="969"/>
      <c r="G786" s="969"/>
      <c r="H786" s="969"/>
      <c r="I786" s="969"/>
      <c r="J786" s="969"/>
    </row>
    <row r="787">
      <c r="A787" s="969"/>
      <c r="B787" s="969"/>
      <c r="C787" s="969"/>
      <c r="D787" s="969"/>
      <c r="E787" s="969"/>
      <c r="F787" s="969"/>
      <c r="G787" s="969"/>
      <c r="H787" s="969"/>
      <c r="I787" s="969"/>
      <c r="J787" s="969"/>
    </row>
    <row r="788">
      <c r="A788" s="969"/>
      <c r="B788" s="969"/>
      <c r="C788" s="969"/>
      <c r="D788" s="969"/>
      <c r="E788" s="969"/>
      <c r="F788" s="969"/>
      <c r="G788" s="969"/>
      <c r="H788" s="969"/>
      <c r="I788" s="969"/>
      <c r="J788" s="969"/>
    </row>
    <row r="789">
      <c r="A789" s="969"/>
      <c r="B789" s="969"/>
      <c r="C789" s="969"/>
      <c r="D789" s="969"/>
      <c r="E789" s="969"/>
      <c r="F789" s="969"/>
      <c r="G789" s="969"/>
      <c r="H789" s="969"/>
      <c r="I789" s="969"/>
      <c r="J789" s="969"/>
    </row>
    <row r="790">
      <c r="A790" s="969"/>
      <c r="B790" s="969"/>
      <c r="C790" s="969"/>
      <c r="D790" s="969"/>
      <c r="E790" s="969"/>
      <c r="F790" s="969"/>
      <c r="G790" s="969"/>
      <c r="H790" s="969"/>
      <c r="I790" s="969"/>
      <c r="J790" s="969"/>
    </row>
    <row r="791">
      <c r="A791" s="969"/>
      <c r="B791" s="969"/>
      <c r="C791" s="969"/>
      <c r="D791" s="969"/>
      <c r="E791" s="969"/>
      <c r="F791" s="969"/>
      <c r="G791" s="969"/>
      <c r="H791" s="969"/>
      <c r="I791" s="969"/>
      <c r="J791" s="969"/>
    </row>
    <row r="792">
      <c r="A792" s="969"/>
      <c r="B792" s="969"/>
      <c r="C792" s="969"/>
      <c r="D792" s="969"/>
      <c r="E792" s="969"/>
      <c r="F792" s="969"/>
      <c r="G792" s="969"/>
      <c r="H792" s="969"/>
      <c r="I792" s="969"/>
      <c r="J792" s="969"/>
    </row>
    <row r="793">
      <c r="A793" s="969"/>
      <c r="B793" s="969"/>
      <c r="C793" s="969"/>
      <c r="D793" s="969"/>
      <c r="E793" s="969"/>
      <c r="F793" s="969"/>
      <c r="G793" s="969"/>
      <c r="H793" s="969"/>
      <c r="I793" s="969"/>
      <c r="J793" s="969"/>
    </row>
    <row r="794">
      <c r="A794" s="969"/>
      <c r="B794" s="969"/>
      <c r="C794" s="969"/>
      <c r="D794" s="969"/>
      <c r="E794" s="969"/>
      <c r="F794" s="969"/>
      <c r="G794" s="969"/>
      <c r="H794" s="969"/>
      <c r="I794" s="969"/>
      <c r="J794" s="969"/>
    </row>
    <row r="795">
      <c r="A795" s="969"/>
      <c r="B795" s="969"/>
      <c r="C795" s="969"/>
      <c r="D795" s="969"/>
      <c r="E795" s="969"/>
      <c r="F795" s="969"/>
      <c r="G795" s="969"/>
      <c r="H795" s="969"/>
      <c r="I795" s="969"/>
      <c r="J795" s="969"/>
    </row>
    <row r="796">
      <c r="A796" s="969"/>
      <c r="B796" s="969"/>
      <c r="C796" s="969"/>
      <c r="D796" s="969"/>
      <c r="E796" s="969"/>
      <c r="F796" s="969"/>
      <c r="G796" s="969"/>
      <c r="H796" s="969"/>
      <c r="I796" s="969"/>
      <c r="J796" s="969"/>
    </row>
    <row r="797">
      <c r="A797" s="969"/>
      <c r="B797" s="969"/>
      <c r="C797" s="969"/>
      <c r="D797" s="969"/>
      <c r="E797" s="969"/>
      <c r="F797" s="969"/>
      <c r="G797" s="969"/>
      <c r="H797" s="969"/>
      <c r="I797" s="969"/>
      <c r="J797" s="969"/>
    </row>
    <row r="798">
      <c r="A798" s="969"/>
      <c r="B798" s="969"/>
      <c r="C798" s="969"/>
      <c r="D798" s="969"/>
      <c r="E798" s="969"/>
      <c r="F798" s="969"/>
      <c r="G798" s="969"/>
      <c r="H798" s="969"/>
      <c r="I798" s="969"/>
      <c r="J798" s="969"/>
    </row>
    <row r="799">
      <c r="A799" s="969"/>
      <c r="B799" s="969"/>
      <c r="C799" s="969"/>
      <c r="D799" s="969"/>
      <c r="E799" s="969"/>
      <c r="F799" s="969"/>
      <c r="G799" s="969"/>
      <c r="H799" s="969"/>
      <c r="I799" s="969"/>
      <c r="J799" s="969"/>
    </row>
    <row r="800">
      <c r="A800" s="969"/>
      <c r="B800" s="969"/>
      <c r="C800" s="969"/>
      <c r="D800" s="969"/>
      <c r="E800" s="969"/>
      <c r="F800" s="969"/>
      <c r="G800" s="969"/>
      <c r="H800" s="969"/>
      <c r="I800" s="969"/>
      <c r="J800" s="969"/>
    </row>
    <row r="801">
      <c r="A801" s="969"/>
      <c r="B801" s="969"/>
      <c r="C801" s="969"/>
      <c r="D801" s="969"/>
      <c r="E801" s="969"/>
      <c r="F801" s="969"/>
      <c r="G801" s="969"/>
      <c r="H801" s="969"/>
      <c r="I801" s="969"/>
      <c r="J801" s="969"/>
    </row>
    <row r="802">
      <c r="A802" s="969"/>
      <c r="B802" s="969"/>
      <c r="C802" s="969"/>
      <c r="D802" s="969"/>
      <c r="E802" s="969"/>
      <c r="F802" s="969"/>
      <c r="G802" s="969"/>
      <c r="H802" s="969"/>
      <c r="I802" s="969"/>
      <c r="J802" s="969"/>
    </row>
    <row r="803">
      <c r="A803" s="969"/>
      <c r="B803" s="969"/>
      <c r="C803" s="969"/>
      <c r="D803" s="969"/>
      <c r="E803" s="969"/>
      <c r="F803" s="969"/>
      <c r="G803" s="969"/>
      <c r="H803" s="969"/>
      <c r="I803" s="969"/>
      <c r="J803" s="969"/>
    </row>
    <row r="804">
      <c r="A804" s="969"/>
      <c r="B804" s="969"/>
      <c r="C804" s="969"/>
      <c r="D804" s="969"/>
      <c r="E804" s="969"/>
      <c r="F804" s="969"/>
      <c r="G804" s="969"/>
      <c r="H804" s="969"/>
      <c r="I804" s="969"/>
      <c r="J804" s="969"/>
    </row>
    <row r="805">
      <c r="A805" s="969"/>
      <c r="B805" s="969"/>
      <c r="C805" s="969"/>
      <c r="D805" s="969"/>
      <c r="E805" s="969"/>
      <c r="F805" s="969"/>
      <c r="G805" s="969"/>
      <c r="H805" s="969"/>
      <c r="I805" s="969"/>
      <c r="J805" s="969"/>
    </row>
    <row r="806">
      <c r="A806" s="969"/>
      <c r="B806" s="969"/>
      <c r="C806" s="969"/>
      <c r="D806" s="969"/>
      <c r="E806" s="969"/>
      <c r="F806" s="969"/>
      <c r="G806" s="969"/>
      <c r="H806" s="969"/>
      <c r="I806" s="969"/>
      <c r="J806" s="969"/>
    </row>
    <row r="807">
      <c r="A807" s="969"/>
      <c r="B807" s="969"/>
      <c r="C807" s="969"/>
      <c r="D807" s="969"/>
      <c r="E807" s="969"/>
      <c r="F807" s="969"/>
      <c r="G807" s="969"/>
      <c r="H807" s="969"/>
      <c r="I807" s="969"/>
      <c r="J807" s="969"/>
    </row>
    <row r="808">
      <c r="A808" s="969"/>
      <c r="B808" s="969"/>
      <c r="C808" s="969"/>
      <c r="D808" s="969"/>
      <c r="E808" s="969"/>
      <c r="F808" s="969"/>
      <c r="G808" s="969"/>
      <c r="H808" s="969"/>
      <c r="I808" s="969"/>
      <c r="J808" s="969"/>
    </row>
    <row r="809">
      <c r="A809" s="969"/>
      <c r="B809" s="969"/>
      <c r="C809" s="969"/>
      <c r="D809" s="969"/>
      <c r="E809" s="969"/>
      <c r="F809" s="969"/>
      <c r="G809" s="969"/>
      <c r="H809" s="969"/>
      <c r="I809" s="969"/>
      <c r="J809" s="969"/>
    </row>
    <row r="810">
      <c r="A810" s="969"/>
      <c r="B810" s="969"/>
      <c r="C810" s="969"/>
      <c r="D810" s="969"/>
      <c r="E810" s="969"/>
      <c r="F810" s="969"/>
      <c r="G810" s="969"/>
      <c r="H810" s="969"/>
      <c r="I810" s="969"/>
      <c r="J810" s="969"/>
    </row>
    <row r="811">
      <c r="A811" s="969"/>
      <c r="B811" s="969"/>
      <c r="C811" s="969"/>
      <c r="D811" s="969"/>
      <c r="E811" s="969"/>
      <c r="F811" s="969"/>
      <c r="G811" s="969"/>
      <c r="H811" s="969"/>
      <c r="I811" s="969"/>
      <c r="J811" s="969"/>
    </row>
    <row r="812">
      <c r="A812" s="969"/>
      <c r="B812" s="969"/>
      <c r="C812" s="969"/>
      <c r="D812" s="969"/>
      <c r="E812" s="969"/>
      <c r="F812" s="969"/>
      <c r="G812" s="969"/>
      <c r="H812" s="969"/>
      <c r="I812" s="969"/>
      <c r="J812" s="969"/>
    </row>
    <row r="813">
      <c r="A813" s="969"/>
      <c r="B813" s="969"/>
      <c r="C813" s="969"/>
      <c r="D813" s="969"/>
      <c r="E813" s="969"/>
      <c r="F813" s="969"/>
      <c r="G813" s="969"/>
      <c r="H813" s="969"/>
      <c r="I813" s="969"/>
      <c r="J813" s="969"/>
    </row>
    <row r="814">
      <c r="A814" s="969"/>
      <c r="B814" s="969"/>
      <c r="C814" s="969"/>
      <c r="D814" s="969"/>
      <c r="E814" s="969"/>
      <c r="F814" s="969"/>
      <c r="G814" s="969"/>
      <c r="H814" s="969"/>
      <c r="I814" s="969"/>
      <c r="J814" s="969"/>
    </row>
    <row r="815">
      <c r="A815" s="969"/>
      <c r="B815" s="969"/>
      <c r="C815" s="969"/>
      <c r="D815" s="969"/>
      <c r="E815" s="969"/>
      <c r="F815" s="969"/>
      <c r="G815" s="969"/>
      <c r="H815" s="969"/>
      <c r="I815" s="969"/>
      <c r="J815" s="969"/>
    </row>
    <row r="816">
      <c r="A816" s="969"/>
      <c r="B816" s="969"/>
      <c r="C816" s="969"/>
      <c r="D816" s="969"/>
      <c r="E816" s="969"/>
      <c r="F816" s="969"/>
      <c r="G816" s="969"/>
      <c r="H816" s="969"/>
      <c r="I816" s="969"/>
      <c r="J816" s="969"/>
    </row>
    <row r="817">
      <c r="A817" s="969"/>
      <c r="B817" s="969"/>
      <c r="C817" s="969"/>
      <c r="D817" s="969"/>
      <c r="E817" s="969"/>
      <c r="F817" s="969"/>
      <c r="G817" s="969"/>
      <c r="H817" s="969"/>
      <c r="I817" s="969"/>
      <c r="J817" s="969"/>
    </row>
    <row r="818">
      <c r="A818" s="969"/>
      <c r="B818" s="969"/>
      <c r="C818" s="969"/>
      <c r="D818" s="969"/>
      <c r="E818" s="969"/>
      <c r="F818" s="969"/>
      <c r="G818" s="969"/>
      <c r="H818" s="969"/>
      <c r="I818" s="969"/>
      <c r="J818" s="969"/>
    </row>
    <row r="819">
      <c r="A819" s="969"/>
      <c r="B819" s="969"/>
      <c r="C819" s="969"/>
      <c r="D819" s="969"/>
      <c r="E819" s="969"/>
      <c r="F819" s="969"/>
      <c r="G819" s="969"/>
      <c r="H819" s="969"/>
      <c r="I819" s="969"/>
      <c r="J819" s="969"/>
    </row>
    <row r="820">
      <c r="A820" s="969"/>
      <c r="B820" s="969"/>
      <c r="C820" s="969"/>
      <c r="D820" s="969"/>
      <c r="E820" s="969"/>
      <c r="F820" s="969"/>
      <c r="G820" s="969"/>
      <c r="H820" s="969"/>
      <c r="I820" s="969"/>
      <c r="J820" s="969"/>
    </row>
    <row r="821">
      <c r="A821" s="969"/>
      <c r="B821" s="969"/>
      <c r="C821" s="969"/>
      <c r="D821" s="969"/>
      <c r="E821" s="969"/>
      <c r="F821" s="969"/>
      <c r="G821" s="969"/>
      <c r="H821" s="969"/>
      <c r="I821" s="969"/>
      <c r="J821" s="969"/>
    </row>
    <row r="822">
      <c r="A822" s="969"/>
      <c r="B822" s="969"/>
      <c r="C822" s="969"/>
      <c r="D822" s="969"/>
      <c r="E822" s="969"/>
      <c r="F822" s="969"/>
      <c r="G822" s="969"/>
      <c r="H822" s="969"/>
      <c r="I822" s="969"/>
      <c r="J822" s="969"/>
    </row>
    <row r="823">
      <c r="A823" s="969"/>
      <c r="B823" s="969"/>
      <c r="C823" s="969"/>
      <c r="D823" s="969"/>
      <c r="E823" s="969"/>
      <c r="F823" s="969"/>
      <c r="G823" s="969"/>
      <c r="H823" s="969"/>
      <c r="I823" s="969"/>
      <c r="J823" s="969"/>
    </row>
    <row r="824">
      <c r="A824" s="969"/>
      <c r="B824" s="969"/>
      <c r="C824" s="969"/>
      <c r="D824" s="969"/>
      <c r="E824" s="969"/>
      <c r="F824" s="969"/>
      <c r="G824" s="969"/>
      <c r="H824" s="969"/>
      <c r="I824" s="969"/>
      <c r="J824" s="969"/>
    </row>
    <row r="825">
      <c r="A825" s="969"/>
      <c r="B825" s="969"/>
      <c r="C825" s="969"/>
      <c r="D825" s="969"/>
      <c r="E825" s="969"/>
      <c r="F825" s="969"/>
      <c r="G825" s="969"/>
      <c r="H825" s="969"/>
      <c r="I825" s="969"/>
      <c r="J825" s="969"/>
    </row>
    <row r="826">
      <c r="A826" s="969"/>
      <c r="B826" s="969"/>
      <c r="C826" s="969"/>
      <c r="D826" s="969"/>
      <c r="E826" s="969"/>
      <c r="F826" s="969"/>
      <c r="G826" s="969"/>
      <c r="H826" s="969"/>
      <c r="I826" s="969"/>
      <c r="J826" s="969"/>
    </row>
    <row r="827">
      <c r="A827" s="969"/>
      <c r="B827" s="969"/>
      <c r="C827" s="969"/>
      <c r="D827" s="969"/>
      <c r="E827" s="969"/>
      <c r="F827" s="969"/>
      <c r="G827" s="969"/>
      <c r="H827" s="969"/>
      <c r="I827" s="969"/>
      <c r="J827" s="969"/>
    </row>
    <row r="828">
      <c r="A828" s="969"/>
      <c r="B828" s="969"/>
      <c r="C828" s="969"/>
      <c r="D828" s="969"/>
      <c r="E828" s="969"/>
      <c r="F828" s="969"/>
      <c r="G828" s="969"/>
      <c r="H828" s="969"/>
      <c r="I828" s="969"/>
      <c r="J828" s="969"/>
    </row>
    <row r="829">
      <c r="A829" s="969"/>
      <c r="B829" s="969"/>
      <c r="C829" s="969"/>
      <c r="D829" s="969"/>
      <c r="E829" s="969"/>
      <c r="F829" s="969"/>
      <c r="G829" s="969"/>
      <c r="H829" s="969"/>
      <c r="I829" s="969"/>
      <c r="J829" s="969"/>
    </row>
    <row r="830">
      <c r="A830" s="969"/>
      <c r="B830" s="969"/>
      <c r="C830" s="969"/>
      <c r="D830" s="969"/>
      <c r="E830" s="969"/>
      <c r="F830" s="969"/>
      <c r="G830" s="969"/>
      <c r="H830" s="969"/>
      <c r="I830" s="969"/>
      <c r="J830" s="969"/>
    </row>
    <row r="831">
      <c r="A831" s="969"/>
      <c r="B831" s="969"/>
      <c r="C831" s="969"/>
      <c r="D831" s="969"/>
      <c r="E831" s="969"/>
      <c r="F831" s="969"/>
      <c r="G831" s="969"/>
      <c r="H831" s="969"/>
      <c r="I831" s="969"/>
      <c r="J831" s="969"/>
    </row>
    <row r="832">
      <c r="A832" s="969"/>
      <c r="B832" s="969"/>
      <c r="C832" s="969"/>
      <c r="D832" s="969"/>
      <c r="E832" s="969"/>
      <c r="F832" s="969"/>
      <c r="G832" s="969"/>
      <c r="H832" s="969"/>
      <c r="I832" s="969"/>
      <c r="J832" s="969"/>
    </row>
    <row r="833">
      <c r="A833" s="969"/>
      <c r="B833" s="969"/>
      <c r="C833" s="969"/>
      <c r="D833" s="969"/>
      <c r="E833" s="969"/>
      <c r="F833" s="969"/>
      <c r="G833" s="969"/>
      <c r="H833" s="969"/>
      <c r="I833" s="969"/>
      <c r="J833" s="969"/>
    </row>
    <row r="834">
      <c r="A834" s="969"/>
      <c r="B834" s="969"/>
      <c r="C834" s="969"/>
      <c r="D834" s="969"/>
      <c r="E834" s="969"/>
      <c r="F834" s="969"/>
      <c r="G834" s="969"/>
      <c r="H834" s="969"/>
      <c r="I834" s="969"/>
      <c r="J834" s="969"/>
    </row>
    <row r="835">
      <c r="A835" s="969"/>
      <c r="B835" s="969"/>
      <c r="C835" s="969"/>
      <c r="D835" s="969"/>
      <c r="E835" s="969"/>
      <c r="F835" s="969"/>
      <c r="G835" s="969"/>
      <c r="H835" s="969"/>
      <c r="I835" s="969"/>
      <c r="J835" s="969"/>
    </row>
    <row r="836">
      <c r="A836" s="969"/>
      <c r="B836" s="969"/>
      <c r="C836" s="969"/>
      <c r="D836" s="969"/>
      <c r="E836" s="969"/>
      <c r="F836" s="969"/>
      <c r="G836" s="969"/>
      <c r="H836" s="969"/>
      <c r="I836" s="969"/>
      <c r="J836" s="969"/>
    </row>
    <row r="837">
      <c r="A837" s="969"/>
      <c r="B837" s="969"/>
      <c r="C837" s="969"/>
      <c r="D837" s="969"/>
      <c r="E837" s="969"/>
      <c r="F837" s="969"/>
      <c r="G837" s="969"/>
      <c r="H837" s="969"/>
      <c r="I837" s="969"/>
      <c r="J837" s="969"/>
    </row>
    <row r="838">
      <c r="A838" s="969"/>
      <c r="B838" s="969"/>
      <c r="C838" s="969"/>
      <c r="D838" s="969"/>
      <c r="E838" s="969"/>
      <c r="F838" s="969"/>
      <c r="G838" s="969"/>
      <c r="H838" s="969"/>
      <c r="I838" s="969"/>
      <c r="J838" s="969"/>
    </row>
    <row r="839">
      <c r="A839" s="969"/>
      <c r="B839" s="969"/>
      <c r="C839" s="969"/>
      <c r="D839" s="969"/>
      <c r="E839" s="969"/>
      <c r="F839" s="969"/>
      <c r="G839" s="969"/>
      <c r="H839" s="969"/>
      <c r="I839" s="969"/>
      <c r="J839" s="969"/>
    </row>
    <row r="840">
      <c r="A840" s="969"/>
      <c r="B840" s="969"/>
      <c r="C840" s="969"/>
      <c r="D840" s="969"/>
      <c r="E840" s="969"/>
      <c r="F840" s="969"/>
      <c r="G840" s="969"/>
      <c r="H840" s="969"/>
      <c r="I840" s="969"/>
      <c r="J840" s="969"/>
    </row>
    <row r="841">
      <c r="A841" s="969"/>
      <c r="B841" s="969"/>
      <c r="C841" s="969"/>
      <c r="D841" s="969"/>
      <c r="E841" s="969"/>
      <c r="F841" s="969"/>
      <c r="G841" s="969"/>
      <c r="H841" s="969"/>
      <c r="I841" s="969"/>
      <c r="J841" s="969"/>
    </row>
    <row r="842">
      <c r="A842" s="969"/>
      <c r="B842" s="969"/>
      <c r="C842" s="969"/>
      <c r="D842" s="969"/>
      <c r="E842" s="969"/>
      <c r="F842" s="969"/>
      <c r="G842" s="969"/>
      <c r="H842" s="969"/>
      <c r="I842" s="969"/>
      <c r="J842" s="969"/>
    </row>
    <row r="843">
      <c r="A843" s="969"/>
      <c r="B843" s="969"/>
      <c r="C843" s="969"/>
      <c r="D843" s="969"/>
      <c r="E843" s="969"/>
      <c r="F843" s="969"/>
      <c r="G843" s="969"/>
      <c r="H843" s="969"/>
      <c r="I843" s="969"/>
      <c r="J843" s="969"/>
    </row>
    <row r="844">
      <c r="A844" s="969"/>
      <c r="B844" s="969"/>
      <c r="C844" s="969"/>
      <c r="D844" s="969"/>
      <c r="E844" s="969"/>
      <c r="F844" s="969"/>
      <c r="G844" s="969"/>
      <c r="H844" s="969"/>
      <c r="I844" s="969"/>
      <c r="J844" s="969"/>
    </row>
    <row r="845">
      <c r="A845" s="969"/>
      <c r="B845" s="969"/>
      <c r="C845" s="969"/>
      <c r="D845" s="969"/>
      <c r="E845" s="969"/>
      <c r="F845" s="969"/>
      <c r="G845" s="969"/>
      <c r="H845" s="969"/>
      <c r="I845" s="969"/>
      <c r="J845" s="969"/>
    </row>
    <row r="846">
      <c r="A846" s="969"/>
      <c r="B846" s="969"/>
      <c r="C846" s="969"/>
      <c r="D846" s="969"/>
      <c r="E846" s="969"/>
      <c r="F846" s="969"/>
      <c r="G846" s="969"/>
      <c r="H846" s="969"/>
      <c r="I846" s="969"/>
      <c r="J846" s="969"/>
    </row>
    <row r="847">
      <c r="A847" s="969"/>
      <c r="B847" s="969"/>
      <c r="C847" s="969"/>
      <c r="D847" s="969"/>
      <c r="E847" s="969"/>
      <c r="F847" s="969"/>
      <c r="G847" s="969"/>
      <c r="H847" s="969"/>
      <c r="I847" s="969"/>
      <c r="J847" s="969"/>
    </row>
    <row r="848">
      <c r="A848" s="969"/>
      <c r="B848" s="969"/>
      <c r="C848" s="969"/>
      <c r="D848" s="969"/>
      <c r="E848" s="969"/>
      <c r="F848" s="969"/>
      <c r="G848" s="969"/>
      <c r="H848" s="969"/>
      <c r="I848" s="969"/>
      <c r="J848" s="969"/>
    </row>
    <row r="849">
      <c r="A849" s="969"/>
      <c r="B849" s="969"/>
      <c r="C849" s="969"/>
      <c r="D849" s="969"/>
      <c r="E849" s="969"/>
      <c r="F849" s="969"/>
      <c r="G849" s="969"/>
      <c r="H849" s="969"/>
      <c r="I849" s="969"/>
      <c r="J849" s="969"/>
    </row>
    <row r="850">
      <c r="A850" s="969"/>
      <c r="B850" s="969"/>
      <c r="C850" s="969"/>
      <c r="D850" s="969"/>
      <c r="E850" s="969"/>
      <c r="F850" s="969"/>
      <c r="G850" s="969"/>
      <c r="H850" s="969"/>
      <c r="I850" s="969"/>
      <c r="J850" s="969"/>
    </row>
    <row r="851">
      <c r="A851" s="969"/>
      <c r="B851" s="969"/>
      <c r="C851" s="969"/>
      <c r="D851" s="969"/>
      <c r="E851" s="969"/>
      <c r="F851" s="969"/>
      <c r="G851" s="969"/>
      <c r="H851" s="969"/>
      <c r="I851" s="969"/>
      <c r="J851" s="969"/>
    </row>
    <row r="852">
      <c r="A852" s="969"/>
      <c r="B852" s="969"/>
      <c r="C852" s="969"/>
      <c r="D852" s="969"/>
      <c r="E852" s="969"/>
      <c r="F852" s="969"/>
      <c r="G852" s="969"/>
      <c r="H852" s="969"/>
      <c r="I852" s="969"/>
      <c r="J852" s="969"/>
    </row>
    <row r="853">
      <c r="A853" s="969"/>
      <c r="B853" s="969"/>
      <c r="C853" s="969"/>
      <c r="D853" s="969"/>
      <c r="E853" s="969"/>
      <c r="F853" s="969"/>
      <c r="G853" s="969"/>
      <c r="H853" s="969"/>
      <c r="I853" s="969"/>
      <c r="J853" s="969"/>
    </row>
    <row r="854">
      <c r="A854" s="969"/>
      <c r="B854" s="969"/>
      <c r="C854" s="969"/>
      <c r="D854" s="969"/>
      <c r="E854" s="969"/>
      <c r="F854" s="969"/>
      <c r="G854" s="969"/>
      <c r="H854" s="969"/>
      <c r="I854" s="969"/>
      <c r="J854" s="969"/>
    </row>
    <row r="855">
      <c r="A855" s="969"/>
      <c r="B855" s="969"/>
      <c r="C855" s="969"/>
      <c r="D855" s="969"/>
      <c r="E855" s="969"/>
      <c r="F855" s="969"/>
      <c r="G855" s="969"/>
      <c r="H855" s="969"/>
      <c r="I855" s="969"/>
      <c r="J855" s="969"/>
    </row>
    <row r="856">
      <c r="A856" s="969"/>
      <c r="B856" s="969"/>
      <c r="C856" s="969"/>
      <c r="D856" s="969"/>
      <c r="E856" s="969"/>
      <c r="F856" s="969"/>
      <c r="G856" s="969"/>
      <c r="H856" s="969"/>
      <c r="I856" s="969"/>
      <c r="J856" s="969"/>
    </row>
    <row r="857">
      <c r="A857" s="969"/>
      <c r="B857" s="969"/>
      <c r="C857" s="969"/>
      <c r="D857" s="969"/>
      <c r="E857" s="969"/>
      <c r="F857" s="969"/>
      <c r="G857" s="969"/>
      <c r="H857" s="969"/>
      <c r="I857" s="969"/>
      <c r="J857" s="969"/>
    </row>
    <row r="858">
      <c r="A858" s="969"/>
      <c r="B858" s="969"/>
      <c r="C858" s="969"/>
      <c r="D858" s="969"/>
      <c r="E858" s="969"/>
      <c r="F858" s="969"/>
      <c r="G858" s="969"/>
      <c r="H858" s="969"/>
      <c r="I858" s="969"/>
      <c r="J858" s="969"/>
    </row>
    <row r="859">
      <c r="A859" s="969"/>
      <c r="B859" s="969"/>
      <c r="C859" s="969"/>
      <c r="D859" s="969"/>
      <c r="E859" s="969"/>
      <c r="F859" s="969"/>
      <c r="G859" s="969"/>
      <c r="H859" s="969"/>
      <c r="I859" s="969"/>
      <c r="J859" s="969"/>
    </row>
    <row r="860">
      <c r="A860" s="969"/>
      <c r="B860" s="969"/>
      <c r="C860" s="969"/>
      <c r="D860" s="969"/>
      <c r="E860" s="969"/>
      <c r="F860" s="969"/>
      <c r="G860" s="969"/>
      <c r="H860" s="969"/>
      <c r="I860" s="969"/>
      <c r="J860" s="969"/>
    </row>
    <row r="861">
      <c r="A861" s="969"/>
      <c r="B861" s="969"/>
      <c r="C861" s="969"/>
      <c r="D861" s="969"/>
      <c r="E861" s="969"/>
      <c r="F861" s="969"/>
      <c r="G861" s="969"/>
      <c r="H861" s="969"/>
      <c r="I861" s="969"/>
      <c r="J861" s="969"/>
    </row>
    <row r="862">
      <c r="A862" s="969"/>
      <c r="B862" s="969"/>
      <c r="C862" s="969"/>
      <c r="D862" s="969"/>
      <c r="E862" s="969"/>
      <c r="F862" s="969"/>
      <c r="G862" s="969"/>
      <c r="H862" s="969"/>
      <c r="I862" s="969"/>
      <c r="J862" s="969"/>
    </row>
    <row r="863">
      <c r="A863" s="969"/>
      <c r="B863" s="969"/>
      <c r="C863" s="969"/>
      <c r="D863" s="969"/>
      <c r="E863" s="969"/>
      <c r="F863" s="969"/>
      <c r="G863" s="969"/>
      <c r="H863" s="969"/>
      <c r="I863" s="969"/>
      <c r="J863" s="969"/>
    </row>
    <row r="864">
      <c r="A864" s="969"/>
      <c r="B864" s="969"/>
      <c r="C864" s="969"/>
      <c r="D864" s="969"/>
      <c r="E864" s="969"/>
      <c r="F864" s="969"/>
      <c r="G864" s="969"/>
      <c r="H864" s="969"/>
      <c r="I864" s="969"/>
      <c r="J864" s="969"/>
    </row>
    <row r="865">
      <c r="A865" s="969"/>
      <c r="B865" s="969"/>
      <c r="C865" s="969"/>
      <c r="D865" s="969"/>
      <c r="E865" s="969"/>
      <c r="F865" s="969"/>
      <c r="G865" s="969"/>
      <c r="H865" s="969"/>
      <c r="I865" s="969"/>
      <c r="J865" s="969"/>
    </row>
    <row r="866">
      <c r="A866" s="969"/>
      <c r="B866" s="969"/>
      <c r="C866" s="969"/>
      <c r="D866" s="969"/>
      <c r="E866" s="969"/>
      <c r="F866" s="969"/>
      <c r="G866" s="969"/>
      <c r="H866" s="969"/>
      <c r="I866" s="969"/>
      <c r="J866" s="969"/>
    </row>
    <row r="867">
      <c r="A867" s="969"/>
      <c r="B867" s="969"/>
      <c r="C867" s="969"/>
      <c r="D867" s="969"/>
      <c r="E867" s="969"/>
      <c r="F867" s="969"/>
      <c r="G867" s="969"/>
      <c r="H867" s="969"/>
      <c r="I867" s="969"/>
      <c r="J867" s="969"/>
    </row>
    <row r="868">
      <c r="A868" s="969"/>
      <c r="B868" s="969"/>
      <c r="C868" s="969"/>
      <c r="D868" s="969"/>
      <c r="E868" s="969"/>
      <c r="F868" s="969"/>
      <c r="G868" s="969"/>
      <c r="H868" s="969"/>
      <c r="I868" s="969"/>
      <c r="J868" s="969"/>
    </row>
    <row r="869">
      <c r="A869" s="969"/>
      <c r="B869" s="969"/>
      <c r="C869" s="969"/>
      <c r="D869" s="969"/>
      <c r="E869" s="969"/>
      <c r="F869" s="969"/>
      <c r="G869" s="969"/>
      <c r="H869" s="969"/>
      <c r="I869" s="969"/>
      <c r="J869" s="969"/>
    </row>
    <row r="870">
      <c r="A870" s="969"/>
      <c r="B870" s="969"/>
      <c r="C870" s="969"/>
      <c r="D870" s="969"/>
      <c r="E870" s="969"/>
      <c r="F870" s="969"/>
      <c r="G870" s="969"/>
      <c r="H870" s="969"/>
      <c r="I870" s="969"/>
      <c r="J870" s="969"/>
    </row>
    <row r="871">
      <c r="A871" s="969"/>
      <c r="B871" s="969"/>
      <c r="C871" s="969"/>
      <c r="D871" s="969"/>
      <c r="E871" s="969"/>
      <c r="F871" s="969"/>
      <c r="G871" s="969"/>
      <c r="H871" s="969"/>
      <c r="I871" s="969"/>
      <c r="J871" s="969"/>
    </row>
    <row r="872">
      <c r="A872" s="969"/>
      <c r="B872" s="969"/>
      <c r="C872" s="969"/>
      <c r="D872" s="969"/>
      <c r="E872" s="969"/>
      <c r="F872" s="969"/>
      <c r="G872" s="969"/>
      <c r="H872" s="969"/>
      <c r="I872" s="969"/>
      <c r="J872" s="969"/>
    </row>
    <row r="873">
      <c r="A873" s="969"/>
      <c r="B873" s="969"/>
      <c r="C873" s="969"/>
      <c r="D873" s="969"/>
      <c r="E873" s="969"/>
      <c r="F873" s="969"/>
      <c r="G873" s="969"/>
      <c r="H873" s="969"/>
      <c r="I873" s="969"/>
      <c r="J873" s="969"/>
    </row>
    <row r="874">
      <c r="A874" s="969"/>
      <c r="B874" s="969"/>
      <c r="C874" s="969"/>
      <c r="D874" s="969"/>
      <c r="E874" s="969"/>
      <c r="F874" s="969"/>
      <c r="G874" s="969"/>
      <c r="H874" s="969"/>
      <c r="I874" s="969"/>
      <c r="J874" s="969"/>
    </row>
    <row r="875">
      <c r="A875" s="969"/>
      <c r="B875" s="969"/>
      <c r="C875" s="969"/>
      <c r="D875" s="969"/>
      <c r="E875" s="969"/>
      <c r="F875" s="969"/>
      <c r="G875" s="969"/>
      <c r="H875" s="969"/>
      <c r="I875" s="969"/>
      <c r="J875" s="969"/>
    </row>
    <row r="876">
      <c r="A876" s="969"/>
      <c r="B876" s="969"/>
      <c r="C876" s="969"/>
      <c r="D876" s="969"/>
      <c r="E876" s="969"/>
      <c r="F876" s="969"/>
      <c r="G876" s="969"/>
      <c r="H876" s="969"/>
      <c r="I876" s="969"/>
      <c r="J876" s="969"/>
    </row>
    <row r="877">
      <c r="A877" s="969"/>
      <c r="B877" s="969"/>
      <c r="C877" s="969"/>
      <c r="D877" s="969"/>
      <c r="E877" s="969"/>
      <c r="F877" s="969"/>
      <c r="G877" s="969"/>
      <c r="H877" s="969"/>
      <c r="I877" s="969"/>
      <c r="J877" s="969"/>
    </row>
    <row r="878">
      <c r="A878" s="969"/>
      <c r="B878" s="969"/>
      <c r="C878" s="969"/>
      <c r="D878" s="969"/>
      <c r="E878" s="969"/>
      <c r="F878" s="969"/>
      <c r="G878" s="969"/>
      <c r="H878" s="969"/>
      <c r="I878" s="969"/>
      <c r="J878" s="969"/>
    </row>
    <row r="879">
      <c r="A879" s="969"/>
      <c r="B879" s="969"/>
      <c r="C879" s="969"/>
      <c r="D879" s="969"/>
      <c r="E879" s="969"/>
      <c r="F879" s="969"/>
      <c r="G879" s="969"/>
      <c r="H879" s="969"/>
      <c r="I879" s="969"/>
      <c r="J879" s="969"/>
    </row>
    <row r="880">
      <c r="A880" s="969"/>
      <c r="B880" s="969"/>
      <c r="C880" s="969"/>
      <c r="D880" s="969"/>
      <c r="E880" s="969"/>
      <c r="F880" s="969"/>
      <c r="G880" s="969"/>
      <c r="H880" s="969"/>
      <c r="I880" s="969"/>
      <c r="J880" s="969"/>
    </row>
    <row r="881">
      <c r="A881" s="969"/>
      <c r="B881" s="969"/>
      <c r="C881" s="969"/>
      <c r="D881" s="969"/>
      <c r="E881" s="969"/>
      <c r="F881" s="969"/>
      <c r="G881" s="969"/>
      <c r="H881" s="969"/>
      <c r="I881" s="969"/>
      <c r="J881" s="969"/>
    </row>
    <row r="882">
      <c r="A882" s="969"/>
      <c r="B882" s="969"/>
      <c r="C882" s="969"/>
      <c r="D882" s="969"/>
      <c r="E882" s="969"/>
      <c r="F882" s="969"/>
      <c r="G882" s="969"/>
      <c r="H882" s="969"/>
      <c r="I882" s="969"/>
      <c r="J882" s="969"/>
    </row>
    <row r="883">
      <c r="A883" s="969"/>
      <c r="B883" s="969"/>
      <c r="C883" s="969"/>
      <c r="D883" s="969"/>
      <c r="E883" s="969"/>
      <c r="F883" s="969"/>
      <c r="G883" s="969"/>
      <c r="H883" s="969"/>
      <c r="I883" s="969"/>
      <c r="J883" s="969"/>
    </row>
    <row r="884">
      <c r="A884" s="969"/>
      <c r="B884" s="969"/>
      <c r="C884" s="969"/>
      <c r="D884" s="969"/>
      <c r="E884" s="969"/>
      <c r="F884" s="969"/>
      <c r="G884" s="969"/>
      <c r="H884" s="969"/>
      <c r="I884" s="969"/>
      <c r="J884" s="969"/>
    </row>
    <row r="885">
      <c r="A885" s="969"/>
      <c r="B885" s="969"/>
      <c r="C885" s="969"/>
      <c r="D885" s="969"/>
      <c r="E885" s="969"/>
      <c r="F885" s="969"/>
      <c r="G885" s="969"/>
      <c r="H885" s="969"/>
      <c r="I885" s="969"/>
      <c r="J885" s="969"/>
    </row>
    <row r="886">
      <c r="A886" s="969"/>
      <c r="B886" s="969"/>
      <c r="C886" s="969"/>
      <c r="D886" s="969"/>
      <c r="E886" s="969"/>
      <c r="F886" s="969"/>
      <c r="G886" s="969"/>
      <c r="H886" s="969"/>
      <c r="I886" s="969"/>
      <c r="J886" s="969"/>
    </row>
    <row r="887">
      <c r="A887" s="969"/>
      <c r="B887" s="969"/>
      <c r="C887" s="969"/>
      <c r="D887" s="969"/>
      <c r="E887" s="969"/>
      <c r="F887" s="969"/>
      <c r="G887" s="969"/>
      <c r="H887" s="969"/>
      <c r="I887" s="969"/>
      <c r="J887" s="969"/>
    </row>
    <row r="888">
      <c r="A888" s="969"/>
      <c r="B888" s="969"/>
      <c r="C888" s="969"/>
      <c r="D888" s="969"/>
      <c r="E888" s="969"/>
      <c r="F888" s="969"/>
      <c r="G888" s="969"/>
      <c r="H888" s="969"/>
      <c r="I888" s="969"/>
      <c r="J888" s="969"/>
    </row>
    <row r="889">
      <c r="A889" s="969"/>
      <c r="B889" s="969"/>
      <c r="C889" s="969"/>
      <c r="D889" s="969"/>
      <c r="E889" s="969"/>
      <c r="F889" s="969"/>
      <c r="G889" s="969"/>
      <c r="H889" s="969"/>
      <c r="I889" s="969"/>
      <c r="J889" s="969"/>
    </row>
    <row r="890">
      <c r="A890" s="969"/>
      <c r="B890" s="969"/>
      <c r="C890" s="969"/>
      <c r="D890" s="969"/>
      <c r="E890" s="969"/>
      <c r="F890" s="969"/>
      <c r="G890" s="969"/>
      <c r="H890" s="969"/>
      <c r="I890" s="969"/>
      <c r="J890" s="969"/>
    </row>
    <row r="891">
      <c r="A891" s="969"/>
      <c r="B891" s="969"/>
      <c r="C891" s="969"/>
      <c r="D891" s="969"/>
      <c r="E891" s="969"/>
      <c r="F891" s="969"/>
      <c r="G891" s="969"/>
      <c r="H891" s="969"/>
      <c r="I891" s="969"/>
      <c r="J891" s="969"/>
    </row>
    <row r="892">
      <c r="A892" s="969"/>
      <c r="B892" s="969"/>
      <c r="C892" s="969"/>
      <c r="D892" s="969"/>
      <c r="E892" s="969"/>
      <c r="F892" s="969"/>
      <c r="G892" s="969"/>
      <c r="H892" s="969"/>
      <c r="I892" s="969"/>
      <c r="J892" s="969"/>
    </row>
    <row r="893">
      <c r="A893" s="969"/>
      <c r="B893" s="969"/>
      <c r="C893" s="969"/>
      <c r="D893" s="969"/>
      <c r="E893" s="969"/>
      <c r="F893" s="969"/>
      <c r="G893" s="969"/>
      <c r="H893" s="969"/>
      <c r="I893" s="969"/>
      <c r="J893" s="969"/>
    </row>
    <row r="894">
      <c r="A894" s="969"/>
      <c r="B894" s="969"/>
      <c r="C894" s="969"/>
      <c r="D894" s="969"/>
      <c r="E894" s="969"/>
      <c r="F894" s="969"/>
      <c r="G894" s="969"/>
      <c r="H894" s="969"/>
      <c r="I894" s="969"/>
      <c r="J894" s="969"/>
    </row>
    <row r="895">
      <c r="A895" s="969"/>
      <c r="B895" s="969"/>
      <c r="C895" s="969"/>
      <c r="D895" s="969"/>
      <c r="E895" s="969"/>
      <c r="F895" s="969"/>
      <c r="G895" s="969"/>
      <c r="H895" s="969"/>
      <c r="I895" s="969"/>
      <c r="J895" s="969"/>
    </row>
    <row r="896">
      <c r="A896" s="969"/>
      <c r="B896" s="969"/>
      <c r="C896" s="969"/>
      <c r="D896" s="969"/>
      <c r="E896" s="969"/>
      <c r="F896" s="969"/>
      <c r="G896" s="969"/>
      <c r="H896" s="969"/>
      <c r="I896" s="969"/>
      <c r="J896" s="969"/>
    </row>
    <row r="897">
      <c r="A897" s="969"/>
      <c r="B897" s="969"/>
      <c r="C897" s="969"/>
      <c r="D897" s="969"/>
      <c r="E897" s="969"/>
      <c r="F897" s="969"/>
      <c r="G897" s="969"/>
      <c r="H897" s="969"/>
      <c r="I897" s="969"/>
      <c r="J897" s="969"/>
    </row>
    <row r="898">
      <c r="A898" s="969"/>
      <c r="B898" s="969"/>
      <c r="C898" s="969"/>
      <c r="D898" s="969"/>
      <c r="E898" s="969"/>
      <c r="F898" s="969"/>
      <c r="G898" s="969"/>
      <c r="H898" s="969"/>
      <c r="I898" s="969"/>
      <c r="J898" s="969"/>
    </row>
    <row r="899">
      <c r="A899" s="969"/>
      <c r="B899" s="969"/>
      <c r="C899" s="969"/>
      <c r="D899" s="969"/>
      <c r="E899" s="969"/>
      <c r="F899" s="969"/>
      <c r="G899" s="969"/>
      <c r="H899" s="969"/>
      <c r="I899" s="969"/>
      <c r="J899" s="969"/>
    </row>
    <row r="900">
      <c r="A900" s="969"/>
      <c r="B900" s="969"/>
      <c r="C900" s="969"/>
      <c r="D900" s="969"/>
      <c r="E900" s="969"/>
      <c r="F900" s="969"/>
      <c r="G900" s="969"/>
      <c r="H900" s="969"/>
      <c r="I900" s="969"/>
      <c r="J900" s="969"/>
    </row>
    <row r="901">
      <c r="A901" s="969"/>
      <c r="B901" s="969"/>
      <c r="C901" s="969"/>
      <c r="D901" s="969"/>
      <c r="E901" s="969"/>
      <c r="F901" s="969"/>
      <c r="G901" s="969"/>
      <c r="H901" s="969"/>
      <c r="I901" s="969"/>
      <c r="J901" s="969"/>
    </row>
    <row r="902">
      <c r="A902" s="969"/>
      <c r="B902" s="969"/>
      <c r="C902" s="969"/>
      <c r="D902" s="969"/>
      <c r="E902" s="969"/>
      <c r="F902" s="969"/>
      <c r="G902" s="969"/>
      <c r="H902" s="969"/>
      <c r="I902" s="969"/>
      <c r="J902" s="969"/>
    </row>
    <row r="903">
      <c r="A903" s="969"/>
      <c r="B903" s="969"/>
      <c r="C903" s="969"/>
      <c r="D903" s="969"/>
      <c r="E903" s="969"/>
      <c r="F903" s="969"/>
      <c r="G903" s="969"/>
      <c r="H903" s="969"/>
      <c r="I903" s="969"/>
      <c r="J903" s="969"/>
    </row>
    <row r="904">
      <c r="A904" s="969"/>
      <c r="B904" s="969"/>
      <c r="C904" s="969"/>
      <c r="D904" s="969"/>
      <c r="E904" s="969"/>
      <c r="F904" s="969"/>
      <c r="G904" s="969"/>
      <c r="H904" s="969"/>
      <c r="I904" s="969"/>
      <c r="J904" s="969"/>
    </row>
    <row r="905">
      <c r="A905" s="969"/>
      <c r="B905" s="969"/>
      <c r="C905" s="969"/>
      <c r="D905" s="969"/>
      <c r="E905" s="969"/>
      <c r="F905" s="969"/>
      <c r="G905" s="969"/>
      <c r="H905" s="969"/>
      <c r="I905" s="969"/>
      <c r="J905" s="969"/>
    </row>
    <row r="906">
      <c r="A906" s="969"/>
      <c r="B906" s="969"/>
      <c r="C906" s="969"/>
      <c r="D906" s="969"/>
      <c r="E906" s="969"/>
      <c r="F906" s="969"/>
      <c r="G906" s="969"/>
      <c r="H906" s="969"/>
      <c r="I906" s="969"/>
      <c r="J906" s="969"/>
    </row>
    <row r="907">
      <c r="A907" s="969"/>
      <c r="B907" s="969"/>
      <c r="C907" s="969"/>
      <c r="D907" s="969"/>
      <c r="E907" s="969"/>
      <c r="F907" s="969"/>
      <c r="G907" s="969"/>
      <c r="H907" s="969"/>
      <c r="I907" s="969"/>
      <c r="J907" s="969"/>
    </row>
    <row r="908">
      <c r="A908" s="969"/>
      <c r="B908" s="969"/>
      <c r="C908" s="969"/>
      <c r="D908" s="969"/>
      <c r="E908" s="969"/>
      <c r="F908" s="969"/>
      <c r="G908" s="969"/>
      <c r="H908" s="969"/>
      <c r="I908" s="969"/>
      <c r="J908" s="969"/>
    </row>
    <row r="909">
      <c r="A909" s="969"/>
      <c r="B909" s="969"/>
      <c r="C909" s="969"/>
      <c r="D909" s="969"/>
      <c r="E909" s="969"/>
      <c r="F909" s="969"/>
      <c r="G909" s="969"/>
      <c r="H909" s="969"/>
      <c r="I909" s="969"/>
      <c r="J909" s="969"/>
    </row>
    <row r="910">
      <c r="A910" s="969"/>
      <c r="B910" s="969"/>
      <c r="C910" s="969"/>
      <c r="D910" s="969"/>
      <c r="E910" s="969"/>
      <c r="F910" s="969"/>
      <c r="G910" s="969"/>
      <c r="H910" s="969"/>
      <c r="I910" s="969"/>
      <c r="J910" s="969"/>
    </row>
    <row r="911">
      <c r="A911" s="969"/>
      <c r="B911" s="969"/>
      <c r="C911" s="969"/>
      <c r="D911" s="969"/>
      <c r="E911" s="969"/>
      <c r="F911" s="969"/>
      <c r="G911" s="969"/>
      <c r="H911" s="969"/>
      <c r="I911" s="969"/>
      <c r="J911" s="969"/>
    </row>
    <row r="912">
      <c r="A912" s="969"/>
      <c r="B912" s="969"/>
      <c r="C912" s="969"/>
      <c r="D912" s="969"/>
      <c r="E912" s="969"/>
      <c r="F912" s="969"/>
      <c r="G912" s="969"/>
      <c r="H912" s="969"/>
      <c r="I912" s="969"/>
      <c r="J912" s="969"/>
    </row>
    <row r="913">
      <c r="A913" s="969"/>
      <c r="B913" s="969"/>
      <c r="C913" s="969"/>
      <c r="D913" s="969"/>
      <c r="E913" s="969"/>
      <c r="F913" s="969"/>
      <c r="G913" s="969"/>
      <c r="H913" s="969"/>
      <c r="I913" s="969"/>
      <c r="J913" s="969"/>
    </row>
    <row r="914">
      <c r="A914" s="969"/>
      <c r="B914" s="969"/>
      <c r="C914" s="969"/>
      <c r="D914" s="969"/>
      <c r="E914" s="969"/>
      <c r="F914" s="969"/>
      <c r="G914" s="969"/>
      <c r="H914" s="969"/>
      <c r="I914" s="969"/>
      <c r="J914" s="969"/>
    </row>
    <row r="915">
      <c r="A915" s="969"/>
      <c r="B915" s="969"/>
      <c r="C915" s="969"/>
      <c r="D915" s="969"/>
      <c r="E915" s="969"/>
      <c r="F915" s="969"/>
      <c r="G915" s="969"/>
      <c r="H915" s="969"/>
      <c r="I915" s="969"/>
      <c r="J915" s="969"/>
    </row>
    <row r="916">
      <c r="A916" s="969"/>
      <c r="B916" s="969"/>
      <c r="C916" s="969"/>
      <c r="D916" s="969"/>
      <c r="E916" s="969"/>
      <c r="F916" s="969"/>
      <c r="G916" s="969"/>
      <c r="H916" s="969"/>
      <c r="I916" s="969"/>
      <c r="J916" s="969"/>
    </row>
    <row r="917">
      <c r="A917" s="969"/>
      <c r="B917" s="969"/>
      <c r="C917" s="969"/>
      <c r="D917" s="969"/>
      <c r="E917" s="969"/>
      <c r="F917" s="969"/>
      <c r="G917" s="969"/>
      <c r="H917" s="969"/>
      <c r="I917" s="969"/>
      <c r="J917" s="969"/>
    </row>
    <row r="918">
      <c r="A918" s="969"/>
      <c r="B918" s="969"/>
      <c r="C918" s="969"/>
      <c r="D918" s="969"/>
      <c r="E918" s="969"/>
      <c r="F918" s="969"/>
      <c r="G918" s="969"/>
      <c r="H918" s="969"/>
      <c r="I918" s="969"/>
      <c r="J918" s="969"/>
    </row>
    <row r="919">
      <c r="A919" s="969"/>
      <c r="B919" s="969"/>
      <c r="C919" s="969"/>
      <c r="D919" s="969"/>
      <c r="E919" s="969"/>
      <c r="F919" s="969"/>
      <c r="G919" s="969"/>
      <c r="H919" s="969"/>
      <c r="I919" s="969"/>
      <c r="J919" s="969"/>
    </row>
    <row r="920">
      <c r="A920" s="969"/>
      <c r="B920" s="969"/>
      <c r="C920" s="969"/>
      <c r="D920" s="969"/>
      <c r="E920" s="969"/>
      <c r="F920" s="969"/>
      <c r="G920" s="969"/>
      <c r="H920" s="969"/>
      <c r="I920" s="969"/>
      <c r="J920" s="969"/>
    </row>
    <row r="921">
      <c r="A921" s="969"/>
      <c r="B921" s="969"/>
      <c r="C921" s="969"/>
      <c r="D921" s="969"/>
      <c r="E921" s="969"/>
      <c r="F921" s="969"/>
      <c r="G921" s="969"/>
      <c r="H921" s="969"/>
      <c r="I921" s="969"/>
      <c r="J921" s="969"/>
    </row>
    <row r="922">
      <c r="A922" s="969"/>
      <c r="B922" s="969"/>
      <c r="C922" s="969"/>
      <c r="D922" s="969"/>
      <c r="E922" s="969"/>
      <c r="F922" s="969"/>
      <c r="G922" s="969"/>
      <c r="H922" s="969"/>
      <c r="I922" s="969"/>
      <c r="J922" s="969"/>
    </row>
    <row r="923">
      <c r="A923" s="969"/>
      <c r="B923" s="969"/>
      <c r="C923" s="969"/>
      <c r="D923" s="969"/>
      <c r="E923" s="969"/>
      <c r="F923" s="969"/>
      <c r="G923" s="969"/>
      <c r="H923" s="969"/>
      <c r="I923" s="969"/>
      <c r="J923" s="969"/>
    </row>
    <row r="924">
      <c r="A924" s="969"/>
      <c r="B924" s="969"/>
      <c r="C924" s="969"/>
      <c r="D924" s="969"/>
      <c r="E924" s="969"/>
      <c r="F924" s="969"/>
      <c r="G924" s="969"/>
      <c r="H924" s="969"/>
      <c r="I924" s="969"/>
      <c r="J924" s="969"/>
    </row>
    <row r="925">
      <c r="A925" s="969"/>
      <c r="B925" s="969"/>
      <c r="C925" s="969"/>
      <c r="D925" s="969"/>
      <c r="E925" s="969"/>
      <c r="F925" s="969"/>
      <c r="G925" s="969"/>
      <c r="H925" s="969"/>
      <c r="I925" s="969"/>
      <c r="J925" s="969"/>
    </row>
    <row r="926">
      <c r="A926" s="969"/>
      <c r="B926" s="969"/>
      <c r="C926" s="969"/>
      <c r="D926" s="969"/>
      <c r="E926" s="969"/>
      <c r="F926" s="969"/>
      <c r="G926" s="969"/>
      <c r="H926" s="969"/>
      <c r="I926" s="969"/>
      <c r="J926" s="969"/>
    </row>
    <row r="927">
      <c r="A927" s="969"/>
      <c r="B927" s="969"/>
      <c r="C927" s="969"/>
      <c r="D927" s="969"/>
      <c r="E927" s="969"/>
      <c r="F927" s="969"/>
      <c r="G927" s="969"/>
      <c r="H927" s="969"/>
      <c r="I927" s="969"/>
      <c r="J927" s="969"/>
    </row>
    <row r="928">
      <c r="A928" s="969"/>
      <c r="B928" s="969"/>
      <c r="C928" s="969"/>
      <c r="D928" s="969"/>
      <c r="E928" s="969"/>
      <c r="F928" s="969"/>
      <c r="G928" s="969"/>
      <c r="H928" s="969"/>
      <c r="I928" s="969"/>
      <c r="J928" s="969"/>
    </row>
    <row r="929">
      <c r="A929" s="969"/>
      <c r="B929" s="969"/>
      <c r="C929" s="969"/>
      <c r="D929" s="969"/>
      <c r="E929" s="969"/>
      <c r="F929" s="969"/>
      <c r="G929" s="969"/>
      <c r="H929" s="969"/>
      <c r="I929" s="969"/>
      <c r="J929" s="969"/>
    </row>
    <row r="930">
      <c r="A930" s="969"/>
      <c r="B930" s="969"/>
      <c r="C930" s="969"/>
      <c r="D930" s="969"/>
      <c r="E930" s="969"/>
      <c r="F930" s="969"/>
      <c r="G930" s="969"/>
      <c r="H930" s="969"/>
      <c r="I930" s="969"/>
      <c r="J930" s="969"/>
    </row>
    <row r="931">
      <c r="A931" s="969"/>
      <c r="B931" s="969"/>
      <c r="C931" s="969"/>
      <c r="D931" s="969"/>
      <c r="E931" s="969"/>
      <c r="F931" s="969"/>
      <c r="G931" s="969"/>
      <c r="H931" s="969"/>
      <c r="I931" s="969"/>
      <c r="J931" s="969"/>
    </row>
    <row r="932">
      <c r="A932" s="969"/>
      <c r="B932" s="969"/>
      <c r="C932" s="969"/>
      <c r="D932" s="969"/>
      <c r="E932" s="969"/>
      <c r="F932" s="969"/>
      <c r="G932" s="969"/>
      <c r="H932" s="969"/>
      <c r="I932" s="969"/>
      <c r="J932" s="969"/>
    </row>
    <row r="933">
      <c r="A933" s="969"/>
      <c r="B933" s="969"/>
      <c r="C933" s="969"/>
      <c r="D933" s="969"/>
      <c r="E933" s="969"/>
      <c r="F933" s="969"/>
      <c r="G933" s="969"/>
      <c r="H933" s="969"/>
      <c r="I933" s="969"/>
      <c r="J933" s="969"/>
    </row>
    <row r="934">
      <c r="A934" s="969"/>
      <c r="B934" s="969"/>
      <c r="C934" s="969"/>
      <c r="D934" s="969"/>
      <c r="E934" s="969"/>
      <c r="F934" s="969"/>
      <c r="G934" s="969"/>
      <c r="H934" s="969"/>
      <c r="I934" s="969"/>
      <c r="J934" s="969"/>
    </row>
    <row r="935">
      <c r="A935" s="969"/>
      <c r="B935" s="969"/>
      <c r="C935" s="969"/>
      <c r="D935" s="969"/>
      <c r="E935" s="969"/>
      <c r="F935" s="969"/>
      <c r="G935" s="969"/>
      <c r="H935" s="969"/>
      <c r="I935" s="969"/>
      <c r="J935" s="969"/>
    </row>
    <row r="936">
      <c r="A936" s="969"/>
      <c r="B936" s="969"/>
      <c r="C936" s="969"/>
      <c r="D936" s="969"/>
      <c r="E936" s="969"/>
      <c r="F936" s="969"/>
      <c r="G936" s="969"/>
      <c r="H936" s="969"/>
      <c r="I936" s="969"/>
      <c r="J936" s="969"/>
    </row>
    <row r="937">
      <c r="A937" s="969"/>
      <c r="B937" s="969"/>
      <c r="C937" s="969"/>
      <c r="D937" s="969"/>
      <c r="E937" s="969"/>
      <c r="F937" s="969"/>
      <c r="G937" s="969"/>
      <c r="H937" s="969"/>
      <c r="I937" s="969"/>
      <c r="J937" s="969"/>
    </row>
    <row r="938">
      <c r="A938" s="969"/>
      <c r="B938" s="969"/>
      <c r="C938" s="969"/>
      <c r="D938" s="969"/>
      <c r="E938" s="969"/>
      <c r="F938" s="969"/>
      <c r="G938" s="969"/>
      <c r="H938" s="969"/>
      <c r="I938" s="969"/>
      <c r="J938" s="969"/>
    </row>
    <row r="939">
      <c r="A939" s="969"/>
      <c r="B939" s="969"/>
      <c r="C939" s="969"/>
      <c r="D939" s="969"/>
      <c r="E939" s="969"/>
      <c r="F939" s="969"/>
      <c r="G939" s="969"/>
      <c r="H939" s="969"/>
      <c r="I939" s="969"/>
      <c r="J939" s="969"/>
    </row>
    <row r="940">
      <c r="A940" s="969"/>
      <c r="B940" s="969"/>
      <c r="C940" s="969"/>
      <c r="D940" s="969"/>
      <c r="E940" s="969"/>
      <c r="F940" s="969"/>
      <c r="G940" s="969"/>
      <c r="H940" s="969"/>
      <c r="I940" s="969"/>
      <c r="J940" s="969"/>
    </row>
    <row r="941">
      <c r="A941" s="969"/>
      <c r="B941" s="969"/>
      <c r="C941" s="969"/>
      <c r="D941" s="969"/>
      <c r="E941" s="969"/>
      <c r="F941" s="969"/>
      <c r="G941" s="969"/>
      <c r="H941" s="969"/>
      <c r="I941" s="969"/>
      <c r="J941" s="969"/>
    </row>
    <row r="942">
      <c r="A942" s="969"/>
      <c r="B942" s="969"/>
      <c r="C942" s="969"/>
      <c r="D942" s="969"/>
      <c r="E942" s="969"/>
      <c r="F942" s="969"/>
      <c r="G942" s="969"/>
      <c r="H942" s="969"/>
      <c r="I942" s="969"/>
      <c r="J942" s="969"/>
    </row>
    <row r="943">
      <c r="A943" s="969"/>
      <c r="B943" s="969"/>
      <c r="C943" s="969"/>
      <c r="D943" s="969"/>
      <c r="E943" s="969"/>
      <c r="F943" s="969"/>
      <c r="G943" s="969"/>
      <c r="H943" s="969"/>
      <c r="I943" s="969"/>
      <c r="J943" s="969"/>
    </row>
    <row r="944">
      <c r="A944" s="969"/>
      <c r="B944" s="969"/>
      <c r="C944" s="969"/>
      <c r="D944" s="969"/>
      <c r="E944" s="969"/>
      <c r="F944" s="969"/>
      <c r="G944" s="969"/>
      <c r="H944" s="969"/>
      <c r="I944" s="969"/>
      <c r="J944" s="969"/>
    </row>
    <row r="945">
      <c r="A945" s="969"/>
      <c r="B945" s="969"/>
      <c r="C945" s="969"/>
      <c r="D945" s="969"/>
      <c r="E945" s="969"/>
      <c r="F945" s="969"/>
      <c r="G945" s="969"/>
      <c r="H945" s="969"/>
      <c r="I945" s="969"/>
      <c r="J945" s="969"/>
    </row>
    <row r="946">
      <c r="A946" s="969"/>
      <c r="B946" s="969"/>
      <c r="C946" s="969"/>
      <c r="D946" s="969"/>
      <c r="E946" s="969"/>
      <c r="F946" s="969"/>
      <c r="G946" s="969"/>
      <c r="H946" s="969"/>
      <c r="I946" s="969"/>
      <c r="J946" s="969"/>
    </row>
    <row r="947">
      <c r="A947" s="969"/>
      <c r="B947" s="969"/>
      <c r="C947" s="969"/>
      <c r="D947" s="969"/>
      <c r="E947" s="969"/>
      <c r="F947" s="969"/>
      <c r="G947" s="969"/>
      <c r="H947" s="969"/>
      <c r="I947" s="969"/>
      <c r="J947" s="969"/>
    </row>
    <row r="948">
      <c r="A948" s="969"/>
      <c r="B948" s="969"/>
      <c r="C948" s="969"/>
      <c r="D948" s="969"/>
      <c r="E948" s="969"/>
      <c r="F948" s="969"/>
      <c r="G948" s="969"/>
      <c r="H948" s="969"/>
      <c r="I948" s="969"/>
      <c r="J948" s="969"/>
    </row>
    <row r="949">
      <c r="A949" s="969"/>
      <c r="B949" s="969"/>
      <c r="C949" s="969"/>
      <c r="D949" s="969"/>
      <c r="E949" s="969"/>
      <c r="F949" s="969"/>
      <c r="G949" s="969"/>
      <c r="H949" s="969"/>
      <c r="I949" s="969"/>
      <c r="J949" s="969"/>
    </row>
    <row r="950">
      <c r="A950" s="969"/>
      <c r="B950" s="969"/>
      <c r="C950" s="969"/>
      <c r="D950" s="969"/>
      <c r="E950" s="969"/>
      <c r="F950" s="969"/>
      <c r="G950" s="969"/>
      <c r="H950" s="969"/>
      <c r="I950" s="969"/>
      <c r="J950" s="969"/>
    </row>
    <row r="951">
      <c r="A951" s="969"/>
      <c r="B951" s="969"/>
      <c r="C951" s="969"/>
      <c r="D951" s="969"/>
      <c r="E951" s="969"/>
      <c r="F951" s="969"/>
      <c r="G951" s="969"/>
      <c r="H951" s="969"/>
      <c r="I951" s="969"/>
      <c r="J951" s="969"/>
    </row>
    <row r="952">
      <c r="A952" s="969"/>
      <c r="B952" s="969"/>
      <c r="C952" s="969"/>
      <c r="D952" s="969"/>
      <c r="E952" s="969"/>
      <c r="F952" s="969"/>
      <c r="G952" s="969"/>
      <c r="H952" s="969"/>
      <c r="I952" s="969"/>
      <c r="J952" s="969"/>
    </row>
    <row r="953">
      <c r="A953" s="969"/>
      <c r="B953" s="969"/>
      <c r="C953" s="969"/>
      <c r="D953" s="969"/>
      <c r="E953" s="969"/>
      <c r="F953" s="969"/>
      <c r="G953" s="969"/>
      <c r="H953" s="969"/>
      <c r="I953" s="969"/>
      <c r="J953" s="969"/>
    </row>
    <row r="954">
      <c r="A954" s="969"/>
      <c r="B954" s="969"/>
      <c r="C954" s="969"/>
      <c r="D954" s="969"/>
      <c r="E954" s="969"/>
      <c r="F954" s="969"/>
      <c r="G954" s="969"/>
      <c r="H954" s="969"/>
      <c r="I954" s="969"/>
      <c r="J954" s="969"/>
    </row>
    <row r="955">
      <c r="A955" s="969"/>
      <c r="B955" s="969"/>
      <c r="C955" s="969"/>
      <c r="D955" s="969"/>
      <c r="E955" s="969"/>
      <c r="F955" s="969"/>
      <c r="G955" s="969"/>
      <c r="H955" s="969"/>
      <c r="I955" s="969"/>
      <c r="J955" s="969"/>
    </row>
    <row r="956">
      <c r="A956" s="969"/>
      <c r="B956" s="969"/>
      <c r="C956" s="969"/>
      <c r="D956" s="969"/>
      <c r="E956" s="969"/>
      <c r="F956" s="969"/>
      <c r="G956" s="969"/>
      <c r="H956" s="969"/>
      <c r="I956" s="969"/>
      <c r="J956" s="969"/>
    </row>
    <row r="957">
      <c r="A957" s="969"/>
      <c r="B957" s="969"/>
      <c r="C957" s="969"/>
      <c r="D957" s="969"/>
      <c r="E957" s="969"/>
      <c r="F957" s="969"/>
      <c r="G957" s="969"/>
      <c r="H957" s="969"/>
      <c r="I957" s="969"/>
      <c r="J957" s="969"/>
    </row>
    <row r="958">
      <c r="A958" s="969"/>
      <c r="B958" s="969"/>
      <c r="C958" s="969"/>
      <c r="D958" s="969"/>
      <c r="E958" s="969"/>
      <c r="F958" s="969"/>
      <c r="G958" s="969"/>
      <c r="H958" s="969"/>
      <c r="I958" s="969"/>
      <c r="J958" s="969"/>
    </row>
    <row r="959">
      <c r="A959" s="969"/>
      <c r="B959" s="969"/>
      <c r="C959" s="969"/>
      <c r="D959" s="969"/>
      <c r="E959" s="969"/>
      <c r="F959" s="969"/>
      <c r="G959" s="969"/>
      <c r="H959" s="969"/>
      <c r="I959" s="969"/>
      <c r="J959" s="969"/>
    </row>
    <row r="960">
      <c r="A960" s="969"/>
      <c r="B960" s="969"/>
      <c r="C960" s="969"/>
      <c r="D960" s="969"/>
      <c r="E960" s="969"/>
      <c r="F960" s="969"/>
      <c r="G960" s="969"/>
      <c r="H960" s="969"/>
      <c r="I960" s="969"/>
      <c r="J960" s="969"/>
    </row>
    <row r="961">
      <c r="A961" s="969"/>
      <c r="B961" s="969"/>
      <c r="C961" s="969"/>
      <c r="D961" s="969"/>
      <c r="E961" s="969"/>
      <c r="F961" s="969"/>
      <c r="G961" s="969"/>
      <c r="H961" s="969"/>
      <c r="I961" s="969"/>
      <c r="J961" s="969"/>
    </row>
    <row r="962">
      <c r="A962" s="969"/>
      <c r="B962" s="969"/>
      <c r="C962" s="969"/>
      <c r="D962" s="969"/>
      <c r="E962" s="969"/>
      <c r="F962" s="969"/>
      <c r="G962" s="969"/>
      <c r="H962" s="969"/>
      <c r="I962" s="969"/>
      <c r="J962" s="969"/>
    </row>
    <row r="963">
      <c r="A963" s="969"/>
      <c r="B963" s="969"/>
      <c r="C963" s="969"/>
      <c r="D963" s="969"/>
      <c r="E963" s="969"/>
      <c r="F963" s="969"/>
      <c r="G963" s="969"/>
      <c r="H963" s="969"/>
      <c r="I963" s="969"/>
      <c r="J963" s="969"/>
    </row>
    <row r="964">
      <c r="A964" s="969"/>
      <c r="B964" s="969"/>
      <c r="C964" s="969"/>
      <c r="D964" s="969"/>
      <c r="E964" s="969"/>
      <c r="F964" s="969"/>
      <c r="G964" s="969"/>
      <c r="H964" s="969"/>
      <c r="I964" s="969"/>
      <c r="J964" s="969"/>
    </row>
    <row r="965">
      <c r="A965" s="969"/>
      <c r="B965" s="969"/>
      <c r="C965" s="969"/>
      <c r="D965" s="969"/>
      <c r="E965" s="969"/>
      <c r="F965" s="969"/>
      <c r="G965" s="969"/>
      <c r="H965" s="969"/>
      <c r="I965" s="969"/>
      <c r="J965" s="969"/>
    </row>
    <row r="966">
      <c r="A966" s="969"/>
      <c r="B966" s="969"/>
      <c r="C966" s="969"/>
      <c r="D966" s="969"/>
      <c r="E966" s="969"/>
      <c r="F966" s="969"/>
      <c r="G966" s="969"/>
      <c r="H966" s="969"/>
      <c r="I966" s="969"/>
      <c r="J966" s="969"/>
    </row>
    <row r="967">
      <c r="A967" s="969"/>
      <c r="B967" s="969"/>
      <c r="C967" s="969"/>
      <c r="D967" s="969"/>
      <c r="E967" s="969"/>
      <c r="F967" s="969"/>
      <c r="G967" s="969"/>
      <c r="H967" s="969"/>
      <c r="I967" s="969"/>
      <c r="J967" s="969"/>
    </row>
    <row r="968">
      <c r="A968" s="969"/>
      <c r="B968" s="969"/>
      <c r="C968" s="969"/>
      <c r="D968" s="969"/>
      <c r="E968" s="969"/>
      <c r="F968" s="969"/>
      <c r="G968" s="969"/>
      <c r="H968" s="969"/>
      <c r="I968" s="969"/>
      <c r="J968" s="969"/>
    </row>
    <row r="969">
      <c r="A969" s="969"/>
      <c r="B969" s="969"/>
      <c r="C969" s="969"/>
      <c r="D969" s="969"/>
      <c r="E969" s="969"/>
      <c r="F969" s="969"/>
      <c r="G969" s="969"/>
      <c r="H969" s="969"/>
      <c r="I969" s="969"/>
      <c r="J969" s="969"/>
    </row>
    <row r="970">
      <c r="A970" s="969"/>
      <c r="B970" s="969"/>
      <c r="C970" s="969"/>
      <c r="D970" s="969"/>
      <c r="E970" s="969"/>
      <c r="F970" s="969"/>
      <c r="G970" s="969"/>
      <c r="H970" s="969"/>
      <c r="I970" s="969"/>
      <c r="J970" s="969"/>
    </row>
    <row r="971">
      <c r="A971" s="969"/>
      <c r="B971" s="969"/>
      <c r="C971" s="969"/>
      <c r="D971" s="969"/>
      <c r="E971" s="969"/>
      <c r="F971" s="969"/>
      <c r="G971" s="969"/>
      <c r="H971" s="969"/>
      <c r="I971" s="969"/>
      <c r="J971" s="969"/>
    </row>
    <row r="972">
      <c r="A972" s="969"/>
      <c r="B972" s="969"/>
      <c r="C972" s="969"/>
      <c r="D972" s="969"/>
      <c r="E972" s="969"/>
      <c r="F972" s="969"/>
      <c r="G972" s="969"/>
      <c r="H972" s="969"/>
      <c r="I972" s="969"/>
      <c r="J972" s="969"/>
    </row>
    <row r="973">
      <c r="A973" s="969"/>
      <c r="B973" s="969"/>
      <c r="C973" s="969"/>
      <c r="D973" s="969"/>
      <c r="E973" s="969"/>
      <c r="F973" s="969"/>
      <c r="G973" s="969"/>
      <c r="H973" s="969"/>
      <c r="I973" s="969"/>
      <c r="J973" s="969"/>
    </row>
    <row r="974">
      <c r="A974" s="969"/>
      <c r="B974" s="969"/>
      <c r="C974" s="969"/>
      <c r="D974" s="969"/>
      <c r="E974" s="969"/>
      <c r="F974" s="969"/>
      <c r="G974" s="969"/>
      <c r="H974" s="969"/>
      <c r="I974" s="969"/>
      <c r="J974" s="969"/>
    </row>
    <row r="975">
      <c r="A975" s="969"/>
      <c r="B975" s="969"/>
      <c r="C975" s="969"/>
      <c r="D975" s="969"/>
      <c r="E975" s="969"/>
      <c r="F975" s="969"/>
      <c r="G975" s="969"/>
      <c r="H975" s="969"/>
      <c r="I975" s="969"/>
      <c r="J975" s="969"/>
    </row>
    <row r="976">
      <c r="A976" s="969"/>
      <c r="B976" s="969"/>
      <c r="C976" s="969"/>
      <c r="D976" s="969"/>
      <c r="E976" s="969"/>
      <c r="F976" s="969"/>
      <c r="G976" s="969"/>
      <c r="H976" s="969"/>
      <c r="I976" s="969"/>
      <c r="J976" s="969"/>
    </row>
    <row r="977">
      <c r="A977" s="969"/>
      <c r="B977" s="969"/>
      <c r="C977" s="969"/>
      <c r="D977" s="969"/>
      <c r="E977" s="969"/>
      <c r="F977" s="969"/>
      <c r="G977" s="969"/>
      <c r="H977" s="969"/>
      <c r="I977" s="969"/>
      <c r="J977" s="969"/>
    </row>
    <row r="978">
      <c r="A978" s="969"/>
      <c r="B978" s="969"/>
      <c r="C978" s="969"/>
      <c r="D978" s="969"/>
      <c r="E978" s="969"/>
      <c r="F978" s="969"/>
      <c r="G978" s="969"/>
      <c r="H978" s="969"/>
      <c r="I978" s="969"/>
      <c r="J978" s="969"/>
    </row>
    <row r="979">
      <c r="A979" s="969"/>
      <c r="B979" s="969"/>
      <c r="C979" s="969"/>
      <c r="D979" s="969"/>
      <c r="E979" s="969"/>
      <c r="F979" s="969"/>
      <c r="G979" s="969"/>
      <c r="H979" s="969"/>
      <c r="I979" s="969"/>
      <c r="J979" s="969"/>
    </row>
    <row r="980">
      <c r="A980" s="969"/>
      <c r="B980" s="969"/>
      <c r="C980" s="969"/>
      <c r="D980" s="969"/>
      <c r="E980" s="969"/>
      <c r="F980" s="969"/>
      <c r="G980" s="969"/>
      <c r="H980" s="969"/>
      <c r="I980" s="969"/>
      <c r="J980" s="969"/>
    </row>
    <row r="981">
      <c r="A981" s="969"/>
      <c r="B981" s="969"/>
      <c r="C981" s="969"/>
      <c r="D981" s="969"/>
      <c r="E981" s="969"/>
      <c r="F981" s="969"/>
      <c r="G981" s="969"/>
      <c r="H981" s="969"/>
      <c r="I981" s="969"/>
      <c r="J981" s="969"/>
    </row>
    <row r="982">
      <c r="A982" s="969"/>
      <c r="B982" s="969"/>
      <c r="C982" s="969"/>
      <c r="D982" s="969"/>
      <c r="E982" s="969"/>
      <c r="F982" s="969"/>
      <c r="G982" s="969"/>
      <c r="H982" s="969"/>
      <c r="I982" s="969"/>
      <c r="J982" s="969"/>
    </row>
    <row r="983">
      <c r="A983" s="969"/>
      <c r="B983" s="969"/>
      <c r="C983" s="969"/>
      <c r="D983" s="969"/>
      <c r="E983" s="969"/>
      <c r="F983" s="969"/>
      <c r="G983" s="969"/>
      <c r="H983" s="969"/>
      <c r="I983" s="969"/>
      <c r="J983" s="969"/>
    </row>
    <row r="984">
      <c r="A984" s="969"/>
      <c r="B984" s="969"/>
      <c r="C984" s="969"/>
      <c r="D984" s="969"/>
      <c r="E984" s="969"/>
      <c r="F984" s="969"/>
      <c r="G984" s="969"/>
      <c r="H984" s="969"/>
      <c r="I984" s="969"/>
      <c r="J984" s="969"/>
    </row>
    <row r="985">
      <c r="A985" s="969"/>
      <c r="B985" s="969"/>
      <c r="C985" s="969"/>
      <c r="D985" s="969"/>
      <c r="E985" s="969"/>
      <c r="F985" s="969"/>
      <c r="G985" s="969"/>
      <c r="H985" s="969"/>
      <c r="I985" s="969"/>
      <c r="J985" s="969"/>
    </row>
    <row r="986">
      <c r="A986" s="969"/>
      <c r="B986" s="969"/>
      <c r="C986" s="969"/>
      <c r="D986" s="969"/>
      <c r="E986" s="969"/>
      <c r="F986" s="969"/>
      <c r="G986" s="969"/>
      <c r="H986" s="969"/>
      <c r="I986" s="969"/>
      <c r="J986" s="969"/>
    </row>
    <row r="987">
      <c r="A987" s="969"/>
      <c r="B987" s="969"/>
      <c r="C987" s="969"/>
      <c r="D987" s="969"/>
      <c r="E987" s="969"/>
      <c r="F987" s="969"/>
      <c r="G987" s="969"/>
      <c r="H987" s="969"/>
      <c r="I987" s="969"/>
      <c r="J987" s="969"/>
    </row>
    <row r="988">
      <c r="A988" s="969"/>
      <c r="B988" s="969"/>
      <c r="C988" s="969"/>
      <c r="D988" s="969"/>
      <c r="E988" s="969"/>
      <c r="F988" s="969"/>
      <c r="G988" s="969"/>
      <c r="H988" s="969"/>
      <c r="I988" s="969"/>
      <c r="J988" s="969"/>
    </row>
    <row r="989">
      <c r="A989" s="969"/>
      <c r="B989" s="969"/>
      <c r="C989" s="969"/>
      <c r="D989" s="969"/>
      <c r="E989" s="969"/>
      <c r="F989" s="969"/>
      <c r="G989" s="969"/>
      <c r="H989" s="969"/>
      <c r="I989" s="969"/>
      <c r="J989" s="969"/>
    </row>
    <row r="990">
      <c r="A990" s="969"/>
      <c r="B990" s="969"/>
      <c r="C990" s="969"/>
      <c r="D990" s="969"/>
      <c r="E990" s="969"/>
      <c r="F990" s="969"/>
      <c r="G990" s="969"/>
      <c r="H990" s="969"/>
      <c r="I990" s="969"/>
      <c r="J990" s="969"/>
    </row>
    <row r="991">
      <c r="A991" s="969"/>
      <c r="B991" s="969"/>
      <c r="C991" s="969"/>
      <c r="D991" s="969"/>
      <c r="E991" s="969"/>
      <c r="F991" s="969"/>
      <c r="G991" s="969"/>
      <c r="H991" s="969"/>
      <c r="I991" s="969"/>
      <c r="J991" s="969"/>
    </row>
    <row r="992">
      <c r="A992" s="969"/>
      <c r="B992" s="969"/>
      <c r="C992" s="969"/>
      <c r="D992" s="969"/>
      <c r="E992" s="969"/>
      <c r="F992" s="969"/>
      <c r="G992" s="969"/>
      <c r="H992" s="969"/>
      <c r="I992" s="969"/>
      <c r="J992" s="969"/>
    </row>
    <row r="993">
      <c r="A993" s="969"/>
      <c r="B993" s="969"/>
      <c r="C993" s="969"/>
      <c r="D993" s="969"/>
      <c r="E993" s="969"/>
      <c r="F993" s="969"/>
      <c r="G993" s="969"/>
      <c r="H993" s="969"/>
      <c r="I993" s="969"/>
      <c r="J993" s="969"/>
    </row>
    <row r="994">
      <c r="A994" s="969"/>
      <c r="B994" s="969"/>
      <c r="C994" s="969"/>
      <c r="D994" s="969"/>
      <c r="E994" s="969"/>
      <c r="F994" s="969"/>
      <c r="G994" s="969"/>
      <c r="H994" s="969"/>
      <c r="I994" s="969"/>
      <c r="J994" s="969"/>
    </row>
    <row r="995">
      <c r="A995" s="969"/>
      <c r="B995" s="969"/>
      <c r="C995" s="969"/>
      <c r="D995" s="969"/>
      <c r="E995" s="969"/>
      <c r="F995" s="969"/>
      <c r="G995" s="969"/>
      <c r="H995" s="969"/>
      <c r="I995" s="969"/>
      <c r="J995" s="969"/>
    </row>
    <row r="996">
      <c r="A996" s="969"/>
      <c r="B996" s="969"/>
      <c r="C996" s="969"/>
      <c r="D996" s="969"/>
      <c r="E996" s="969"/>
      <c r="F996" s="969"/>
      <c r="G996" s="969"/>
      <c r="H996" s="969"/>
      <c r="I996" s="969"/>
      <c r="J996" s="969"/>
    </row>
    <row r="997">
      <c r="A997" s="969"/>
      <c r="B997" s="969"/>
      <c r="C997" s="969"/>
      <c r="D997" s="969"/>
      <c r="E997" s="969"/>
      <c r="F997" s="969"/>
      <c r="G997" s="969"/>
      <c r="H997" s="969"/>
      <c r="I997" s="969"/>
      <c r="J997" s="969"/>
    </row>
    <row r="998">
      <c r="A998" s="969"/>
      <c r="B998" s="969"/>
      <c r="C998" s="969"/>
      <c r="D998" s="969"/>
      <c r="E998" s="969"/>
      <c r="F998" s="969"/>
      <c r="G998" s="969"/>
      <c r="H998" s="969"/>
      <c r="I998" s="969"/>
      <c r="J998" s="969"/>
    </row>
    <row r="999">
      <c r="A999" s="969"/>
      <c r="B999" s="969"/>
      <c r="C999" s="969"/>
      <c r="D999" s="969"/>
      <c r="E999" s="969"/>
      <c r="F999" s="969"/>
      <c r="G999" s="969"/>
      <c r="H999" s="969"/>
      <c r="I999" s="969"/>
      <c r="J999" s="969"/>
    </row>
    <row r="1000">
      <c r="A1000" s="969"/>
      <c r="B1000" s="969"/>
      <c r="C1000" s="969"/>
      <c r="D1000" s="969"/>
      <c r="E1000" s="969"/>
      <c r="F1000" s="969"/>
      <c r="G1000" s="969"/>
      <c r="H1000" s="969"/>
      <c r="I1000" s="969"/>
      <c r="J1000" s="969"/>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3"/>
    <col customWidth="1" min="2" max="10" width="5.86"/>
    <col customWidth="1" min="11" max="12" width="14.43"/>
    <col customWidth="1" min="13" max="16" width="5.86"/>
    <col customWidth="1" min="17" max="18" width="9.43"/>
    <col customWidth="1" min="19" max="21" width="5.86"/>
    <col customWidth="1" min="22" max="23" width="9.43"/>
    <col customWidth="1" min="24" max="24" width="122.71"/>
    <col customWidth="1" min="25" max="25" width="5.86"/>
  </cols>
  <sheetData>
    <row r="1" ht="27.0" customHeight="1">
      <c r="A1" s="1415"/>
      <c r="B1" s="1416" t="s">
        <v>2245</v>
      </c>
      <c r="C1" s="1416" t="s">
        <v>2246</v>
      </c>
      <c r="D1" s="1416" t="s">
        <v>421</v>
      </c>
      <c r="E1" s="1416" t="s">
        <v>437</v>
      </c>
      <c r="F1" s="1416" t="s">
        <v>453</v>
      </c>
      <c r="G1" s="1416" t="s">
        <v>445</v>
      </c>
      <c r="H1" s="1416" t="s">
        <v>407</v>
      </c>
      <c r="I1" s="1416" t="s">
        <v>476</v>
      </c>
      <c r="J1" s="1416" t="s">
        <v>414</v>
      </c>
      <c r="K1" s="1417" t="s">
        <v>1836</v>
      </c>
      <c r="L1" s="1416" t="s">
        <v>2247</v>
      </c>
      <c r="M1" s="1416" t="s">
        <v>2248</v>
      </c>
      <c r="N1" s="1416" t="s">
        <v>1837</v>
      </c>
      <c r="O1" s="1416" t="s">
        <v>1842</v>
      </c>
      <c r="P1" s="1416" t="s">
        <v>1843</v>
      </c>
      <c r="Q1" s="1416" t="s">
        <v>1838</v>
      </c>
      <c r="R1" s="1416" t="s">
        <v>315</v>
      </c>
      <c r="S1" s="1416" t="s">
        <v>1846</v>
      </c>
      <c r="T1" s="1416" t="s">
        <v>1847</v>
      </c>
      <c r="U1" s="1416" t="s">
        <v>1848</v>
      </c>
      <c r="V1" s="1416" t="s">
        <v>2249</v>
      </c>
      <c r="W1" s="1416" t="s">
        <v>2250</v>
      </c>
      <c r="X1" s="1416" t="s">
        <v>1840</v>
      </c>
      <c r="Y1" s="1418" t="s">
        <v>681</v>
      </c>
    </row>
    <row r="2">
      <c r="A2" s="1419"/>
      <c r="B2" s="1420" t="b">
        <v>1</v>
      </c>
      <c r="C2" s="1421" t="b">
        <v>0</v>
      </c>
      <c r="D2" s="1421" t="b">
        <v>0</v>
      </c>
      <c r="E2" s="1421" t="b">
        <v>0</v>
      </c>
      <c r="F2" s="1421" t="b">
        <v>0</v>
      </c>
      <c r="G2" s="1421" t="b">
        <v>0</v>
      </c>
      <c r="H2" s="1420" t="b">
        <v>1</v>
      </c>
      <c r="I2" s="1421" t="b">
        <v>0</v>
      </c>
      <c r="J2" s="1420" t="b">
        <v>1</v>
      </c>
      <c r="K2" s="1422" t="s">
        <v>1853</v>
      </c>
      <c r="L2" s="1423" t="s">
        <v>2251</v>
      </c>
      <c r="M2" s="1424">
        <v>0.0</v>
      </c>
      <c r="N2" s="1424" t="s">
        <v>2252</v>
      </c>
      <c r="O2" s="1425" t="b">
        <v>0</v>
      </c>
      <c r="P2" s="1425" t="b">
        <v>0</v>
      </c>
      <c r="Q2" s="1426" t="s">
        <v>2253</v>
      </c>
      <c r="R2" s="1426" t="s">
        <v>2254</v>
      </c>
      <c r="S2" s="1426" t="b">
        <v>1</v>
      </c>
      <c r="T2" s="1426" t="b">
        <v>1</v>
      </c>
      <c r="U2" s="1427" t="b">
        <v>0</v>
      </c>
      <c r="V2" s="1427"/>
      <c r="W2" s="1426" t="s">
        <v>2255</v>
      </c>
      <c r="X2" s="1426" t="s">
        <v>2256</v>
      </c>
      <c r="Y2" s="1424" t="s">
        <v>113</v>
      </c>
    </row>
    <row r="3">
      <c r="A3" s="1419"/>
      <c r="B3" s="1428" t="b">
        <v>1</v>
      </c>
      <c r="C3" s="1428" t="b">
        <v>1</v>
      </c>
      <c r="D3" s="1428" t="b">
        <v>1</v>
      </c>
      <c r="E3" s="1428" t="b">
        <v>1</v>
      </c>
      <c r="F3" s="1428" t="b">
        <v>1</v>
      </c>
      <c r="G3" s="1428" t="b">
        <v>1</v>
      </c>
      <c r="H3" s="1429" t="b">
        <v>0</v>
      </c>
      <c r="I3" s="1429" t="b">
        <v>0</v>
      </c>
      <c r="J3" s="1429" t="b">
        <v>0</v>
      </c>
      <c r="K3" s="1430" t="s">
        <v>1881</v>
      </c>
      <c r="L3" s="1431" t="s">
        <v>2257</v>
      </c>
      <c r="M3" s="1432">
        <v>2.0</v>
      </c>
      <c r="N3" s="1432" t="s">
        <v>2258</v>
      </c>
      <c r="O3" s="1433" t="b">
        <v>0</v>
      </c>
      <c r="P3" s="1433" t="b">
        <v>0</v>
      </c>
      <c r="Q3" s="1434" t="s">
        <v>2253</v>
      </c>
      <c r="R3" s="1434" t="s">
        <v>2259</v>
      </c>
      <c r="S3" s="1434" t="b">
        <v>1</v>
      </c>
      <c r="T3" s="1434" t="b">
        <v>1</v>
      </c>
      <c r="U3" s="1434" t="b">
        <v>1</v>
      </c>
      <c r="V3" s="1434" t="s">
        <v>2260</v>
      </c>
      <c r="W3" s="1434" t="s">
        <v>2261</v>
      </c>
      <c r="X3" s="1435" t="s">
        <v>2262</v>
      </c>
      <c r="Y3" s="1432" t="s">
        <v>113</v>
      </c>
    </row>
    <row r="4">
      <c r="A4" s="1419"/>
      <c r="B4" s="1420" t="b">
        <v>1</v>
      </c>
      <c r="C4" s="1421" t="b">
        <v>0</v>
      </c>
      <c r="D4" s="1421" t="b">
        <v>0</v>
      </c>
      <c r="E4" s="1420" t="b">
        <v>0</v>
      </c>
      <c r="F4" s="1421" t="b">
        <v>0</v>
      </c>
      <c r="G4" s="1420" t="b">
        <v>1</v>
      </c>
      <c r="H4" s="1421" t="b">
        <v>0</v>
      </c>
      <c r="I4" s="1421" t="b">
        <v>0</v>
      </c>
      <c r="J4" s="1420" t="b">
        <v>1</v>
      </c>
      <c r="K4" s="1422" t="s">
        <v>1880</v>
      </c>
      <c r="L4" s="1423" t="s">
        <v>2263</v>
      </c>
      <c r="M4" s="1424">
        <v>1.0</v>
      </c>
      <c r="N4" s="1424" t="s">
        <v>2258</v>
      </c>
      <c r="O4" s="1425" t="b">
        <v>0</v>
      </c>
      <c r="P4" s="1436" t="b">
        <v>1</v>
      </c>
      <c r="Q4" s="1426" t="s">
        <v>2264</v>
      </c>
      <c r="R4" s="1426" t="s">
        <v>2259</v>
      </c>
      <c r="S4" s="1426" t="b">
        <v>1</v>
      </c>
      <c r="T4" s="1426" t="b">
        <v>1</v>
      </c>
      <c r="U4" s="1426" t="b">
        <v>1</v>
      </c>
      <c r="V4" s="1426" t="s">
        <v>2265</v>
      </c>
      <c r="W4" s="1426" t="s">
        <v>2261</v>
      </c>
      <c r="X4" s="1437" t="s">
        <v>2266</v>
      </c>
      <c r="Y4" s="1424" t="s">
        <v>113</v>
      </c>
    </row>
    <row r="5">
      <c r="A5" s="1419"/>
      <c r="B5" s="1428" t="b">
        <v>1</v>
      </c>
      <c r="C5" s="1429" t="b">
        <v>0</v>
      </c>
      <c r="D5" s="1429" t="b">
        <v>0</v>
      </c>
      <c r="E5" s="1429" t="b">
        <v>0</v>
      </c>
      <c r="F5" s="1429" t="b">
        <v>0</v>
      </c>
      <c r="G5" s="1429" t="b">
        <v>0</v>
      </c>
      <c r="H5" s="1428" t="b">
        <v>1</v>
      </c>
      <c r="I5" s="1429" t="b">
        <v>0</v>
      </c>
      <c r="J5" s="1428" t="b">
        <v>1</v>
      </c>
      <c r="K5" s="1430" t="s">
        <v>1889</v>
      </c>
      <c r="L5" s="1431" t="s">
        <v>2267</v>
      </c>
      <c r="M5" s="1432">
        <v>2.0</v>
      </c>
      <c r="N5" s="1432" t="s">
        <v>2268</v>
      </c>
      <c r="O5" s="1438" t="b">
        <v>1</v>
      </c>
      <c r="P5" s="1433" t="b">
        <v>0</v>
      </c>
      <c r="Q5" s="1434" t="s">
        <v>2253</v>
      </c>
      <c r="R5" s="1434" t="s">
        <v>2269</v>
      </c>
      <c r="S5" s="1434" t="b">
        <v>1</v>
      </c>
      <c r="T5" s="1434" t="b">
        <v>1</v>
      </c>
      <c r="U5" s="1439" t="b">
        <v>0</v>
      </c>
      <c r="V5" s="1439"/>
      <c r="W5" s="1434" t="s">
        <v>2270</v>
      </c>
      <c r="X5" s="1435" t="s">
        <v>2271</v>
      </c>
      <c r="Y5" s="1432" t="s">
        <v>113</v>
      </c>
    </row>
    <row r="6">
      <c r="A6" s="1419"/>
      <c r="B6" s="1421" t="b">
        <v>0</v>
      </c>
      <c r="C6" s="1420" t="b">
        <v>1</v>
      </c>
      <c r="D6" s="1421" t="b">
        <v>0</v>
      </c>
      <c r="E6" s="1420" t="b">
        <v>1</v>
      </c>
      <c r="F6" s="1421" t="b">
        <v>0</v>
      </c>
      <c r="G6" s="1420" t="b">
        <v>1</v>
      </c>
      <c r="H6" s="1421" t="b">
        <v>0</v>
      </c>
      <c r="I6" s="1421" t="b">
        <v>0</v>
      </c>
      <c r="J6" s="1421" t="b">
        <v>0</v>
      </c>
      <c r="K6" s="1422" t="s">
        <v>1888</v>
      </c>
      <c r="L6" s="1423" t="s">
        <v>2272</v>
      </c>
      <c r="M6" s="1424">
        <v>1.0</v>
      </c>
      <c r="N6" s="1424" t="s">
        <v>2273</v>
      </c>
      <c r="O6" s="1425" t="b">
        <v>0</v>
      </c>
      <c r="P6" s="1425" t="b">
        <v>0</v>
      </c>
      <c r="Q6" s="1426" t="s">
        <v>2253</v>
      </c>
      <c r="R6" s="1426" t="s">
        <v>2259</v>
      </c>
      <c r="S6" s="1426" t="b">
        <v>1</v>
      </c>
      <c r="T6" s="1426" t="b">
        <v>1</v>
      </c>
      <c r="U6" s="1426" t="b">
        <v>1</v>
      </c>
      <c r="V6" s="1426" t="s">
        <v>2274</v>
      </c>
      <c r="W6" s="1426" t="s">
        <v>2275</v>
      </c>
      <c r="X6" s="1437" t="s">
        <v>2276</v>
      </c>
      <c r="Y6" s="1426" t="s">
        <v>113</v>
      </c>
    </row>
    <row r="7">
      <c r="A7" s="1419"/>
      <c r="B7" s="1429" t="b">
        <v>0</v>
      </c>
      <c r="C7" s="1428" t="b">
        <v>1</v>
      </c>
      <c r="D7" s="1429" t="b">
        <v>0</v>
      </c>
      <c r="E7" s="1428" t="b">
        <v>1</v>
      </c>
      <c r="F7" s="1429" t="b">
        <v>0</v>
      </c>
      <c r="G7" s="1428" t="b">
        <v>1</v>
      </c>
      <c r="H7" s="1429" t="b">
        <v>0</v>
      </c>
      <c r="I7" s="1429" t="b">
        <v>0</v>
      </c>
      <c r="J7" s="1429" t="b">
        <v>0</v>
      </c>
      <c r="K7" s="1430" t="s">
        <v>1909</v>
      </c>
      <c r="L7" s="1431" t="s">
        <v>2277</v>
      </c>
      <c r="M7" s="1432">
        <v>2.0</v>
      </c>
      <c r="N7" s="1432" t="s">
        <v>2273</v>
      </c>
      <c r="O7" s="1433" t="b">
        <v>0</v>
      </c>
      <c r="P7" s="1438" t="b">
        <v>1</v>
      </c>
      <c r="Q7" s="1434" t="s">
        <v>2253</v>
      </c>
      <c r="R7" s="1434" t="s">
        <v>2259</v>
      </c>
      <c r="S7" s="1434" t="b">
        <v>1</v>
      </c>
      <c r="T7" s="1434" t="b">
        <v>1</v>
      </c>
      <c r="U7" s="1434" t="b">
        <v>1</v>
      </c>
      <c r="V7" s="1434" t="s">
        <v>2274</v>
      </c>
      <c r="W7" s="1434" t="s">
        <v>2275</v>
      </c>
      <c r="X7" s="1435" t="s">
        <v>2278</v>
      </c>
      <c r="Y7" s="1434" t="s">
        <v>113</v>
      </c>
    </row>
    <row r="8">
      <c r="A8" s="1419"/>
      <c r="B8" s="1421" t="b">
        <v>0</v>
      </c>
      <c r="C8" s="1421" t="b">
        <v>0</v>
      </c>
      <c r="D8" s="1421" t="b">
        <v>0</v>
      </c>
      <c r="E8" s="1420" t="b">
        <v>1</v>
      </c>
      <c r="F8" s="1421" t="b">
        <v>0</v>
      </c>
      <c r="G8" s="1420" t="b">
        <v>0</v>
      </c>
      <c r="H8" s="1421" t="b">
        <v>0</v>
      </c>
      <c r="I8" s="1421" t="b">
        <v>0</v>
      </c>
      <c r="J8" s="1421" t="b">
        <v>0</v>
      </c>
      <c r="K8" s="1422" t="s">
        <v>1885</v>
      </c>
      <c r="L8" s="1423" t="s">
        <v>2279</v>
      </c>
      <c r="M8" s="1424">
        <v>8.0</v>
      </c>
      <c r="N8" s="1424" t="s">
        <v>2268</v>
      </c>
      <c r="O8" s="1425" t="b">
        <v>0</v>
      </c>
      <c r="P8" s="1425" t="b">
        <v>0</v>
      </c>
      <c r="Q8" s="1426" t="s">
        <v>2253</v>
      </c>
      <c r="R8" s="1426" t="s">
        <v>2259</v>
      </c>
      <c r="S8" s="1426" t="b">
        <v>1</v>
      </c>
      <c r="T8" s="1426" t="b">
        <v>1</v>
      </c>
      <c r="U8" s="1427" t="b">
        <v>0</v>
      </c>
      <c r="V8" s="1427"/>
      <c r="W8" s="1426" t="s">
        <v>2275</v>
      </c>
      <c r="X8" s="1437" t="s">
        <v>2280</v>
      </c>
      <c r="Y8" s="1426" t="s">
        <v>113</v>
      </c>
    </row>
    <row r="9">
      <c r="A9" s="1419"/>
      <c r="B9" s="1428" t="b">
        <v>0</v>
      </c>
      <c r="C9" s="1429" t="b">
        <v>0</v>
      </c>
      <c r="D9" s="1428" t="b">
        <v>1</v>
      </c>
      <c r="E9" s="1429" t="b">
        <v>0</v>
      </c>
      <c r="F9" s="1429" t="b">
        <v>0</v>
      </c>
      <c r="G9" s="1429" t="b">
        <v>0</v>
      </c>
      <c r="H9" s="1429" t="b">
        <v>0</v>
      </c>
      <c r="I9" s="1429" t="b">
        <v>0</v>
      </c>
      <c r="J9" s="1428" t="b">
        <v>1</v>
      </c>
      <c r="K9" s="1430" t="s">
        <v>609</v>
      </c>
      <c r="L9" s="1431" t="s">
        <v>2281</v>
      </c>
      <c r="M9" s="1432">
        <v>3.0</v>
      </c>
      <c r="N9" s="1432" t="s">
        <v>2282</v>
      </c>
      <c r="O9" s="1433" t="b">
        <v>0</v>
      </c>
      <c r="P9" s="1433" t="b">
        <v>0</v>
      </c>
      <c r="Q9" s="1434" t="s">
        <v>2264</v>
      </c>
      <c r="R9" s="1434" t="s">
        <v>2283</v>
      </c>
      <c r="S9" s="1434" t="b">
        <v>1</v>
      </c>
      <c r="T9" s="1434" t="b">
        <v>1</v>
      </c>
      <c r="U9" s="1434" t="b">
        <v>1</v>
      </c>
      <c r="V9" s="1434" t="s">
        <v>2284</v>
      </c>
      <c r="W9" s="1434" t="s">
        <v>2255</v>
      </c>
      <c r="X9" s="1435" t="s">
        <v>2285</v>
      </c>
      <c r="Y9" s="1434" t="s">
        <v>113</v>
      </c>
    </row>
    <row r="10">
      <c r="A10" s="1419"/>
      <c r="B10" s="1420" t="b">
        <v>1</v>
      </c>
      <c r="C10" s="1420" t="b">
        <v>1</v>
      </c>
      <c r="D10" s="1421" t="b">
        <v>0</v>
      </c>
      <c r="E10" s="1421" t="b">
        <v>0</v>
      </c>
      <c r="F10" s="1421" t="b">
        <v>0</v>
      </c>
      <c r="G10" s="1421" t="b">
        <v>0</v>
      </c>
      <c r="H10" s="1420" t="b">
        <v>1</v>
      </c>
      <c r="I10" s="1421" t="b">
        <v>0</v>
      </c>
      <c r="J10" s="1420" t="b">
        <v>1</v>
      </c>
      <c r="K10" s="1422" t="s">
        <v>643</v>
      </c>
      <c r="L10" s="1423" t="s">
        <v>2286</v>
      </c>
      <c r="M10" s="1424">
        <v>5.0</v>
      </c>
      <c r="N10" s="1424" t="s">
        <v>2268</v>
      </c>
      <c r="O10" s="1436" t="b">
        <v>1</v>
      </c>
      <c r="P10" s="1436" t="b">
        <v>1</v>
      </c>
      <c r="Q10" s="1426" t="s">
        <v>2253</v>
      </c>
      <c r="R10" s="1426" t="s">
        <v>2287</v>
      </c>
      <c r="S10" s="1426" t="b">
        <v>1</v>
      </c>
      <c r="T10" s="1426" t="b">
        <v>1</v>
      </c>
      <c r="U10" s="1427" t="b">
        <v>0</v>
      </c>
      <c r="V10" s="1427"/>
      <c r="W10" s="1426" t="s">
        <v>2288</v>
      </c>
      <c r="X10" s="1437" t="s">
        <v>2289</v>
      </c>
      <c r="Y10" s="1426" t="s">
        <v>113</v>
      </c>
    </row>
    <row r="11">
      <c r="A11" s="1419"/>
      <c r="B11" s="1429" t="b">
        <v>0</v>
      </c>
      <c r="C11" s="1429" t="b">
        <v>0</v>
      </c>
      <c r="D11" s="1429" t="b">
        <v>0</v>
      </c>
      <c r="E11" s="1428" t="b">
        <v>1</v>
      </c>
      <c r="F11" s="1429" t="b">
        <v>0</v>
      </c>
      <c r="G11" s="1429" t="b">
        <v>0</v>
      </c>
      <c r="H11" s="1429" t="b">
        <v>0</v>
      </c>
      <c r="I11" s="1429" t="b">
        <v>0</v>
      </c>
      <c r="J11" s="1429" t="b">
        <v>0</v>
      </c>
      <c r="K11" s="1430" t="s">
        <v>2290</v>
      </c>
      <c r="L11" s="1431" t="s">
        <v>2291</v>
      </c>
      <c r="M11" s="1432">
        <v>5.0</v>
      </c>
      <c r="N11" s="1432" t="s">
        <v>2258</v>
      </c>
      <c r="O11" s="1438" t="b">
        <v>1</v>
      </c>
      <c r="P11" s="1433" t="b">
        <v>0</v>
      </c>
      <c r="Q11" s="1434" t="s">
        <v>2253</v>
      </c>
      <c r="R11" s="1434" t="s">
        <v>2269</v>
      </c>
      <c r="S11" s="1434" t="b">
        <v>1</v>
      </c>
      <c r="T11" s="1434" t="b">
        <v>1</v>
      </c>
      <c r="U11" s="1439" t="b">
        <v>0</v>
      </c>
      <c r="V11" s="1439"/>
      <c r="W11" s="1434" t="s">
        <v>2270</v>
      </c>
      <c r="X11" s="1435" t="s">
        <v>2292</v>
      </c>
      <c r="Y11" s="1434" t="s">
        <v>113</v>
      </c>
    </row>
    <row r="12">
      <c r="A12" s="1419"/>
      <c r="B12" s="1420" t="b">
        <v>0</v>
      </c>
      <c r="C12" s="1420" t="b">
        <v>0</v>
      </c>
      <c r="D12" s="1420" t="b">
        <v>1</v>
      </c>
      <c r="E12" s="1421" t="b">
        <v>0</v>
      </c>
      <c r="F12" s="1421" t="b">
        <v>0</v>
      </c>
      <c r="G12" s="1421" t="b">
        <v>0</v>
      </c>
      <c r="H12" s="1421" t="b">
        <v>0</v>
      </c>
      <c r="I12" s="1421" t="b">
        <v>0</v>
      </c>
      <c r="J12" s="1420" t="b">
        <v>1</v>
      </c>
      <c r="K12" s="1422" t="s">
        <v>1895</v>
      </c>
      <c r="L12" s="1423" t="s">
        <v>2293</v>
      </c>
      <c r="M12" s="1424">
        <v>8.0</v>
      </c>
      <c r="N12" s="1424" t="s">
        <v>2258</v>
      </c>
      <c r="O12" s="1436" t="b">
        <v>1</v>
      </c>
      <c r="P12" s="1425" t="b">
        <v>0</v>
      </c>
      <c r="Q12" s="1426" t="s">
        <v>2253</v>
      </c>
      <c r="R12" s="1426" t="s">
        <v>2269</v>
      </c>
      <c r="S12" s="1426" t="b">
        <v>1</v>
      </c>
      <c r="T12" s="1426" t="b">
        <v>1</v>
      </c>
      <c r="U12" s="1426" t="b">
        <v>1</v>
      </c>
      <c r="V12" s="1426" t="s">
        <v>2294</v>
      </c>
      <c r="W12" s="1426" t="s">
        <v>2270</v>
      </c>
      <c r="X12" s="1437" t="s">
        <v>2295</v>
      </c>
      <c r="Y12" s="1426" t="s">
        <v>113</v>
      </c>
    </row>
    <row r="13">
      <c r="A13" s="1419"/>
      <c r="B13" s="1428" t="b">
        <v>0</v>
      </c>
      <c r="C13" s="1428" t="b">
        <v>1</v>
      </c>
      <c r="D13" s="1429" t="b">
        <v>0</v>
      </c>
      <c r="E13" s="1428" t="b">
        <v>1</v>
      </c>
      <c r="F13" s="1429" t="b">
        <v>0</v>
      </c>
      <c r="G13" s="1429" t="b">
        <v>0</v>
      </c>
      <c r="H13" s="1429" t="b">
        <v>0</v>
      </c>
      <c r="I13" s="1429" t="b">
        <v>0</v>
      </c>
      <c r="J13" s="1428" t="b">
        <v>1</v>
      </c>
      <c r="K13" s="1430" t="s">
        <v>1905</v>
      </c>
      <c r="L13" s="1431" t="s">
        <v>2296</v>
      </c>
      <c r="M13" s="1432">
        <v>8.0</v>
      </c>
      <c r="N13" s="1432" t="s">
        <v>2273</v>
      </c>
      <c r="O13" s="1433" t="b">
        <v>0</v>
      </c>
      <c r="P13" s="1433" t="b">
        <v>0</v>
      </c>
      <c r="Q13" s="1434" t="s">
        <v>2297</v>
      </c>
      <c r="R13" s="1434" t="s">
        <v>2254</v>
      </c>
      <c r="S13" s="1434" t="b">
        <v>1</v>
      </c>
      <c r="T13" s="1434" t="b">
        <v>1</v>
      </c>
      <c r="U13" s="1434" t="b">
        <v>1</v>
      </c>
      <c r="V13" s="1434" t="s">
        <v>2298</v>
      </c>
      <c r="W13" s="1434" t="s">
        <v>2299</v>
      </c>
      <c r="X13" s="1435" t="s">
        <v>2300</v>
      </c>
      <c r="Y13" s="1434" t="s">
        <v>113</v>
      </c>
    </row>
    <row r="14">
      <c r="A14" s="1419"/>
      <c r="B14" s="1420" t="b">
        <v>1</v>
      </c>
      <c r="C14" s="1421" t="b">
        <v>0</v>
      </c>
      <c r="D14" s="1421" t="b">
        <v>0</v>
      </c>
      <c r="E14" s="1421" t="b">
        <v>0</v>
      </c>
      <c r="F14" s="1421" t="b">
        <v>0</v>
      </c>
      <c r="G14" s="1421" t="b">
        <v>0</v>
      </c>
      <c r="H14" s="1421" t="b">
        <v>0</v>
      </c>
      <c r="I14" s="1421" t="b">
        <v>0</v>
      </c>
      <c r="J14" s="1420" t="b">
        <v>1</v>
      </c>
      <c r="K14" s="1422" t="s">
        <v>1882</v>
      </c>
      <c r="L14" s="1423" t="s">
        <v>2301</v>
      </c>
      <c r="M14" s="1424">
        <v>4.0</v>
      </c>
      <c r="N14" s="1424" t="s">
        <v>2302</v>
      </c>
      <c r="O14" s="1436" t="b">
        <v>1</v>
      </c>
      <c r="P14" s="1425" t="b">
        <v>0</v>
      </c>
      <c r="Q14" s="1426" t="s">
        <v>2253</v>
      </c>
      <c r="R14" s="1426" t="s">
        <v>2259</v>
      </c>
      <c r="S14" s="1426" t="b">
        <v>1</v>
      </c>
      <c r="T14" s="1426" t="b">
        <v>1</v>
      </c>
      <c r="U14" s="1426" t="b">
        <v>1</v>
      </c>
      <c r="V14" s="1426" t="s">
        <v>2303</v>
      </c>
      <c r="W14" s="1426" t="s">
        <v>2270</v>
      </c>
      <c r="X14" s="1437" t="s">
        <v>2304</v>
      </c>
      <c r="Y14" s="1426" t="s">
        <v>113</v>
      </c>
    </row>
    <row r="15">
      <c r="A15" s="1419"/>
      <c r="B15" s="1428" t="b">
        <v>0</v>
      </c>
      <c r="C15" s="1429" t="b">
        <v>0</v>
      </c>
      <c r="D15" s="1429" t="b">
        <v>0</v>
      </c>
      <c r="E15" s="1429" t="b">
        <v>0</v>
      </c>
      <c r="F15" s="1429" t="b">
        <v>0</v>
      </c>
      <c r="G15" s="1429" t="b">
        <v>0</v>
      </c>
      <c r="H15" s="1428" t="b">
        <v>1</v>
      </c>
      <c r="I15" s="1428" t="b">
        <v>1</v>
      </c>
      <c r="J15" s="1428" t="b">
        <v>1</v>
      </c>
      <c r="K15" s="1430" t="s">
        <v>1883</v>
      </c>
      <c r="L15" s="1431" t="s">
        <v>2305</v>
      </c>
      <c r="M15" s="1432">
        <v>6.0</v>
      </c>
      <c r="N15" s="1432" t="s">
        <v>2306</v>
      </c>
      <c r="O15" s="1438" t="b">
        <v>1</v>
      </c>
      <c r="P15" s="1433" t="b">
        <v>0</v>
      </c>
      <c r="Q15" s="1434" t="s">
        <v>2253</v>
      </c>
      <c r="R15" s="1434" t="s">
        <v>2307</v>
      </c>
      <c r="S15" s="1434" t="b">
        <v>1</v>
      </c>
      <c r="T15" s="1434" t="b">
        <v>1</v>
      </c>
      <c r="U15" s="1439" t="b">
        <v>0</v>
      </c>
      <c r="V15" s="1439"/>
      <c r="W15" s="1434" t="s">
        <v>2308</v>
      </c>
      <c r="X15" s="1435" t="s">
        <v>2309</v>
      </c>
      <c r="Y15" s="1434" t="s">
        <v>113</v>
      </c>
    </row>
    <row r="16">
      <c r="A16" s="1419"/>
      <c r="B16" s="1420" t="b">
        <v>1</v>
      </c>
      <c r="C16" s="1421" t="b">
        <v>0</v>
      </c>
      <c r="D16" s="1421" t="b">
        <v>0</v>
      </c>
      <c r="E16" s="1421" t="b">
        <v>0</v>
      </c>
      <c r="F16" s="1421" t="b">
        <v>0</v>
      </c>
      <c r="G16" s="1421" t="b">
        <v>0</v>
      </c>
      <c r="H16" s="1421" t="b">
        <v>0</v>
      </c>
      <c r="I16" s="1421" t="b">
        <v>0</v>
      </c>
      <c r="J16" s="1420" t="b">
        <v>1</v>
      </c>
      <c r="K16" s="1422" t="s">
        <v>1899</v>
      </c>
      <c r="L16" s="1423" t="s">
        <v>2310</v>
      </c>
      <c r="M16" s="1424">
        <v>2.0</v>
      </c>
      <c r="N16" s="1424" t="s">
        <v>2258</v>
      </c>
      <c r="O16" s="1425" t="b">
        <v>0</v>
      </c>
      <c r="P16" s="1425" t="b">
        <v>0</v>
      </c>
      <c r="Q16" s="1426" t="s">
        <v>2253</v>
      </c>
      <c r="R16" s="1426" t="s">
        <v>2311</v>
      </c>
      <c r="S16" s="1426" t="b">
        <v>1</v>
      </c>
      <c r="T16" s="1426" t="b">
        <v>1</v>
      </c>
      <c r="U16" s="1426" t="b">
        <v>1</v>
      </c>
      <c r="V16" s="1426" t="s">
        <v>2312</v>
      </c>
      <c r="W16" s="1426" t="s">
        <v>2313</v>
      </c>
      <c r="X16" s="1437" t="s">
        <v>2314</v>
      </c>
      <c r="Y16" s="1426" t="s">
        <v>113</v>
      </c>
    </row>
    <row r="17">
      <c r="A17" s="1419"/>
      <c r="B17" s="1428" t="b">
        <v>1</v>
      </c>
      <c r="C17" s="1429" t="b">
        <v>0</v>
      </c>
      <c r="D17" s="1429" t="b">
        <v>0</v>
      </c>
      <c r="E17" s="1429" t="b">
        <v>0</v>
      </c>
      <c r="F17" s="1429" t="b">
        <v>0</v>
      </c>
      <c r="G17" s="1429" t="b">
        <v>0</v>
      </c>
      <c r="H17" s="1428" t="b">
        <v>1</v>
      </c>
      <c r="I17" s="1429" t="b">
        <v>0</v>
      </c>
      <c r="J17" s="1428" t="b">
        <v>1</v>
      </c>
      <c r="K17" s="1430" t="s">
        <v>1919</v>
      </c>
      <c r="L17" s="1431" t="s">
        <v>2315</v>
      </c>
      <c r="M17" s="1432">
        <v>2.0</v>
      </c>
      <c r="N17" s="1432" t="s">
        <v>2258</v>
      </c>
      <c r="O17" s="1433" t="b">
        <v>0</v>
      </c>
      <c r="P17" s="1433" t="b">
        <v>0</v>
      </c>
      <c r="Q17" s="1434" t="s">
        <v>2316</v>
      </c>
      <c r="R17" s="1434" t="s">
        <v>2269</v>
      </c>
      <c r="S17" s="1434" t="b">
        <v>1</v>
      </c>
      <c r="T17" s="1434" t="b">
        <v>1</v>
      </c>
      <c r="U17" s="1439" t="b">
        <v>0</v>
      </c>
      <c r="V17" s="1439"/>
      <c r="W17" s="1434" t="s">
        <v>2255</v>
      </c>
      <c r="X17" s="1435" t="s">
        <v>2317</v>
      </c>
      <c r="Y17" s="1434" t="s">
        <v>113</v>
      </c>
    </row>
    <row r="18">
      <c r="A18" s="1419"/>
      <c r="B18" s="1421" t="b">
        <v>0</v>
      </c>
      <c r="C18" s="1421" t="b">
        <v>0</v>
      </c>
      <c r="D18" s="1421" t="b">
        <v>0</v>
      </c>
      <c r="E18" s="1421" t="b">
        <v>0</v>
      </c>
      <c r="F18" s="1421" t="b">
        <v>0</v>
      </c>
      <c r="G18" s="1421" t="b">
        <v>0</v>
      </c>
      <c r="H18" s="1421" t="b">
        <v>0</v>
      </c>
      <c r="I18" s="1420" t="b">
        <v>1</v>
      </c>
      <c r="J18" s="1421" t="b">
        <v>0</v>
      </c>
      <c r="K18" s="1422" t="s">
        <v>1898</v>
      </c>
      <c r="L18" s="1423" t="s">
        <v>2318</v>
      </c>
      <c r="M18" s="1424">
        <v>1.0</v>
      </c>
      <c r="N18" s="1424" t="s">
        <v>2258</v>
      </c>
      <c r="O18" s="1425" t="b">
        <v>0</v>
      </c>
      <c r="P18" s="1425" t="b">
        <v>0</v>
      </c>
      <c r="Q18" s="1426" t="s">
        <v>2316</v>
      </c>
      <c r="R18" s="1426" t="s">
        <v>2269</v>
      </c>
      <c r="S18" s="1426" t="b">
        <v>1</v>
      </c>
      <c r="T18" s="1426" t="b">
        <v>1</v>
      </c>
      <c r="U18" s="1426" t="b">
        <v>1</v>
      </c>
      <c r="V18" s="1426" t="s">
        <v>2319</v>
      </c>
      <c r="W18" s="1426" t="s">
        <v>2297</v>
      </c>
      <c r="X18" s="1437" t="s">
        <v>2320</v>
      </c>
      <c r="Y18" s="1426" t="s">
        <v>113</v>
      </c>
    </row>
    <row r="19">
      <c r="A19" s="1419"/>
      <c r="B19" s="1429" t="b">
        <v>0</v>
      </c>
      <c r="C19" s="1429" t="b">
        <v>0</v>
      </c>
      <c r="D19" s="1429" t="b">
        <v>0</v>
      </c>
      <c r="E19" s="1429" t="b">
        <v>0</v>
      </c>
      <c r="F19" s="1429" t="b">
        <v>0</v>
      </c>
      <c r="G19" s="1429" t="b">
        <v>0</v>
      </c>
      <c r="H19" s="1429" t="b">
        <v>0</v>
      </c>
      <c r="I19" s="1428" t="b">
        <v>1</v>
      </c>
      <c r="J19" s="1429" t="b">
        <v>0</v>
      </c>
      <c r="K19" s="1430" t="s">
        <v>1908</v>
      </c>
      <c r="L19" s="1431" t="s">
        <v>2321</v>
      </c>
      <c r="M19" s="1432">
        <v>1.0</v>
      </c>
      <c r="N19" s="1432" t="s">
        <v>2306</v>
      </c>
      <c r="O19" s="1433" t="b">
        <v>0</v>
      </c>
      <c r="P19" s="1433" t="b">
        <v>0</v>
      </c>
      <c r="Q19" s="1434" t="s">
        <v>2253</v>
      </c>
      <c r="R19" s="1434" t="s">
        <v>2269</v>
      </c>
      <c r="S19" s="1434" t="b">
        <v>1</v>
      </c>
      <c r="T19" s="1434" t="b">
        <v>1</v>
      </c>
      <c r="U19" s="1439" t="b">
        <v>0</v>
      </c>
      <c r="V19" s="1439"/>
      <c r="W19" s="1434" t="s">
        <v>2255</v>
      </c>
      <c r="X19" s="1435" t="s">
        <v>2322</v>
      </c>
      <c r="Y19" s="1434" t="s">
        <v>113</v>
      </c>
    </row>
    <row r="20">
      <c r="A20" s="1419"/>
      <c r="B20" s="1420" t="b">
        <v>0</v>
      </c>
      <c r="C20" s="1421" t="b">
        <v>0</v>
      </c>
      <c r="D20" s="1420" t="b">
        <v>1</v>
      </c>
      <c r="E20" s="1420" t="b">
        <v>0</v>
      </c>
      <c r="F20" s="1421" t="b">
        <v>0</v>
      </c>
      <c r="G20" s="1421" t="b">
        <v>0</v>
      </c>
      <c r="H20" s="1421" t="b">
        <v>0</v>
      </c>
      <c r="I20" s="1420" t="b">
        <v>1</v>
      </c>
      <c r="J20" s="1420" t="b">
        <v>1</v>
      </c>
      <c r="K20" s="1422" t="s">
        <v>1886</v>
      </c>
      <c r="L20" s="1423" t="s">
        <v>2323</v>
      </c>
      <c r="M20" s="1424">
        <v>9.0</v>
      </c>
      <c r="N20" s="1424" t="s">
        <v>2282</v>
      </c>
      <c r="O20" s="1425" t="b">
        <v>0</v>
      </c>
      <c r="P20" s="1425" t="b">
        <v>0</v>
      </c>
      <c r="Q20" s="1426" t="s">
        <v>2297</v>
      </c>
      <c r="R20" s="1426" t="s">
        <v>2283</v>
      </c>
      <c r="S20" s="1426" t="b">
        <v>1</v>
      </c>
      <c r="T20" s="1426" t="b">
        <v>1</v>
      </c>
      <c r="U20" s="1426" t="b">
        <v>1</v>
      </c>
      <c r="V20" s="1426" t="s">
        <v>2324</v>
      </c>
      <c r="W20" s="1426" t="s">
        <v>2313</v>
      </c>
      <c r="X20" s="1437" t="s">
        <v>2325</v>
      </c>
      <c r="Y20" s="1426" t="s">
        <v>113</v>
      </c>
    </row>
    <row r="21">
      <c r="A21" s="1419"/>
      <c r="B21" s="1428" t="b">
        <v>0</v>
      </c>
      <c r="C21" s="1429" t="b">
        <v>0</v>
      </c>
      <c r="D21" s="1428" t="b">
        <v>1</v>
      </c>
      <c r="E21" s="1428" t="b">
        <v>1</v>
      </c>
      <c r="F21" s="1429" t="b">
        <v>0</v>
      </c>
      <c r="G21" s="1429" t="b">
        <v>0</v>
      </c>
      <c r="H21" s="1429" t="b">
        <v>0</v>
      </c>
      <c r="I21" s="1429" t="b">
        <v>0</v>
      </c>
      <c r="J21" s="1428" t="b">
        <v>1</v>
      </c>
      <c r="K21" s="1430" t="s">
        <v>1929</v>
      </c>
      <c r="L21" s="1431" t="s">
        <v>2326</v>
      </c>
      <c r="M21" s="1432">
        <v>2.0</v>
      </c>
      <c r="N21" s="1432" t="s">
        <v>2302</v>
      </c>
      <c r="O21" s="1433" t="b">
        <v>0</v>
      </c>
      <c r="P21" s="1438" t="b">
        <v>1</v>
      </c>
      <c r="Q21" s="1434" t="s">
        <v>2264</v>
      </c>
      <c r="R21" s="1434" t="s">
        <v>2269</v>
      </c>
      <c r="S21" s="1434" t="b">
        <v>1</v>
      </c>
      <c r="T21" s="1434" t="b">
        <v>1</v>
      </c>
      <c r="U21" s="1434" t="b">
        <v>1</v>
      </c>
      <c r="V21" s="1434" t="s">
        <v>2327</v>
      </c>
      <c r="W21" s="1434" t="s">
        <v>2255</v>
      </c>
      <c r="X21" s="1435" t="s">
        <v>2328</v>
      </c>
      <c r="Y21" s="1434" t="s">
        <v>113</v>
      </c>
    </row>
    <row r="22">
      <c r="A22" s="1419"/>
      <c r="B22" s="1421" t="b">
        <v>0</v>
      </c>
      <c r="C22" s="1421" t="b">
        <v>0</v>
      </c>
      <c r="D22" s="1420" t="b">
        <v>1</v>
      </c>
      <c r="E22" s="1420" t="b">
        <v>0</v>
      </c>
      <c r="F22" s="1420" t="b">
        <v>1</v>
      </c>
      <c r="G22" s="1420" t="b">
        <v>0</v>
      </c>
      <c r="H22" s="1421" t="b">
        <v>0</v>
      </c>
      <c r="I22" s="1421" t="b">
        <v>0</v>
      </c>
      <c r="J22" s="1421" t="b">
        <v>0</v>
      </c>
      <c r="K22" s="1422" t="s">
        <v>2329</v>
      </c>
      <c r="L22" s="1423" t="s">
        <v>2330</v>
      </c>
      <c r="M22" s="1424">
        <v>4.0</v>
      </c>
      <c r="N22" s="1424" t="s">
        <v>2258</v>
      </c>
      <c r="O22" s="1436" t="b">
        <v>1</v>
      </c>
      <c r="P22" s="1425" t="b">
        <v>0</v>
      </c>
      <c r="Q22" s="1426" t="s">
        <v>2253</v>
      </c>
      <c r="R22" s="1426" t="s">
        <v>2269</v>
      </c>
      <c r="S22" s="1426" t="b">
        <v>1</v>
      </c>
      <c r="T22" s="1427" t="b">
        <v>0</v>
      </c>
      <c r="U22" s="1427" t="b">
        <v>0</v>
      </c>
      <c r="V22" s="1427"/>
      <c r="W22" s="1426" t="s">
        <v>2308</v>
      </c>
      <c r="X22" s="1437" t="s">
        <v>2331</v>
      </c>
      <c r="Y22" s="1426" t="s">
        <v>113</v>
      </c>
    </row>
    <row r="23">
      <c r="A23" s="1419"/>
      <c r="B23" s="1429" t="b">
        <v>0</v>
      </c>
      <c r="C23" s="1429" t="b">
        <v>0</v>
      </c>
      <c r="D23" s="1428" t="b">
        <v>1</v>
      </c>
      <c r="E23" s="1428" t="b">
        <v>0</v>
      </c>
      <c r="F23" s="1428" t="b">
        <v>1</v>
      </c>
      <c r="G23" s="1428" t="b">
        <v>0</v>
      </c>
      <c r="H23" s="1429" t="b">
        <v>0</v>
      </c>
      <c r="I23" s="1429" t="b">
        <v>0</v>
      </c>
      <c r="J23" s="1429" t="b">
        <v>0</v>
      </c>
      <c r="K23" s="1430" t="s">
        <v>1901</v>
      </c>
      <c r="L23" s="1431" t="s">
        <v>2332</v>
      </c>
      <c r="M23" s="1432">
        <v>4.0</v>
      </c>
      <c r="N23" s="1432" t="s">
        <v>2258</v>
      </c>
      <c r="O23" s="1438" t="b">
        <v>1</v>
      </c>
      <c r="P23" s="1433" t="b">
        <v>0</v>
      </c>
      <c r="Q23" s="1434" t="s">
        <v>2253</v>
      </c>
      <c r="R23" s="1434" t="s">
        <v>2269</v>
      </c>
      <c r="S23" s="1434" t="b">
        <v>1</v>
      </c>
      <c r="T23" s="1439" t="b">
        <v>0</v>
      </c>
      <c r="U23" s="1439" t="b">
        <v>0</v>
      </c>
      <c r="V23" s="1439"/>
      <c r="W23" s="1434" t="s">
        <v>2308</v>
      </c>
      <c r="X23" s="1435" t="s">
        <v>2333</v>
      </c>
      <c r="Y23" s="1434" t="s">
        <v>113</v>
      </c>
    </row>
    <row r="24">
      <c r="A24" s="1419"/>
      <c r="B24" s="1421" t="b">
        <v>0</v>
      </c>
      <c r="C24" s="1421" t="b">
        <v>0</v>
      </c>
      <c r="D24" s="1420" t="b">
        <v>1</v>
      </c>
      <c r="E24" s="1420" t="b">
        <v>1</v>
      </c>
      <c r="F24" s="1420" t="b">
        <v>1</v>
      </c>
      <c r="G24" s="1420" t="b">
        <v>0</v>
      </c>
      <c r="H24" s="1421" t="b">
        <v>0</v>
      </c>
      <c r="I24" s="1421" t="b">
        <v>0</v>
      </c>
      <c r="J24" s="1421" t="b">
        <v>0</v>
      </c>
      <c r="K24" s="1422" t="s">
        <v>1890</v>
      </c>
      <c r="L24" s="1423" t="s">
        <v>2334</v>
      </c>
      <c r="M24" s="1424">
        <v>3.0</v>
      </c>
      <c r="N24" s="1424" t="s">
        <v>2252</v>
      </c>
      <c r="O24" s="1436" t="b">
        <v>1</v>
      </c>
      <c r="P24" s="1425" t="b">
        <v>0</v>
      </c>
      <c r="Q24" s="1426" t="s">
        <v>2335</v>
      </c>
      <c r="R24" s="1426" t="s">
        <v>2269</v>
      </c>
      <c r="S24" s="1426" t="b">
        <v>1</v>
      </c>
      <c r="T24" s="1427" t="b">
        <v>0</v>
      </c>
      <c r="U24" s="1427" t="b">
        <v>0</v>
      </c>
      <c r="V24" s="1427"/>
      <c r="W24" s="1426" t="s">
        <v>2288</v>
      </c>
      <c r="X24" s="1437" t="s">
        <v>2336</v>
      </c>
      <c r="Y24" s="1426" t="s">
        <v>113</v>
      </c>
    </row>
    <row r="25">
      <c r="A25" s="1419"/>
      <c r="B25" s="1429" t="b">
        <v>0</v>
      </c>
      <c r="C25" s="1428" t="b">
        <v>1</v>
      </c>
      <c r="D25" s="1429" t="b">
        <v>0</v>
      </c>
      <c r="E25" s="1428" t="b">
        <v>1</v>
      </c>
      <c r="F25" s="1429" t="b">
        <v>0</v>
      </c>
      <c r="G25" s="1429" t="b">
        <v>0</v>
      </c>
      <c r="H25" s="1429" t="b">
        <v>0</v>
      </c>
      <c r="I25" s="1429" t="b">
        <v>0</v>
      </c>
      <c r="J25" s="1429" t="b">
        <v>0</v>
      </c>
      <c r="K25" s="1430" t="s">
        <v>1902</v>
      </c>
      <c r="L25" s="1431" t="s">
        <v>2337</v>
      </c>
      <c r="M25" s="1432">
        <v>5.0</v>
      </c>
      <c r="N25" s="1432" t="s">
        <v>2268</v>
      </c>
      <c r="O25" s="1433" t="b">
        <v>0</v>
      </c>
      <c r="P25" s="1433" t="b">
        <v>0</v>
      </c>
      <c r="Q25" s="1434" t="s">
        <v>2261</v>
      </c>
      <c r="R25" s="1434" t="s">
        <v>2311</v>
      </c>
      <c r="S25" s="1434" t="b">
        <v>1</v>
      </c>
      <c r="T25" s="1434" t="b">
        <v>1</v>
      </c>
      <c r="U25" s="1434" t="b">
        <v>1</v>
      </c>
      <c r="V25" s="1434"/>
      <c r="W25" s="1434" t="s">
        <v>2255</v>
      </c>
      <c r="X25" s="1435" t="s">
        <v>2338</v>
      </c>
      <c r="Y25" s="1434" t="s">
        <v>113</v>
      </c>
    </row>
    <row r="26">
      <c r="A26" s="1419"/>
      <c r="B26" s="1421" t="b">
        <v>0</v>
      </c>
      <c r="C26" s="1420" t="b">
        <v>1</v>
      </c>
      <c r="D26" s="1420" t="b">
        <v>1</v>
      </c>
      <c r="E26" s="1421" t="b">
        <v>0</v>
      </c>
      <c r="F26" s="1421" t="b">
        <v>0</v>
      </c>
      <c r="G26" s="1421" t="b">
        <v>0</v>
      </c>
      <c r="H26" s="1421" t="b">
        <v>0</v>
      </c>
      <c r="I26" s="1420" t="b">
        <v>1</v>
      </c>
      <c r="J26" s="1421" t="b">
        <v>0</v>
      </c>
      <c r="K26" s="1422" t="s">
        <v>1918</v>
      </c>
      <c r="L26" s="1423" t="s">
        <v>2339</v>
      </c>
      <c r="M26" s="1424">
        <v>1.0</v>
      </c>
      <c r="N26" s="1424" t="s">
        <v>2273</v>
      </c>
      <c r="O26" s="1436" t="b">
        <v>1</v>
      </c>
      <c r="P26" s="1425" t="b">
        <v>0</v>
      </c>
      <c r="Q26" s="1426" t="s">
        <v>2340</v>
      </c>
      <c r="R26" s="1426" t="s">
        <v>2259</v>
      </c>
      <c r="S26" s="1426" t="b">
        <v>1</v>
      </c>
      <c r="T26" s="1426" t="b">
        <v>1</v>
      </c>
      <c r="U26" s="1426" t="b">
        <v>1</v>
      </c>
      <c r="V26" s="1426" t="s">
        <v>2341</v>
      </c>
      <c r="W26" s="1426" t="s">
        <v>2288</v>
      </c>
      <c r="X26" s="1437" t="s">
        <v>2342</v>
      </c>
      <c r="Y26" s="1426" t="s">
        <v>113</v>
      </c>
    </row>
    <row r="27">
      <c r="A27" s="1419"/>
      <c r="B27" s="1429" t="b">
        <v>0</v>
      </c>
      <c r="C27" s="1429" t="b">
        <v>0</v>
      </c>
      <c r="D27" s="1429" t="b">
        <v>0</v>
      </c>
      <c r="E27" s="1429" t="b">
        <v>0</v>
      </c>
      <c r="F27" s="1428" t="b">
        <v>1</v>
      </c>
      <c r="G27" s="1428" t="b">
        <v>0</v>
      </c>
      <c r="H27" s="1429" t="b">
        <v>0</v>
      </c>
      <c r="I27" s="1429" t="b">
        <v>0</v>
      </c>
      <c r="J27" s="1429" t="b">
        <v>0</v>
      </c>
      <c r="K27" s="1430" t="s">
        <v>1912</v>
      </c>
      <c r="L27" s="1431" t="s">
        <v>2343</v>
      </c>
      <c r="M27" s="1432">
        <v>5.0</v>
      </c>
      <c r="N27" s="1432" t="s">
        <v>2306</v>
      </c>
      <c r="O27" s="1438" t="b">
        <v>1</v>
      </c>
      <c r="P27" s="1433" t="b">
        <v>0</v>
      </c>
      <c r="Q27" s="1434" t="s">
        <v>2344</v>
      </c>
      <c r="R27" s="1434" t="s">
        <v>2269</v>
      </c>
      <c r="S27" s="1434" t="b">
        <v>1</v>
      </c>
      <c r="T27" s="1439" t="b">
        <v>0</v>
      </c>
      <c r="U27" s="1439" t="b">
        <v>0</v>
      </c>
      <c r="V27" s="1439"/>
      <c r="W27" s="1434" t="s">
        <v>2288</v>
      </c>
      <c r="X27" s="1435" t="s">
        <v>2345</v>
      </c>
      <c r="Y27" s="1434" t="s">
        <v>113</v>
      </c>
    </row>
    <row r="28">
      <c r="A28" s="1419"/>
      <c r="B28" s="1420" t="b">
        <v>0</v>
      </c>
      <c r="C28" s="1420" t="b">
        <v>0</v>
      </c>
      <c r="D28" s="1420" t="b">
        <v>1</v>
      </c>
      <c r="E28" s="1421" t="b">
        <v>0</v>
      </c>
      <c r="F28" s="1420" t="b">
        <v>1</v>
      </c>
      <c r="G28" s="1420" t="b">
        <v>1</v>
      </c>
      <c r="H28" s="1420" t="b">
        <v>1</v>
      </c>
      <c r="I28" s="1421" t="b">
        <v>0</v>
      </c>
      <c r="J28" s="1420" t="b">
        <v>1</v>
      </c>
      <c r="K28" s="1422" t="s">
        <v>1911</v>
      </c>
      <c r="L28" s="1423" t="s">
        <v>2346</v>
      </c>
      <c r="M28" s="1424">
        <v>4.0</v>
      </c>
      <c r="N28" s="1424" t="s">
        <v>2258</v>
      </c>
      <c r="O28" s="1436" t="b">
        <v>1</v>
      </c>
      <c r="P28" s="1425" t="b">
        <v>0</v>
      </c>
      <c r="Q28" s="1426" t="s">
        <v>2253</v>
      </c>
      <c r="R28" s="1426" t="s">
        <v>2259</v>
      </c>
      <c r="S28" s="1426" t="b">
        <v>1</v>
      </c>
      <c r="T28" s="1426" t="b">
        <v>1</v>
      </c>
      <c r="U28" s="1426" t="b">
        <v>1</v>
      </c>
      <c r="V28" s="1426" t="s">
        <v>2347</v>
      </c>
      <c r="W28" s="1426" t="s">
        <v>2288</v>
      </c>
      <c r="X28" s="1437" t="s">
        <v>2348</v>
      </c>
      <c r="Y28" s="1426" t="s">
        <v>113</v>
      </c>
    </row>
    <row r="29">
      <c r="A29" s="1419"/>
      <c r="B29" s="1429" t="b">
        <v>0</v>
      </c>
      <c r="C29" s="1429" t="b">
        <v>0</v>
      </c>
      <c r="D29" s="1429" t="b">
        <v>0</v>
      </c>
      <c r="E29" s="1428" t="b">
        <v>1</v>
      </c>
      <c r="F29" s="1429" t="b">
        <v>0</v>
      </c>
      <c r="G29" s="1428" t="b">
        <v>1</v>
      </c>
      <c r="H29" s="1429" t="b">
        <v>0</v>
      </c>
      <c r="I29" s="1429" t="b">
        <v>0</v>
      </c>
      <c r="J29" s="1429" t="b">
        <v>0</v>
      </c>
      <c r="K29" s="1430" t="s">
        <v>1939</v>
      </c>
      <c r="L29" s="1431" t="s">
        <v>2349</v>
      </c>
      <c r="M29" s="1432">
        <v>2.0</v>
      </c>
      <c r="N29" s="1432" t="s">
        <v>2268</v>
      </c>
      <c r="O29" s="1433" t="b">
        <v>0</v>
      </c>
      <c r="P29" s="1433" t="b">
        <v>0</v>
      </c>
      <c r="Q29" s="1434" t="s">
        <v>2316</v>
      </c>
      <c r="R29" s="1434" t="s">
        <v>2311</v>
      </c>
      <c r="S29" s="1434" t="b">
        <v>1</v>
      </c>
      <c r="T29" s="1434" t="b">
        <v>1</v>
      </c>
      <c r="U29" s="1434" t="b">
        <v>1</v>
      </c>
      <c r="V29" s="1434" t="s">
        <v>2350</v>
      </c>
      <c r="W29" s="1434" t="s">
        <v>2351</v>
      </c>
      <c r="X29" s="1435" t="s">
        <v>2352</v>
      </c>
      <c r="Y29" s="1434" t="s">
        <v>113</v>
      </c>
    </row>
    <row r="30">
      <c r="A30" s="1419"/>
      <c r="B30" s="1421" t="b">
        <v>0</v>
      </c>
      <c r="C30" s="1421" t="b">
        <v>0</v>
      </c>
      <c r="D30" s="1420" t="b">
        <v>1</v>
      </c>
      <c r="E30" s="1421" t="b">
        <v>0</v>
      </c>
      <c r="F30" s="1421" t="b">
        <v>0</v>
      </c>
      <c r="G30" s="1421" t="b">
        <v>0</v>
      </c>
      <c r="H30" s="1421" t="b">
        <v>0</v>
      </c>
      <c r="I30" s="1421" t="b">
        <v>0</v>
      </c>
      <c r="J30" s="1421" t="b">
        <v>0</v>
      </c>
      <c r="K30" s="1422" t="s">
        <v>1900</v>
      </c>
      <c r="L30" s="1423" t="s">
        <v>2353</v>
      </c>
      <c r="M30" s="1424">
        <v>3.0</v>
      </c>
      <c r="N30" s="1424" t="s">
        <v>2258</v>
      </c>
      <c r="O30" s="1436" t="b">
        <v>1</v>
      </c>
      <c r="P30" s="1425" t="b">
        <v>0</v>
      </c>
      <c r="Q30" s="1426" t="s">
        <v>2253</v>
      </c>
      <c r="R30" s="1426" t="s">
        <v>2259</v>
      </c>
      <c r="S30" s="1427" t="b">
        <v>0</v>
      </c>
      <c r="T30" s="1427" t="b">
        <v>0</v>
      </c>
      <c r="U30" s="1427" t="b">
        <v>0</v>
      </c>
      <c r="V30" s="1427"/>
      <c r="W30" s="1426" t="s">
        <v>2288</v>
      </c>
      <c r="X30" s="1437" t="s">
        <v>2354</v>
      </c>
      <c r="Y30" s="1426" t="s">
        <v>113</v>
      </c>
    </row>
    <row r="31">
      <c r="A31" s="1419"/>
      <c r="B31" s="1429" t="b">
        <v>0</v>
      </c>
      <c r="C31" s="1429" t="b">
        <v>0</v>
      </c>
      <c r="D31" s="1429" t="b">
        <v>0</v>
      </c>
      <c r="E31" s="1428" t="b">
        <v>1</v>
      </c>
      <c r="F31" s="1429" t="b">
        <v>0</v>
      </c>
      <c r="G31" s="1428" t="b">
        <v>1</v>
      </c>
      <c r="H31" s="1429" t="b">
        <v>0</v>
      </c>
      <c r="I31" s="1429" t="b">
        <v>0</v>
      </c>
      <c r="J31" s="1429" t="b">
        <v>0</v>
      </c>
      <c r="K31" s="1430" t="s">
        <v>1949</v>
      </c>
      <c r="L31" s="1431" t="s">
        <v>2355</v>
      </c>
      <c r="M31" s="1432">
        <v>2.0</v>
      </c>
      <c r="N31" s="1432" t="s">
        <v>2302</v>
      </c>
      <c r="O31" s="1438" t="b">
        <v>1</v>
      </c>
      <c r="P31" s="1438" t="b">
        <v>1</v>
      </c>
      <c r="Q31" s="1434" t="s">
        <v>2253</v>
      </c>
      <c r="R31" s="1434" t="s">
        <v>2311</v>
      </c>
      <c r="S31" s="1439" t="b">
        <v>0</v>
      </c>
      <c r="T31" s="1434" t="b">
        <v>1</v>
      </c>
      <c r="U31" s="1439" t="b">
        <v>0</v>
      </c>
      <c r="V31" s="1439"/>
      <c r="W31" s="1434" t="s">
        <v>2270</v>
      </c>
      <c r="X31" s="1435" t="s">
        <v>2356</v>
      </c>
      <c r="Y31" s="1434" t="s">
        <v>113</v>
      </c>
    </row>
    <row r="32">
      <c r="A32" s="1419"/>
      <c r="B32" s="1420" t="b">
        <v>0</v>
      </c>
      <c r="C32" s="1420" t="b">
        <v>1</v>
      </c>
      <c r="D32" s="1421" t="b">
        <v>0</v>
      </c>
      <c r="E32" s="1420" t="b">
        <v>1</v>
      </c>
      <c r="F32" s="1421" t="b">
        <v>0</v>
      </c>
      <c r="G32" s="1421" t="b">
        <v>0</v>
      </c>
      <c r="H32" s="1421" t="b">
        <v>0</v>
      </c>
      <c r="I32" s="1420" t="b">
        <v>1</v>
      </c>
      <c r="J32" s="1420" t="b">
        <v>1</v>
      </c>
      <c r="K32" s="1422" t="s">
        <v>2357</v>
      </c>
      <c r="L32" s="1423" t="s">
        <v>2358</v>
      </c>
      <c r="M32" s="1424">
        <v>8.0</v>
      </c>
      <c r="N32" s="1424" t="s">
        <v>2273</v>
      </c>
      <c r="O32" s="1425" t="b">
        <v>0</v>
      </c>
      <c r="P32" s="1425" t="b">
        <v>0</v>
      </c>
      <c r="Q32" s="1426" t="s">
        <v>2253</v>
      </c>
      <c r="R32" s="1426" t="s">
        <v>2359</v>
      </c>
      <c r="S32" s="1426" t="b">
        <v>1</v>
      </c>
      <c r="T32" s="1426" t="b">
        <v>1</v>
      </c>
      <c r="U32" s="1426" t="b">
        <v>1</v>
      </c>
      <c r="V32" s="1426" t="s">
        <v>2360</v>
      </c>
      <c r="W32" s="1426" t="s">
        <v>2255</v>
      </c>
      <c r="X32" s="1437" t="s">
        <v>2361</v>
      </c>
      <c r="Y32" s="1426" t="s">
        <v>113</v>
      </c>
    </row>
    <row r="33">
      <c r="A33" s="1419"/>
      <c r="B33" s="1428" t="b">
        <v>0</v>
      </c>
      <c r="C33" s="1428" t="b">
        <v>1</v>
      </c>
      <c r="D33" s="1428" t="b">
        <v>1</v>
      </c>
      <c r="E33" s="1429" t="b">
        <v>0</v>
      </c>
      <c r="F33" s="1429" t="b">
        <v>0</v>
      </c>
      <c r="G33" s="1429" t="b">
        <v>0</v>
      </c>
      <c r="H33" s="1429" t="b">
        <v>0</v>
      </c>
      <c r="I33" s="1429" t="b">
        <v>0</v>
      </c>
      <c r="J33" s="1428" t="b">
        <v>1</v>
      </c>
      <c r="K33" s="1430" t="s">
        <v>1910</v>
      </c>
      <c r="L33" s="1431" t="s">
        <v>2362</v>
      </c>
      <c r="M33" s="1432">
        <v>3.0</v>
      </c>
      <c r="N33" s="1432" t="s">
        <v>2282</v>
      </c>
      <c r="O33" s="1438" t="b">
        <v>1</v>
      </c>
      <c r="P33" s="1433" t="b">
        <v>0</v>
      </c>
      <c r="Q33" s="1434" t="s">
        <v>2253</v>
      </c>
      <c r="R33" s="1434" t="s">
        <v>2311</v>
      </c>
      <c r="S33" s="1434" t="b">
        <v>1</v>
      </c>
      <c r="T33" s="1434" t="b">
        <v>1</v>
      </c>
      <c r="U33" s="1439" t="b">
        <v>0</v>
      </c>
      <c r="V33" s="1439"/>
      <c r="W33" s="1434" t="s">
        <v>2288</v>
      </c>
      <c r="X33" s="1435" t="s">
        <v>2363</v>
      </c>
      <c r="Y33" s="1434" t="s">
        <v>113</v>
      </c>
    </row>
    <row r="34">
      <c r="A34" s="1419"/>
      <c r="B34" s="1420" t="b">
        <v>1</v>
      </c>
      <c r="C34" s="1421" t="b">
        <v>0</v>
      </c>
      <c r="D34" s="1421" t="b">
        <v>0</v>
      </c>
      <c r="E34" s="1421" t="b">
        <v>0</v>
      </c>
      <c r="F34" s="1421" t="b">
        <v>0</v>
      </c>
      <c r="G34" s="1421" t="b">
        <v>0</v>
      </c>
      <c r="H34" s="1420" t="b">
        <v>1</v>
      </c>
      <c r="I34" s="1421" t="b">
        <v>0</v>
      </c>
      <c r="J34" s="1420" t="b">
        <v>1</v>
      </c>
      <c r="K34" s="1422" t="s">
        <v>1922</v>
      </c>
      <c r="L34" s="1423" t="s">
        <v>2364</v>
      </c>
      <c r="M34" s="1424">
        <v>5.0</v>
      </c>
      <c r="N34" s="1424" t="s">
        <v>2252</v>
      </c>
      <c r="O34" s="1436" t="b">
        <v>1</v>
      </c>
      <c r="P34" s="1425" t="b">
        <v>0</v>
      </c>
      <c r="Q34" s="1426" t="s">
        <v>2253</v>
      </c>
      <c r="R34" s="1426" t="s">
        <v>2287</v>
      </c>
      <c r="S34" s="1426" t="b">
        <v>1</v>
      </c>
      <c r="T34" s="1426" t="b">
        <v>1</v>
      </c>
      <c r="U34" s="1426" t="b">
        <v>1</v>
      </c>
      <c r="V34" s="1426" t="s">
        <v>2365</v>
      </c>
      <c r="W34" s="1426" t="s">
        <v>2288</v>
      </c>
      <c r="X34" s="1437" t="s">
        <v>2366</v>
      </c>
      <c r="Y34" s="1426" t="s">
        <v>113</v>
      </c>
    </row>
    <row r="35">
      <c r="A35" s="1419"/>
      <c r="B35" s="1429" t="b">
        <v>0</v>
      </c>
      <c r="C35" s="1429" t="b">
        <v>0</v>
      </c>
      <c r="D35" s="1428" t="b">
        <v>1</v>
      </c>
      <c r="E35" s="1429" t="b">
        <v>0</v>
      </c>
      <c r="F35" s="1429" t="b">
        <v>0</v>
      </c>
      <c r="G35" s="1429" t="b">
        <v>0</v>
      </c>
      <c r="H35" s="1429" t="b">
        <v>0</v>
      </c>
      <c r="I35" s="1429" t="b">
        <v>0</v>
      </c>
      <c r="J35" s="1429" t="b">
        <v>0</v>
      </c>
      <c r="K35" s="1430" t="s">
        <v>1893</v>
      </c>
      <c r="L35" s="1431" t="s">
        <v>2367</v>
      </c>
      <c r="M35" s="1432">
        <v>6.0</v>
      </c>
      <c r="N35" s="1432" t="s">
        <v>2252</v>
      </c>
      <c r="O35" s="1438" t="b">
        <v>1</v>
      </c>
      <c r="P35" s="1433" t="b">
        <v>0</v>
      </c>
      <c r="Q35" s="1434" t="s">
        <v>2253</v>
      </c>
      <c r="R35" s="1434" t="s">
        <v>2368</v>
      </c>
      <c r="S35" s="1434" t="b">
        <v>1</v>
      </c>
      <c r="T35" s="1434" t="b">
        <v>1</v>
      </c>
      <c r="U35" s="1439" t="b">
        <v>0</v>
      </c>
      <c r="V35" s="1439"/>
      <c r="W35" s="1434" t="s">
        <v>2308</v>
      </c>
      <c r="X35" s="1435" t="s">
        <v>2369</v>
      </c>
      <c r="Y35" s="1434" t="s">
        <v>113</v>
      </c>
    </row>
    <row r="36">
      <c r="A36" s="1419"/>
      <c r="B36" s="1420" t="b">
        <v>0</v>
      </c>
      <c r="C36" s="1420" t="b">
        <v>1</v>
      </c>
      <c r="D36" s="1421" t="b">
        <v>0</v>
      </c>
      <c r="E36" s="1421" t="b">
        <v>0</v>
      </c>
      <c r="F36" s="1421" t="b">
        <v>0</v>
      </c>
      <c r="G36" s="1421" t="b">
        <v>0</v>
      </c>
      <c r="H36" s="1420" t="b">
        <v>1</v>
      </c>
      <c r="I36" s="1420" t="b">
        <v>1</v>
      </c>
      <c r="J36" s="1420" t="b">
        <v>1</v>
      </c>
      <c r="K36" s="1422" t="s">
        <v>1887</v>
      </c>
      <c r="L36" s="1423" t="s">
        <v>2370</v>
      </c>
      <c r="M36" s="1424">
        <v>0.0</v>
      </c>
      <c r="N36" s="1424" t="s">
        <v>2258</v>
      </c>
      <c r="O36" s="1436" t="b">
        <v>1</v>
      </c>
      <c r="P36" s="1425" t="b">
        <v>0</v>
      </c>
      <c r="Q36" s="1426" t="s">
        <v>2253</v>
      </c>
      <c r="R36" s="1426" t="s">
        <v>2269</v>
      </c>
      <c r="S36" s="1426" t="b">
        <v>1</v>
      </c>
      <c r="T36" s="1426" t="b">
        <v>1</v>
      </c>
      <c r="U36" s="1427" t="b">
        <v>0</v>
      </c>
      <c r="V36" s="1427"/>
      <c r="W36" s="1426" t="s">
        <v>2288</v>
      </c>
      <c r="X36" s="1437" t="s">
        <v>2371</v>
      </c>
      <c r="Y36" s="1426" t="s">
        <v>113</v>
      </c>
    </row>
    <row r="37">
      <c r="A37" s="1419"/>
      <c r="B37" s="1429" t="b">
        <v>0</v>
      </c>
      <c r="C37" s="1429" t="b">
        <v>0</v>
      </c>
      <c r="D37" s="1429" t="b">
        <v>0</v>
      </c>
      <c r="E37" s="1428" t="b">
        <v>1</v>
      </c>
      <c r="F37" s="1429" t="b">
        <v>0</v>
      </c>
      <c r="G37" s="1428" t="b">
        <v>1</v>
      </c>
      <c r="H37" s="1429" t="b">
        <v>0</v>
      </c>
      <c r="I37" s="1429" t="b">
        <v>0</v>
      </c>
      <c r="J37" s="1429" t="b">
        <v>0</v>
      </c>
      <c r="K37" s="1430" t="s">
        <v>1928</v>
      </c>
      <c r="L37" s="1431" t="s">
        <v>2372</v>
      </c>
      <c r="M37" s="1432">
        <v>1.0</v>
      </c>
      <c r="N37" s="1432" t="s">
        <v>2273</v>
      </c>
      <c r="O37" s="1438" t="b">
        <v>1</v>
      </c>
      <c r="P37" s="1433" t="b">
        <v>0</v>
      </c>
      <c r="Q37" s="1434" t="s">
        <v>2253</v>
      </c>
      <c r="R37" s="1434" t="s">
        <v>2259</v>
      </c>
      <c r="S37" s="1434" t="b">
        <v>1</v>
      </c>
      <c r="T37" s="1434" t="b">
        <v>1</v>
      </c>
      <c r="U37" s="1434" t="b">
        <v>1</v>
      </c>
      <c r="V37" s="1434" t="s">
        <v>2373</v>
      </c>
      <c r="W37" s="1434" t="s">
        <v>2288</v>
      </c>
      <c r="X37" s="1435" t="s">
        <v>2374</v>
      </c>
      <c r="Y37" s="1434" t="s">
        <v>113</v>
      </c>
    </row>
    <row r="38">
      <c r="A38" s="1419"/>
      <c r="B38" s="1420" t="b">
        <v>0</v>
      </c>
      <c r="C38" s="1421" t="b">
        <v>0</v>
      </c>
      <c r="D38" s="1421" t="b">
        <v>0</v>
      </c>
      <c r="E38" s="1420" t="b">
        <v>1</v>
      </c>
      <c r="F38" s="1421" t="b">
        <v>0</v>
      </c>
      <c r="G38" s="1421" t="b">
        <v>0</v>
      </c>
      <c r="H38" s="1420" t="b">
        <v>1</v>
      </c>
      <c r="I38" s="1420" t="b">
        <v>1</v>
      </c>
      <c r="J38" s="1420" t="b">
        <v>1</v>
      </c>
      <c r="K38" s="1422" t="s">
        <v>1921</v>
      </c>
      <c r="L38" s="1423" t="s">
        <v>2375</v>
      </c>
      <c r="M38" s="1424">
        <v>4.0</v>
      </c>
      <c r="N38" s="1424" t="s">
        <v>2282</v>
      </c>
      <c r="O38" s="1425" t="b">
        <v>0</v>
      </c>
      <c r="P38" s="1425" t="b">
        <v>0</v>
      </c>
      <c r="Q38" s="1426" t="s">
        <v>2253</v>
      </c>
      <c r="R38" s="1426" t="s">
        <v>2259</v>
      </c>
      <c r="S38" s="1426" t="b">
        <v>1</v>
      </c>
      <c r="T38" s="1426" t="b">
        <v>1</v>
      </c>
      <c r="U38" s="1427" t="b">
        <v>0</v>
      </c>
      <c r="V38" s="1427"/>
      <c r="W38" s="1426" t="s">
        <v>2255</v>
      </c>
      <c r="X38" s="1437" t="s">
        <v>2376</v>
      </c>
      <c r="Y38" s="1426" t="s">
        <v>113</v>
      </c>
    </row>
    <row r="39">
      <c r="A39" s="1419"/>
      <c r="B39" s="1429" t="b">
        <v>0</v>
      </c>
      <c r="C39" s="1429" t="b">
        <v>0</v>
      </c>
      <c r="D39" s="1429" t="b">
        <v>0</v>
      </c>
      <c r="E39" s="1429" t="b">
        <v>0</v>
      </c>
      <c r="F39" s="1429" t="b">
        <v>0</v>
      </c>
      <c r="G39" s="1428" t="b">
        <v>1</v>
      </c>
      <c r="H39" s="1429" t="b">
        <v>0</v>
      </c>
      <c r="I39" s="1429" t="b">
        <v>0</v>
      </c>
      <c r="J39" s="1429" t="b">
        <v>0</v>
      </c>
      <c r="K39" s="1430" t="s">
        <v>1920</v>
      </c>
      <c r="L39" s="1431" t="s">
        <v>2377</v>
      </c>
      <c r="M39" s="1432">
        <v>3.0</v>
      </c>
      <c r="N39" s="1432" t="s">
        <v>2252</v>
      </c>
      <c r="O39" s="1433" t="b">
        <v>0</v>
      </c>
      <c r="P39" s="1433" t="b">
        <v>0</v>
      </c>
      <c r="Q39" s="1434" t="s">
        <v>2344</v>
      </c>
      <c r="R39" s="1434" t="s">
        <v>2269</v>
      </c>
      <c r="S39" s="1434" t="b">
        <v>1</v>
      </c>
      <c r="T39" s="1439" t="b">
        <v>0</v>
      </c>
      <c r="U39" s="1439" t="b">
        <v>0</v>
      </c>
      <c r="V39" s="1439"/>
      <c r="W39" s="1434" t="s">
        <v>2264</v>
      </c>
      <c r="X39" s="1435" t="s">
        <v>2378</v>
      </c>
      <c r="Y39" s="1434" t="s">
        <v>113</v>
      </c>
    </row>
    <row r="40">
      <c r="A40" s="1419"/>
      <c r="B40" s="1420" t="b">
        <v>0</v>
      </c>
      <c r="C40" s="1420" t="b">
        <v>1</v>
      </c>
      <c r="D40" s="1420" t="b">
        <v>1</v>
      </c>
      <c r="E40" s="1421" t="b">
        <v>0</v>
      </c>
      <c r="F40" s="1421" t="b">
        <v>0</v>
      </c>
      <c r="G40" s="1421" t="b">
        <v>0</v>
      </c>
      <c r="H40" s="1420" t="b">
        <v>1</v>
      </c>
      <c r="I40" s="1421" t="b">
        <v>0</v>
      </c>
      <c r="J40" s="1420" t="b">
        <v>1</v>
      </c>
      <c r="K40" s="1422" t="s">
        <v>1959</v>
      </c>
      <c r="L40" s="1423" t="s">
        <v>2379</v>
      </c>
      <c r="M40" s="1424">
        <v>2.0</v>
      </c>
      <c r="N40" s="1424" t="s">
        <v>2268</v>
      </c>
      <c r="O40" s="1425" t="b">
        <v>0</v>
      </c>
      <c r="P40" s="1425" t="b">
        <v>0</v>
      </c>
      <c r="Q40" s="1426" t="s">
        <v>2253</v>
      </c>
      <c r="R40" s="1426" t="s">
        <v>2287</v>
      </c>
      <c r="S40" s="1426" t="b">
        <v>1</v>
      </c>
      <c r="T40" s="1427" t="b">
        <v>0</v>
      </c>
      <c r="U40" s="1427" t="b">
        <v>0</v>
      </c>
      <c r="V40" s="1427"/>
      <c r="W40" s="1426" t="s">
        <v>2380</v>
      </c>
      <c r="X40" s="1437" t="s">
        <v>2381</v>
      </c>
      <c r="Y40" s="1426" t="s">
        <v>113</v>
      </c>
    </row>
    <row r="41">
      <c r="A41" s="1419"/>
      <c r="B41" s="1428" t="b">
        <v>1</v>
      </c>
      <c r="C41" s="1429" t="b">
        <v>0</v>
      </c>
      <c r="D41" s="1429" t="b">
        <v>0</v>
      </c>
      <c r="E41" s="1429" t="b">
        <v>0</v>
      </c>
      <c r="F41" s="1429" t="b">
        <v>0</v>
      </c>
      <c r="G41" s="1429" t="b">
        <v>0</v>
      </c>
      <c r="H41" s="1428" t="b">
        <v>1</v>
      </c>
      <c r="I41" s="1429" t="b">
        <v>0</v>
      </c>
      <c r="J41" s="1428" t="b">
        <v>1</v>
      </c>
      <c r="K41" s="1430" t="s">
        <v>1930</v>
      </c>
      <c r="L41" s="1431" t="s">
        <v>2382</v>
      </c>
      <c r="M41" s="1432">
        <v>3.0</v>
      </c>
      <c r="N41" s="1432" t="s">
        <v>2268</v>
      </c>
      <c r="O41" s="1433" t="b">
        <v>0</v>
      </c>
      <c r="P41" s="1433" t="b">
        <v>0</v>
      </c>
      <c r="Q41" s="1434" t="s">
        <v>2253</v>
      </c>
      <c r="R41" s="1434" t="s">
        <v>2269</v>
      </c>
      <c r="S41" s="1434" t="b">
        <v>1</v>
      </c>
      <c r="T41" s="1434" t="b">
        <v>1</v>
      </c>
      <c r="U41" s="1439" t="b">
        <v>0</v>
      </c>
      <c r="V41" s="1439"/>
      <c r="W41" s="1434" t="s">
        <v>2380</v>
      </c>
      <c r="X41" s="1435" t="s">
        <v>2383</v>
      </c>
      <c r="Y41" s="1434" t="s">
        <v>113</v>
      </c>
    </row>
    <row r="42">
      <c r="A42" s="1419"/>
      <c r="B42" s="1420" t="b">
        <v>1</v>
      </c>
      <c r="C42" s="1421" t="b">
        <v>0</v>
      </c>
      <c r="D42" s="1421" t="b">
        <v>0</v>
      </c>
      <c r="E42" s="1421" t="b">
        <v>0</v>
      </c>
      <c r="F42" s="1421" t="b">
        <v>0</v>
      </c>
      <c r="G42" s="1421" t="b">
        <v>0</v>
      </c>
      <c r="H42" s="1420" t="b">
        <v>1</v>
      </c>
      <c r="I42" s="1421" t="b">
        <v>0</v>
      </c>
      <c r="J42" s="1420" t="b">
        <v>1</v>
      </c>
      <c r="K42" s="1422" t="s">
        <v>1969</v>
      </c>
      <c r="L42" s="1423" t="s">
        <v>2384</v>
      </c>
      <c r="M42" s="1424">
        <v>2.0</v>
      </c>
      <c r="N42" s="1424" t="s">
        <v>2385</v>
      </c>
      <c r="O42" s="1436" t="b">
        <v>1</v>
      </c>
      <c r="P42" s="1425" t="b">
        <v>0</v>
      </c>
      <c r="Q42" s="1426" t="s">
        <v>2253</v>
      </c>
      <c r="R42" s="1426" t="s">
        <v>2269</v>
      </c>
      <c r="S42" s="1426" t="b">
        <v>1</v>
      </c>
      <c r="T42" s="1427" t="b">
        <v>0</v>
      </c>
      <c r="U42" s="1427" t="b">
        <v>0</v>
      </c>
      <c r="V42" s="1427"/>
      <c r="W42" s="1426" t="s">
        <v>2288</v>
      </c>
      <c r="X42" s="1437" t="s">
        <v>2386</v>
      </c>
      <c r="Y42" s="1426" t="s">
        <v>113</v>
      </c>
    </row>
    <row r="43">
      <c r="A43" s="1419"/>
      <c r="B43" s="1428" t="b">
        <v>0</v>
      </c>
      <c r="C43" s="1429" t="b">
        <v>0</v>
      </c>
      <c r="D43" s="1429" t="b">
        <v>0</v>
      </c>
      <c r="E43" s="1429" t="b">
        <v>0</v>
      </c>
      <c r="F43" s="1429" t="b">
        <v>0</v>
      </c>
      <c r="G43" s="1429" t="b">
        <v>0</v>
      </c>
      <c r="H43" s="1428" t="b">
        <v>1</v>
      </c>
      <c r="I43" s="1429" t="b">
        <v>0</v>
      </c>
      <c r="J43" s="1428" t="b">
        <v>1</v>
      </c>
      <c r="K43" s="1430" t="s">
        <v>1938</v>
      </c>
      <c r="L43" s="1431" t="s">
        <v>2387</v>
      </c>
      <c r="M43" s="1432">
        <v>1.0</v>
      </c>
      <c r="N43" s="1432" t="s">
        <v>2252</v>
      </c>
      <c r="O43" s="1433" t="b">
        <v>0</v>
      </c>
      <c r="P43" s="1433" t="b">
        <v>0</v>
      </c>
      <c r="Q43" s="1434" t="s">
        <v>2253</v>
      </c>
      <c r="R43" s="1434" t="s">
        <v>2269</v>
      </c>
      <c r="S43" s="1434" t="b">
        <v>1</v>
      </c>
      <c r="T43" s="1434" t="b">
        <v>1</v>
      </c>
      <c r="U43" s="1439" t="b">
        <v>0</v>
      </c>
      <c r="V43" s="1439"/>
      <c r="W43" s="1434" t="s">
        <v>2255</v>
      </c>
      <c r="X43" s="1435" t="s">
        <v>2388</v>
      </c>
      <c r="Y43" s="1434" t="s">
        <v>113</v>
      </c>
    </row>
    <row r="44">
      <c r="A44" s="1419"/>
      <c r="B44" s="1421" t="b">
        <v>0</v>
      </c>
      <c r="C44" s="1421" t="b">
        <v>0</v>
      </c>
      <c r="D44" s="1421" t="b">
        <v>0</v>
      </c>
      <c r="E44" s="1420" t="b">
        <v>1</v>
      </c>
      <c r="F44" s="1421" t="b">
        <v>0</v>
      </c>
      <c r="G44" s="1421" t="b">
        <v>0</v>
      </c>
      <c r="H44" s="1421" t="b">
        <v>0</v>
      </c>
      <c r="I44" s="1421" t="b">
        <v>0</v>
      </c>
      <c r="J44" s="1421" t="b">
        <v>0</v>
      </c>
      <c r="K44" s="1422" t="s">
        <v>1940</v>
      </c>
      <c r="L44" s="1423" t="s">
        <v>2389</v>
      </c>
      <c r="M44" s="1424">
        <v>3.0</v>
      </c>
      <c r="N44" s="1424" t="s">
        <v>2306</v>
      </c>
      <c r="O44" s="1436" t="b">
        <v>1</v>
      </c>
      <c r="P44" s="1425" t="b">
        <v>0</v>
      </c>
      <c r="Q44" s="1426" t="s">
        <v>2253</v>
      </c>
      <c r="R44" s="1426" t="s">
        <v>2287</v>
      </c>
      <c r="S44" s="1426" t="b">
        <v>1</v>
      </c>
      <c r="T44" s="1426" t="b">
        <v>1</v>
      </c>
      <c r="U44" s="1427" t="b">
        <v>0</v>
      </c>
      <c r="V44" s="1427"/>
      <c r="W44" s="1426" t="s">
        <v>2308</v>
      </c>
      <c r="X44" s="1437" t="s">
        <v>2390</v>
      </c>
      <c r="Y44" s="1426" t="s">
        <v>113</v>
      </c>
    </row>
    <row r="45">
      <c r="A45" s="1419"/>
      <c r="B45" s="1429" t="b">
        <v>0</v>
      </c>
      <c r="C45" s="1429" t="b">
        <v>0</v>
      </c>
      <c r="D45" s="1429" t="b">
        <v>0</v>
      </c>
      <c r="E45" s="1429" t="b">
        <v>0</v>
      </c>
      <c r="F45" s="1429" t="b">
        <v>0</v>
      </c>
      <c r="G45" s="1429" t="b">
        <v>0</v>
      </c>
      <c r="H45" s="1429" t="b">
        <v>0</v>
      </c>
      <c r="I45" s="1429" t="b">
        <v>0</v>
      </c>
      <c r="J45" s="1429" t="b">
        <v>0</v>
      </c>
      <c r="K45" s="1430" t="s">
        <v>1978</v>
      </c>
      <c r="L45" s="1431" t="s">
        <v>2391</v>
      </c>
      <c r="M45" s="1432">
        <v>2.0</v>
      </c>
      <c r="N45" s="1432" t="s">
        <v>2273</v>
      </c>
      <c r="O45" s="1438" t="b">
        <v>1</v>
      </c>
      <c r="P45" s="1433" t="b">
        <v>0</v>
      </c>
      <c r="Q45" s="1434" t="s">
        <v>2253</v>
      </c>
      <c r="R45" s="1434" t="s">
        <v>2254</v>
      </c>
      <c r="S45" s="1434" t="b">
        <v>1</v>
      </c>
      <c r="T45" s="1434" t="b">
        <v>1</v>
      </c>
      <c r="U45" s="1439" t="b">
        <v>0</v>
      </c>
      <c r="V45" s="1439"/>
      <c r="W45" s="1434" t="s">
        <v>2288</v>
      </c>
      <c r="X45" s="1435" t="s">
        <v>2392</v>
      </c>
      <c r="Y45" s="1434" t="s">
        <v>113</v>
      </c>
    </row>
    <row r="46">
      <c r="A46" s="1419"/>
      <c r="B46" s="1420" t="b">
        <v>0</v>
      </c>
      <c r="C46" s="1421" t="b">
        <v>0</v>
      </c>
      <c r="D46" s="1421" t="b">
        <v>0</v>
      </c>
      <c r="E46" s="1421" t="b">
        <v>0</v>
      </c>
      <c r="F46" s="1421" t="b">
        <v>0</v>
      </c>
      <c r="G46" s="1421" t="b">
        <v>0</v>
      </c>
      <c r="H46" s="1420" t="b">
        <v>1</v>
      </c>
      <c r="I46" s="1421" t="b">
        <v>0</v>
      </c>
      <c r="J46" s="1420" t="b">
        <v>1</v>
      </c>
      <c r="K46" s="1422" t="s">
        <v>1903</v>
      </c>
      <c r="L46" s="1423" t="s">
        <v>2393</v>
      </c>
      <c r="M46" s="1424">
        <v>6.0</v>
      </c>
      <c r="N46" s="1424" t="s">
        <v>2252</v>
      </c>
      <c r="O46" s="1436" t="b">
        <v>0</v>
      </c>
      <c r="P46" s="1425" t="b">
        <v>0</v>
      </c>
      <c r="Q46" s="1426" t="s">
        <v>2253</v>
      </c>
      <c r="R46" s="1426" t="s">
        <v>2359</v>
      </c>
      <c r="S46" s="1426" t="b">
        <v>1</v>
      </c>
      <c r="T46" s="1426" t="b">
        <v>1</v>
      </c>
      <c r="U46" s="1426" t="b">
        <v>1</v>
      </c>
      <c r="V46" s="1426" t="s">
        <v>2394</v>
      </c>
      <c r="W46" s="1426" t="s">
        <v>2255</v>
      </c>
      <c r="X46" s="1437" t="s">
        <v>2395</v>
      </c>
      <c r="Y46" s="1426" t="s">
        <v>113</v>
      </c>
    </row>
    <row r="47">
      <c r="A47" s="1419"/>
      <c r="B47" s="1428" t="b">
        <v>0</v>
      </c>
      <c r="C47" s="1428" t="b">
        <v>1</v>
      </c>
      <c r="D47" s="1428" t="b">
        <v>0</v>
      </c>
      <c r="E47" s="1428" t="b">
        <v>1</v>
      </c>
      <c r="F47" s="1428" t="b">
        <v>0</v>
      </c>
      <c r="G47" s="1429" t="b">
        <v>0</v>
      </c>
      <c r="H47" s="1428" t="b">
        <v>1</v>
      </c>
      <c r="I47" s="1428" t="b">
        <v>1</v>
      </c>
      <c r="J47" s="1428" t="b">
        <v>1</v>
      </c>
      <c r="K47" s="1430" t="s">
        <v>1931</v>
      </c>
      <c r="L47" s="1431" t="s">
        <v>2396</v>
      </c>
      <c r="M47" s="1432">
        <v>4.0</v>
      </c>
      <c r="N47" s="1432" t="s">
        <v>2273</v>
      </c>
      <c r="O47" s="1433" t="b">
        <v>0</v>
      </c>
      <c r="P47" s="1433" t="b">
        <v>0</v>
      </c>
      <c r="Q47" s="1434" t="s">
        <v>2253</v>
      </c>
      <c r="R47" s="1434" t="s">
        <v>2259</v>
      </c>
      <c r="S47" s="1434" t="b">
        <v>1</v>
      </c>
      <c r="T47" s="1434" t="b">
        <v>1</v>
      </c>
      <c r="U47" s="1439" t="b">
        <v>0</v>
      </c>
      <c r="V47" s="1439"/>
      <c r="W47" s="1434" t="s">
        <v>2297</v>
      </c>
      <c r="X47" s="1435" t="s">
        <v>2397</v>
      </c>
      <c r="Y47" s="1434" t="s">
        <v>113</v>
      </c>
    </row>
    <row r="48">
      <c r="A48" s="1419"/>
      <c r="B48" s="1420" t="b">
        <v>0</v>
      </c>
      <c r="C48" s="1420" t="b">
        <v>1</v>
      </c>
      <c r="D48" s="1421" t="b">
        <v>0</v>
      </c>
      <c r="E48" s="1420" t="b">
        <v>1</v>
      </c>
      <c r="F48" s="1421" t="b">
        <v>0</v>
      </c>
      <c r="G48" s="1421" t="b">
        <v>0</v>
      </c>
      <c r="H48" s="1420" t="b">
        <v>1</v>
      </c>
      <c r="I48" s="1420" t="b">
        <v>1</v>
      </c>
      <c r="J48" s="1420" t="b">
        <v>1</v>
      </c>
      <c r="K48" s="1422" t="s">
        <v>1948</v>
      </c>
      <c r="L48" s="1423" t="s">
        <v>2398</v>
      </c>
      <c r="M48" s="1424">
        <v>1.0</v>
      </c>
      <c r="N48" s="1424" t="s">
        <v>2273</v>
      </c>
      <c r="O48" s="1425" t="b">
        <v>0</v>
      </c>
      <c r="P48" s="1425" t="b">
        <v>0</v>
      </c>
      <c r="Q48" s="1426" t="s">
        <v>2253</v>
      </c>
      <c r="R48" s="1426" t="s">
        <v>2259</v>
      </c>
      <c r="S48" s="1426" t="b">
        <v>1</v>
      </c>
      <c r="T48" s="1426" t="b">
        <v>1</v>
      </c>
      <c r="U48" s="1427" t="b">
        <v>0</v>
      </c>
      <c r="V48" s="1427"/>
      <c r="W48" s="1426" t="s">
        <v>2297</v>
      </c>
      <c r="X48" s="1437" t="s">
        <v>2399</v>
      </c>
      <c r="Y48" s="1426" t="s">
        <v>113</v>
      </c>
    </row>
    <row r="49">
      <c r="A49" s="1419"/>
      <c r="B49" s="1428" t="b">
        <v>0</v>
      </c>
      <c r="C49" s="1429" t="b">
        <v>0</v>
      </c>
      <c r="D49" s="1429" t="b">
        <v>0</v>
      </c>
      <c r="E49" s="1429" t="b">
        <v>0</v>
      </c>
      <c r="F49" s="1429" t="b">
        <v>0</v>
      </c>
      <c r="G49" s="1429" t="b">
        <v>0</v>
      </c>
      <c r="H49" s="1428" t="b">
        <v>1</v>
      </c>
      <c r="I49" s="1428" t="b">
        <v>1</v>
      </c>
      <c r="J49" s="1428" t="b">
        <v>1</v>
      </c>
      <c r="K49" s="1430" t="s">
        <v>1897</v>
      </c>
      <c r="L49" s="1431" t="s">
        <v>2400</v>
      </c>
      <c r="M49" s="1432">
        <v>0.0</v>
      </c>
      <c r="N49" s="1432" t="s">
        <v>2282</v>
      </c>
      <c r="O49" s="1433" t="b">
        <v>0</v>
      </c>
      <c r="P49" s="1433" t="b">
        <v>0</v>
      </c>
      <c r="Q49" s="1434" t="s">
        <v>2253</v>
      </c>
      <c r="R49" s="1434" t="s">
        <v>2311</v>
      </c>
      <c r="S49" s="1434" t="b">
        <v>1</v>
      </c>
      <c r="T49" s="1434" t="b">
        <v>1</v>
      </c>
      <c r="U49" s="1439" t="b">
        <v>0</v>
      </c>
      <c r="V49" s="1439"/>
      <c r="W49" s="1434" t="s">
        <v>2255</v>
      </c>
      <c r="X49" s="1435" t="s">
        <v>2401</v>
      </c>
      <c r="Y49" s="1434" t="s">
        <v>113</v>
      </c>
    </row>
    <row r="50">
      <c r="A50" s="1419"/>
      <c r="B50" s="1421" t="b">
        <v>0</v>
      </c>
      <c r="C50" s="1421" t="b">
        <v>0</v>
      </c>
      <c r="D50" s="1421" t="b">
        <v>0</v>
      </c>
      <c r="E50" s="1421" t="b">
        <v>0</v>
      </c>
      <c r="F50" s="1421" t="b">
        <v>0</v>
      </c>
      <c r="G50" s="1421" t="b">
        <v>0</v>
      </c>
      <c r="H50" s="1421" t="b">
        <v>0</v>
      </c>
      <c r="I50" s="1421" t="b">
        <v>0</v>
      </c>
      <c r="J50" s="1421" t="b">
        <v>0</v>
      </c>
      <c r="K50" s="1422" t="s">
        <v>1958</v>
      </c>
      <c r="L50" s="1423" t="s">
        <v>2402</v>
      </c>
      <c r="M50" s="1424">
        <v>1.0</v>
      </c>
      <c r="N50" s="1424" t="s">
        <v>2252</v>
      </c>
      <c r="O50" s="1425" t="b">
        <v>0</v>
      </c>
      <c r="P50" s="1425" t="b">
        <v>0</v>
      </c>
      <c r="Q50" s="1426" t="s">
        <v>2253</v>
      </c>
      <c r="R50" s="1426" t="s">
        <v>2368</v>
      </c>
      <c r="S50" s="1426" t="b">
        <v>1</v>
      </c>
      <c r="T50" s="1426" t="b">
        <v>1</v>
      </c>
      <c r="U50" s="1426" t="b">
        <v>1</v>
      </c>
      <c r="V50" s="1426" t="s">
        <v>2403</v>
      </c>
      <c r="W50" s="1426" t="s">
        <v>2255</v>
      </c>
      <c r="X50" s="1437" t="s">
        <v>2404</v>
      </c>
      <c r="Y50" s="1426" t="s">
        <v>113</v>
      </c>
    </row>
    <row r="51">
      <c r="A51" s="1419"/>
      <c r="B51" s="1428" t="b">
        <v>0</v>
      </c>
      <c r="C51" s="1429" t="b">
        <v>0</v>
      </c>
      <c r="D51" s="1429" t="b">
        <v>0</v>
      </c>
      <c r="E51" s="1429" t="b">
        <v>0</v>
      </c>
      <c r="F51" s="1429" t="b">
        <v>0</v>
      </c>
      <c r="G51" s="1429" t="b">
        <v>0</v>
      </c>
      <c r="H51" s="1428" t="b">
        <v>1</v>
      </c>
      <c r="I51" s="1428" t="b">
        <v>1</v>
      </c>
      <c r="J51" s="1428" t="b">
        <v>1</v>
      </c>
      <c r="K51" s="1430" t="s">
        <v>1913</v>
      </c>
      <c r="L51" s="1431" t="s">
        <v>2405</v>
      </c>
      <c r="M51" s="1432">
        <v>6.0</v>
      </c>
      <c r="N51" s="1432" t="s">
        <v>2282</v>
      </c>
      <c r="O51" s="1433" t="b">
        <v>0</v>
      </c>
      <c r="P51" s="1433" t="b">
        <v>0</v>
      </c>
      <c r="Q51" s="1434" t="s">
        <v>2253</v>
      </c>
      <c r="R51" s="1434" t="s">
        <v>2359</v>
      </c>
      <c r="S51" s="1434" t="b">
        <v>1</v>
      </c>
      <c r="T51" s="1434" t="b">
        <v>1</v>
      </c>
      <c r="U51" s="1434" t="b">
        <v>1</v>
      </c>
      <c r="V51" s="1434" t="s">
        <v>2406</v>
      </c>
      <c r="W51" s="1434" t="s">
        <v>2255</v>
      </c>
      <c r="X51" s="1435" t="s">
        <v>2407</v>
      </c>
      <c r="Y51" s="1434" t="s">
        <v>113</v>
      </c>
    </row>
    <row r="52">
      <c r="A52" s="1419"/>
      <c r="B52" s="1420" t="b">
        <v>1</v>
      </c>
      <c r="C52" s="1421" t="b">
        <v>0</v>
      </c>
      <c r="D52" s="1420" t="b">
        <v>1</v>
      </c>
      <c r="E52" s="1421" t="b">
        <v>0</v>
      </c>
      <c r="F52" s="1420" t="b">
        <v>1</v>
      </c>
      <c r="G52" s="1421" t="b">
        <v>0</v>
      </c>
      <c r="H52" s="1421" t="b">
        <v>0</v>
      </c>
      <c r="I52" s="1421" t="b">
        <v>0</v>
      </c>
      <c r="J52" s="1420" t="b">
        <v>1</v>
      </c>
      <c r="K52" s="1422" t="s">
        <v>1932</v>
      </c>
      <c r="L52" s="1423" t="s">
        <v>2408</v>
      </c>
      <c r="M52" s="1424">
        <v>5.0</v>
      </c>
      <c r="N52" s="1424" t="s">
        <v>2258</v>
      </c>
      <c r="O52" s="1436" t="b">
        <v>1</v>
      </c>
      <c r="P52" s="1425" t="b">
        <v>0</v>
      </c>
      <c r="Q52" s="1426" t="s">
        <v>2253</v>
      </c>
      <c r="R52" s="1426" t="s">
        <v>2269</v>
      </c>
      <c r="S52" s="1426" t="b">
        <v>1</v>
      </c>
      <c r="T52" s="1427" t="b">
        <v>0</v>
      </c>
      <c r="U52" s="1427" t="b">
        <v>0</v>
      </c>
      <c r="V52" s="1427"/>
      <c r="W52" s="1426" t="s">
        <v>2308</v>
      </c>
      <c r="X52" s="1437" t="s">
        <v>2409</v>
      </c>
      <c r="Y52" s="1426" t="s">
        <v>113</v>
      </c>
    </row>
    <row r="53">
      <c r="A53" s="1419"/>
      <c r="B53" s="1428" t="b">
        <v>0</v>
      </c>
      <c r="C53" s="1428" t="b">
        <v>1</v>
      </c>
      <c r="D53" s="1428" t="b">
        <v>1</v>
      </c>
      <c r="E53" s="1429" t="b">
        <v>0</v>
      </c>
      <c r="F53" s="1429" t="b">
        <v>0</v>
      </c>
      <c r="G53" s="1429" t="b">
        <v>0</v>
      </c>
      <c r="H53" s="1428" t="b">
        <v>1</v>
      </c>
      <c r="I53" s="1429" t="b">
        <v>0</v>
      </c>
      <c r="J53" s="1428" t="b">
        <v>1</v>
      </c>
      <c r="K53" s="1430" t="s">
        <v>1950</v>
      </c>
      <c r="L53" s="1431" t="s">
        <v>2410</v>
      </c>
      <c r="M53" s="1432">
        <v>3.0</v>
      </c>
      <c r="N53" s="1432" t="s">
        <v>2302</v>
      </c>
      <c r="O53" s="1438" t="b">
        <v>1</v>
      </c>
      <c r="P53" s="1433" t="b">
        <v>0</v>
      </c>
      <c r="Q53" s="1434" t="s">
        <v>2411</v>
      </c>
      <c r="R53" s="1434" t="s">
        <v>2412</v>
      </c>
      <c r="S53" s="1434" t="b">
        <v>1</v>
      </c>
      <c r="T53" s="1434" t="b">
        <v>1</v>
      </c>
      <c r="U53" s="1434" t="b">
        <v>1</v>
      </c>
      <c r="V53" s="1434" t="s">
        <v>2413</v>
      </c>
      <c r="W53" s="1434" t="s">
        <v>2308</v>
      </c>
      <c r="X53" s="1435" t="s">
        <v>2414</v>
      </c>
      <c r="Y53" s="1434" t="s">
        <v>113</v>
      </c>
    </row>
    <row r="54">
      <c r="A54" s="1419"/>
      <c r="B54" s="1420" t="b">
        <v>0</v>
      </c>
      <c r="C54" s="1421" t="b">
        <v>0</v>
      </c>
      <c r="D54" s="1421" t="b">
        <v>0</v>
      </c>
      <c r="E54" s="1421" t="b">
        <v>0</v>
      </c>
      <c r="F54" s="1421" t="b">
        <v>0</v>
      </c>
      <c r="G54" s="1421" t="b">
        <v>0</v>
      </c>
      <c r="H54" s="1421" t="b">
        <v>0</v>
      </c>
      <c r="I54" s="1421" t="b">
        <v>0</v>
      </c>
      <c r="J54" s="1420" t="b">
        <v>1</v>
      </c>
      <c r="K54" s="1422" t="s">
        <v>1925</v>
      </c>
      <c r="L54" s="1423" t="s">
        <v>2415</v>
      </c>
      <c r="M54" s="1424">
        <v>8.0</v>
      </c>
      <c r="N54" s="1424" t="s">
        <v>2282</v>
      </c>
      <c r="O54" s="1425" t="b">
        <v>0</v>
      </c>
      <c r="P54" s="1425" t="b">
        <v>0</v>
      </c>
      <c r="Q54" s="1426" t="s">
        <v>2297</v>
      </c>
      <c r="R54" s="1426" t="s">
        <v>2311</v>
      </c>
      <c r="S54" s="1426" t="b">
        <v>1</v>
      </c>
      <c r="T54" s="1426" t="b">
        <v>1</v>
      </c>
      <c r="U54" s="1426" t="b">
        <v>1</v>
      </c>
      <c r="V54" s="1426" t="s">
        <v>2416</v>
      </c>
      <c r="W54" s="1426" t="s">
        <v>2255</v>
      </c>
      <c r="X54" s="1437" t="s">
        <v>2417</v>
      </c>
      <c r="Y54" s="1426" t="s">
        <v>113</v>
      </c>
    </row>
    <row r="55">
      <c r="A55" s="1419"/>
      <c r="B55" s="1428" t="b">
        <v>0</v>
      </c>
      <c r="C55" s="1428" t="b">
        <v>1</v>
      </c>
      <c r="D55" s="1429" t="b">
        <v>0</v>
      </c>
      <c r="E55" s="1429" t="b">
        <v>0</v>
      </c>
      <c r="F55" s="1429" t="b">
        <v>0</v>
      </c>
      <c r="G55" s="1429" t="b">
        <v>0</v>
      </c>
      <c r="H55" s="1428" t="b">
        <v>1</v>
      </c>
      <c r="I55" s="1428" t="b">
        <v>1</v>
      </c>
      <c r="J55" s="1428" t="b">
        <v>1</v>
      </c>
      <c r="K55" s="1430" t="s">
        <v>1988</v>
      </c>
      <c r="L55" s="1431" t="s">
        <v>2418</v>
      </c>
      <c r="M55" s="1432">
        <v>2.0</v>
      </c>
      <c r="N55" s="1432" t="s">
        <v>2306</v>
      </c>
      <c r="O55" s="1438" t="b">
        <v>1</v>
      </c>
      <c r="P55" s="1433" t="b">
        <v>0</v>
      </c>
      <c r="Q55" s="1434" t="s">
        <v>2253</v>
      </c>
      <c r="R55" s="1434" t="s">
        <v>2254</v>
      </c>
      <c r="S55" s="1434" t="b">
        <v>1</v>
      </c>
      <c r="T55" s="1434" t="b">
        <v>1</v>
      </c>
      <c r="U55" s="1434" t="b">
        <v>1</v>
      </c>
      <c r="V55" s="1439"/>
      <c r="W55" s="1434" t="s">
        <v>2288</v>
      </c>
      <c r="X55" s="1435" t="s">
        <v>2419</v>
      </c>
      <c r="Y55" s="1434" t="s">
        <v>113</v>
      </c>
    </row>
    <row r="56">
      <c r="A56" s="1419"/>
      <c r="B56" s="1420" t="b">
        <v>0</v>
      </c>
      <c r="C56" s="1421" t="b">
        <v>0</v>
      </c>
      <c r="D56" s="1421" t="b">
        <v>0</v>
      </c>
      <c r="E56" s="1421" t="b">
        <v>0</v>
      </c>
      <c r="F56" s="1421" t="b">
        <v>0</v>
      </c>
      <c r="G56" s="1421" t="b">
        <v>0</v>
      </c>
      <c r="H56" s="1420" t="b">
        <v>1</v>
      </c>
      <c r="I56" s="1421" t="b">
        <v>0</v>
      </c>
      <c r="J56" s="1420" t="b">
        <v>1</v>
      </c>
      <c r="K56" s="1422" t="s">
        <v>1942</v>
      </c>
      <c r="L56" s="1423" t="s">
        <v>2420</v>
      </c>
      <c r="M56" s="1424">
        <v>5.0</v>
      </c>
      <c r="N56" s="1424" t="s">
        <v>2306</v>
      </c>
      <c r="O56" s="1436" t="b">
        <v>1</v>
      </c>
      <c r="P56" s="1425" t="b">
        <v>0</v>
      </c>
      <c r="Q56" s="1426" t="s">
        <v>2253</v>
      </c>
      <c r="R56" s="1426" t="s">
        <v>2287</v>
      </c>
      <c r="S56" s="1426" t="b">
        <v>1</v>
      </c>
      <c r="T56" s="1426" t="b">
        <v>1</v>
      </c>
      <c r="U56" s="1427" t="b">
        <v>0</v>
      </c>
      <c r="V56" s="1426"/>
      <c r="W56" s="1426" t="s">
        <v>2308</v>
      </c>
      <c r="X56" s="1437" t="s">
        <v>2421</v>
      </c>
      <c r="Y56" s="1426" t="s">
        <v>113</v>
      </c>
    </row>
    <row r="57">
      <c r="A57" s="1419"/>
      <c r="B57" s="1428" t="b">
        <v>0</v>
      </c>
      <c r="C57" s="1428" t="b">
        <v>1</v>
      </c>
      <c r="D57" s="1429" t="b">
        <v>0</v>
      </c>
      <c r="E57" s="1429" t="b">
        <v>0</v>
      </c>
      <c r="F57" s="1429" t="b">
        <v>0</v>
      </c>
      <c r="G57" s="1429" t="b">
        <v>0</v>
      </c>
      <c r="H57" s="1428" t="b">
        <v>1</v>
      </c>
      <c r="I57" s="1429" t="b">
        <v>0</v>
      </c>
      <c r="J57" s="1428" t="b">
        <v>1</v>
      </c>
      <c r="K57" s="1430" t="s">
        <v>1968</v>
      </c>
      <c r="L57" s="1431" t="s">
        <v>2422</v>
      </c>
      <c r="M57" s="1432">
        <v>1.0</v>
      </c>
      <c r="N57" s="1432" t="s">
        <v>2385</v>
      </c>
      <c r="O57" s="1433" t="b">
        <v>0</v>
      </c>
      <c r="P57" s="1433" t="b">
        <v>0</v>
      </c>
      <c r="Q57" s="1434" t="s">
        <v>2253</v>
      </c>
      <c r="R57" s="1434" t="s">
        <v>2269</v>
      </c>
      <c r="S57" s="1434" t="b">
        <v>1</v>
      </c>
      <c r="T57" s="1434" t="b">
        <v>1</v>
      </c>
      <c r="U57" s="1434" t="b">
        <v>1</v>
      </c>
      <c r="V57" s="1434" t="s">
        <v>2423</v>
      </c>
      <c r="W57" s="1434" t="s">
        <v>2255</v>
      </c>
      <c r="X57" s="1435" t="s">
        <v>2424</v>
      </c>
      <c r="Y57" s="1434" t="s">
        <v>113</v>
      </c>
    </row>
    <row r="58">
      <c r="A58" s="1419"/>
      <c r="B58" s="1421" t="b">
        <v>0</v>
      </c>
      <c r="C58" s="1420" t="b">
        <v>1</v>
      </c>
      <c r="D58" s="1420" t="b">
        <v>1</v>
      </c>
      <c r="E58" s="1421" t="b">
        <v>0</v>
      </c>
      <c r="F58" s="1420" t="b">
        <v>1</v>
      </c>
      <c r="G58" s="1421" t="b">
        <v>0</v>
      </c>
      <c r="H58" s="1421" t="b">
        <v>0</v>
      </c>
      <c r="I58" s="1421" t="b">
        <v>0</v>
      </c>
      <c r="J58" s="1421" t="b">
        <v>0</v>
      </c>
      <c r="K58" s="1422" t="s">
        <v>1977</v>
      </c>
      <c r="L58" s="1423" t="s">
        <v>2425</v>
      </c>
      <c r="M58" s="1424">
        <v>1.0</v>
      </c>
      <c r="N58" s="1424" t="s">
        <v>2273</v>
      </c>
      <c r="O58" s="1425" t="b">
        <v>0</v>
      </c>
      <c r="P58" s="1425" t="b">
        <v>0</v>
      </c>
      <c r="Q58" s="1426" t="s">
        <v>2253</v>
      </c>
      <c r="R58" s="1426" t="s">
        <v>2254</v>
      </c>
      <c r="S58" s="1426" t="b">
        <v>1</v>
      </c>
      <c r="T58" s="1427" t="b">
        <v>0</v>
      </c>
      <c r="U58" s="1427" t="b">
        <v>0</v>
      </c>
      <c r="V58" s="1427"/>
      <c r="W58" s="1426" t="s">
        <v>2255</v>
      </c>
      <c r="X58" s="1437" t="s">
        <v>2426</v>
      </c>
      <c r="Y58" s="1426" t="s">
        <v>113</v>
      </c>
    </row>
    <row r="59">
      <c r="A59" s="1419"/>
      <c r="B59" s="1429" t="b">
        <v>0</v>
      </c>
      <c r="C59" s="1429" t="b">
        <v>0</v>
      </c>
      <c r="D59" s="1428" t="b">
        <v>1</v>
      </c>
      <c r="E59" s="1429" t="b">
        <v>0</v>
      </c>
      <c r="F59" s="1429" t="b">
        <v>0</v>
      </c>
      <c r="G59" s="1429" t="b">
        <v>0</v>
      </c>
      <c r="H59" s="1429" t="b">
        <v>0</v>
      </c>
      <c r="I59" s="1429" t="b">
        <v>0</v>
      </c>
      <c r="J59" s="1429" t="b">
        <v>0</v>
      </c>
      <c r="K59" s="1430" t="s">
        <v>1952</v>
      </c>
      <c r="L59" s="1431" t="s">
        <v>2427</v>
      </c>
      <c r="M59" s="1432">
        <v>5.0</v>
      </c>
      <c r="N59" s="1432" t="s">
        <v>2302</v>
      </c>
      <c r="O59" s="1438" t="b">
        <v>0</v>
      </c>
      <c r="P59" s="1438" t="b">
        <v>1</v>
      </c>
      <c r="Q59" s="1434" t="s">
        <v>2264</v>
      </c>
      <c r="R59" s="1434" t="s">
        <v>2269</v>
      </c>
      <c r="S59" s="1434" t="b">
        <v>1</v>
      </c>
      <c r="T59" s="1434" t="b">
        <v>1</v>
      </c>
      <c r="U59" s="1434" t="b">
        <v>1</v>
      </c>
      <c r="V59" s="1434" t="s">
        <v>2428</v>
      </c>
      <c r="W59" s="1434" t="s">
        <v>2264</v>
      </c>
      <c r="X59" s="1435" t="s">
        <v>2429</v>
      </c>
      <c r="Y59" s="1434" t="s">
        <v>113</v>
      </c>
    </row>
    <row r="60">
      <c r="A60" s="1419"/>
      <c r="B60" s="1421" t="b">
        <v>0</v>
      </c>
      <c r="C60" s="1421" t="b">
        <v>0</v>
      </c>
      <c r="D60" s="1421" t="b">
        <v>0</v>
      </c>
      <c r="E60" s="1420" t="b">
        <v>1</v>
      </c>
      <c r="F60" s="1421" t="b">
        <v>0</v>
      </c>
      <c r="G60" s="1420" t="b">
        <v>1</v>
      </c>
      <c r="H60" s="1421" t="b">
        <v>0</v>
      </c>
      <c r="I60" s="1421" t="b">
        <v>0</v>
      </c>
      <c r="J60" s="1421" t="b">
        <v>0</v>
      </c>
      <c r="K60" s="1422" t="s">
        <v>1962</v>
      </c>
      <c r="L60" s="1423" t="s">
        <v>2430</v>
      </c>
      <c r="M60" s="1424">
        <v>5.0</v>
      </c>
      <c r="N60" s="1424" t="s">
        <v>2302</v>
      </c>
      <c r="O60" s="1425" t="b">
        <v>0</v>
      </c>
      <c r="P60" s="1436" t="b">
        <v>1</v>
      </c>
      <c r="Q60" s="1426" t="s">
        <v>2264</v>
      </c>
      <c r="R60" s="1426" t="s">
        <v>2269</v>
      </c>
      <c r="S60" s="1426" t="b">
        <v>1</v>
      </c>
      <c r="T60" s="1426" t="b">
        <v>1</v>
      </c>
      <c r="U60" s="1427" t="b">
        <v>0</v>
      </c>
      <c r="V60" s="1427"/>
      <c r="W60" s="1426" t="s">
        <v>2255</v>
      </c>
      <c r="X60" s="1437" t="s">
        <v>2431</v>
      </c>
      <c r="Y60" s="1426" t="s">
        <v>113</v>
      </c>
    </row>
    <row r="61">
      <c r="A61" s="1419"/>
      <c r="B61" s="1429" t="b">
        <v>0</v>
      </c>
      <c r="C61" s="1429" t="b">
        <v>0</v>
      </c>
      <c r="D61" s="1429" t="b">
        <v>0</v>
      </c>
      <c r="E61" s="1429" t="b">
        <v>0</v>
      </c>
      <c r="F61" s="1429" t="b">
        <v>0</v>
      </c>
      <c r="G61" s="1428" t="b">
        <v>1</v>
      </c>
      <c r="H61" s="1429" t="b">
        <v>0</v>
      </c>
      <c r="I61" s="1429" t="b">
        <v>0</v>
      </c>
      <c r="J61" s="1429" t="b">
        <v>0</v>
      </c>
      <c r="K61" s="1430" t="s">
        <v>1987</v>
      </c>
      <c r="L61" s="1431" t="s">
        <v>2432</v>
      </c>
      <c r="M61" s="1432">
        <v>1.0</v>
      </c>
      <c r="N61" s="1432" t="s">
        <v>2273</v>
      </c>
      <c r="O61" s="1438" t="b">
        <v>1</v>
      </c>
      <c r="P61" s="1433" t="b">
        <v>0</v>
      </c>
      <c r="Q61" s="1434" t="s">
        <v>2316</v>
      </c>
      <c r="R61" s="1434" t="s">
        <v>2259</v>
      </c>
      <c r="S61" s="1434" t="b">
        <v>1</v>
      </c>
      <c r="T61" s="1439" t="b">
        <v>0</v>
      </c>
      <c r="U61" s="1439" t="b">
        <v>0</v>
      </c>
      <c r="V61" s="1439"/>
      <c r="W61" s="1434" t="s">
        <v>2288</v>
      </c>
      <c r="X61" s="1435" t="s">
        <v>2433</v>
      </c>
      <c r="Y61" s="1434" t="s">
        <v>113</v>
      </c>
    </row>
    <row r="62">
      <c r="A62" s="1419"/>
      <c r="B62" s="1420" t="b">
        <v>0</v>
      </c>
      <c r="C62" s="1420" t="b">
        <v>1</v>
      </c>
      <c r="D62" s="1421" t="b">
        <v>0</v>
      </c>
      <c r="E62" s="1421" t="b">
        <v>0</v>
      </c>
      <c r="F62" s="1421" t="b">
        <v>0</v>
      </c>
      <c r="G62" s="1421" t="b">
        <v>0</v>
      </c>
      <c r="H62" s="1420" t="b">
        <v>1</v>
      </c>
      <c r="I62" s="1420" t="b">
        <v>1</v>
      </c>
      <c r="J62" s="1420" t="b">
        <v>1</v>
      </c>
      <c r="K62" s="1422" t="s">
        <v>1997</v>
      </c>
      <c r="L62" s="1423" t="s">
        <v>2434</v>
      </c>
      <c r="M62" s="1424">
        <v>1.0</v>
      </c>
      <c r="N62" s="1424" t="s">
        <v>2302</v>
      </c>
      <c r="O62" s="1425" t="b">
        <v>0</v>
      </c>
      <c r="P62" s="1436" t="b">
        <v>1</v>
      </c>
      <c r="Q62" s="1426" t="s">
        <v>2253</v>
      </c>
      <c r="R62" s="1426" t="s">
        <v>2269</v>
      </c>
      <c r="S62" s="1426" t="b">
        <v>1</v>
      </c>
      <c r="T62" s="1426" t="b">
        <v>1</v>
      </c>
      <c r="U62" s="1426" t="b">
        <v>1</v>
      </c>
      <c r="V62" s="1426" t="s">
        <v>2435</v>
      </c>
      <c r="W62" s="1426" t="s">
        <v>2297</v>
      </c>
      <c r="X62" s="1437" t="s">
        <v>2436</v>
      </c>
      <c r="Y62" s="1426" t="s">
        <v>113</v>
      </c>
    </row>
    <row r="63">
      <c r="A63" s="1419"/>
      <c r="B63" s="1429" t="b">
        <v>0</v>
      </c>
      <c r="C63" s="1428" t="b">
        <v>1</v>
      </c>
      <c r="D63" s="1429" t="b">
        <v>0</v>
      </c>
      <c r="E63" s="1429" t="b">
        <v>0</v>
      </c>
      <c r="F63" s="1429" t="b">
        <v>0</v>
      </c>
      <c r="G63" s="1429" t="b">
        <v>0</v>
      </c>
      <c r="H63" s="1429" t="b">
        <v>0</v>
      </c>
      <c r="I63" s="1429" t="b">
        <v>0</v>
      </c>
      <c r="J63" s="1429" t="b">
        <v>0</v>
      </c>
      <c r="K63" s="1430" t="s">
        <v>1941</v>
      </c>
      <c r="L63" s="1431" t="s">
        <v>2437</v>
      </c>
      <c r="M63" s="1432">
        <v>4.0</v>
      </c>
      <c r="N63" s="1432" t="s">
        <v>2273</v>
      </c>
      <c r="O63" s="1438" t="b">
        <v>1</v>
      </c>
      <c r="P63" s="1433" t="b">
        <v>0</v>
      </c>
      <c r="Q63" s="1434" t="s">
        <v>2253</v>
      </c>
      <c r="R63" s="1434" t="s">
        <v>2259</v>
      </c>
      <c r="S63" s="1434" t="b">
        <v>1</v>
      </c>
      <c r="T63" s="1434" t="b">
        <v>1</v>
      </c>
      <c r="U63" s="1439" t="b">
        <v>0</v>
      </c>
      <c r="V63" s="1439"/>
      <c r="W63" s="1434" t="s">
        <v>2288</v>
      </c>
      <c r="X63" s="1435" t="s">
        <v>2438</v>
      </c>
      <c r="Y63" s="1434" t="s">
        <v>113</v>
      </c>
    </row>
    <row r="64">
      <c r="A64" s="1419"/>
      <c r="B64" s="1420" t="b">
        <v>0</v>
      </c>
      <c r="C64" s="1421" t="b">
        <v>0</v>
      </c>
      <c r="D64" s="1421" t="b">
        <v>0</v>
      </c>
      <c r="E64" s="1420" t="b">
        <v>1</v>
      </c>
      <c r="F64" s="1421" t="b">
        <v>0</v>
      </c>
      <c r="G64" s="1421" t="b">
        <v>0</v>
      </c>
      <c r="H64" s="1420" t="b">
        <v>1</v>
      </c>
      <c r="I64" s="1421" t="b">
        <v>0</v>
      </c>
      <c r="J64" s="1420" t="b">
        <v>1</v>
      </c>
      <c r="K64" s="1422" t="s">
        <v>1972</v>
      </c>
      <c r="L64" s="1423" t="s">
        <v>2439</v>
      </c>
      <c r="M64" s="1424">
        <v>5.0</v>
      </c>
      <c r="N64" s="1424" t="s">
        <v>2252</v>
      </c>
      <c r="O64" s="1425" t="b">
        <v>0</v>
      </c>
      <c r="P64" s="1425" t="b">
        <v>0</v>
      </c>
      <c r="Q64" s="1426" t="s">
        <v>2253</v>
      </c>
      <c r="R64" s="1426" t="s">
        <v>2269</v>
      </c>
      <c r="S64" s="1426" t="b">
        <v>1</v>
      </c>
      <c r="T64" s="1426" t="b">
        <v>1</v>
      </c>
      <c r="U64" s="1426" t="b">
        <v>1</v>
      </c>
      <c r="V64" s="1426" t="s">
        <v>2440</v>
      </c>
      <c r="W64" s="1426" t="s">
        <v>2255</v>
      </c>
      <c r="X64" s="1437" t="s">
        <v>2441</v>
      </c>
      <c r="Y64" s="1426" t="s">
        <v>113</v>
      </c>
    </row>
    <row r="65">
      <c r="A65" s="1419"/>
      <c r="B65" s="1428" t="b">
        <v>0</v>
      </c>
      <c r="C65" s="1428" t="b">
        <v>1</v>
      </c>
      <c r="D65" s="1429" t="b">
        <v>0</v>
      </c>
      <c r="E65" s="1428" t="b">
        <v>1</v>
      </c>
      <c r="F65" s="1429" t="b">
        <v>0</v>
      </c>
      <c r="G65" s="1429" t="b">
        <v>0</v>
      </c>
      <c r="H65" s="1428" t="b">
        <v>1</v>
      </c>
      <c r="I65" s="1429" t="b">
        <v>0</v>
      </c>
      <c r="J65" s="1428" t="b">
        <v>1</v>
      </c>
      <c r="K65" s="1430" t="s">
        <v>1951</v>
      </c>
      <c r="L65" s="1431" t="s">
        <v>2442</v>
      </c>
      <c r="M65" s="1432">
        <v>4.0</v>
      </c>
      <c r="N65" s="1432" t="s">
        <v>2273</v>
      </c>
      <c r="O65" s="1438" t="b">
        <v>1</v>
      </c>
      <c r="P65" s="1433" t="b">
        <v>0</v>
      </c>
      <c r="Q65" s="1434" t="s">
        <v>2253</v>
      </c>
      <c r="R65" s="1434" t="s">
        <v>2368</v>
      </c>
      <c r="S65" s="1434" t="b">
        <v>1</v>
      </c>
      <c r="T65" s="1434" t="b">
        <v>1</v>
      </c>
      <c r="U65" s="1434" t="b">
        <v>1</v>
      </c>
      <c r="V65" s="1434" t="s">
        <v>2443</v>
      </c>
      <c r="W65" s="1434" t="s">
        <v>2288</v>
      </c>
      <c r="X65" s="1435" t="s">
        <v>2444</v>
      </c>
      <c r="Y65" s="1434" t="s">
        <v>113</v>
      </c>
    </row>
    <row r="66">
      <c r="A66" s="1419"/>
      <c r="B66" s="1421" t="b">
        <v>0</v>
      </c>
      <c r="C66" s="1421" t="b">
        <v>0</v>
      </c>
      <c r="D66" s="1421" t="b">
        <v>0</v>
      </c>
      <c r="E66" s="1420" t="b">
        <v>1</v>
      </c>
      <c r="F66" s="1421" t="b">
        <v>0</v>
      </c>
      <c r="G66" s="1420" t="b">
        <v>1</v>
      </c>
      <c r="H66" s="1421" t="b">
        <v>0</v>
      </c>
      <c r="I66" s="1421" t="b">
        <v>0</v>
      </c>
      <c r="J66" s="1421" t="b">
        <v>0</v>
      </c>
      <c r="K66" s="1422" t="s">
        <v>1960</v>
      </c>
      <c r="L66" s="1423" t="s">
        <v>2445</v>
      </c>
      <c r="M66" s="1424">
        <v>3.0</v>
      </c>
      <c r="N66" s="1424" t="s">
        <v>2306</v>
      </c>
      <c r="O66" s="1436" t="b">
        <v>1</v>
      </c>
      <c r="P66" s="1425" t="b">
        <v>0</v>
      </c>
      <c r="Q66" s="1426" t="s">
        <v>2253</v>
      </c>
      <c r="R66" s="1426" t="s">
        <v>2254</v>
      </c>
      <c r="S66" s="1426" t="b">
        <v>1</v>
      </c>
      <c r="T66" s="1426" t="b">
        <v>1</v>
      </c>
      <c r="U66" s="1427" t="b">
        <v>0</v>
      </c>
      <c r="V66" s="1427"/>
      <c r="W66" s="1426" t="s">
        <v>2308</v>
      </c>
      <c r="X66" s="1437" t="s">
        <v>2446</v>
      </c>
      <c r="Y66" s="1426" t="s">
        <v>113</v>
      </c>
    </row>
    <row r="67">
      <c r="A67" s="1419"/>
      <c r="B67" s="1429" t="b">
        <v>0</v>
      </c>
      <c r="C67" s="1429" t="b">
        <v>0</v>
      </c>
      <c r="D67" s="1429" t="b">
        <v>0</v>
      </c>
      <c r="E67" s="1429" t="b">
        <v>0</v>
      </c>
      <c r="F67" s="1429" t="b">
        <v>0</v>
      </c>
      <c r="G67" s="1428" t="b">
        <v>1</v>
      </c>
      <c r="H67" s="1429" t="b">
        <v>0</v>
      </c>
      <c r="I67" s="1429" t="b">
        <v>0</v>
      </c>
      <c r="J67" s="1429" t="b">
        <v>0</v>
      </c>
      <c r="K67" s="1430" t="s">
        <v>1970</v>
      </c>
      <c r="L67" s="1431" t="s">
        <v>2447</v>
      </c>
      <c r="M67" s="1432">
        <v>3.0</v>
      </c>
      <c r="N67" s="1432" t="s">
        <v>2306</v>
      </c>
      <c r="O67" s="1433" t="b">
        <v>0</v>
      </c>
      <c r="P67" s="1433" t="b">
        <v>0</v>
      </c>
      <c r="Q67" s="1434" t="s">
        <v>2253</v>
      </c>
      <c r="R67" s="1434" t="s">
        <v>2269</v>
      </c>
      <c r="S67" s="1434" t="b">
        <v>1</v>
      </c>
      <c r="T67" s="1434" t="b">
        <v>1</v>
      </c>
      <c r="U67" s="1434" t="b">
        <v>1</v>
      </c>
      <c r="V67" s="1434" t="s">
        <v>2448</v>
      </c>
      <c r="W67" s="1434" t="s">
        <v>2255</v>
      </c>
      <c r="X67" s="1435" t="s">
        <v>2449</v>
      </c>
      <c r="Y67" s="1434" t="s">
        <v>113</v>
      </c>
    </row>
    <row r="68">
      <c r="A68" s="1419"/>
      <c r="B68" s="1421" t="b">
        <v>0</v>
      </c>
      <c r="C68" s="1421" t="b">
        <v>0</v>
      </c>
      <c r="D68" s="1420" t="b">
        <v>1</v>
      </c>
      <c r="E68" s="1421" t="b">
        <v>0</v>
      </c>
      <c r="F68" s="1421" t="b">
        <v>0</v>
      </c>
      <c r="G68" s="1421" t="b">
        <v>0</v>
      </c>
      <c r="H68" s="1421" t="b">
        <v>0</v>
      </c>
      <c r="I68" s="1421" t="b">
        <v>0</v>
      </c>
      <c r="J68" s="1421" t="b">
        <v>0</v>
      </c>
      <c r="K68" s="1422" t="s">
        <v>1884</v>
      </c>
      <c r="L68" s="1423" t="s">
        <v>2450</v>
      </c>
      <c r="M68" s="1424">
        <v>7.0</v>
      </c>
      <c r="N68" s="1424" t="s">
        <v>2306</v>
      </c>
      <c r="O68" s="1436" t="b">
        <v>1</v>
      </c>
      <c r="P68" s="1425" t="b">
        <v>0</v>
      </c>
      <c r="Q68" s="1426" t="s">
        <v>2253</v>
      </c>
      <c r="R68" s="1426" t="s">
        <v>2368</v>
      </c>
      <c r="S68" s="1426" t="b">
        <v>1</v>
      </c>
      <c r="T68" s="1426" t="b">
        <v>1</v>
      </c>
      <c r="U68" s="1426" t="b">
        <v>0</v>
      </c>
      <c r="V68" s="1427"/>
      <c r="W68" s="1426" t="s">
        <v>2308</v>
      </c>
      <c r="X68" s="1437" t="s">
        <v>2451</v>
      </c>
      <c r="Y68" s="1426" t="s">
        <v>113</v>
      </c>
    </row>
    <row r="69">
      <c r="A69" s="1419"/>
      <c r="B69" s="1428" t="b">
        <v>0</v>
      </c>
      <c r="C69" s="1429" t="b">
        <v>0</v>
      </c>
      <c r="D69" s="1429" t="b">
        <v>0</v>
      </c>
      <c r="E69" s="1428" t="b">
        <v>1</v>
      </c>
      <c r="F69" s="1429" t="b">
        <v>0</v>
      </c>
      <c r="G69" s="1429" t="b">
        <v>0</v>
      </c>
      <c r="H69" s="1429" t="b">
        <v>0</v>
      </c>
      <c r="I69" s="1429" t="b">
        <v>0</v>
      </c>
      <c r="J69" s="1428" t="b">
        <v>1</v>
      </c>
      <c r="K69" s="1430" t="s">
        <v>1981</v>
      </c>
      <c r="L69" s="1431" t="s">
        <v>2452</v>
      </c>
      <c r="M69" s="1432">
        <v>5.0</v>
      </c>
      <c r="N69" s="1432" t="s">
        <v>2306</v>
      </c>
      <c r="O69" s="1438" t="b">
        <v>1</v>
      </c>
      <c r="P69" s="1433" t="b">
        <v>0</v>
      </c>
      <c r="Q69" s="1434" t="s">
        <v>2253</v>
      </c>
      <c r="R69" s="1434" t="s">
        <v>2254</v>
      </c>
      <c r="S69" s="1434" t="b">
        <v>1</v>
      </c>
      <c r="T69" s="1434" t="b">
        <v>1</v>
      </c>
      <c r="U69" s="1439" t="b">
        <v>0</v>
      </c>
      <c r="V69" s="1439"/>
      <c r="W69" s="1434" t="s">
        <v>2308</v>
      </c>
      <c r="X69" s="1435" t="s">
        <v>2453</v>
      </c>
      <c r="Y69" s="1434" t="s">
        <v>113</v>
      </c>
    </row>
    <row r="70">
      <c r="A70" s="1419"/>
      <c r="B70" s="1421" t="b">
        <v>0</v>
      </c>
      <c r="C70" s="1421" t="b">
        <v>0</v>
      </c>
      <c r="D70" s="1421" t="b">
        <v>0</v>
      </c>
      <c r="E70" s="1420" t="b">
        <v>1</v>
      </c>
      <c r="F70" s="1421" t="b">
        <v>0</v>
      </c>
      <c r="G70" s="1421" t="b">
        <v>0</v>
      </c>
      <c r="H70" s="1421" t="b">
        <v>0</v>
      </c>
      <c r="I70" s="1421" t="b">
        <v>0</v>
      </c>
      <c r="J70" s="1421" t="b">
        <v>0</v>
      </c>
      <c r="K70" s="1422" t="s">
        <v>2454</v>
      </c>
      <c r="L70" s="1423" t="s">
        <v>2455</v>
      </c>
      <c r="M70" s="1424">
        <v>6.0</v>
      </c>
      <c r="N70" s="1424" t="s">
        <v>2306</v>
      </c>
      <c r="O70" s="1436" t="b">
        <v>1</v>
      </c>
      <c r="P70" s="1425" t="b">
        <v>0</v>
      </c>
      <c r="Q70" s="1426" t="s">
        <v>2253</v>
      </c>
      <c r="R70" s="1426" t="s">
        <v>2254</v>
      </c>
      <c r="S70" s="1426" t="b">
        <v>1</v>
      </c>
      <c r="T70" s="1426" t="b">
        <v>1</v>
      </c>
      <c r="U70" s="1427" t="b">
        <v>0</v>
      </c>
      <c r="V70" s="1427"/>
      <c r="W70" s="1426" t="s">
        <v>2308</v>
      </c>
      <c r="X70" s="1437" t="s">
        <v>2456</v>
      </c>
      <c r="Y70" s="1426" t="s">
        <v>113</v>
      </c>
    </row>
    <row r="71">
      <c r="A71" s="1419"/>
      <c r="B71" s="1428" t="b">
        <v>0</v>
      </c>
      <c r="C71" s="1429" t="b">
        <v>0</v>
      </c>
      <c r="D71" s="1429" t="b">
        <v>0</v>
      </c>
      <c r="E71" s="1428" t="b">
        <v>1</v>
      </c>
      <c r="F71" s="1429" t="b">
        <v>0</v>
      </c>
      <c r="G71" s="1429" t="b">
        <v>0</v>
      </c>
      <c r="H71" s="1429" t="b">
        <v>0</v>
      </c>
      <c r="I71" s="1429" t="b">
        <v>0</v>
      </c>
      <c r="J71" s="1428" t="b">
        <v>1</v>
      </c>
      <c r="K71" s="1430" t="s">
        <v>1961</v>
      </c>
      <c r="L71" s="1431" t="s">
        <v>2457</v>
      </c>
      <c r="M71" s="1432">
        <v>4.0</v>
      </c>
      <c r="N71" s="1432" t="s">
        <v>2306</v>
      </c>
      <c r="O71" s="1438" t="b">
        <v>1</v>
      </c>
      <c r="P71" s="1433" t="b">
        <v>0</v>
      </c>
      <c r="Q71" s="1434" t="s">
        <v>2253</v>
      </c>
      <c r="R71" s="1434" t="s">
        <v>2269</v>
      </c>
      <c r="S71" s="1434" t="b">
        <v>1</v>
      </c>
      <c r="T71" s="1434" t="b">
        <v>1</v>
      </c>
      <c r="U71" s="1439" t="b">
        <v>0</v>
      </c>
      <c r="V71" s="1439"/>
      <c r="W71" s="1439"/>
      <c r="X71" s="1435" t="s">
        <v>2458</v>
      </c>
      <c r="Y71" s="1434" t="s">
        <v>113</v>
      </c>
    </row>
    <row r="72">
      <c r="A72" s="1419"/>
      <c r="B72" s="1421" t="b">
        <v>0</v>
      </c>
      <c r="C72" s="1421" t="b">
        <v>0</v>
      </c>
      <c r="D72" s="1421" t="b">
        <v>0</v>
      </c>
      <c r="E72" s="1421" t="b">
        <v>0</v>
      </c>
      <c r="F72" s="1421" t="b">
        <v>0</v>
      </c>
      <c r="G72" s="1420" t="b">
        <v>1</v>
      </c>
      <c r="H72" s="1421" t="b">
        <v>0</v>
      </c>
      <c r="I72" s="1421" t="b">
        <v>0</v>
      </c>
      <c r="J72" s="1421" t="b">
        <v>0</v>
      </c>
      <c r="K72" s="1422" t="s">
        <v>1991</v>
      </c>
      <c r="L72" s="1423" t="s">
        <v>2459</v>
      </c>
      <c r="M72" s="1424">
        <v>5.0</v>
      </c>
      <c r="N72" s="1424" t="s">
        <v>2306</v>
      </c>
      <c r="O72" s="1425" t="b">
        <v>0</v>
      </c>
      <c r="P72" s="1425" t="b">
        <v>0</v>
      </c>
      <c r="Q72" s="1426" t="s">
        <v>2253</v>
      </c>
      <c r="R72" s="1426" t="s">
        <v>2359</v>
      </c>
      <c r="S72" s="1426" t="b">
        <v>1</v>
      </c>
      <c r="T72" s="1426" t="b">
        <v>1</v>
      </c>
      <c r="U72" s="1426" t="b">
        <v>1</v>
      </c>
      <c r="V72" s="1426" t="s">
        <v>2448</v>
      </c>
      <c r="W72" s="1426" t="s">
        <v>2255</v>
      </c>
      <c r="X72" s="1437" t="s">
        <v>2460</v>
      </c>
      <c r="Y72" s="1426" t="s">
        <v>113</v>
      </c>
    </row>
    <row r="73">
      <c r="A73" s="1440" t="s">
        <v>2461</v>
      </c>
      <c r="B73" s="1429" t="b">
        <v>0</v>
      </c>
      <c r="C73" s="1429" t="b">
        <v>0</v>
      </c>
      <c r="D73" s="1429" t="b">
        <v>0</v>
      </c>
      <c r="E73" s="1428" t="b">
        <v>1</v>
      </c>
      <c r="F73" s="1429" t="b">
        <v>0</v>
      </c>
      <c r="G73" s="1428" t="b">
        <v>1</v>
      </c>
      <c r="H73" s="1429" t="b">
        <v>0</v>
      </c>
      <c r="I73" s="1429" t="b">
        <v>0</v>
      </c>
      <c r="J73" s="1429" t="b">
        <v>0</v>
      </c>
      <c r="K73" s="1430" t="s">
        <v>1971</v>
      </c>
      <c r="L73" s="1431" t="s">
        <v>2462</v>
      </c>
      <c r="M73" s="1432">
        <v>4.0</v>
      </c>
      <c r="N73" s="1432" t="s">
        <v>2306</v>
      </c>
      <c r="O73" s="1438" t="b">
        <v>1</v>
      </c>
      <c r="P73" s="1433" t="b">
        <v>0</v>
      </c>
      <c r="Q73" s="1434" t="s">
        <v>2253</v>
      </c>
      <c r="R73" s="1434" t="s">
        <v>2269</v>
      </c>
      <c r="S73" s="1434" t="b">
        <v>1</v>
      </c>
      <c r="T73" s="1434" t="b">
        <v>1</v>
      </c>
      <c r="U73" s="1439" t="b">
        <v>0</v>
      </c>
      <c r="V73" s="1439"/>
      <c r="W73" s="1434" t="s">
        <v>2308</v>
      </c>
      <c r="X73" s="1435" t="s">
        <v>2463</v>
      </c>
      <c r="Y73" s="1434" t="s">
        <v>113</v>
      </c>
    </row>
    <row r="74">
      <c r="A74" s="1419"/>
      <c r="B74" s="1420" t="b">
        <v>0</v>
      </c>
      <c r="C74" s="1421" t="b">
        <v>0</v>
      </c>
      <c r="D74" s="1421" t="b">
        <v>0</v>
      </c>
      <c r="E74" s="1421" t="b">
        <v>0</v>
      </c>
      <c r="F74" s="1421" t="b">
        <v>0</v>
      </c>
      <c r="G74" s="1421" t="b">
        <v>0</v>
      </c>
      <c r="H74" s="1421" t="b">
        <v>0</v>
      </c>
      <c r="I74" s="1420" t="b">
        <v>1</v>
      </c>
      <c r="J74" s="1420" t="b">
        <v>1</v>
      </c>
      <c r="K74" s="1422" t="s">
        <v>2001</v>
      </c>
      <c r="L74" s="1423" t="s">
        <v>2464</v>
      </c>
      <c r="M74" s="1424">
        <v>5.0</v>
      </c>
      <c r="N74" s="1424" t="s">
        <v>2302</v>
      </c>
      <c r="O74" s="1425" t="b">
        <v>0</v>
      </c>
      <c r="P74" s="1436" t="b">
        <v>1</v>
      </c>
      <c r="Q74" s="1426" t="s">
        <v>2264</v>
      </c>
      <c r="R74" s="1426" t="s">
        <v>2269</v>
      </c>
      <c r="S74" s="1426" t="b">
        <v>1</v>
      </c>
      <c r="T74" s="1427" t="b">
        <v>0</v>
      </c>
      <c r="U74" s="1427" t="b">
        <v>0</v>
      </c>
      <c r="V74" s="1427"/>
      <c r="W74" s="1426" t="s">
        <v>2264</v>
      </c>
      <c r="X74" s="1437" t="s">
        <v>2465</v>
      </c>
      <c r="Y74" s="1426" t="s">
        <v>113</v>
      </c>
    </row>
    <row r="75">
      <c r="A75" s="1419"/>
      <c r="B75" s="1429" t="b">
        <v>0</v>
      </c>
      <c r="C75" s="1429" t="b">
        <v>0</v>
      </c>
      <c r="D75" s="1428" t="b">
        <v>1</v>
      </c>
      <c r="E75" s="1428" t="b">
        <v>1</v>
      </c>
      <c r="F75" s="1429" t="b">
        <v>0</v>
      </c>
      <c r="G75" s="1429" t="b">
        <v>0</v>
      </c>
      <c r="H75" s="1429" t="b">
        <v>0</v>
      </c>
      <c r="I75" s="1429" t="b">
        <v>0</v>
      </c>
      <c r="J75" s="1429" t="b">
        <v>0</v>
      </c>
      <c r="K75" s="1430" t="s">
        <v>2011</v>
      </c>
      <c r="L75" s="1431" t="s">
        <v>2466</v>
      </c>
      <c r="M75" s="1432">
        <v>5.0</v>
      </c>
      <c r="N75" s="1432" t="s">
        <v>2282</v>
      </c>
      <c r="O75" s="1433" t="b">
        <v>0</v>
      </c>
      <c r="P75" s="1433" t="b">
        <v>0</v>
      </c>
      <c r="Q75" s="1434" t="s">
        <v>2253</v>
      </c>
      <c r="R75" s="1434" t="s">
        <v>2311</v>
      </c>
      <c r="S75" s="1434" t="b">
        <v>1</v>
      </c>
      <c r="T75" s="1434" t="b">
        <v>1</v>
      </c>
      <c r="U75" s="1439" t="b">
        <v>0</v>
      </c>
      <c r="V75" s="1439"/>
      <c r="W75" s="1434" t="s">
        <v>2467</v>
      </c>
      <c r="X75" s="1435" t="s">
        <v>2468</v>
      </c>
      <c r="Y75" s="1434" t="s">
        <v>113</v>
      </c>
    </row>
    <row r="76">
      <c r="A76" s="1419"/>
      <c r="B76" s="1420" t="b">
        <v>0</v>
      </c>
      <c r="C76" s="1421" t="b">
        <v>0</v>
      </c>
      <c r="D76" s="1421" t="b">
        <v>0</v>
      </c>
      <c r="E76" s="1421" t="b">
        <v>0</v>
      </c>
      <c r="F76" s="1421" t="b">
        <v>0</v>
      </c>
      <c r="G76" s="1421" t="b">
        <v>0</v>
      </c>
      <c r="H76" s="1421" t="b">
        <v>0</v>
      </c>
      <c r="I76" s="1421" t="b">
        <v>0</v>
      </c>
      <c r="J76" s="1420" t="b">
        <v>1</v>
      </c>
      <c r="K76" s="1422" t="s">
        <v>1933</v>
      </c>
      <c r="L76" s="1423" t="s">
        <v>2469</v>
      </c>
      <c r="M76" s="1424">
        <v>6.0</v>
      </c>
      <c r="N76" s="1424" t="s">
        <v>2258</v>
      </c>
      <c r="O76" s="1425" t="b">
        <v>0</v>
      </c>
      <c r="P76" s="1425" t="b">
        <v>0</v>
      </c>
      <c r="Q76" s="1426" t="s">
        <v>2411</v>
      </c>
      <c r="R76" s="1426" t="s">
        <v>2269</v>
      </c>
      <c r="S76" s="1426" t="b">
        <v>1</v>
      </c>
      <c r="T76" s="1426" t="b">
        <v>1</v>
      </c>
      <c r="U76" s="1426" t="b">
        <v>1</v>
      </c>
      <c r="V76" s="1426" t="s">
        <v>2470</v>
      </c>
      <c r="W76" s="1426" t="s">
        <v>2299</v>
      </c>
      <c r="X76" s="1437" t="s">
        <v>2471</v>
      </c>
      <c r="Y76" s="1426" t="s">
        <v>113</v>
      </c>
    </row>
    <row r="77">
      <c r="A77" s="1419"/>
      <c r="B77" s="1428" t="b">
        <v>1</v>
      </c>
      <c r="C77" s="1429" t="b">
        <v>0</v>
      </c>
      <c r="D77" s="1428" t="b">
        <v>1</v>
      </c>
      <c r="E77" s="1428" t="b">
        <v>1</v>
      </c>
      <c r="F77" s="1429" t="b">
        <v>0</v>
      </c>
      <c r="G77" s="1429" t="b">
        <v>0</v>
      </c>
      <c r="H77" s="1429" t="b">
        <v>0</v>
      </c>
      <c r="I77" s="1429" t="b">
        <v>0</v>
      </c>
      <c r="J77" s="1428" t="b">
        <v>1</v>
      </c>
      <c r="K77" s="1430" t="s">
        <v>1998</v>
      </c>
      <c r="L77" s="1431" t="s">
        <v>2472</v>
      </c>
      <c r="M77" s="1432">
        <v>2.0</v>
      </c>
      <c r="N77" s="1432" t="s">
        <v>2252</v>
      </c>
      <c r="O77" s="1433" t="b">
        <v>0</v>
      </c>
      <c r="P77" s="1433" t="b">
        <v>0</v>
      </c>
      <c r="Q77" s="1434" t="s">
        <v>2253</v>
      </c>
      <c r="R77" s="1434" t="s">
        <v>2311</v>
      </c>
      <c r="S77" s="1434" t="b">
        <v>1</v>
      </c>
      <c r="T77" s="1434" t="b">
        <v>1</v>
      </c>
      <c r="U77" s="1434" t="b">
        <v>1</v>
      </c>
      <c r="V77" s="1434" t="s">
        <v>2473</v>
      </c>
      <c r="W77" s="1434" t="s">
        <v>2313</v>
      </c>
      <c r="X77" s="1435" t="s">
        <v>2474</v>
      </c>
      <c r="Y77" s="1434" t="s">
        <v>113</v>
      </c>
    </row>
    <row r="78">
      <c r="A78" s="1419"/>
      <c r="B78" s="1420" t="b">
        <v>0</v>
      </c>
      <c r="C78" s="1421" t="b">
        <v>0</v>
      </c>
      <c r="D78" s="1420" t="b">
        <v>1</v>
      </c>
      <c r="E78" s="1420" t="b">
        <v>1</v>
      </c>
      <c r="F78" s="1421" t="b">
        <v>0</v>
      </c>
      <c r="G78" s="1421" t="b">
        <v>0</v>
      </c>
      <c r="H78" s="1421" t="b">
        <v>0</v>
      </c>
      <c r="I78" s="1421" t="b">
        <v>0</v>
      </c>
      <c r="J78" s="1420" t="b">
        <v>1</v>
      </c>
      <c r="K78" s="1422" t="s">
        <v>1980</v>
      </c>
      <c r="L78" s="1423" t="s">
        <v>2475</v>
      </c>
      <c r="M78" s="1424">
        <v>4.0</v>
      </c>
      <c r="N78" s="1424" t="s">
        <v>2268</v>
      </c>
      <c r="O78" s="1436" t="b">
        <v>1</v>
      </c>
      <c r="P78" s="1425" t="b">
        <v>0</v>
      </c>
      <c r="Q78" s="1426" t="s">
        <v>2253</v>
      </c>
      <c r="R78" s="1426" t="s">
        <v>2476</v>
      </c>
      <c r="S78" s="1426" t="b">
        <v>1</v>
      </c>
      <c r="T78" s="1426" t="b">
        <v>1</v>
      </c>
      <c r="U78" s="1426" t="b">
        <v>1</v>
      </c>
      <c r="V78" s="1426" t="s">
        <v>2477</v>
      </c>
      <c r="W78" s="1426" t="s">
        <v>2308</v>
      </c>
      <c r="X78" s="1437" t="s">
        <v>2478</v>
      </c>
      <c r="Y78" s="1426" t="s">
        <v>113</v>
      </c>
    </row>
    <row r="79">
      <c r="A79" s="1419"/>
      <c r="B79" s="1428" t="b">
        <v>0</v>
      </c>
      <c r="C79" s="1429" t="b">
        <v>0</v>
      </c>
      <c r="D79" s="1428" t="b">
        <v>1</v>
      </c>
      <c r="E79" s="1428" t="b">
        <v>1</v>
      </c>
      <c r="F79" s="1429" t="b">
        <v>0</v>
      </c>
      <c r="G79" s="1429" t="b">
        <v>0</v>
      </c>
      <c r="H79" s="1429" t="b">
        <v>0</v>
      </c>
      <c r="I79" s="1429" t="b">
        <v>0</v>
      </c>
      <c r="J79" s="1428" t="b">
        <v>1</v>
      </c>
      <c r="K79" s="1430" t="s">
        <v>1935</v>
      </c>
      <c r="L79" s="1431" t="s">
        <v>2479</v>
      </c>
      <c r="M79" s="1432">
        <v>8.0</v>
      </c>
      <c r="N79" s="1432" t="s">
        <v>2268</v>
      </c>
      <c r="O79" s="1438" t="b">
        <v>1</v>
      </c>
      <c r="P79" s="1433" t="b">
        <v>0</v>
      </c>
      <c r="Q79" s="1434" t="s">
        <v>2411</v>
      </c>
      <c r="R79" s="1434" t="s">
        <v>2269</v>
      </c>
      <c r="S79" s="1434" t="b">
        <v>1</v>
      </c>
      <c r="T79" s="1434" t="b">
        <v>1</v>
      </c>
      <c r="U79" s="1434" t="b">
        <v>1</v>
      </c>
      <c r="V79" s="1434" t="s">
        <v>2480</v>
      </c>
      <c r="W79" s="1434" t="s">
        <v>2481</v>
      </c>
      <c r="X79" s="1435" t="s">
        <v>2482</v>
      </c>
      <c r="Y79" s="1434" t="s">
        <v>113</v>
      </c>
    </row>
    <row r="80">
      <c r="A80" s="1419"/>
      <c r="B80" s="1421" t="b">
        <v>0</v>
      </c>
      <c r="C80" s="1421" t="b">
        <v>0</v>
      </c>
      <c r="D80" s="1421" t="b">
        <v>0</v>
      </c>
      <c r="E80" s="1421" t="b">
        <v>0</v>
      </c>
      <c r="F80" s="1421" t="b">
        <v>0</v>
      </c>
      <c r="G80" s="1420" t="b">
        <v>1</v>
      </c>
      <c r="H80" s="1421" t="b">
        <v>0</v>
      </c>
      <c r="I80" s="1421" t="b">
        <v>0</v>
      </c>
      <c r="J80" s="1421" t="b">
        <v>0</v>
      </c>
      <c r="K80" s="1422" t="s">
        <v>2008</v>
      </c>
      <c r="L80" s="1423" t="s">
        <v>2483</v>
      </c>
      <c r="M80" s="1424">
        <v>2.0</v>
      </c>
      <c r="N80" s="1424" t="s">
        <v>2268</v>
      </c>
      <c r="O80" s="1425" t="b">
        <v>0</v>
      </c>
      <c r="P80" s="1425" t="b">
        <v>0</v>
      </c>
      <c r="Q80" s="1426" t="s">
        <v>2253</v>
      </c>
      <c r="R80" s="1426" t="s">
        <v>2311</v>
      </c>
      <c r="S80" s="1426" t="b">
        <v>1</v>
      </c>
      <c r="T80" s="1426" t="b">
        <v>1</v>
      </c>
      <c r="U80" s="1426" t="b">
        <v>1</v>
      </c>
      <c r="V80" s="1426" t="s">
        <v>2484</v>
      </c>
      <c r="W80" s="1426" t="s">
        <v>2485</v>
      </c>
      <c r="X80" s="1437" t="s">
        <v>2486</v>
      </c>
      <c r="Y80" s="1426" t="s">
        <v>113</v>
      </c>
    </row>
    <row r="81">
      <c r="A81" s="1419"/>
      <c r="B81" s="1428" t="b">
        <v>0</v>
      </c>
      <c r="C81" s="1429" t="b">
        <v>0</v>
      </c>
      <c r="D81" s="1429" t="b">
        <v>0</v>
      </c>
      <c r="E81" s="1429" t="b">
        <v>0</v>
      </c>
      <c r="F81" s="1429" t="b">
        <v>0</v>
      </c>
      <c r="G81" s="1429" t="b">
        <v>0</v>
      </c>
      <c r="H81" s="1428" t="b">
        <v>1</v>
      </c>
      <c r="I81" s="1428" t="b">
        <v>1</v>
      </c>
      <c r="J81" s="1428" t="b">
        <v>1</v>
      </c>
      <c r="K81" s="1430" t="s">
        <v>1979</v>
      </c>
      <c r="L81" s="1431" t="s">
        <v>2487</v>
      </c>
      <c r="M81" s="1432">
        <v>3.0</v>
      </c>
      <c r="N81" s="1432" t="s">
        <v>2258</v>
      </c>
      <c r="O81" s="1433" t="b">
        <v>0</v>
      </c>
      <c r="P81" s="1433" t="b">
        <v>0</v>
      </c>
      <c r="Q81" s="1434" t="s">
        <v>2488</v>
      </c>
      <c r="R81" s="1434" t="s">
        <v>2254</v>
      </c>
      <c r="S81" s="1439" t="b">
        <v>0</v>
      </c>
      <c r="T81" s="1434" t="b">
        <v>1</v>
      </c>
      <c r="U81" s="1439" t="b">
        <v>0</v>
      </c>
      <c r="V81" s="1439"/>
      <c r="W81" s="1434" t="s">
        <v>2255</v>
      </c>
      <c r="X81" s="1435" t="s">
        <v>2489</v>
      </c>
      <c r="Y81" s="1434" t="s">
        <v>113</v>
      </c>
    </row>
    <row r="82">
      <c r="A82" s="1419"/>
      <c r="B82" s="1420" t="b">
        <v>1</v>
      </c>
      <c r="C82" s="1421" t="b">
        <v>0</v>
      </c>
      <c r="D82" s="1420" t="b">
        <v>1</v>
      </c>
      <c r="E82" s="1421" t="b">
        <v>0</v>
      </c>
      <c r="F82" s="1420" t="b">
        <v>1</v>
      </c>
      <c r="G82" s="1421" t="b">
        <v>0</v>
      </c>
      <c r="H82" s="1421" t="b">
        <v>0</v>
      </c>
      <c r="I82" s="1421" t="b">
        <v>0</v>
      </c>
      <c r="J82" s="1421" t="b">
        <v>0</v>
      </c>
      <c r="K82" s="1422" t="s">
        <v>1989</v>
      </c>
      <c r="L82" s="1423" t="s">
        <v>2490</v>
      </c>
      <c r="M82" s="1424">
        <v>3.0</v>
      </c>
      <c r="N82" s="1424" t="s">
        <v>2306</v>
      </c>
      <c r="O82" s="1425" t="b">
        <v>0</v>
      </c>
      <c r="P82" s="1425" t="b">
        <v>0</v>
      </c>
      <c r="Q82" s="1426" t="s">
        <v>2253</v>
      </c>
      <c r="R82" s="1426" t="s">
        <v>2259</v>
      </c>
      <c r="S82" s="1426" t="b">
        <v>1</v>
      </c>
      <c r="T82" s="1426" t="b">
        <v>1</v>
      </c>
      <c r="U82" s="1427" t="b">
        <v>0</v>
      </c>
      <c r="V82" s="1427"/>
      <c r="W82" s="1426" t="s">
        <v>2255</v>
      </c>
      <c r="X82" s="1437" t="s">
        <v>2491</v>
      </c>
      <c r="Y82" s="1426" t="s">
        <v>113</v>
      </c>
    </row>
    <row r="83">
      <c r="A83" s="1419"/>
      <c r="B83" s="1429" t="b">
        <v>0</v>
      </c>
      <c r="C83" s="1428" t="b">
        <v>0</v>
      </c>
      <c r="D83" s="1428" t="b">
        <v>1</v>
      </c>
      <c r="E83" s="1428" t="b">
        <v>1</v>
      </c>
      <c r="F83" s="1429" t="b">
        <v>0</v>
      </c>
      <c r="G83" s="1429" t="b">
        <v>0</v>
      </c>
      <c r="H83" s="1429" t="b">
        <v>0</v>
      </c>
      <c r="I83" s="1429" t="b">
        <v>0</v>
      </c>
      <c r="J83" s="1429" t="b">
        <v>0</v>
      </c>
      <c r="K83" s="1430" t="s">
        <v>2007</v>
      </c>
      <c r="L83" s="1431" t="s">
        <v>2492</v>
      </c>
      <c r="M83" s="1432">
        <v>1.0</v>
      </c>
      <c r="N83" s="1432" t="s">
        <v>2268</v>
      </c>
      <c r="O83" s="1433" t="b">
        <v>0</v>
      </c>
      <c r="P83" s="1433" t="b">
        <v>0</v>
      </c>
      <c r="Q83" s="1434" t="s">
        <v>2253</v>
      </c>
      <c r="R83" s="1434" t="s">
        <v>2259</v>
      </c>
      <c r="S83" s="1434" t="b">
        <v>1</v>
      </c>
      <c r="T83" s="1434" t="b">
        <v>1</v>
      </c>
      <c r="U83" s="1434" t="b">
        <v>1</v>
      </c>
      <c r="V83" s="1434" t="s">
        <v>2493</v>
      </c>
      <c r="W83" s="1434" t="s">
        <v>2255</v>
      </c>
      <c r="X83" s="1435" t="s">
        <v>2494</v>
      </c>
      <c r="Y83" s="1434" t="s">
        <v>113</v>
      </c>
    </row>
    <row r="84">
      <c r="A84" s="1419"/>
      <c r="B84" s="1420" t="b">
        <v>0</v>
      </c>
      <c r="C84" s="1421" t="b">
        <v>0</v>
      </c>
      <c r="D84" s="1420" t="b">
        <v>1</v>
      </c>
      <c r="E84" s="1421" t="b">
        <v>0</v>
      </c>
      <c r="F84" s="1421" t="b">
        <v>0</v>
      </c>
      <c r="G84" s="1421" t="b">
        <v>0</v>
      </c>
      <c r="H84" s="1421" t="b">
        <v>0</v>
      </c>
      <c r="I84" s="1420" t="b">
        <v>1</v>
      </c>
      <c r="J84" s="1420" t="b">
        <v>1</v>
      </c>
      <c r="K84" s="1422" t="s">
        <v>1943</v>
      </c>
      <c r="L84" s="1423" t="s">
        <v>2495</v>
      </c>
      <c r="M84" s="1424">
        <v>6.0</v>
      </c>
      <c r="N84" s="1424" t="s">
        <v>2282</v>
      </c>
      <c r="O84" s="1425" t="b">
        <v>0</v>
      </c>
      <c r="P84" s="1425" t="b">
        <v>0</v>
      </c>
      <c r="Q84" s="1426" t="s">
        <v>2264</v>
      </c>
      <c r="R84" s="1426" t="s">
        <v>2283</v>
      </c>
      <c r="S84" s="1426" t="b">
        <v>1</v>
      </c>
      <c r="T84" s="1426" t="b">
        <v>1</v>
      </c>
      <c r="U84" s="1426" t="b">
        <v>1</v>
      </c>
      <c r="V84" s="1426" t="s">
        <v>2496</v>
      </c>
      <c r="W84" s="1426" t="s">
        <v>2255</v>
      </c>
      <c r="X84" s="1437" t="s">
        <v>2497</v>
      </c>
      <c r="Y84" s="1426" t="s">
        <v>113</v>
      </c>
    </row>
    <row r="85">
      <c r="A85" s="1419"/>
      <c r="B85" s="1428" t="b">
        <v>1</v>
      </c>
      <c r="C85" s="1429" t="b">
        <v>0</v>
      </c>
      <c r="D85" s="1429" t="b">
        <v>0</v>
      </c>
      <c r="E85" s="1429" t="b">
        <v>0</v>
      </c>
      <c r="F85" s="1429" t="b">
        <v>0</v>
      </c>
      <c r="G85" s="1429" t="b">
        <v>0</v>
      </c>
      <c r="H85" s="1428" t="b">
        <v>1</v>
      </c>
      <c r="I85" s="1429" t="b">
        <v>0</v>
      </c>
      <c r="J85" s="1428" t="b">
        <v>1</v>
      </c>
      <c r="K85" s="1430" t="s">
        <v>2021</v>
      </c>
      <c r="L85" s="1431" t="s">
        <v>2498</v>
      </c>
      <c r="M85" s="1432">
        <v>5.0</v>
      </c>
      <c r="N85" s="1432" t="s">
        <v>2385</v>
      </c>
      <c r="O85" s="1433" t="b">
        <v>0</v>
      </c>
      <c r="P85" s="1433" t="b">
        <v>0</v>
      </c>
      <c r="Q85" s="1434" t="s">
        <v>2264</v>
      </c>
      <c r="R85" s="1434" t="s">
        <v>2259</v>
      </c>
      <c r="S85" s="1434" t="b">
        <v>1</v>
      </c>
      <c r="T85" s="1434" t="b">
        <v>1</v>
      </c>
      <c r="U85" s="1434" t="b">
        <v>1</v>
      </c>
      <c r="V85" s="1434" t="s">
        <v>2499</v>
      </c>
      <c r="W85" s="1434" t="s">
        <v>2500</v>
      </c>
      <c r="X85" s="1435" t="s">
        <v>2501</v>
      </c>
      <c r="Y85" s="1434" t="s">
        <v>113</v>
      </c>
    </row>
    <row r="86">
      <c r="A86" s="1419"/>
      <c r="B86" s="1420" t="b">
        <v>0</v>
      </c>
      <c r="C86" s="1420" t="b">
        <v>1</v>
      </c>
      <c r="D86" s="1421" t="b">
        <v>0</v>
      </c>
      <c r="E86" s="1421" t="b">
        <v>0</v>
      </c>
      <c r="F86" s="1421" t="b">
        <v>0</v>
      </c>
      <c r="G86" s="1421" t="b">
        <v>0</v>
      </c>
      <c r="H86" s="1420" t="b">
        <v>1</v>
      </c>
      <c r="I86" s="1420" t="b">
        <v>1</v>
      </c>
      <c r="J86" s="1420" t="b">
        <v>1</v>
      </c>
      <c r="K86" s="1422" t="s">
        <v>2018</v>
      </c>
      <c r="L86" s="1423" t="s">
        <v>2502</v>
      </c>
      <c r="M86" s="1424">
        <v>2.0</v>
      </c>
      <c r="N86" s="1424" t="s">
        <v>2273</v>
      </c>
      <c r="O86" s="1436" t="b">
        <v>1</v>
      </c>
      <c r="P86" s="1425" t="b">
        <v>0</v>
      </c>
      <c r="Q86" s="1426" t="s">
        <v>2253</v>
      </c>
      <c r="R86" s="1426" t="s">
        <v>2287</v>
      </c>
      <c r="S86" s="1426" t="b">
        <v>1</v>
      </c>
      <c r="T86" s="1426" t="b">
        <v>1</v>
      </c>
      <c r="U86" s="1427" t="b">
        <v>0</v>
      </c>
      <c r="V86" s="1427"/>
      <c r="W86" s="1426" t="s">
        <v>2288</v>
      </c>
      <c r="X86" s="1437" t="s">
        <v>2503</v>
      </c>
      <c r="Y86" s="1426" t="s">
        <v>113</v>
      </c>
    </row>
    <row r="87">
      <c r="A87" s="1419"/>
      <c r="B87" s="1429" t="b">
        <v>0</v>
      </c>
      <c r="C87" s="1429" t="b">
        <v>0</v>
      </c>
      <c r="D87" s="1429" t="b">
        <v>0</v>
      </c>
      <c r="E87" s="1429" t="b">
        <v>0</v>
      </c>
      <c r="F87" s="1428" t="b">
        <v>1</v>
      </c>
      <c r="G87" s="1429" t="b">
        <v>0</v>
      </c>
      <c r="H87" s="1429" t="b">
        <v>0</v>
      </c>
      <c r="I87" s="1429" t="b">
        <v>0</v>
      </c>
      <c r="J87" s="1429" t="b">
        <v>0</v>
      </c>
      <c r="K87" s="1430" t="s">
        <v>1999</v>
      </c>
      <c r="L87" s="1431" t="s">
        <v>2504</v>
      </c>
      <c r="M87" s="1432">
        <v>3.0</v>
      </c>
      <c r="N87" s="1432" t="s">
        <v>2252</v>
      </c>
      <c r="O87" s="1438" t="b">
        <v>1</v>
      </c>
      <c r="P87" s="1433" t="b">
        <v>0</v>
      </c>
      <c r="Q87" s="1434" t="s">
        <v>2253</v>
      </c>
      <c r="R87" s="1434" t="s">
        <v>2269</v>
      </c>
      <c r="S87" s="1434" t="b">
        <v>1</v>
      </c>
      <c r="T87" s="1439" t="b">
        <v>0</v>
      </c>
      <c r="U87" s="1439" t="b">
        <v>0</v>
      </c>
      <c r="V87" s="1439"/>
      <c r="W87" s="1434" t="s">
        <v>2288</v>
      </c>
      <c r="X87" s="1435" t="s">
        <v>2505</v>
      </c>
      <c r="Y87" s="1434" t="s">
        <v>113</v>
      </c>
    </row>
    <row r="88">
      <c r="A88" s="1419"/>
      <c r="B88" s="1420" t="b">
        <v>1</v>
      </c>
      <c r="C88" s="1420" t="b">
        <v>1</v>
      </c>
      <c r="D88" s="1420" t="b">
        <v>1</v>
      </c>
      <c r="E88" s="1420" t="b">
        <v>1</v>
      </c>
      <c r="F88" s="1420" t="b">
        <v>1</v>
      </c>
      <c r="G88" s="1420" t="b">
        <v>1</v>
      </c>
      <c r="H88" s="1421" t="b">
        <v>0</v>
      </c>
      <c r="I88" s="1421" t="b">
        <v>0</v>
      </c>
      <c r="J88" s="1420" t="b">
        <v>0</v>
      </c>
      <c r="K88" s="1422" t="s">
        <v>2017</v>
      </c>
      <c r="L88" s="1423" t="s">
        <v>2506</v>
      </c>
      <c r="M88" s="1424">
        <v>1.0</v>
      </c>
      <c r="N88" s="1424" t="s">
        <v>2258</v>
      </c>
      <c r="O88" s="1425" t="b">
        <v>0</v>
      </c>
      <c r="P88" s="1425" t="b">
        <v>0</v>
      </c>
      <c r="Q88" s="1426" t="s">
        <v>2253</v>
      </c>
      <c r="R88" s="1426" t="s">
        <v>2311</v>
      </c>
      <c r="S88" s="1426" t="b">
        <v>1</v>
      </c>
      <c r="T88" s="1426" t="b">
        <v>1</v>
      </c>
      <c r="U88" s="1427" t="b">
        <v>0</v>
      </c>
      <c r="V88" s="1427"/>
      <c r="W88" s="1426" t="s">
        <v>2255</v>
      </c>
      <c r="X88" s="1437" t="s">
        <v>2507</v>
      </c>
      <c r="Y88" s="1426" t="s">
        <v>113</v>
      </c>
    </row>
    <row r="89">
      <c r="A89" s="1419"/>
      <c r="B89" s="1428" t="b">
        <v>1</v>
      </c>
      <c r="C89" s="1428" t="b">
        <v>1</v>
      </c>
      <c r="D89" s="1429" t="b">
        <v>0</v>
      </c>
      <c r="E89" s="1428" t="b">
        <v>0</v>
      </c>
      <c r="F89" s="1429" t="b">
        <v>0</v>
      </c>
      <c r="G89" s="1429" t="b">
        <v>0</v>
      </c>
      <c r="H89" s="1428" t="b">
        <v>1</v>
      </c>
      <c r="I89" s="1429" t="b">
        <v>0</v>
      </c>
      <c r="J89" s="1428" t="b">
        <v>1</v>
      </c>
      <c r="K89" s="1430" t="s">
        <v>1907</v>
      </c>
      <c r="L89" s="1431" t="s">
        <v>2508</v>
      </c>
      <c r="M89" s="1432">
        <v>0.0</v>
      </c>
      <c r="N89" s="1432" t="s">
        <v>2385</v>
      </c>
      <c r="O89" s="1438" t="b">
        <v>1</v>
      </c>
      <c r="P89" s="1433" t="b">
        <v>0</v>
      </c>
      <c r="Q89" s="1434" t="s">
        <v>2253</v>
      </c>
      <c r="R89" s="1434" t="s">
        <v>2287</v>
      </c>
      <c r="S89" s="1434" t="b">
        <v>1</v>
      </c>
      <c r="T89" s="1434" t="b">
        <v>1</v>
      </c>
      <c r="U89" s="1434" t="b">
        <v>1</v>
      </c>
      <c r="V89" s="1434" t="s">
        <v>2509</v>
      </c>
      <c r="W89" s="1434" t="s">
        <v>2288</v>
      </c>
      <c r="X89" s="1435" t="s">
        <v>2510</v>
      </c>
      <c r="Y89" s="1434" t="s">
        <v>113</v>
      </c>
    </row>
    <row r="90">
      <c r="A90" s="1419"/>
      <c r="B90" s="1420" t="b">
        <v>0</v>
      </c>
      <c r="C90" s="1421" t="b">
        <v>0</v>
      </c>
      <c r="D90" s="1421" t="b">
        <v>0</v>
      </c>
      <c r="E90" s="1421" t="b">
        <v>0</v>
      </c>
      <c r="F90" s="1421" t="b">
        <v>0</v>
      </c>
      <c r="G90" s="1421" t="b">
        <v>0</v>
      </c>
      <c r="H90" s="1420" t="b">
        <v>1</v>
      </c>
      <c r="I90" s="1420" t="b">
        <v>1</v>
      </c>
      <c r="J90" s="1420" t="b">
        <v>1</v>
      </c>
      <c r="K90" s="1422" t="s">
        <v>2028</v>
      </c>
      <c r="L90" s="1423" t="s">
        <v>2511</v>
      </c>
      <c r="M90" s="1424">
        <v>2.0</v>
      </c>
      <c r="N90" s="1424" t="s">
        <v>2252</v>
      </c>
      <c r="O90" s="1436" t="b">
        <v>1</v>
      </c>
      <c r="P90" s="1425" t="b">
        <v>0</v>
      </c>
      <c r="Q90" s="1426" t="s">
        <v>2253</v>
      </c>
      <c r="R90" s="1426" t="s">
        <v>2254</v>
      </c>
      <c r="S90" s="1426" t="b">
        <v>1</v>
      </c>
      <c r="T90" s="1426" t="b">
        <v>1</v>
      </c>
      <c r="U90" s="1426" t="b">
        <v>1</v>
      </c>
      <c r="V90" s="1426" t="s">
        <v>2512</v>
      </c>
      <c r="W90" s="1426" t="s">
        <v>2308</v>
      </c>
      <c r="X90" s="1437" t="s">
        <v>2513</v>
      </c>
      <c r="Y90" s="1426" t="s">
        <v>113</v>
      </c>
    </row>
    <row r="91">
      <c r="A91" s="1419"/>
      <c r="B91" s="1428" t="b">
        <v>1</v>
      </c>
      <c r="C91" s="1429" t="b">
        <v>0</v>
      </c>
      <c r="D91" s="1429" t="b">
        <v>0</v>
      </c>
      <c r="E91" s="1428" t="b">
        <v>1</v>
      </c>
      <c r="F91" s="1429" t="b">
        <v>0</v>
      </c>
      <c r="G91" s="1428" t="b">
        <v>1</v>
      </c>
      <c r="H91" s="1428" t="b">
        <v>1</v>
      </c>
      <c r="I91" s="1429" t="b">
        <v>0</v>
      </c>
      <c r="J91" s="1428" t="b">
        <v>1</v>
      </c>
      <c r="K91" s="1430" t="s">
        <v>2037</v>
      </c>
      <c r="L91" s="1431" t="s">
        <v>2514</v>
      </c>
      <c r="M91" s="1432">
        <v>2.0</v>
      </c>
      <c r="N91" s="1432" t="s">
        <v>2268</v>
      </c>
      <c r="O91" s="1433" t="b">
        <v>0</v>
      </c>
      <c r="P91" s="1433" t="b">
        <v>0</v>
      </c>
      <c r="Q91" s="1434" t="s">
        <v>2253</v>
      </c>
      <c r="R91" s="1434" t="s">
        <v>2311</v>
      </c>
      <c r="S91" s="1434" t="b">
        <v>1</v>
      </c>
      <c r="T91" s="1434" t="b">
        <v>1</v>
      </c>
      <c r="U91" s="1434" t="b">
        <v>1</v>
      </c>
      <c r="V91" s="1434" t="s">
        <v>2515</v>
      </c>
      <c r="W91" s="1434" t="s">
        <v>2261</v>
      </c>
      <c r="X91" s="1435" t="s">
        <v>2516</v>
      </c>
      <c r="Y91" s="1434" t="s">
        <v>113</v>
      </c>
    </row>
    <row r="92">
      <c r="A92" s="1419"/>
      <c r="B92" s="1421" t="b">
        <v>0</v>
      </c>
      <c r="C92" s="1421" t="b">
        <v>0</v>
      </c>
      <c r="D92" s="1420" t="b">
        <v>1</v>
      </c>
      <c r="E92" s="1420" t="b">
        <v>1</v>
      </c>
      <c r="F92" s="1420" t="b">
        <v>1</v>
      </c>
      <c r="G92" s="1420" t="b">
        <v>1</v>
      </c>
      <c r="H92" s="1420" t="b">
        <v>1</v>
      </c>
      <c r="I92" s="1421" t="b">
        <v>0</v>
      </c>
      <c r="J92" s="1421" t="b">
        <v>0</v>
      </c>
      <c r="K92" s="1422" t="s">
        <v>2009</v>
      </c>
      <c r="L92" s="1423" t="s">
        <v>2517</v>
      </c>
      <c r="M92" s="1424">
        <v>3.0</v>
      </c>
      <c r="N92" s="1424" t="s">
        <v>2252</v>
      </c>
      <c r="O92" s="1425" t="b">
        <v>0</v>
      </c>
      <c r="P92" s="1425" t="b">
        <v>0</v>
      </c>
      <c r="Q92" s="1426" t="s">
        <v>2253</v>
      </c>
      <c r="R92" s="1426" t="s">
        <v>2254</v>
      </c>
      <c r="S92" s="1426" t="b">
        <v>1</v>
      </c>
      <c r="T92" s="1426" t="b">
        <v>1</v>
      </c>
      <c r="U92" s="1427" t="b">
        <v>0</v>
      </c>
      <c r="V92" s="1427"/>
      <c r="W92" s="1426" t="s">
        <v>2297</v>
      </c>
      <c r="X92" s="1437" t="s">
        <v>2518</v>
      </c>
      <c r="Y92" s="1426" t="s">
        <v>113</v>
      </c>
    </row>
    <row r="93">
      <c r="A93" s="1440" t="s">
        <v>2461</v>
      </c>
      <c r="B93" s="1429" t="b">
        <v>0</v>
      </c>
      <c r="C93" s="1429" t="b">
        <v>0</v>
      </c>
      <c r="D93" s="1428" t="b">
        <v>1</v>
      </c>
      <c r="E93" s="1428" t="b">
        <v>0</v>
      </c>
      <c r="F93" s="1428" t="b">
        <v>1</v>
      </c>
      <c r="G93" s="1428" t="b">
        <v>0</v>
      </c>
      <c r="H93" s="1429" t="b">
        <v>0</v>
      </c>
      <c r="I93" s="1429" t="b">
        <v>0</v>
      </c>
      <c r="J93" s="1429" t="b">
        <v>0</v>
      </c>
      <c r="K93" s="1430" t="s">
        <v>1990</v>
      </c>
      <c r="L93" s="1431" t="s">
        <v>2519</v>
      </c>
      <c r="M93" s="1432">
        <v>4.0</v>
      </c>
      <c r="N93" s="1432" t="s">
        <v>2258</v>
      </c>
      <c r="O93" s="1433" t="b">
        <v>0</v>
      </c>
      <c r="P93" s="1433" t="b">
        <v>0</v>
      </c>
      <c r="Q93" s="1434" t="s">
        <v>2253</v>
      </c>
      <c r="R93" s="1434" t="s">
        <v>2311</v>
      </c>
      <c r="S93" s="1434" t="b">
        <v>1</v>
      </c>
      <c r="T93" s="1434" t="b">
        <v>1</v>
      </c>
      <c r="U93" s="1439" t="b">
        <v>0</v>
      </c>
      <c r="V93" s="1439"/>
      <c r="W93" s="1434" t="s">
        <v>2261</v>
      </c>
      <c r="X93" s="1435" t="s">
        <v>2520</v>
      </c>
      <c r="Y93" s="1434" t="s">
        <v>113</v>
      </c>
    </row>
    <row r="94">
      <c r="A94" s="1419"/>
      <c r="B94" s="1420" t="b">
        <v>0</v>
      </c>
      <c r="C94" s="1421" t="b">
        <v>0</v>
      </c>
      <c r="D94" s="1421" t="b">
        <v>0</v>
      </c>
      <c r="E94" s="1421" t="b">
        <v>0</v>
      </c>
      <c r="F94" s="1421" t="b">
        <v>0</v>
      </c>
      <c r="G94" s="1421" t="b">
        <v>0</v>
      </c>
      <c r="H94" s="1420" t="b">
        <v>1</v>
      </c>
      <c r="I94" s="1421" t="b">
        <v>0</v>
      </c>
      <c r="J94" s="1420" t="b">
        <v>1</v>
      </c>
      <c r="K94" s="1422" t="s">
        <v>1894</v>
      </c>
      <c r="L94" s="1423" t="s">
        <v>2521</v>
      </c>
      <c r="M94" s="1424">
        <v>7.0</v>
      </c>
      <c r="N94" s="1424" t="s">
        <v>2522</v>
      </c>
      <c r="O94" s="1436" t="b">
        <v>1</v>
      </c>
      <c r="P94" s="1425" t="b">
        <v>0</v>
      </c>
      <c r="Q94" s="1426" t="s">
        <v>2253</v>
      </c>
      <c r="R94" s="1426" t="s">
        <v>2359</v>
      </c>
      <c r="S94" s="1426" t="b">
        <v>1</v>
      </c>
      <c r="T94" s="1426" t="b">
        <v>1</v>
      </c>
      <c r="U94" s="1426" t="b">
        <v>1</v>
      </c>
      <c r="V94" s="1426" t="s">
        <v>2523</v>
      </c>
      <c r="W94" s="1426" t="s">
        <v>2288</v>
      </c>
      <c r="X94" s="1437" t="s">
        <v>2524</v>
      </c>
      <c r="Y94" s="1426" t="s">
        <v>113</v>
      </c>
    </row>
    <row r="95">
      <c r="A95" s="1419"/>
      <c r="B95" s="1428" t="b">
        <v>0</v>
      </c>
      <c r="C95" s="1429" t="b">
        <v>0</v>
      </c>
      <c r="D95" s="1429" t="b">
        <v>0</v>
      </c>
      <c r="E95" s="1429" t="b">
        <v>0</v>
      </c>
      <c r="F95" s="1429" t="b">
        <v>0</v>
      </c>
      <c r="G95" s="1429" t="b">
        <v>0</v>
      </c>
      <c r="H95" s="1428" t="b">
        <v>1</v>
      </c>
      <c r="I95" s="1428" t="b">
        <v>1</v>
      </c>
      <c r="J95" s="1428" t="b">
        <v>1</v>
      </c>
      <c r="K95" s="1430" t="s">
        <v>1945</v>
      </c>
      <c r="L95" s="1431" t="s">
        <v>2525</v>
      </c>
      <c r="M95" s="1432">
        <v>8.0</v>
      </c>
      <c r="N95" s="1432" t="s">
        <v>2306</v>
      </c>
      <c r="O95" s="1433" t="b">
        <v>0</v>
      </c>
      <c r="P95" s="1433" t="b">
        <v>0</v>
      </c>
      <c r="Q95" s="1434" t="s">
        <v>2253</v>
      </c>
      <c r="R95" s="1434" t="s">
        <v>2254</v>
      </c>
      <c r="S95" s="1439" t="b">
        <v>0</v>
      </c>
      <c r="T95" s="1434" t="b">
        <v>1</v>
      </c>
      <c r="U95" s="1439" t="b">
        <v>0</v>
      </c>
      <c r="V95" s="1434"/>
      <c r="W95" s="1434" t="s">
        <v>2297</v>
      </c>
      <c r="X95" s="1435" t="s">
        <v>2526</v>
      </c>
      <c r="Y95" s="1434" t="s">
        <v>113</v>
      </c>
    </row>
    <row r="96">
      <c r="A96" s="1419"/>
      <c r="B96" s="1421" t="b">
        <v>0</v>
      </c>
      <c r="C96" s="1421" t="b">
        <v>0</v>
      </c>
      <c r="D96" s="1421" t="b">
        <v>0</v>
      </c>
      <c r="E96" s="1421" t="b">
        <v>0</v>
      </c>
      <c r="F96" s="1420" t="b">
        <v>1</v>
      </c>
      <c r="G96" s="1420" t="b">
        <v>0</v>
      </c>
      <c r="H96" s="1421" t="b">
        <v>0</v>
      </c>
      <c r="I96" s="1421" t="b">
        <v>0</v>
      </c>
      <c r="J96" s="1421" t="b">
        <v>0</v>
      </c>
      <c r="K96" s="1422" t="s">
        <v>2031</v>
      </c>
      <c r="L96" s="1423" t="s">
        <v>2527</v>
      </c>
      <c r="M96" s="1424">
        <v>5.0</v>
      </c>
      <c r="N96" s="1424" t="s">
        <v>2252</v>
      </c>
      <c r="O96" s="1425" t="b">
        <v>0</v>
      </c>
      <c r="P96" s="1425" t="b">
        <v>0</v>
      </c>
      <c r="Q96" s="1426" t="s">
        <v>2253</v>
      </c>
      <c r="R96" s="1426" t="s">
        <v>2269</v>
      </c>
      <c r="S96" s="1427" t="b">
        <v>0</v>
      </c>
      <c r="T96" s="1427" t="b">
        <v>0</v>
      </c>
      <c r="U96" s="1427" t="b">
        <v>0</v>
      </c>
      <c r="V96" s="1427"/>
      <c r="W96" s="1426" t="s">
        <v>2255</v>
      </c>
      <c r="X96" s="1437" t="s">
        <v>2528</v>
      </c>
      <c r="Y96" s="1426" t="s">
        <v>113</v>
      </c>
    </row>
    <row r="97">
      <c r="A97" s="1419"/>
      <c r="B97" s="1429" t="b">
        <v>0</v>
      </c>
      <c r="C97" s="1429" t="b">
        <v>0</v>
      </c>
      <c r="D97" s="1428" t="b">
        <v>1</v>
      </c>
      <c r="E97" s="1429" t="b">
        <v>0</v>
      </c>
      <c r="F97" s="1428" t="b">
        <v>1</v>
      </c>
      <c r="G97" s="1429" t="b">
        <v>0</v>
      </c>
      <c r="H97" s="1429" t="b">
        <v>0</v>
      </c>
      <c r="I97" s="1429" t="b">
        <v>0</v>
      </c>
      <c r="J97" s="1429" t="b">
        <v>0</v>
      </c>
      <c r="K97" s="1430" t="s">
        <v>2027</v>
      </c>
      <c r="L97" s="1431" t="s">
        <v>2529</v>
      </c>
      <c r="M97" s="1432">
        <v>1.0</v>
      </c>
      <c r="N97" s="1432" t="s">
        <v>2302</v>
      </c>
      <c r="O97" s="1438" t="b">
        <v>1</v>
      </c>
      <c r="P97" s="1433" t="b">
        <v>0</v>
      </c>
      <c r="Q97" s="1434" t="s">
        <v>2253</v>
      </c>
      <c r="R97" s="1434" t="s">
        <v>2269</v>
      </c>
      <c r="S97" s="1434" t="b">
        <v>1</v>
      </c>
      <c r="T97" s="1434" t="b">
        <v>1</v>
      </c>
      <c r="U97" s="1439" t="b">
        <v>0</v>
      </c>
      <c r="V97" s="1439"/>
      <c r="W97" s="1434" t="s">
        <v>2308</v>
      </c>
      <c r="X97" s="1435" t="s">
        <v>2530</v>
      </c>
      <c r="Y97" s="1434" t="s">
        <v>113</v>
      </c>
    </row>
    <row r="98">
      <c r="A98" s="1419"/>
      <c r="B98" s="1420" t="b">
        <v>1</v>
      </c>
      <c r="C98" s="1420" t="b">
        <v>1</v>
      </c>
      <c r="D98" s="1420" t="b">
        <v>1</v>
      </c>
      <c r="E98" s="1420" t="b">
        <v>1</v>
      </c>
      <c r="F98" s="1420" t="b">
        <v>1</v>
      </c>
      <c r="G98" s="1420" t="b">
        <v>1</v>
      </c>
      <c r="H98" s="1420" t="b">
        <v>1</v>
      </c>
      <c r="I98" s="1420" t="b">
        <v>1</v>
      </c>
      <c r="J98" s="1420" t="b">
        <v>1</v>
      </c>
      <c r="K98" s="1422" t="s">
        <v>2036</v>
      </c>
      <c r="L98" s="1423" t="s">
        <v>2531</v>
      </c>
      <c r="M98" s="1424">
        <v>1.0</v>
      </c>
      <c r="N98" s="1424" t="s">
        <v>2302</v>
      </c>
      <c r="O98" s="1436" t="b">
        <v>1</v>
      </c>
      <c r="P98" s="1436" t="b">
        <v>1</v>
      </c>
      <c r="Q98" s="1426" t="s">
        <v>2253</v>
      </c>
      <c r="R98" s="1426" t="s">
        <v>2269</v>
      </c>
      <c r="S98" s="1426" t="b">
        <v>1</v>
      </c>
      <c r="T98" s="1426" t="b">
        <v>1</v>
      </c>
      <c r="U98" s="1427" t="b">
        <v>0</v>
      </c>
      <c r="V98" s="1427"/>
      <c r="W98" s="1426" t="s">
        <v>2308</v>
      </c>
      <c r="X98" s="1437" t="s">
        <v>2532</v>
      </c>
      <c r="Y98" s="1426" t="s">
        <v>113</v>
      </c>
    </row>
    <row r="99">
      <c r="A99" s="1419"/>
      <c r="B99" s="1429" t="b">
        <v>0</v>
      </c>
      <c r="C99" s="1429" t="b">
        <v>0</v>
      </c>
      <c r="D99" s="1428" t="b">
        <v>1</v>
      </c>
      <c r="E99" s="1428" t="b">
        <v>1</v>
      </c>
      <c r="F99" s="1428" t="b">
        <v>1</v>
      </c>
      <c r="G99" s="1428" t="b">
        <v>1</v>
      </c>
      <c r="H99" s="1429" t="b">
        <v>0</v>
      </c>
      <c r="I99" s="1429" t="b">
        <v>0</v>
      </c>
      <c r="J99" s="1429" t="b">
        <v>0</v>
      </c>
      <c r="K99" s="1430" t="s">
        <v>2045</v>
      </c>
      <c r="L99" s="1431" t="s">
        <v>2533</v>
      </c>
      <c r="M99" s="1432">
        <v>1.0</v>
      </c>
      <c r="N99" s="1432" t="s">
        <v>2302</v>
      </c>
      <c r="O99" s="1438" t="b">
        <v>1</v>
      </c>
      <c r="P99" s="1438" t="b">
        <v>1</v>
      </c>
      <c r="Q99" s="1434" t="s">
        <v>2253</v>
      </c>
      <c r="R99" s="1434" t="s">
        <v>2269</v>
      </c>
      <c r="S99" s="1434" t="b">
        <v>1</v>
      </c>
      <c r="T99" s="1434" t="b">
        <v>1</v>
      </c>
      <c r="U99" s="1434" t="b">
        <v>1</v>
      </c>
      <c r="V99" s="1439"/>
      <c r="W99" s="1434" t="s">
        <v>2308</v>
      </c>
      <c r="X99" s="1435" t="s">
        <v>2534</v>
      </c>
      <c r="Y99" s="1434" t="s">
        <v>113</v>
      </c>
    </row>
    <row r="100">
      <c r="A100" s="1419"/>
      <c r="B100" s="1420" t="b">
        <v>0</v>
      </c>
      <c r="C100" s="1420" t="b">
        <v>1</v>
      </c>
      <c r="D100" s="1421" t="b">
        <v>0</v>
      </c>
      <c r="E100" s="1421" t="b">
        <v>0</v>
      </c>
      <c r="F100" s="1421" t="b">
        <v>0</v>
      </c>
      <c r="G100" s="1421" t="b">
        <v>0</v>
      </c>
      <c r="H100" s="1420" t="b">
        <v>1</v>
      </c>
      <c r="I100" s="1421" t="b">
        <v>0</v>
      </c>
      <c r="J100" s="1420" t="b">
        <v>1</v>
      </c>
      <c r="K100" s="1422" t="s">
        <v>2046</v>
      </c>
      <c r="L100" s="1423" t="s">
        <v>2535</v>
      </c>
      <c r="M100" s="1424">
        <v>2.0</v>
      </c>
      <c r="N100" s="1424" t="s">
        <v>2302</v>
      </c>
      <c r="O100" s="1436" t="b">
        <v>1</v>
      </c>
      <c r="P100" s="1425" t="b">
        <v>0</v>
      </c>
      <c r="Q100" s="1426" t="s">
        <v>2253</v>
      </c>
      <c r="R100" s="1426" t="s">
        <v>2269</v>
      </c>
      <c r="S100" s="1426" t="b">
        <v>1</v>
      </c>
      <c r="T100" s="1426" t="b">
        <v>1</v>
      </c>
      <c r="U100" s="1426" t="b">
        <v>1</v>
      </c>
      <c r="V100" s="1426" t="s">
        <v>2536</v>
      </c>
      <c r="W100" s="1426" t="s">
        <v>2288</v>
      </c>
      <c r="X100" s="1437" t="s">
        <v>2537</v>
      </c>
      <c r="Y100" s="1426" t="s">
        <v>113</v>
      </c>
    </row>
    <row r="101">
      <c r="A101" s="1419"/>
      <c r="B101" s="1428" t="b">
        <v>0</v>
      </c>
      <c r="C101" s="1428" t="b">
        <v>1</v>
      </c>
      <c r="D101" s="1429" t="b">
        <v>0</v>
      </c>
      <c r="E101" s="1429" t="b">
        <v>0</v>
      </c>
      <c r="F101" s="1429" t="b">
        <v>0</v>
      </c>
      <c r="G101" s="1429" t="b">
        <v>0</v>
      </c>
      <c r="H101" s="1428" t="b">
        <v>1</v>
      </c>
      <c r="I101" s="1428" t="b">
        <v>1</v>
      </c>
      <c r="J101" s="1428" t="b">
        <v>1</v>
      </c>
      <c r="K101" s="1430" t="s">
        <v>2000</v>
      </c>
      <c r="L101" s="1431" t="s">
        <v>2538</v>
      </c>
      <c r="M101" s="1432">
        <v>4.0</v>
      </c>
      <c r="N101" s="1432" t="s">
        <v>2306</v>
      </c>
      <c r="O101" s="1433" t="b">
        <v>0</v>
      </c>
      <c r="P101" s="1433" t="b">
        <v>0</v>
      </c>
      <c r="Q101" s="1434" t="s">
        <v>2253</v>
      </c>
      <c r="R101" s="1434" t="s">
        <v>2307</v>
      </c>
      <c r="S101" s="1434" t="b">
        <v>1</v>
      </c>
      <c r="T101" s="1439" t="b">
        <v>0</v>
      </c>
      <c r="U101" s="1439" t="b">
        <v>0</v>
      </c>
      <c r="V101" s="1439"/>
      <c r="W101" s="1434" t="s">
        <v>2255</v>
      </c>
      <c r="X101" s="1435" t="s">
        <v>2539</v>
      </c>
      <c r="Y101" s="1434" t="s">
        <v>113</v>
      </c>
    </row>
    <row r="102">
      <c r="A102" s="1419"/>
      <c r="B102" s="1420" t="b">
        <v>1</v>
      </c>
      <c r="C102" s="1420" t="b">
        <v>1</v>
      </c>
      <c r="D102" s="1421" t="b">
        <v>0</v>
      </c>
      <c r="E102" s="1421" t="b">
        <v>0</v>
      </c>
      <c r="F102" s="1421" t="b">
        <v>0</v>
      </c>
      <c r="G102" s="1421" t="b">
        <v>0</v>
      </c>
      <c r="H102" s="1420" t="b">
        <v>1</v>
      </c>
      <c r="I102" s="1421" t="b">
        <v>0</v>
      </c>
      <c r="J102" s="1420" t="b">
        <v>1</v>
      </c>
      <c r="K102" s="1422" t="s">
        <v>2054</v>
      </c>
      <c r="L102" s="1423" t="s">
        <v>2540</v>
      </c>
      <c r="M102" s="1424">
        <v>1.0</v>
      </c>
      <c r="N102" s="1424" t="s">
        <v>2385</v>
      </c>
      <c r="O102" s="1425" t="b">
        <v>0</v>
      </c>
      <c r="P102" s="1425" t="b">
        <v>0</v>
      </c>
      <c r="Q102" s="1426" t="s">
        <v>2253</v>
      </c>
      <c r="R102" s="1426" t="s">
        <v>2269</v>
      </c>
      <c r="S102" s="1426" t="b">
        <v>1</v>
      </c>
      <c r="T102" s="1426" t="b">
        <v>1</v>
      </c>
      <c r="U102" s="1427" t="b">
        <v>0</v>
      </c>
      <c r="V102" s="1427"/>
      <c r="W102" s="1426" t="s">
        <v>2351</v>
      </c>
      <c r="X102" s="1437" t="s">
        <v>2541</v>
      </c>
      <c r="Y102" s="1426" t="s">
        <v>113</v>
      </c>
    </row>
    <row r="103">
      <c r="A103" s="1419"/>
      <c r="B103" s="1428" t="b">
        <v>0</v>
      </c>
      <c r="C103" s="1429" t="b">
        <v>0</v>
      </c>
      <c r="D103" s="1429" t="b">
        <v>0</v>
      </c>
      <c r="E103" s="1429" t="b">
        <v>0</v>
      </c>
      <c r="F103" s="1429" t="b">
        <v>0</v>
      </c>
      <c r="G103" s="1429" t="b">
        <v>0</v>
      </c>
      <c r="H103" s="1428" t="b">
        <v>1</v>
      </c>
      <c r="I103" s="1429" t="b">
        <v>0</v>
      </c>
      <c r="J103" s="1428" t="b">
        <v>1</v>
      </c>
      <c r="K103" s="1430" t="s">
        <v>1953</v>
      </c>
      <c r="L103" s="1431" t="s">
        <v>2542</v>
      </c>
      <c r="M103" s="1432">
        <v>6.0</v>
      </c>
      <c r="N103" s="1432" t="s">
        <v>2268</v>
      </c>
      <c r="O103" s="1433" t="b">
        <v>0</v>
      </c>
      <c r="P103" s="1433" t="b">
        <v>0</v>
      </c>
      <c r="Q103" s="1434" t="s">
        <v>2253</v>
      </c>
      <c r="R103" s="1434" t="s">
        <v>2254</v>
      </c>
      <c r="S103" s="1434" t="b">
        <v>1</v>
      </c>
      <c r="T103" s="1434" t="b">
        <v>1</v>
      </c>
      <c r="U103" s="1434" t="b">
        <v>1</v>
      </c>
      <c r="V103" s="1434" t="s">
        <v>2543</v>
      </c>
      <c r="W103" s="1434" t="s">
        <v>2255</v>
      </c>
      <c r="X103" s="1435" t="s">
        <v>2544</v>
      </c>
      <c r="Y103" s="1434" t="s">
        <v>113</v>
      </c>
    </row>
    <row r="104">
      <c r="A104" s="1419"/>
      <c r="B104" s="1420" t="b">
        <v>0</v>
      </c>
      <c r="C104" s="1420" t="b">
        <v>0</v>
      </c>
      <c r="D104" s="1420" t="b">
        <v>1</v>
      </c>
      <c r="E104" s="1420" t="b">
        <v>0</v>
      </c>
      <c r="F104" s="1420" t="b">
        <v>1</v>
      </c>
      <c r="G104" s="1420" t="b">
        <v>0</v>
      </c>
      <c r="H104" s="1420" t="b">
        <v>0</v>
      </c>
      <c r="I104" s="1420" t="b">
        <v>0</v>
      </c>
      <c r="J104" s="1420" t="b">
        <v>0</v>
      </c>
      <c r="K104" s="1422" t="s">
        <v>2040</v>
      </c>
      <c r="L104" s="1423" t="s">
        <v>2545</v>
      </c>
      <c r="M104" s="1424">
        <v>5.0</v>
      </c>
      <c r="N104" s="1424" t="s">
        <v>2258</v>
      </c>
      <c r="O104" s="1425" t="b">
        <v>0</v>
      </c>
      <c r="P104" s="1425" t="b">
        <v>0</v>
      </c>
      <c r="Q104" s="1426" t="s">
        <v>2253</v>
      </c>
      <c r="R104" s="1426" t="s">
        <v>2287</v>
      </c>
      <c r="S104" s="1426" t="b">
        <v>1</v>
      </c>
      <c r="T104" s="1426" t="b">
        <v>1</v>
      </c>
      <c r="U104" s="1427" t="b">
        <v>0</v>
      </c>
      <c r="V104" s="1427"/>
      <c r="W104" s="1426" t="s">
        <v>2255</v>
      </c>
      <c r="X104" s="1437" t="s">
        <v>2546</v>
      </c>
      <c r="Y104" s="1426" t="s">
        <v>113</v>
      </c>
    </row>
    <row r="105">
      <c r="A105" s="1419"/>
      <c r="B105" s="1428" t="b">
        <v>1</v>
      </c>
      <c r="C105" s="1428" t="b">
        <v>1</v>
      </c>
      <c r="D105" s="1428" t="b">
        <v>1</v>
      </c>
      <c r="E105" s="1428" t="b">
        <v>1</v>
      </c>
      <c r="F105" s="1428" t="b">
        <v>1</v>
      </c>
      <c r="G105" s="1428" t="b">
        <v>1</v>
      </c>
      <c r="H105" s="1428" t="b">
        <v>1</v>
      </c>
      <c r="I105" s="1428" t="b">
        <v>1</v>
      </c>
      <c r="J105" s="1428" t="b">
        <v>1</v>
      </c>
      <c r="K105" s="1430" t="s">
        <v>2019</v>
      </c>
      <c r="L105" s="1431" t="s">
        <v>2547</v>
      </c>
      <c r="M105" s="1432">
        <v>3.0</v>
      </c>
      <c r="N105" s="1432" t="s">
        <v>2258</v>
      </c>
      <c r="O105" s="1433" t="b">
        <v>0</v>
      </c>
      <c r="P105" s="1433" t="b">
        <v>0</v>
      </c>
      <c r="Q105" s="1434" t="s">
        <v>2253</v>
      </c>
      <c r="R105" s="1434" t="s">
        <v>2287</v>
      </c>
      <c r="S105" s="1434" t="b">
        <v>1</v>
      </c>
      <c r="T105" s="1434" t="b">
        <v>1</v>
      </c>
      <c r="U105" s="1439" t="b">
        <v>0</v>
      </c>
      <c r="V105" s="1439"/>
      <c r="W105" s="1434" t="s">
        <v>2255</v>
      </c>
      <c r="X105" s="1435" t="s">
        <v>2546</v>
      </c>
      <c r="Y105" s="1434" t="s">
        <v>113</v>
      </c>
    </row>
    <row r="106">
      <c r="A106" s="1419"/>
      <c r="B106" s="1421" t="b">
        <v>0</v>
      </c>
      <c r="C106" s="1420" t="b">
        <v>1</v>
      </c>
      <c r="D106" s="1421" t="b">
        <v>0</v>
      </c>
      <c r="E106" s="1421" t="b">
        <v>0</v>
      </c>
      <c r="F106" s="1421" t="b">
        <v>0</v>
      </c>
      <c r="G106" s="1421" t="b">
        <v>0</v>
      </c>
      <c r="H106" s="1421" t="b">
        <v>0</v>
      </c>
      <c r="I106" s="1421" t="b">
        <v>0</v>
      </c>
      <c r="J106" s="1421" t="b">
        <v>0</v>
      </c>
      <c r="K106" s="1422" t="s">
        <v>2061</v>
      </c>
      <c r="L106" s="1423" t="s">
        <v>2548</v>
      </c>
      <c r="M106" s="1424">
        <v>1.0</v>
      </c>
      <c r="N106" s="1424" t="s">
        <v>2273</v>
      </c>
      <c r="O106" s="1425" t="b">
        <v>0</v>
      </c>
      <c r="P106" s="1425" t="b">
        <v>0</v>
      </c>
      <c r="Q106" s="1426" t="s">
        <v>2253</v>
      </c>
      <c r="R106" s="1426" t="s">
        <v>2254</v>
      </c>
      <c r="S106" s="1426" t="b">
        <v>1</v>
      </c>
      <c r="T106" s="1427" t="b">
        <v>0</v>
      </c>
      <c r="U106" s="1427" t="b">
        <v>0</v>
      </c>
      <c r="V106" s="1427"/>
      <c r="W106" s="1426" t="s">
        <v>2255</v>
      </c>
      <c r="X106" s="1437" t="s">
        <v>2549</v>
      </c>
      <c r="Y106" s="1426" t="s">
        <v>113</v>
      </c>
    </row>
    <row r="107">
      <c r="A107" s="1419"/>
      <c r="B107" s="1428" t="b">
        <v>0</v>
      </c>
      <c r="C107" s="1429" t="b">
        <v>0</v>
      </c>
      <c r="D107" s="1428" t="b">
        <v>1</v>
      </c>
      <c r="E107" s="1428" t="b">
        <v>1</v>
      </c>
      <c r="F107" s="1429" t="b">
        <v>0</v>
      </c>
      <c r="G107" s="1428" t="b">
        <v>0</v>
      </c>
      <c r="H107" s="1429" t="b">
        <v>0</v>
      </c>
      <c r="I107" s="1429" t="b">
        <v>0</v>
      </c>
      <c r="J107" s="1428" t="b">
        <v>1</v>
      </c>
      <c r="K107" s="1430" t="s">
        <v>2010</v>
      </c>
      <c r="L107" s="1431" t="s">
        <v>2550</v>
      </c>
      <c r="M107" s="1432">
        <v>4.0</v>
      </c>
      <c r="N107" s="1432" t="s">
        <v>2302</v>
      </c>
      <c r="O107" s="1433" t="b">
        <v>0</v>
      </c>
      <c r="P107" s="1438" t="b">
        <v>1</v>
      </c>
      <c r="Q107" s="1434" t="s">
        <v>2253</v>
      </c>
      <c r="R107" s="1434" t="s">
        <v>2269</v>
      </c>
      <c r="S107" s="1434" t="b">
        <v>1</v>
      </c>
      <c r="T107" s="1434" t="b">
        <v>1</v>
      </c>
      <c r="U107" s="1434" t="b">
        <v>1</v>
      </c>
      <c r="V107" s="1434" t="s">
        <v>2551</v>
      </c>
      <c r="W107" s="1434" t="s">
        <v>2255</v>
      </c>
      <c r="X107" s="1435" t="s">
        <v>2552</v>
      </c>
      <c r="Y107" s="1434" t="s">
        <v>113</v>
      </c>
    </row>
    <row r="108">
      <c r="A108" s="1419"/>
      <c r="B108" s="1421" t="b">
        <v>0</v>
      </c>
      <c r="C108" s="1421" t="b">
        <v>0</v>
      </c>
      <c r="D108" s="1421" t="b">
        <v>0</v>
      </c>
      <c r="E108" s="1421" t="b">
        <v>0</v>
      </c>
      <c r="F108" s="1420" t="b">
        <v>1</v>
      </c>
      <c r="G108" s="1421" t="b">
        <v>0</v>
      </c>
      <c r="H108" s="1421" t="b">
        <v>0</v>
      </c>
      <c r="I108" s="1421" t="b">
        <v>0</v>
      </c>
      <c r="J108" s="1421" t="b">
        <v>0</v>
      </c>
      <c r="K108" s="1422" t="s">
        <v>2069</v>
      </c>
      <c r="L108" s="1423" t="s">
        <v>2553</v>
      </c>
      <c r="M108" s="1424">
        <v>1.0</v>
      </c>
      <c r="N108" s="1424" t="s">
        <v>2268</v>
      </c>
      <c r="O108" s="1425" t="b">
        <v>0</v>
      </c>
      <c r="P108" s="1425" t="b">
        <v>0</v>
      </c>
      <c r="Q108" s="1426" t="s">
        <v>2316</v>
      </c>
      <c r="R108" s="1426" t="s">
        <v>2269</v>
      </c>
      <c r="S108" s="1426" t="b">
        <v>1</v>
      </c>
      <c r="T108" s="1426" t="b">
        <v>1</v>
      </c>
      <c r="U108" s="1427" t="b">
        <v>0</v>
      </c>
      <c r="V108" s="1427"/>
      <c r="W108" s="1426" t="s">
        <v>2264</v>
      </c>
      <c r="X108" s="1437" t="s">
        <v>2554</v>
      </c>
      <c r="Y108" s="1426" t="s">
        <v>113</v>
      </c>
    </row>
    <row r="109">
      <c r="A109" s="1419"/>
      <c r="B109" s="1429" t="b">
        <v>0</v>
      </c>
      <c r="C109" s="1429" t="b">
        <v>0</v>
      </c>
      <c r="D109" s="1429" t="b">
        <v>0</v>
      </c>
      <c r="E109" s="1429" t="b">
        <v>0</v>
      </c>
      <c r="F109" s="1428" t="b">
        <v>1</v>
      </c>
      <c r="G109" s="1429" t="b">
        <v>0</v>
      </c>
      <c r="H109" s="1429" t="b">
        <v>0</v>
      </c>
      <c r="I109" s="1429" t="b">
        <v>0</v>
      </c>
      <c r="J109" s="1429" t="b">
        <v>0</v>
      </c>
      <c r="K109" s="1430" t="s">
        <v>2076</v>
      </c>
      <c r="L109" s="1431" t="s">
        <v>2555</v>
      </c>
      <c r="M109" s="1432">
        <v>1.0</v>
      </c>
      <c r="N109" s="1432" t="s">
        <v>2252</v>
      </c>
      <c r="O109" s="1433" t="b">
        <v>0</v>
      </c>
      <c r="P109" s="1433" t="b">
        <v>0</v>
      </c>
      <c r="Q109" s="1434" t="s">
        <v>2344</v>
      </c>
      <c r="R109" s="1434" t="s">
        <v>2269</v>
      </c>
      <c r="S109" s="1434" t="b">
        <v>1</v>
      </c>
      <c r="T109" s="1439" t="b">
        <v>0</v>
      </c>
      <c r="U109" s="1439" t="b">
        <v>0</v>
      </c>
      <c r="V109" s="1439"/>
      <c r="W109" s="1434" t="s">
        <v>2255</v>
      </c>
      <c r="X109" s="1435" t="s">
        <v>2556</v>
      </c>
      <c r="Y109" s="1434" t="s">
        <v>113</v>
      </c>
    </row>
    <row r="110">
      <c r="A110" s="1419"/>
      <c r="B110" s="1421" t="b">
        <v>0</v>
      </c>
      <c r="C110" s="1421" t="b">
        <v>0</v>
      </c>
      <c r="D110" s="1420" t="b">
        <v>1</v>
      </c>
      <c r="E110" s="1421" t="b">
        <v>0</v>
      </c>
      <c r="F110" s="1421" t="b">
        <v>0</v>
      </c>
      <c r="G110" s="1421" t="b">
        <v>0</v>
      </c>
      <c r="H110" s="1421" t="b">
        <v>0</v>
      </c>
      <c r="I110" s="1421" t="b">
        <v>0</v>
      </c>
      <c r="J110" s="1421" t="b">
        <v>0</v>
      </c>
      <c r="K110" s="1422" t="s">
        <v>1904</v>
      </c>
      <c r="L110" s="1423" t="s">
        <v>2557</v>
      </c>
      <c r="M110" s="1424">
        <v>7.0</v>
      </c>
      <c r="N110" s="1424" t="s">
        <v>2252</v>
      </c>
      <c r="O110" s="1425" t="b">
        <v>0</v>
      </c>
      <c r="P110" s="1425" t="b">
        <v>0</v>
      </c>
      <c r="Q110" s="1426" t="s">
        <v>2316</v>
      </c>
      <c r="R110" s="1426" t="s">
        <v>2259</v>
      </c>
      <c r="S110" s="1426" t="b">
        <v>1</v>
      </c>
      <c r="T110" s="1427" t="b">
        <v>0</v>
      </c>
      <c r="U110" s="1427" t="b">
        <v>0</v>
      </c>
      <c r="V110" s="1427"/>
      <c r="W110" s="1426" t="s">
        <v>2255</v>
      </c>
      <c r="X110" s="1437" t="s">
        <v>2558</v>
      </c>
      <c r="Y110" s="1426" t="s">
        <v>113</v>
      </c>
    </row>
    <row r="111">
      <c r="A111" s="1419"/>
      <c r="B111" s="1429" t="b">
        <v>0</v>
      </c>
      <c r="C111" s="1429" t="b">
        <v>0</v>
      </c>
      <c r="D111" s="1429" t="b">
        <v>0</v>
      </c>
      <c r="E111" s="1428" t="b">
        <v>1</v>
      </c>
      <c r="F111" s="1429" t="b">
        <v>0</v>
      </c>
      <c r="G111" s="1428" t="b">
        <v>1</v>
      </c>
      <c r="H111" s="1428" t="b">
        <v>1</v>
      </c>
      <c r="I111" s="1429" t="b">
        <v>0</v>
      </c>
      <c r="J111" s="1429" t="b">
        <v>0</v>
      </c>
      <c r="K111" s="1430" t="s">
        <v>2020</v>
      </c>
      <c r="L111" s="1431" t="s">
        <v>2559</v>
      </c>
      <c r="M111" s="1432">
        <v>4.0</v>
      </c>
      <c r="N111" s="1432" t="s">
        <v>2273</v>
      </c>
      <c r="O111" s="1438" t="b">
        <v>1</v>
      </c>
      <c r="P111" s="1433" t="b">
        <v>0</v>
      </c>
      <c r="Q111" s="1434" t="s">
        <v>2253</v>
      </c>
      <c r="R111" s="1434" t="s">
        <v>2254</v>
      </c>
      <c r="S111" s="1439" t="b">
        <v>0</v>
      </c>
      <c r="T111" s="1439" t="b">
        <v>0</v>
      </c>
      <c r="U111" s="1439" t="b">
        <v>0</v>
      </c>
      <c r="V111" s="1439"/>
      <c r="W111" s="1434" t="s">
        <v>2288</v>
      </c>
      <c r="X111" s="1435" t="s">
        <v>2560</v>
      </c>
      <c r="Y111" s="1434" t="s">
        <v>113</v>
      </c>
    </row>
    <row r="112">
      <c r="A112" s="1419"/>
      <c r="B112" s="1420" t="b">
        <v>0</v>
      </c>
      <c r="C112" s="1420" t="b">
        <v>1</v>
      </c>
      <c r="D112" s="1421" t="b">
        <v>0</v>
      </c>
      <c r="E112" s="1421" t="b">
        <v>0</v>
      </c>
      <c r="F112" s="1421" t="b">
        <v>0</v>
      </c>
      <c r="G112" s="1421" t="b">
        <v>0</v>
      </c>
      <c r="H112" s="1420" t="b">
        <v>1</v>
      </c>
      <c r="I112" s="1420" t="b">
        <v>1</v>
      </c>
      <c r="J112" s="1420" t="b">
        <v>1</v>
      </c>
      <c r="K112" s="1422" t="s">
        <v>1955</v>
      </c>
      <c r="L112" s="1423" t="s">
        <v>2561</v>
      </c>
      <c r="M112" s="1424">
        <v>8.0</v>
      </c>
      <c r="N112" s="1424" t="s">
        <v>2273</v>
      </c>
      <c r="O112" s="1436" t="b">
        <v>1</v>
      </c>
      <c r="P112" s="1425" t="b">
        <v>0</v>
      </c>
      <c r="Q112" s="1426" t="s">
        <v>2253</v>
      </c>
      <c r="R112" s="1426" t="s">
        <v>2254</v>
      </c>
      <c r="S112" s="1426" t="b">
        <v>1</v>
      </c>
      <c r="T112" s="1426" t="b">
        <v>1</v>
      </c>
      <c r="U112" s="1427" t="b">
        <v>0</v>
      </c>
      <c r="V112" s="1427"/>
      <c r="W112" s="1426" t="s">
        <v>2270</v>
      </c>
      <c r="X112" s="1437" t="s">
        <v>2562</v>
      </c>
      <c r="Y112" s="1426" t="s">
        <v>113</v>
      </c>
    </row>
    <row r="113">
      <c r="A113" s="1419"/>
      <c r="B113" s="1428" t="b">
        <v>0</v>
      </c>
      <c r="C113" s="1428" t="b">
        <v>1</v>
      </c>
      <c r="D113" s="1429" t="b">
        <v>0</v>
      </c>
      <c r="E113" s="1429" t="b">
        <v>0</v>
      </c>
      <c r="F113" s="1429" t="b">
        <v>0</v>
      </c>
      <c r="G113" s="1429" t="b">
        <v>0</v>
      </c>
      <c r="H113" s="1428" t="b">
        <v>1</v>
      </c>
      <c r="I113" s="1429" t="b">
        <v>0</v>
      </c>
      <c r="J113" s="1428" t="b">
        <v>1</v>
      </c>
      <c r="K113" s="1430" t="s">
        <v>2049</v>
      </c>
      <c r="L113" s="1431" t="s">
        <v>2563</v>
      </c>
      <c r="M113" s="1432">
        <v>5.0</v>
      </c>
      <c r="N113" s="1432" t="s">
        <v>2273</v>
      </c>
      <c r="O113" s="1438" t="b">
        <v>1</v>
      </c>
      <c r="P113" s="1433" t="b">
        <v>0</v>
      </c>
      <c r="Q113" s="1434" t="s">
        <v>2253</v>
      </c>
      <c r="R113" s="1434" t="s">
        <v>2254</v>
      </c>
      <c r="S113" s="1434" t="b">
        <v>1</v>
      </c>
      <c r="T113" s="1434" t="b">
        <v>1</v>
      </c>
      <c r="U113" s="1439" t="b">
        <v>0</v>
      </c>
      <c r="V113" s="1439"/>
      <c r="W113" s="1434" t="s">
        <v>2288</v>
      </c>
      <c r="X113" s="1435" t="s">
        <v>2564</v>
      </c>
      <c r="Y113" s="1434" t="s">
        <v>113</v>
      </c>
    </row>
    <row r="114">
      <c r="A114" s="1419"/>
      <c r="B114" s="1420" t="b">
        <v>1</v>
      </c>
      <c r="C114" s="1421" t="b">
        <v>0</v>
      </c>
      <c r="D114" s="1421" t="b">
        <v>0</v>
      </c>
      <c r="E114" s="1421" t="b">
        <v>0</v>
      </c>
      <c r="F114" s="1421" t="b">
        <v>0</v>
      </c>
      <c r="G114" s="1421" t="b">
        <v>0</v>
      </c>
      <c r="H114" s="1420" t="b">
        <v>1</v>
      </c>
      <c r="I114" s="1421" t="b">
        <v>0</v>
      </c>
      <c r="J114" s="1420" t="b">
        <v>1</v>
      </c>
      <c r="K114" s="1422" t="s">
        <v>2055</v>
      </c>
      <c r="L114" s="1423" t="s">
        <v>2565</v>
      </c>
      <c r="M114" s="1424">
        <v>2.0</v>
      </c>
      <c r="N114" s="1424" t="s">
        <v>2268</v>
      </c>
      <c r="O114" s="1436" t="b">
        <v>1</v>
      </c>
      <c r="P114" s="1425" t="b">
        <v>0</v>
      </c>
      <c r="Q114" s="1426" t="s">
        <v>2316</v>
      </c>
      <c r="R114" s="1426" t="s">
        <v>2311</v>
      </c>
      <c r="S114" s="1426" t="b">
        <v>1</v>
      </c>
      <c r="T114" s="1426" t="b">
        <v>1</v>
      </c>
      <c r="U114" s="1426" t="b">
        <v>1</v>
      </c>
      <c r="V114" s="1426" t="s">
        <v>2566</v>
      </c>
      <c r="W114" s="1426" t="s">
        <v>2288</v>
      </c>
      <c r="X114" s="1437" t="s">
        <v>2567</v>
      </c>
      <c r="Y114" s="1426" t="s">
        <v>113</v>
      </c>
    </row>
    <row r="115">
      <c r="A115" s="1419"/>
      <c r="B115" s="1428" t="b">
        <v>0</v>
      </c>
      <c r="C115" s="1429" t="b">
        <v>0</v>
      </c>
      <c r="D115" s="1429" t="b">
        <v>0</v>
      </c>
      <c r="E115" s="1429" t="b">
        <v>0</v>
      </c>
      <c r="F115" s="1429" t="b">
        <v>0</v>
      </c>
      <c r="G115" s="1429" t="b">
        <v>0</v>
      </c>
      <c r="H115" s="1429" t="b">
        <v>0</v>
      </c>
      <c r="I115" s="1429" t="b">
        <v>0</v>
      </c>
      <c r="J115" s="1428" t="b">
        <v>1</v>
      </c>
      <c r="K115" s="1430" t="s">
        <v>1963</v>
      </c>
      <c r="L115" s="1431" t="s">
        <v>2568</v>
      </c>
      <c r="M115" s="1432">
        <v>6.0</v>
      </c>
      <c r="N115" s="1432" t="s">
        <v>2306</v>
      </c>
      <c r="O115" s="1438" t="b">
        <v>1</v>
      </c>
      <c r="P115" s="1438" t="b">
        <v>1</v>
      </c>
      <c r="Q115" s="1434" t="s">
        <v>2264</v>
      </c>
      <c r="R115" s="1434" t="s">
        <v>2311</v>
      </c>
      <c r="S115" s="1434" t="b">
        <v>1</v>
      </c>
      <c r="T115" s="1434" t="b">
        <v>1</v>
      </c>
      <c r="U115" s="1434" t="b">
        <v>1</v>
      </c>
      <c r="V115" s="1434" t="s">
        <v>2569</v>
      </c>
      <c r="W115" s="1434" t="s">
        <v>2313</v>
      </c>
      <c r="X115" s="1435" t="s">
        <v>2570</v>
      </c>
      <c r="Y115" s="1434" t="s">
        <v>113</v>
      </c>
    </row>
    <row r="116">
      <c r="A116" s="1419"/>
      <c r="B116" s="1420" t="b">
        <v>0</v>
      </c>
      <c r="C116" s="1420" t="b">
        <v>1</v>
      </c>
      <c r="D116" s="1421" t="b">
        <v>0</v>
      </c>
      <c r="E116" s="1421" t="b">
        <v>0</v>
      </c>
      <c r="F116" s="1421" t="b">
        <v>0</v>
      </c>
      <c r="G116" s="1421" t="b">
        <v>0</v>
      </c>
      <c r="H116" s="1421" t="b">
        <v>0</v>
      </c>
      <c r="I116" s="1420" t="b">
        <v>1</v>
      </c>
      <c r="J116" s="1420" t="b">
        <v>1</v>
      </c>
      <c r="K116" s="1422" t="s">
        <v>2058</v>
      </c>
      <c r="L116" s="1423" t="s">
        <v>2571</v>
      </c>
      <c r="M116" s="1424">
        <v>5.0</v>
      </c>
      <c r="N116" s="1424" t="s">
        <v>2385</v>
      </c>
      <c r="O116" s="1425" t="b">
        <v>0</v>
      </c>
      <c r="P116" s="1425" t="b">
        <v>0</v>
      </c>
      <c r="Q116" s="1426" t="s">
        <v>2264</v>
      </c>
      <c r="R116" s="1426" t="s">
        <v>2500</v>
      </c>
      <c r="S116" s="1426" t="b">
        <v>1</v>
      </c>
      <c r="T116" s="1426" t="b">
        <v>1</v>
      </c>
      <c r="U116" s="1426" t="b">
        <v>1</v>
      </c>
      <c r="V116" s="1426" t="s">
        <v>2572</v>
      </c>
      <c r="W116" s="1426" t="s">
        <v>2261</v>
      </c>
      <c r="X116" s="1437" t="s">
        <v>2573</v>
      </c>
      <c r="Y116" s="1426" t="s">
        <v>113</v>
      </c>
    </row>
    <row r="117">
      <c r="A117" s="1419"/>
      <c r="B117" s="1429" t="b">
        <v>0</v>
      </c>
      <c r="C117" s="1429" t="b">
        <v>0</v>
      </c>
      <c r="D117" s="1429" t="b">
        <v>0</v>
      </c>
      <c r="E117" s="1428" t="b">
        <v>1</v>
      </c>
      <c r="F117" s="1429" t="b">
        <v>0</v>
      </c>
      <c r="G117" s="1429" t="b">
        <v>0</v>
      </c>
      <c r="H117" s="1429" t="b">
        <v>0</v>
      </c>
      <c r="I117" s="1429" t="b">
        <v>0</v>
      </c>
      <c r="J117" s="1429" t="b">
        <v>0</v>
      </c>
      <c r="K117" s="1430" t="s">
        <v>2574</v>
      </c>
      <c r="L117" s="1431" t="s">
        <v>2575</v>
      </c>
      <c r="M117" s="1432">
        <v>0.0</v>
      </c>
      <c r="N117" s="1432" t="s">
        <v>2268</v>
      </c>
      <c r="O117" s="1433" t="b">
        <v>0</v>
      </c>
      <c r="P117" s="1433" t="b">
        <v>0</v>
      </c>
      <c r="Q117" s="1434" t="s">
        <v>2253</v>
      </c>
      <c r="R117" s="1434" t="s">
        <v>2259</v>
      </c>
      <c r="S117" s="1434" t="b">
        <v>1</v>
      </c>
      <c r="T117" s="1434" t="b">
        <v>1</v>
      </c>
      <c r="U117" s="1439" t="b">
        <v>0</v>
      </c>
      <c r="V117" s="1434"/>
      <c r="W117" s="1434" t="s">
        <v>2255</v>
      </c>
      <c r="X117" s="1435" t="s">
        <v>2576</v>
      </c>
      <c r="Y117" s="1434" t="s">
        <v>113</v>
      </c>
    </row>
    <row r="118">
      <c r="A118" s="1419"/>
      <c r="B118" s="1421" t="b">
        <v>0</v>
      </c>
      <c r="C118" s="1421" t="b">
        <v>0</v>
      </c>
      <c r="D118" s="1420" t="b">
        <v>1</v>
      </c>
      <c r="E118" s="1420" t="b">
        <v>1</v>
      </c>
      <c r="F118" s="1421" t="b">
        <v>0</v>
      </c>
      <c r="G118" s="1421" t="b">
        <v>0</v>
      </c>
      <c r="H118" s="1420" t="b">
        <v>1</v>
      </c>
      <c r="I118" s="1421" t="b">
        <v>0</v>
      </c>
      <c r="J118" s="1421" t="b">
        <v>0</v>
      </c>
      <c r="K118" s="1422" t="s">
        <v>1965</v>
      </c>
      <c r="L118" s="1423" t="s">
        <v>2577</v>
      </c>
      <c r="M118" s="1424">
        <v>8.0</v>
      </c>
      <c r="N118" s="1424" t="s">
        <v>2268</v>
      </c>
      <c r="O118" s="1436" t="b">
        <v>1</v>
      </c>
      <c r="P118" s="1425" t="b">
        <v>0</v>
      </c>
      <c r="Q118" s="1426" t="s">
        <v>2253</v>
      </c>
      <c r="R118" s="1426" t="s">
        <v>2307</v>
      </c>
      <c r="S118" s="1426" t="b">
        <v>1</v>
      </c>
      <c r="T118" s="1426" t="b">
        <v>1</v>
      </c>
      <c r="U118" s="1426" t="b">
        <v>1</v>
      </c>
      <c r="V118" s="1426" t="s">
        <v>2578</v>
      </c>
      <c r="W118" s="1426" t="s">
        <v>2288</v>
      </c>
      <c r="X118" s="1437" t="s">
        <v>2579</v>
      </c>
      <c r="Y118" s="1426" t="s">
        <v>113</v>
      </c>
    </row>
    <row r="119">
      <c r="A119" s="1419"/>
      <c r="B119" s="1429" t="b">
        <v>0</v>
      </c>
      <c r="C119" s="1429" t="b">
        <v>0</v>
      </c>
      <c r="D119" s="1429" t="b">
        <v>0</v>
      </c>
      <c r="E119" s="1429" t="b">
        <v>0</v>
      </c>
      <c r="F119" s="1429" t="b">
        <v>0</v>
      </c>
      <c r="G119" s="1429" t="b">
        <v>0</v>
      </c>
      <c r="H119" s="1429" t="b">
        <v>0</v>
      </c>
      <c r="I119" s="1428" t="b">
        <v>1</v>
      </c>
      <c r="J119" s="1429" t="b">
        <v>0</v>
      </c>
      <c r="K119" s="1430" t="s">
        <v>1927</v>
      </c>
      <c r="L119" s="1431" t="s">
        <v>2580</v>
      </c>
      <c r="M119" s="1432">
        <v>0.0</v>
      </c>
      <c r="N119" s="1432" t="s">
        <v>2252</v>
      </c>
      <c r="O119" s="1433" t="b">
        <v>0</v>
      </c>
      <c r="P119" s="1433" t="b">
        <v>0</v>
      </c>
      <c r="Q119" s="1434" t="s">
        <v>2253</v>
      </c>
      <c r="R119" s="1434" t="s">
        <v>2287</v>
      </c>
      <c r="S119" s="1434" t="b">
        <v>1</v>
      </c>
      <c r="T119" s="1434" t="b">
        <v>1</v>
      </c>
      <c r="U119" s="1439" t="b">
        <v>0</v>
      </c>
      <c r="V119" s="1439"/>
      <c r="W119" s="1434" t="s">
        <v>2255</v>
      </c>
      <c r="X119" s="1435" t="s">
        <v>2581</v>
      </c>
      <c r="Y119" s="1434" t="s">
        <v>113</v>
      </c>
    </row>
    <row r="120">
      <c r="A120" s="1419"/>
      <c r="B120" s="1420" t="b">
        <v>1</v>
      </c>
      <c r="C120" s="1421" t="b">
        <v>0</v>
      </c>
      <c r="D120" s="1421" t="b">
        <v>0</v>
      </c>
      <c r="E120" s="1420" t="b">
        <v>1</v>
      </c>
      <c r="F120" s="1420" t="b">
        <v>1</v>
      </c>
      <c r="G120" s="1420" t="b">
        <v>1</v>
      </c>
      <c r="H120" s="1421" t="b">
        <v>0</v>
      </c>
      <c r="I120" s="1421" t="b">
        <v>0</v>
      </c>
      <c r="J120" s="1421" t="b">
        <v>0</v>
      </c>
      <c r="K120" s="1422" t="s">
        <v>2029</v>
      </c>
      <c r="L120" s="1423" t="s">
        <v>2582</v>
      </c>
      <c r="M120" s="1424">
        <v>3.0</v>
      </c>
      <c r="N120" s="1424" t="s">
        <v>2268</v>
      </c>
      <c r="O120" s="1425" t="b">
        <v>0</v>
      </c>
      <c r="P120" s="1425" t="b">
        <v>0</v>
      </c>
      <c r="Q120" s="1426" t="s">
        <v>2253</v>
      </c>
      <c r="R120" s="1426" t="s">
        <v>2311</v>
      </c>
      <c r="S120" s="1426" t="b">
        <v>1</v>
      </c>
      <c r="T120" s="1426" t="b">
        <v>1</v>
      </c>
      <c r="U120" s="1427" t="b">
        <v>0</v>
      </c>
      <c r="V120" s="1427"/>
      <c r="W120" s="1426" t="s">
        <v>2270</v>
      </c>
      <c r="X120" s="1437" t="s">
        <v>2583</v>
      </c>
      <c r="Y120" s="1426" t="s">
        <v>113</v>
      </c>
    </row>
    <row r="121">
      <c r="A121" s="1419"/>
      <c r="B121" s="1428" t="b">
        <v>1</v>
      </c>
      <c r="C121" s="1429" t="b">
        <v>0</v>
      </c>
      <c r="D121" s="1429" t="b">
        <v>0</v>
      </c>
      <c r="E121" s="1428" t="b">
        <v>1</v>
      </c>
      <c r="F121" s="1429" t="b">
        <v>0</v>
      </c>
      <c r="G121" s="1429" t="b">
        <v>0</v>
      </c>
      <c r="H121" s="1428" t="b">
        <v>1</v>
      </c>
      <c r="I121" s="1429" t="b">
        <v>0</v>
      </c>
      <c r="J121" s="1428" t="b">
        <v>1</v>
      </c>
      <c r="K121" s="1430" t="s">
        <v>1937</v>
      </c>
      <c r="L121" s="1431" t="s">
        <v>2584</v>
      </c>
      <c r="M121" s="1432">
        <v>0.0</v>
      </c>
      <c r="N121" s="1432" t="s">
        <v>2268</v>
      </c>
      <c r="O121" s="1433" t="b">
        <v>0</v>
      </c>
      <c r="P121" s="1433" t="b">
        <v>0</v>
      </c>
      <c r="Q121" s="1434" t="s">
        <v>2253</v>
      </c>
      <c r="R121" s="1434" t="s">
        <v>2259</v>
      </c>
      <c r="S121" s="1434" t="b">
        <v>1</v>
      </c>
      <c r="T121" s="1434" t="b">
        <v>1</v>
      </c>
      <c r="U121" s="1439" t="b">
        <v>0</v>
      </c>
      <c r="V121" s="1439"/>
      <c r="W121" s="1434" t="s">
        <v>2255</v>
      </c>
      <c r="X121" s="1435" t="s">
        <v>2585</v>
      </c>
      <c r="Y121" s="1434" t="s">
        <v>113</v>
      </c>
    </row>
    <row r="122">
      <c r="A122" s="1419"/>
      <c r="B122" s="1420" t="b">
        <v>1</v>
      </c>
      <c r="C122" s="1420" t="b">
        <v>1</v>
      </c>
      <c r="D122" s="1420" t="b">
        <v>1</v>
      </c>
      <c r="E122" s="1420" t="b">
        <v>1</v>
      </c>
      <c r="F122" s="1421" t="b">
        <v>0</v>
      </c>
      <c r="G122" s="1420" t="b">
        <v>1</v>
      </c>
      <c r="H122" s="1420" t="b">
        <v>1</v>
      </c>
      <c r="I122" s="1421" t="b">
        <v>0</v>
      </c>
      <c r="J122" s="1420" t="b">
        <v>1</v>
      </c>
      <c r="K122" s="1422" t="s">
        <v>2062</v>
      </c>
      <c r="L122" s="1423" t="s">
        <v>2586</v>
      </c>
      <c r="M122" s="1424">
        <v>2.0</v>
      </c>
      <c r="N122" s="1424" t="s">
        <v>2268</v>
      </c>
      <c r="O122" s="1436" t="b">
        <v>1</v>
      </c>
      <c r="P122" s="1425" t="b">
        <v>0</v>
      </c>
      <c r="Q122" s="1426" t="s">
        <v>2253</v>
      </c>
      <c r="R122" s="1426" t="s">
        <v>2311</v>
      </c>
      <c r="S122" s="1426" t="b">
        <v>1</v>
      </c>
      <c r="T122" s="1426" t="b">
        <v>1</v>
      </c>
      <c r="U122" s="1426" t="b">
        <v>1</v>
      </c>
      <c r="V122" s="1426" t="s">
        <v>2587</v>
      </c>
      <c r="W122" s="1426" t="s">
        <v>2270</v>
      </c>
      <c r="X122" s="1437" t="s">
        <v>2588</v>
      </c>
      <c r="Y122" s="1426" t="s">
        <v>113</v>
      </c>
    </row>
    <row r="123">
      <c r="A123" s="1419"/>
      <c r="B123" s="1428" t="b">
        <v>1</v>
      </c>
      <c r="C123" s="1428" t="b">
        <v>1</v>
      </c>
      <c r="D123" s="1429" t="b">
        <v>0</v>
      </c>
      <c r="E123" s="1428" t="b">
        <v>1</v>
      </c>
      <c r="F123" s="1429" t="b">
        <v>0</v>
      </c>
      <c r="G123" s="1429" t="b">
        <v>0</v>
      </c>
      <c r="H123" s="1428" t="b">
        <v>1</v>
      </c>
      <c r="I123" s="1429" t="b">
        <v>0</v>
      </c>
      <c r="J123" s="1428" t="b">
        <v>1</v>
      </c>
      <c r="K123" s="1430" t="s">
        <v>2070</v>
      </c>
      <c r="L123" s="1431" t="s">
        <v>2589</v>
      </c>
      <c r="M123" s="1432">
        <v>2.0</v>
      </c>
      <c r="N123" s="1432" t="s">
        <v>2268</v>
      </c>
      <c r="O123" s="1438" t="b">
        <v>1</v>
      </c>
      <c r="P123" s="1433" t="b">
        <v>0</v>
      </c>
      <c r="Q123" s="1434" t="s">
        <v>2253</v>
      </c>
      <c r="R123" s="1434" t="s">
        <v>2259</v>
      </c>
      <c r="S123" s="1434" t="b">
        <v>1</v>
      </c>
      <c r="T123" s="1434" t="b">
        <v>1</v>
      </c>
      <c r="U123" s="1434" t="b">
        <v>1</v>
      </c>
      <c r="V123" s="1434" t="s">
        <v>2590</v>
      </c>
      <c r="W123" s="1434" t="s">
        <v>2288</v>
      </c>
      <c r="X123" s="1435" t="s">
        <v>2591</v>
      </c>
      <c r="Y123" s="1434" t="s">
        <v>113</v>
      </c>
    </row>
    <row r="124">
      <c r="A124" s="1419"/>
      <c r="B124" s="1421" t="b">
        <v>0</v>
      </c>
      <c r="C124" s="1421" t="b">
        <v>0</v>
      </c>
      <c r="D124" s="1421" t="b">
        <v>0</v>
      </c>
      <c r="E124" s="1421" t="b">
        <v>0</v>
      </c>
      <c r="F124" s="1421" t="b">
        <v>0</v>
      </c>
      <c r="G124" s="1420" t="b">
        <v>1</v>
      </c>
      <c r="H124" s="1421" t="b">
        <v>0</v>
      </c>
      <c r="I124" s="1421" t="b">
        <v>0</v>
      </c>
      <c r="J124" s="1421" t="b">
        <v>0</v>
      </c>
      <c r="K124" s="1422" t="s">
        <v>2083</v>
      </c>
      <c r="L124" s="1423" t="s">
        <v>2592</v>
      </c>
      <c r="M124" s="1424">
        <v>1.0</v>
      </c>
      <c r="N124" s="1424" t="s">
        <v>2306</v>
      </c>
      <c r="O124" s="1436" t="b">
        <v>1</v>
      </c>
      <c r="P124" s="1425" t="b">
        <v>0</v>
      </c>
      <c r="Q124" s="1426" t="s">
        <v>2593</v>
      </c>
      <c r="R124" s="1426" t="s">
        <v>2269</v>
      </c>
      <c r="S124" s="1426" t="b">
        <v>1</v>
      </c>
      <c r="T124" s="1427" t="b">
        <v>0</v>
      </c>
      <c r="U124" s="1427" t="b">
        <v>0</v>
      </c>
      <c r="V124" s="1427"/>
      <c r="W124" s="1426" t="s">
        <v>2288</v>
      </c>
      <c r="X124" s="1437" t="s">
        <v>2594</v>
      </c>
      <c r="Y124" s="1426" t="s">
        <v>113</v>
      </c>
    </row>
    <row r="125">
      <c r="A125" s="1419"/>
      <c r="B125" s="1429" t="b">
        <v>0</v>
      </c>
      <c r="C125" s="1429" t="b">
        <v>0</v>
      </c>
      <c r="D125" s="1429" t="b">
        <v>0</v>
      </c>
      <c r="E125" s="1428" t="b">
        <v>1</v>
      </c>
      <c r="F125" s="1429" t="b">
        <v>0</v>
      </c>
      <c r="G125" s="1428" t="b">
        <v>1</v>
      </c>
      <c r="H125" s="1429" t="b">
        <v>0</v>
      </c>
      <c r="I125" s="1429" t="b">
        <v>0</v>
      </c>
      <c r="J125" s="1429" t="b">
        <v>0</v>
      </c>
      <c r="K125" s="1430" t="s">
        <v>2088</v>
      </c>
      <c r="L125" s="1431" t="s">
        <v>2595</v>
      </c>
      <c r="M125" s="1432">
        <v>1.0</v>
      </c>
      <c r="N125" s="1432" t="s">
        <v>2306</v>
      </c>
      <c r="O125" s="1438" t="b">
        <v>1</v>
      </c>
      <c r="P125" s="1433" t="b">
        <v>0</v>
      </c>
      <c r="Q125" s="1434" t="s">
        <v>2253</v>
      </c>
      <c r="R125" s="1434" t="s">
        <v>2368</v>
      </c>
      <c r="S125" s="1439" t="b">
        <v>0</v>
      </c>
      <c r="T125" s="1439" t="b">
        <v>0</v>
      </c>
      <c r="U125" s="1439" t="b">
        <v>0</v>
      </c>
      <c r="V125" s="1439"/>
      <c r="W125" s="1434" t="s">
        <v>2288</v>
      </c>
      <c r="X125" s="1435" t="s">
        <v>2596</v>
      </c>
      <c r="Y125" s="1434" t="s">
        <v>113</v>
      </c>
    </row>
    <row r="126">
      <c r="A126" s="1419"/>
      <c r="B126" s="1421" t="b">
        <v>0</v>
      </c>
      <c r="C126" s="1420" t="b">
        <v>1</v>
      </c>
      <c r="D126" s="1421" t="b">
        <v>0</v>
      </c>
      <c r="E126" s="1421" t="b">
        <v>0</v>
      </c>
      <c r="F126" s="1421" t="b">
        <v>0</v>
      </c>
      <c r="G126" s="1421" t="b">
        <v>0</v>
      </c>
      <c r="H126" s="1421" t="b">
        <v>0</v>
      </c>
      <c r="I126" s="1420" t="b">
        <v>1</v>
      </c>
      <c r="J126" s="1421" t="b">
        <v>0</v>
      </c>
      <c r="K126" s="1422" t="s">
        <v>2077</v>
      </c>
      <c r="L126" s="1423" t="s">
        <v>2597</v>
      </c>
      <c r="M126" s="1424">
        <v>2.0</v>
      </c>
      <c r="N126" s="1424" t="s">
        <v>2273</v>
      </c>
      <c r="O126" s="1436" t="b">
        <v>1</v>
      </c>
      <c r="P126" s="1425" t="b">
        <v>0</v>
      </c>
      <c r="Q126" s="1426" t="s">
        <v>2253</v>
      </c>
      <c r="R126" s="1426" t="s">
        <v>2254</v>
      </c>
      <c r="S126" s="1426" t="b">
        <v>1</v>
      </c>
      <c r="T126" s="1426" t="b">
        <v>1</v>
      </c>
      <c r="U126" s="1427" t="b">
        <v>0</v>
      </c>
      <c r="V126" s="1427"/>
      <c r="W126" s="1426" t="s">
        <v>2288</v>
      </c>
      <c r="X126" s="1437" t="s">
        <v>2598</v>
      </c>
      <c r="Y126" s="1426" t="s">
        <v>113</v>
      </c>
    </row>
    <row r="127">
      <c r="A127" s="1419"/>
      <c r="B127" s="1428" t="b">
        <v>0</v>
      </c>
      <c r="C127" s="1428" t="b">
        <v>1</v>
      </c>
      <c r="D127" s="1428" t="b">
        <v>1</v>
      </c>
      <c r="E127" s="1429" t="b">
        <v>0</v>
      </c>
      <c r="F127" s="1429" t="b">
        <v>0</v>
      </c>
      <c r="G127" s="1429" t="b">
        <v>0</v>
      </c>
      <c r="H127" s="1428" t="b">
        <v>1</v>
      </c>
      <c r="I127" s="1428" t="b">
        <v>1</v>
      </c>
      <c r="J127" s="1428" t="b">
        <v>1</v>
      </c>
      <c r="K127" s="1430" t="s">
        <v>1914</v>
      </c>
      <c r="L127" s="1431" t="s">
        <v>2599</v>
      </c>
      <c r="M127" s="1432">
        <v>7.0</v>
      </c>
      <c r="N127" s="1432" t="s">
        <v>2306</v>
      </c>
      <c r="O127" s="1438" t="b">
        <v>1</v>
      </c>
      <c r="P127" s="1433" t="b">
        <v>0</v>
      </c>
      <c r="Q127" s="1434" t="s">
        <v>2253</v>
      </c>
      <c r="R127" s="1434" t="s">
        <v>2269</v>
      </c>
      <c r="S127" s="1434" t="b">
        <v>1</v>
      </c>
      <c r="T127" s="1434" t="b">
        <v>1</v>
      </c>
      <c r="U127" s="1439" t="b">
        <v>0</v>
      </c>
      <c r="V127" s="1439"/>
      <c r="W127" s="1434" t="s">
        <v>2481</v>
      </c>
      <c r="X127" s="1435" t="s">
        <v>2600</v>
      </c>
      <c r="Y127" s="1434" t="s">
        <v>113</v>
      </c>
    </row>
    <row r="128">
      <c r="A128" s="1419"/>
      <c r="B128" s="1420" t="b">
        <v>0</v>
      </c>
      <c r="C128" s="1421" t="b">
        <v>0</v>
      </c>
      <c r="D128" s="1421" t="b">
        <v>0</v>
      </c>
      <c r="E128" s="1421" t="b">
        <v>0</v>
      </c>
      <c r="F128" s="1421" t="b">
        <v>0</v>
      </c>
      <c r="G128" s="1421" t="b">
        <v>0</v>
      </c>
      <c r="H128" s="1421" t="b">
        <v>0</v>
      </c>
      <c r="I128" s="1421" t="b">
        <v>0</v>
      </c>
      <c r="J128" s="1420" t="b">
        <v>1</v>
      </c>
      <c r="K128" s="1422" t="s">
        <v>2030</v>
      </c>
      <c r="L128" s="1423" t="s">
        <v>2601</v>
      </c>
      <c r="M128" s="1424">
        <v>4.0</v>
      </c>
      <c r="N128" s="1424" t="s">
        <v>2306</v>
      </c>
      <c r="O128" s="1436" t="b">
        <v>1</v>
      </c>
      <c r="P128" s="1425" t="b">
        <v>0</v>
      </c>
      <c r="Q128" s="1426" t="s">
        <v>2253</v>
      </c>
      <c r="R128" s="1426" t="s">
        <v>2368</v>
      </c>
      <c r="S128" s="1426" t="b">
        <v>1</v>
      </c>
      <c r="T128" s="1426" t="b">
        <v>1</v>
      </c>
      <c r="U128" s="1426" t="b">
        <v>1</v>
      </c>
      <c r="V128" s="1426" t="s">
        <v>2602</v>
      </c>
      <c r="W128" s="1426" t="s">
        <v>2288</v>
      </c>
      <c r="X128" s="1437" t="s">
        <v>2603</v>
      </c>
      <c r="Y128" s="1426" t="s">
        <v>113</v>
      </c>
    </row>
    <row r="129">
      <c r="A129" s="1419"/>
      <c r="B129" s="1428" t="b">
        <v>1</v>
      </c>
      <c r="C129" s="1429" t="b">
        <v>0</v>
      </c>
      <c r="D129" s="1429" t="b">
        <v>0</v>
      </c>
      <c r="E129" s="1429" t="b">
        <v>0</v>
      </c>
      <c r="F129" s="1429" t="b">
        <v>0</v>
      </c>
      <c r="G129" s="1429" t="b">
        <v>0</v>
      </c>
      <c r="H129" s="1428" t="b">
        <v>1</v>
      </c>
      <c r="I129" s="1428" t="b">
        <v>1</v>
      </c>
      <c r="J129" s="1428" t="b">
        <v>1</v>
      </c>
      <c r="K129" s="1430" t="s">
        <v>2095</v>
      </c>
      <c r="L129" s="1431" t="s">
        <v>2604</v>
      </c>
      <c r="M129" s="1432">
        <v>1.0</v>
      </c>
      <c r="N129" s="1432" t="s">
        <v>2268</v>
      </c>
      <c r="O129" s="1438" t="b">
        <v>1</v>
      </c>
      <c r="P129" s="1433" t="b">
        <v>0</v>
      </c>
      <c r="Q129" s="1434" t="s">
        <v>2316</v>
      </c>
      <c r="R129" s="1434" t="s">
        <v>2269</v>
      </c>
      <c r="S129" s="1434" t="b">
        <v>1</v>
      </c>
      <c r="T129" s="1434" t="b">
        <v>1</v>
      </c>
      <c r="U129" s="1439" t="b">
        <v>0</v>
      </c>
      <c r="V129" s="1439"/>
      <c r="W129" s="1434" t="s">
        <v>2308</v>
      </c>
      <c r="X129" s="1435" t="s">
        <v>2605</v>
      </c>
      <c r="Y129" s="1434" t="s">
        <v>113</v>
      </c>
    </row>
    <row r="130">
      <c r="A130" s="1419"/>
      <c r="B130" s="1420" t="b">
        <v>0</v>
      </c>
      <c r="C130" s="1420" t="b">
        <v>1</v>
      </c>
      <c r="D130" s="1421" t="b">
        <v>0</v>
      </c>
      <c r="E130" s="1421" t="b">
        <v>0</v>
      </c>
      <c r="F130" s="1421" t="b">
        <v>0</v>
      </c>
      <c r="G130" s="1421" t="b">
        <v>0</v>
      </c>
      <c r="H130" s="1420" t="b">
        <v>1</v>
      </c>
      <c r="I130" s="1420" t="b">
        <v>1</v>
      </c>
      <c r="J130" s="1420" t="b">
        <v>1</v>
      </c>
      <c r="K130" s="1422" t="s">
        <v>1973</v>
      </c>
      <c r="L130" s="1423" t="s">
        <v>2606</v>
      </c>
      <c r="M130" s="1424">
        <v>6.0</v>
      </c>
      <c r="N130" s="1424" t="s">
        <v>2282</v>
      </c>
      <c r="O130" s="1436" t="b">
        <v>1</v>
      </c>
      <c r="P130" s="1425" t="b">
        <v>0</v>
      </c>
      <c r="Q130" s="1426" t="s">
        <v>2253</v>
      </c>
      <c r="R130" s="1426" t="s">
        <v>2269</v>
      </c>
      <c r="S130" s="1426" t="b">
        <v>1</v>
      </c>
      <c r="T130" s="1426" t="b">
        <v>1</v>
      </c>
      <c r="U130" s="1427" t="b">
        <v>0</v>
      </c>
      <c r="V130" s="1427"/>
      <c r="W130" s="1426" t="s">
        <v>2288</v>
      </c>
      <c r="X130" s="1437" t="s">
        <v>2607</v>
      </c>
      <c r="Y130" s="1426" t="s">
        <v>113</v>
      </c>
    </row>
    <row r="131">
      <c r="A131" s="1419"/>
      <c r="B131" s="1428" t="b">
        <v>1</v>
      </c>
      <c r="C131" s="1429" t="b">
        <v>0</v>
      </c>
      <c r="D131" s="1429" t="b">
        <v>0</v>
      </c>
      <c r="E131" s="1429" t="b">
        <v>0</v>
      </c>
      <c r="F131" s="1429" t="b">
        <v>0</v>
      </c>
      <c r="G131" s="1429" t="b">
        <v>0</v>
      </c>
      <c r="H131" s="1429" t="b">
        <v>0</v>
      </c>
      <c r="I131" s="1429" t="b">
        <v>0</v>
      </c>
      <c r="J131" s="1428" t="b">
        <v>1</v>
      </c>
      <c r="K131" s="1430" t="s">
        <v>2039</v>
      </c>
      <c r="L131" s="1431" t="s">
        <v>2608</v>
      </c>
      <c r="M131" s="1432">
        <v>4.0</v>
      </c>
      <c r="N131" s="1432" t="s">
        <v>2268</v>
      </c>
      <c r="O131" s="1433" t="b">
        <v>0</v>
      </c>
      <c r="P131" s="1433" t="b">
        <v>0</v>
      </c>
      <c r="Q131" s="1434" t="s">
        <v>2411</v>
      </c>
      <c r="R131" s="1434" t="s">
        <v>2287</v>
      </c>
      <c r="S131" s="1434" t="b">
        <v>1</v>
      </c>
      <c r="T131" s="1434" t="b">
        <v>1</v>
      </c>
      <c r="U131" s="1439" t="b">
        <v>0</v>
      </c>
      <c r="V131" s="1439"/>
      <c r="W131" s="1434" t="s">
        <v>2255</v>
      </c>
      <c r="X131" s="1435" t="s">
        <v>2609</v>
      </c>
      <c r="Y131" s="1434" t="s">
        <v>113</v>
      </c>
    </row>
    <row r="132">
      <c r="A132" s="1419"/>
      <c r="B132" s="1420" t="b">
        <v>1</v>
      </c>
      <c r="C132" s="1420" t="b">
        <v>1</v>
      </c>
      <c r="D132" s="1421" t="b">
        <v>0</v>
      </c>
      <c r="E132" s="1420" t="b">
        <v>1</v>
      </c>
      <c r="F132" s="1421" t="b">
        <v>0</v>
      </c>
      <c r="G132" s="1421" t="b">
        <v>0</v>
      </c>
      <c r="H132" s="1421" t="b">
        <v>0</v>
      </c>
      <c r="I132" s="1420" t="b">
        <v>0</v>
      </c>
      <c r="J132" s="1421" t="b">
        <v>0</v>
      </c>
      <c r="K132" s="1422" t="s">
        <v>2102</v>
      </c>
      <c r="L132" s="1423" t="s">
        <v>2610</v>
      </c>
      <c r="M132" s="1424">
        <v>1.0</v>
      </c>
      <c r="N132" s="1424" t="s">
        <v>2252</v>
      </c>
      <c r="O132" s="1436" t="b">
        <v>1</v>
      </c>
      <c r="P132" s="1425" t="b">
        <v>0</v>
      </c>
      <c r="Q132" s="1426" t="s">
        <v>2253</v>
      </c>
      <c r="R132" s="1426" t="s">
        <v>2254</v>
      </c>
      <c r="S132" s="1426" t="b">
        <v>1</v>
      </c>
      <c r="T132" s="1427" t="b">
        <v>0</v>
      </c>
      <c r="U132" s="1427" t="b">
        <v>0</v>
      </c>
      <c r="V132" s="1427"/>
      <c r="W132" s="1426" t="s">
        <v>2288</v>
      </c>
      <c r="X132" s="1437" t="s">
        <v>2611</v>
      </c>
      <c r="Y132" s="1426" t="s">
        <v>113</v>
      </c>
    </row>
    <row r="133">
      <c r="A133" s="1419"/>
      <c r="B133" s="1428" t="b">
        <v>1</v>
      </c>
      <c r="C133" s="1429" t="b">
        <v>0</v>
      </c>
      <c r="D133" s="1429" t="b">
        <v>0</v>
      </c>
      <c r="E133" s="1429" t="b">
        <v>0</v>
      </c>
      <c r="F133" s="1429" t="b">
        <v>0</v>
      </c>
      <c r="G133" s="1429" t="b">
        <v>0</v>
      </c>
      <c r="H133" s="1429" t="b">
        <v>0</v>
      </c>
      <c r="I133" s="1428" t="b">
        <v>1</v>
      </c>
      <c r="J133" s="1428" t="b">
        <v>1</v>
      </c>
      <c r="K133" s="1430" t="s">
        <v>2108</v>
      </c>
      <c r="L133" s="1431" t="s">
        <v>2612</v>
      </c>
      <c r="M133" s="1432">
        <v>1.0</v>
      </c>
      <c r="N133" s="1432" t="s">
        <v>2282</v>
      </c>
      <c r="O133" s="1433" t="b">
        <v>0</v>
      </c>
      <c r="P133" s="1433" t="b">
        <v>0</v>
      </c>
      <c r="Q133" s="1434" t="s">
        <v>2253</v>
      </c>
      <c r="R133" s="1434" t="s">
        <v>2269</v>
      </c>
      <c r="S133" s="1434" t="b">
        <v>1</v>
      </c>
      <c r="T133" s="1434" t="b">
        <v>1</v>
      </c>
      <c r="U133" s="1434" t="b">
        <v>1</v>
      </c>
      <c r="V133" s="1434" t="s">
        <v>2613</v>
      </c>
      <c r="W133" s="1434" t="s">
        <v>2255</v>
      </c>
      <c r="X133" s="1435" t="s">
        <v>2614</v>
      </c>
      <c r="Y133" s="1434" t="s">
        <v>113</v>
      </c>
    </row>
    <row r="134">
      <c r="A134" s="1419"/>
      <c r="B134" s="1420" t="b">
        <v>0</v>
      </c>
      <c r="C134" s="1420" t="b">
        <v>1</v>
      </c>
      <c r="D134" s="1421" t="b">
        <v>0</v>
      </c>
      <c r="E134" s="1421" t="b">
        <v>0</v>
      </c>
      <c r="F134" s="1421" t="b">
        <v>0</v>
      </c>
      <c r="G134" s="1421" t="b">
        <v>0</v>
      </c>
      <c r="H134" s="1420" t="b">
        <v>1</v>
      </c>
      <c r="I134" s="1420" t="b">
        <v>1</v>
      </c>
      <c r="J134" s="1420" t="b">
        <v>1</v>
      </c>
      <c r="K134" s="1422" t="s">
        <v>2038</v>
      </c>
      <c r="L134" s="1423" t="s">
        <v>2615</v>
      </c>
      <c r="M134" s="1424">
        <v>3.0</v>
      </c>
      <c r="N134" s="1424" t="s">
        <v>2385</v>
      </c>
      <c r="O134" s="1436" t="b">
        <v>1</v>
      </c>
      <c r="P134" s="1425" t="b">
        <v>0</v>
      </c>
      <c r="Q134" s="1426" t="s">
        <v>2253</v>
      </c>
      <c r="R134" s="1426" t="s">
        <v>2269</v>
      </c>
      <c r="S134" s="1426" t="b">
        <v>1</v>
      </c>
      <c r="T134" s="1426" t="b">
        <v>1</v>
      </c>
      <c r="U134" s="1426" t="b">
        <v>1</v>
      </c>
      <c r="V134" s="1427"/>
      <c r="W134" s="1426" t="s">
        <v>2288</v>
      </c>
      <c r="X134" s="1437" t="s">
        <v>2616</v>
      </c>
      <c r="Y134" s="1426" t="s">
        <v>113</v>
      </c>
    </row>
    <row r="135">
      <c r="A135" s="1419"/>
      <c r="B135" s="1428" t="b">
        <v>1</v>
      </c>
      <c r="C135" s="1428" t="b">
        <v>1</v>
      </c>
      <c r="D135" s="1429" t="b">
        <v>0</v>
      </c>
      <c r="E135" s="1429" t="b">
        <v>0</v>
      </c>
      <c r="F135" s="1429" t="b">
        <v>0</v>
      </c>
      <c r="G135" s="1429" t="b">
        <v>0</v>
      </c>
      <c r="H135" s="1428" t="b">
        <v>1</v>
      </c>
      <c r="I135" s="1429" t="b">
        <v>0</v>
      </c>
      <c r="J135" s="1428" t="b">
        <v>1</v>
      </c>
      <c r="K135" s="1430" t="s">
        <v>2115</v>
      </c>
      <c r="L135" s="1431" t="s">
        <v>2617</v>
      </c>
      <c r="M135" s="1432">
        <v>1.0</v>
      </c>
      <c r="N135" s="1432" t="s">
        <v>2268</v>
      </c>
      <c r="O135" s="1433" t="b">
        <v>0</v>
      </c>
      <c r="P135" s="1433" t="b">
        <v>0</v>
      </c>
      <c r="Q135" s="1434" t="s">
        <v>2618</v>
      </c>
      <c r="R135" s="1434" t="s">
        <v>2254</v>
      </c>
      <c r="S135" s="1434" t="b">
        <v>1</v>
      </c>
      <c r="T135" s="1434" t="b">
        <v>0</v>
      </c>
      <c r="U135" s="1434" t="b">
        <v>1</v>
      </c>
      <c r="V135" s="1434" t="s">
        <v>2619</v>
      </c>
      <c r="W135" s="1434" t="s">
        <v>2264</v>
      </c>
      <c r="X135" s="1435" t="s">
        <v>2620</v>
      </c>
      <c r="Y135" s="1434" t="s">
        <v>113</v>
      </c>
    </row>
    <row r="136">
      <c r="A136" s="1419"/>
      <c r="B136" s="1420" t="b">
        <v>0</v>
      </c>
      <c r="C136" s="1420" t="b">
        <v>1</v>
      </c>
      <c r="D136" s="1420" t="b">
        <v>1</v>
      </c>
      <c r="E136" s="1420" t="b">
        <v>1</v>
      </c>
      <c r="F136" s="1421" t="b">
        <v>0</v>
      </c>
      <c r="G136" s="1421" t="b">
        <v>0</v>
      </c>
      <c r="H136" s="1421" t="b">
        <v>0</v>
      </c>
      <c r="I136" s="1421" t="b">
        <v>0</v>
      </c>
      <c r="J136" s="1420" t="b">
        <v>1</v>
      </c>
      <c r="K136" s="1422" t="s">
        <v>2047</v>
      </c>
      <c r="L136" s="1423" t="s">
        <v>2621</v>
      </c>
      <c r="M136" s="1424">
        <v>3.0</v>
      </c>
      <c r="N136" s="1424" t="s">
        <v>2282</v>
      </c>
      <c r="O136" s="1425" t="b">
        <v>0</v>
      </c>
      <c r="P136" s="1436" t="b">
        <v>1</v>
      </c>
      <c r="Q136" s="1426" t="s">
        <v>2253</v>
      </c>
      <c r="R136" s="1426" t="s">
        <v>2311</v>
      </c>
      <c r="S136" s="1426" t="b">
        <v>1</v>
      </c>
      <c r="T136" s="1426" t="b">
        <v>1</v>
      </c>
      <c r="U136" s="1426" t="b">
        <v>1</v>
      </c>
      <c r="V136" s="1426" t="s">
        <v>2622</v>
      </c>
      <c r="W136" s="1426" t="s">
        <v>2297</v>
      </c>
      <c r="X136" s="1437" t="s">
        <v>2623</v>
      </c>
      <c r="Y136" s="1426" t="s">
        <v>113</v>
      </c>
    </row>
    <row r="137">
      <c r="A137" s="1419"/>
      <c r="B137" s="1428" t="b">
        <v>0</v>
      </c>
      <c r="C137" s="1429" t="b">
        <v>0</v>
      </c>
      <c r="D137" s="1429" t="b">
        <v>0</v>
      </c>
      <c r="E137" s="1429" t="b">
        <v>0</v>
      </c>
      <c r="F137" s="1429" t="b">
        <v>0</v>
      </c>
      <c r="G137" s="1429" t="b">
        <v>0</v>
      </c>
      <c r="H137" s="1429" t="b">
        <v>0</v>
      </c>
      <c r="I137" s="1429" t="b">
        <v>0</v>
      </c>
      <c r="J137" s="1428" t="b">
        <v>1</v>
      </c>
      <c r="K137" s="1430" t="s">
        <v>592</v>
      </c>
      <c r="L137" s="1431" t="s">
        <v>2624</v>
      </c>
      <c r="M137" s="1432">
        <v>1.0</v>
      </c>
      <c r="N137" s="1432" t="s">
        <v>2306</v>
      </c>
      <c r="O137" s="1433" t="b">
        <v>0</v>
      </c>
      <c r="P137" s="1438" t="b">
        <v>1</v>
      </c>
      <c r="Q137" s="1434" t="s">
        <v>2297</v>
      </c>
      <c r="R137" s="1434" t="s">
        <v>2283</v>
      </c>
      <c r="S137" s="1434" t="b">
        <v>1</v>
      </c>
      <c r="T137" s="1434" t="b">
        <v>1</v>
      </c>
      <c r="U137" s="1434" t="b">
        <v>1</v>
      </c>
      <c r="V137" s="1434" t="s">
        <v>2625</v>
      </c>
      <c r="W137" s="1434" t="s">
        <v>2255</v>
      </c>
      <c r="X137" s="1435" t="s">
        <v>2626</v>
      </c>
      <c r="Y137" s="1434" t="s">
        <v>113</v>
      </c>
    </row>
    <row r="138">
      <c r="A138" s="1419"/>
      <c r="B138" s="1421" t="b">
        <v>0</v>
      </c>
      <c r="C138" s="1421" t="b">
        <v>0</v>
      </c>
      <c r="D138" s="1421" t="b">
        <v>0</v>
      </c>
      <c r="E138" s="1421" t="b">
        <v>0</v>
      </c>
      <c r="F138" s="1420" t="b">
        <v>1</v>
      </c>
      <c r="G138" s="1421" t="b">
        <v>0</v>
      </c>
      <c r="H138" s="1421" t="b">
        <v>0</v>
      </c>
      <c r="I138" s="1421" t="b">
        <v>0</v>
      </c>
      <c r="J138" s="1421" t="b">
        <v>0</v>
      </c>
      <c r="K138" s="1422" t="s">
        <v>594</v>
      </c>
      <c r="L138" s="1423" t="s">
        <v>2627</v>
      </c>
      <c r="M138" s="1424">
        <v>2.0</v>
      </c>
      <c r="N138" s="1424" t="s">
        <v>2306</v>
      </c>
      <c r="O138" s="1425" t="b">
        <v>0</v>
      </c>
      <c r="P138" s="1425" t="b">
        <v>0</v>
      </c>
      <c r="Q138" s="1426" t="s">
        <v>2253</v>
      </c>
      <c r="R138" s="1426" t="s">
        <v>2259</v>
      </c>
      <c r="S138" s="1426" t="b">
        <v>1</v>
      </c>
      <c r="T138" s="1426" t="b">
        <v>1</v>
      </c>
      <c r="U138" s="1427" t="b">
        <v>0</v>
      </c>
      <c r="V138" s="1427"/>
      <c r="W138" s="1426" t="s">
        <v>2255</v>
      </c>
      <c r="X138" s="1437" t="s">
        <v>2628</v>
      </c>
      <c r="Y138" s="1426" t="s">
        <v>113</v>
      </c>
    </row>
    <row r="139">
      <c r="A139" s="1419"/>
      <c r="B139" s="1429" t="b">
        <v>0</v>
      </c>
      <c r="C139" s="1428" t="b">
        <v>1</v>
      </c>
      <c r="D139" s="1428" t="b">
        <v>1</v>
      </c>
      <c r="E139" s="1428" t="b">
        <v>1</v>
      </c>
      <c r="F139" s="1429" t="b">
        <v>0</v>
      </c>
      <c r="G139" s="1429" t="b">
        <v>0</v>
      </c>
      <c r="H139" s="1429" t="b">
        <v>0</v>
      </c>
      <c r="I139" s="1429" t="b">
        <v>0</v>
      </c>
      <c r="J139" s="1429" t="b">
        <v>0</v>
      </c>
      <c r="K139" s="1430" t="s">
        <v>1982</v>
      </c>
      <c r="L139" s="1431" t="s">
        <v>2629</v>
      </c>
      <c r="M139" s="1432">
        <v>6.0</v>
      </c>
      <c r="N139" s="1432" t="s">
        <v>2302</v>
      </c>
      <c r="O139" s="1438" t="b">
        <v>1</v>
      </c>
      <c r="P139" s="1433" t="b">
        <v>0</v>
      </c>
      <c r="Q139" s="1434" t="s">
        <v>2264</v>
      </c>
      <c r="R139" s="1434" t="s">
        <v>2269</v>
      </c>
      <c r="S139" s="1434" t="b">
        <v>1</v>
      </c>
      <c r="T139" s="1434" t="b">
        <v>1</v>
      </c>
      <c r="U139" s="1434" t="b">
        <v>1</v>
      </c>
      <c r="V139" s="1434" t="s">
        <v>2630</v>
      </c>
      <c r="W139" s="1434" t="s">
        <v>2631</v>
      </c>
      <c r="X139" s="1435" t="s">
        <v>2632</v>
      </c>
      <c r="Y139" s="1434" t="s">
        <v>113</v>
      </c>
    </row>
    <row r="140">
      <c r="A140" s="1419"/>
      <c r="B140" s="1421" t="b">
        <v>0</v>
      </c>
      <c r="C140" s="1421" t="b">
        <v>0</v>
      </c>
      <c r="D140" s="1420" t="b">
        <v>1</v>
      </c>
      <c r="E140" s="1420" t="b">
        <v>1</v>
      </c>
      <c r="F140" s="1421" t="b">
        <v>0</v>
      </c>
      <c r="G140" s="1420" t="b">
        <v>1</v>
      </c>
      <c r="H140" s="1421" t="b">
        <v>0</v>
      </c>
      <c r="I140" s="1421" t="b">
        <v>0</v>
      </c>
      <c r="J140" s="1421" t="b">
        <v>0</v>
      </c>
      <c r="K140" s="1422" t="s">
        <v>2089</v>
      </c>
      <c r="L140" s="1423" t="s">
        <v>2633</v>
      </c>
      <c r="M140" s="1424">
        <v>2.0</v>
      </c>
      <c r="N140" s="1424" t="s">
        <v>2302</v>
      </c>
      <c r="O140" s="1425" t="b">
        <v>0</v>
      </c>
      <c r="P140" s="1425" t="b">
        <v>0</v>
      </c>
      <c r="Q140" s="1426" t="s">
        <v>2253</v>
      </c>
      <c r="R140" s="1426" t="s">
        <v>2287</v>
      </c>
      <c r="S140" s="1426" t="b">
        <v>1</v>
      </c>
      <c r="T140" s="1426" t="b">
        <v>1</v>
      </c>
      <c r="U140" s="1427" t="b">
        <v>0</v>
      </c>
      <c r="V140" s="1427"/>
      <c r="W140" s="1426" t="s">
        <v>2255</v>
      </c>
      <c r="X140" s="1437" t="s">
        <v>2634</v>
      </c>
      <c r="Y140" s="1426" t="s">
        <v>113</v>
      </c>
    </row>
    <row r="141">
      <c r="A141" s="1419"/>
      <c r="B141" s="1428" t="b">
        <v>0</v>
      </c>
      <c r="C141" s="1429" t="b">
        <v>0</v>
      </c>
      <c r="D141" s="1429" t="b">
        <v>0</v>
      </c>
      <c r="E141" s="1429" t="b">
        <v>0</v>
      </c>
      <c r="F141" s="1429" t="b">
        <v>0</v>
      </c>
      <c r="G141" s="1429" t="b">
        <v>0</v>
      </c>
      <c r="H141" s="1428" t="b">
        <v>1</v>
      </c>
      <c r="I141" s="1428" t="b">
        <v>1</v>
      </c>
      <c r="J141" s="1428" t="b">
        <v>1</v>
      </c>
      <c r="K141" s="1430" t="s">
        <v>1924</v>
      </c>
      <c r="L141" s="1431" t="s">
        <v>2635</v>
      </c>
      <c r="M141" s="1432">
        <v>7.0</v>
      </c>
      <c r="N141" s="1432" t="s">
        <v>2282</v>
      </c>
      <c r="O141" s="1433" t="b">
        <v>0</v>
      </c>
      <c r="P141" s="1433" t="b">
        <v>0</v>
      </c>
      <c r="Q141" s="1434" t="s">
        <v>2253</v>
      </c>
      <c r="R141" s="1434" t="s">
        <v>2254</v>
      </c>
      <c r="S141" s="1434" t="b">
        <v>1</v>
      </c>
      <c r="T141" s="1434" t="b">
        <v>1</v>
      </c>
      <c r="U141" s="1439" t="b">
        <v>0</v>
      </c>
      <c r="V141" s="1439"/>
      <c r="W141" s="1434" t="s">
        <v>2255</v>
      </c>
      <c r="X141" s="1435" t="s">
        <v>2636</v>
      </c>
      <c r="Y141" s="1434" t="s">
        <v>113</v>
      </c>
    </row>
    <row r="142">
      <c r="A142" s="1419"/>
      <c r="B142" s="1420" t="b">
        <v>1</v>
      </c>
      <c r="C142" s="1421" t="b">
        <v>0</v>
      </c>
      <c r="D142" s="1421" t="b">
        <v>0</v>
      </c>
      <c r="E142" s="1421" t="b">
        <v>0</v>
      </c>
      <c r="F142" s="1421" t="b">
        <v>0</v>
      </c>
      <c r="G142" s="1421" t="b">
        <v>0</v>
      </c>
      <c r="H142" s="1420" t="b">
        <v>1</v>
      </c>
      <c r="I142" s="1421" t="b">
        <v>0</v>
      </c>
      <c r="J142" s="1420" t="b">
        <v>1</v>
      </c>
      <c r="K142" s="1422" t="s">
        <v>1947</v>
      </c>
      <c r="L142" s="1423" t="s">
        <v>2637</v>
      </c>
      <c r="M142" s="1424">
        <v>0.0</v>
      </c>
      <c r="N142" s="1424" t="s">
        <v>2252</v>
      </c>
      <c r="O142" s="1425" t="b">
        <v>0</v>
      </c>
      <c r="P142" s="1425" t="b">
        <v>0</v>
      </c>
      <c r="Q142" s="1426" t="s">
        <v>2253</v>
      </c>
      <c r="R142" s="1426" t="s">
        <v>2287</v>
      </c>
      <c r="S142" s="1426" t="b">
        <v>1</v>
      </c>
      <c r="T142" s="1426" t="b">
        <v>1</v>
      </c>
      <c r="U142" s="1427" t="b">
        <v>0</v>
      </c>
      <c r="V142" s="1427"/>
      <c r="W142" s="1426" t="s">
        <v>2255</v>
      </c>
      <c r="X142" s="1437" t="s">
        <v>2638</v>
      </c>
      <c r="Y142" s="1426" t="s">
        <v>113</v>
      </c>
    </row>
    <row r="143">
      <c r="A143" s="1419"/>
      <c r="B143" s="1428" t="b">
        <v>0</v>
      </c>
      <c r="C143" s="1429" t="b">
        <v>0</v>
      </c>
      <c r="D143" s="1429" t="b">
        <v>0</v>
      </c>
      <c r="E143" s="1428" t="b">
        <v>1</v>
      </c>
      <c r="F143" s="1429" t="b">
        <v>0</v>
      </c>
      <c r="G143" s="1429" t="b">
        <v>0</v>
      </c>
      <c r="H143" s="1428" t="b">
        <v>1</v>
      </c>
      <c r="I143" s="1429" t="b">
        <v>0</v>
      </c>
      <c r="J143" s="1428" t="b">
        <v>1</v>
      </c>
      <c r="K143" s="1430" t="s">
        <v>2048</v>
      </c>
      <c r="L143" s="1431" t="s">
        <v>2639</v>
      </c>
      <c r="M143" s="1432">
        <v>4.0</v>
      </c>
      <c r="N143" s="1432" t="s">
        <v>2252</v>
      </c>
      <c r="O143" s="1433" t="b">
        <v>0</v>
      </c>
      <c r="P143" s="1433" t="b">
        <v>0</v>
      </c>
      <c r="Q143" s="1434" t="s">
        <v>2253</v>
      </c>
      <c r="R143" s="1434" t="s">
        <v>2269</v>
      </c>
      <c r="S143" s="1434" t="b">
        <v>1</v>
      </c>
      <c r="T143" s="1434" t="b">
        <v>1</v>
      </c>
      <c r="U143" s="1434" t="b">
        <v>1</v>
      </c>
      <c r="V143" s="1434" t="s">
        <v>2640</v>
      </c>
      <c r="W143" s="1434" t="s">
        <v>2411</v>
      </c>
      <c r="X143" s="1435" t="s">
        <v>2641</v>
      </c>
      <c r="Y143" s="1434" t="s">
        <v>113</v>
      </c>
    </row>
    <row r="144">
      <c r="A144" s="1419"/>
      <c r="B144" s="1421" t="b">
        <v>0</v>
      </c>
      <c r="C144" s="1421" t="b">
        <v>0</v>
      </c>
      <c r="D144" s="1420" t="b">
        <v>1</v>
      </c>
      <c r="E144" s="1420" t="b">
        <v>1</v>
      </c>
      <c r="F144" s="1421" t="b">
        <v>0</v>
      </c>
      <c r="G144" s="1421" t="b">
        <v>0</v>
      </c>
      <c r="H144" s="1420" t="b">
        <v>1</v>
      </c>
      <c r="I144" s="1421" t="b">
        <v>0</v>
      </c>
      <c r="J144" s="1421" t="b">
        <v>0</v>
      </c>
      <c r="K144" s="1422" t="s">
        <v>1934</v>
      </c>
      <c r="L144" s="1423" t="s">
        <v>2642</v>
      </c>
      <c r="M144" s="1424">
        <v>7.0</v>
      </c>
      <c r="N144" s="1424" t="s">
        <v>2252</v>
      </c>
      <c r="O144" s="1425" t="b">
        <v>0</v>
      </c>
      <c r="P144" s="1425" t="b">
        <v>0</v>
      </c>
      <c r="Q144" s="1426" t="s">
        <v>2253</v>
      </c>
      <c r="R144" s="1426" t="s">
        <v>2359</v>
      </c>
      <c r="S144" s="1426" t="b">
        <v>1</v>
      </c>
      <c r="T144" s="1426" t="b">
        <v>1</v>
      </c>
      <c r="U144" s="1427" t="b">
        <v>0</v>
      </c>
      <c r="V144" s="1427"/>
      <c r="W144" s="1426" t="s">
        <v>2255</v>
      </c>
      <c r="X144" s="1437" t="s">
        <v>2643</v>
      </c>
      <c r="Y144" s="1426" t="s">
        <v>113</v>
      </c>
    </row>
    <row r="145">
      <c r="A145" s="1440" t="s">
        <v>2461</v>
      </c>
      <c r="B145" s="1428" t="b">
        <v>0</v>
      </c>
      <c r="C145" s="1429" t="b">
        <v>0</v>
      </c>
      <c r="D145" s="1429" t="b">
        <v>0</v>
      </c>
      <c r="E145" s="1429" t="b">
        <v>0</v>
      </c>
      <c r="F145" s="1429" t="b">
        <v>0</v>
      </c>
      <c r="G145" s="1429" t="b">
        <v>0</v>
      </c>
      <c r="H145" s="1428" t="b">
        <v>1</v>
      </c>
      <c r="I145" s="1429" t="b">
        <v>0</v>
      </c>
      <c r="J145" s="1428" t="b">
        <v>1</v>
      </c>
      <c r="K145" s="1430" t="s">
        <v>2056</v>
      </c>
      <c r="L145" s="1431" t="s">
        <v>2644</v>
      </c>
      <c r="M145" s="1432">
        <v>3.0</v>
      </c>
      <c r="N145" s="1432" t="s">
        <v>2252</v>
      </c>
      <c r="O145" s="1433" t="b">
        <v>0</v>
      </c>
      <c r="P145" s="1433" t="b">
        <v>0</v>
      </c>
      <c r="Q145" s="1434" t="s">
        <v>2253</v>
      </c>
      <c r="R145" s="1434" t="s">
        <v>2359</v>
      </c>
      <c r="S145" s="1434" t="b">
        <v>1</v>
      </c>
      <c r="T145" s="1434" t="b">
        <v>1</v>
      </c>
      <c r="U145" s="1434" t="b">
        <v>1</v>
      </c>
      <c r="V145" s="1434" t="s">
        <v>2523</v>
      </c>
      <c r="W145" s="1434" t="s">
        <v>2255</v>
      </c>
      <c r="X145" s="1435" t="s">
        <v>2645</v>
      </c>
      <c r="Y145" s="1434" t="s">
        <v>113</v>
      </c>
    </row>
    <row r="146">
      <c r="A146" s="1419"/>
      <c r="B146" s="1421" t="b">
        <v>0</v>
      </c>
      <c r="C146" s="1421" t="b">
        <v>0</v>
      </c>
      <c r="D146" s="1421" t="b">
        <v>0</v>
      </c>
      <c r="E146" s="1420" t="b">
        <v>1</v>
      </c>
      <c r="F146" s="1421" t="b">
        <v>0</v>
      </c>
      <c r="G146" s="1421" t="b">
        <v>0</v>
      </c>
      <c r="H146" s="1420" t="b">
        <v>1</v>
      </c>
      <c r="I146" s="1421" t="b">
        <v>0</v>
      </c>
      <c r="J146" s="1421" t="b">
        <v>0</v>
      </c>
      <c r="K146" s="1422" t="s">
        <v>2096</v>
      </c>
      <c r="L146" s="1423" t="s">
        <v>2646</v>
      </c>
      <c r="M146" s="1424">
        <v>2.0</v>
      </c>
      <c r="N146" s="1424" t="s">
        <v>2252</v>
      </c>
      <c r="O146" s="1436" t="b">
        <v>1</v>
      </c>
      <c r="P146" s="1425" t="b">
        <v>0</v>
      </c>
      <c r="Q146" s="1426" t="s">
        <v>2316</v>
      </c>
      <c r="R146" s="1426" t="s">
        <v>2269</v>
      </c>
      <c r="S146" s="1426" t="b">
        <v>1</v>
      </c>
      <c r="T146" s="1426" t="b">
        <v>1</v>
      </c>
      <c r="U146" s="1426" t="b">
        <v>1</v>
      </c>
      <c r="V146" s="1426" t="s">
        <v>2647</v>
      </c>
      <c r="W146" s="1426" t="s">
        <v>2308</v>
      </c>
      <c r="X146" s="1437" t="s">
        <v>2648</v>
      </c>
      <c r="Y146" s="1426" t="s">
        <v>113</v>
      </c>
    </row>
    <row r="147">
      <c r="A147" s="1419"/>
      <c r="B147" s="1429" t="b">
        <v>0</v>
      </c>
      <c r="C147" s="1429" t="b">
        <v>0</v>
      </c>
      <c r="D147" s="1428" t="b">
        <v>1</v>
      </c>
      <c r="E147" s="1429" t="b">
        <v>0</v>
      </c>
      <c r="F147" s="1429" t="b">
        <v>0</v>
      </c>
      <c r="G147" s="1429" t="b">
        <v>0</v>
      </c>
      <c r="H147" s="1429" t="b">
        <v>0</v>
      </c>
      <c r="I147" s="1429" t="b">
        <v>0</v>
      </c>
      <c r="J147" s="1429" t="b">
        <v>0</v>
      </c>
      <c r="K147" s="1430" t="s">
        <v>2065</v>
      </c>
      <c r="L147" s="1431" t="s">
        <v>2649</v>
      </c>
      <c r="M147" s="1432">
        <v>5.0</v>
      </c>
      <c r="N147" s="1432" t="s">
        <v>2252</v>
      </c>
      <c r="O147" s="1433" t="b">
        <v>0</v>
      </c>
      <c r="P147" s="1433" t="b">
        <v>0</v>
      </c>
      <c r="Q147" s="1434" t="s">
        <v>2253</v>
      </c>
      <c r="R147" s="1434" t="s">
        <v>2254</v>
      </c>
      <c r="S147" s="1434" t="b">
        <v>1</v>
      </c>
      <c r="T147" s="1434" t="b">
        <v>1</v>
      </c>
      <c r="U147" s="1434" t="b">
        <v>1</v>
      </c>
      <c r="V147" s="1434" t="s">
        <v>2650</v>
      </c>
      <c r="W147" s="1434" t="s">
        <v>2255</v>
      </c>
      <c r="X147" s="1435" t="s">
        <v>2651</v>
      </c>
      <c r="Y147" s="1434" t="s">
        <v>113</v>
      </c>
    </row>
    <row r="148">
      <c r="A148" s="1419"/>
      <c r="B148" s="1420" t="b">
        <v>0</v>
      </c>
      <c r="C148" s="1421" t="b">
        <v>0</v>
      </c>
      <c r="D148" s="1421" t="b">
        <v>0</v>
      </c>
      <c r="E148" s="1420" t="b">
        <v>1</v>
      </c>
      <c r="F148" s="1421" t="b">
        <v>0</v>
      </c>
      <c r="G148" s="1421" t="b">
        <v>0</v>
      </c>
      <c r="H148" s="1420" t="b">
        <v>1</v>
      </c>
      <c r="I148" s="1421" t="b">
        <v>0</v>
      </c>
      <c r="J148" s="1420" t="b">
        <v>1</v>
      </c>
      <c r="K148" s="1422" t="s">
        <v>2103</v>
      </c>
      <c r="L148" s="1423" t="s">
        <v>2652</v>
      </c>
      <c r="M148" s="1424">
        <v>2.0</v>
      </c>
      <c r="N148" s="1424" t="s">
        <v>2306</v>
      </c>
      <c r="O148" s="1436" t="b">
        <v>1</v>
      </c>
      <c r="P148" s="1425" t="b">
        <v>0</v>
      </c>
      <c r="Q148" s="1426" t="s">
        <v>2253</v>
      </c>
      <c r="R148" s="1426" t="s">
        <v>2254</v>
      </c>
      <c r="S148" s="1426" t="b">
        <v>1</v>
      </c>
      <c r="T148" s="1426" t="b">
        <v>1</v>
      </c>
      <c r="U148" s="1426" t="b">
        <v>1</v>
      </c>
      <c r="V148" s="1426" t="s">
        <v>2653</v>
      </c>
      <c r="W148" s="1426" t="s">
        <v>2288</v>
      </c>
      <c r="X148" s="1437" t="s">
        <v>2654</v>
      </c>
      <c r="Y148" s="1426" t="s">
        <v>113</v>
      </c>
    </row>
    <row r="149">
      <c r="A149" s="1419"/>
      <c r="B149" s="1428" t="b">
        <v>0</v>
      </c>
      <c r="C149" s="1429" t="b">
        <v>0</v>
      </c>
      <c r="D149" s="1429" t="b">
        <v>0</v>
      </c>
      <c r="E149" s="1428" t="b">
        <v>1</v>
      </c>
      <c r="F149" s="1429" t="b">
        <v>0</v>
      </c>
      <c r="G149" s="1429" t="b">
        <v>0</v>
      </c>
      <c r="H149" s="1428" t="b">
        <v>1</v>
      </c>
      <c r="I149" s="1429" t="b">
        <v>0</v>
      </c>
      <c r="J149" s="1428" t="b">
        <v>1</v>
      </c>
      <c r="K149" s="1430" t="s">
        <v>1992</v>
      </c>
      <c r="L149" s="1431" t="s">
        <v>2655</v>
      </c>
      <c r="M149" s="1432">
        <v>6.0</v>
      </c>
      <c r="N149" s="1432" t="s">
        <v>2268</v>
      </c>
      <c r="O149" s="1438" t="b">
        <v>1</v>
      </c>
      <c r="P149" s="1433" t="b">
        <v>0</v>
      </c>
      <c r="Q149" s="1434" t="s">
        <v>2253</v>
      </c>
      <c r="R149" s="1434" t="s">
        <v>2254</v>
      </c>
      <c r="S149" s="1434" t="b">
        <v>1</v>
      </c>
      <c r="T149" s="1434" t="b">
        <v>1</v>
      </c>
      <c r="U149" s="1434" t="b">
        <v>1</v>
      </c>
      <c r="V149" s="1434" t="s">
        <v>2656</v>
      </c>
      <c r="W149" s="1434" t="s">
        <v>2288</v>
      </c>
      <c r="X149" s="1435" t="s">
        <v>2657</v>
      </c>
      <c r="Y149" s="1434" t="s">
        <v>113</v>
      </c>
    </row>
    <row r="150">
      <c r="A150" s="1419"/>
      <c r="B150" s="1420" t="b">
        <v>1</v>
      </c>
      <c r="C150" s="1421" t="b">
        <v>0</v>
      </c>
      <c r="D150" s="1421" t="b">
        <v>0</v>
      </c>
      <c r="E150" s="1421" t="b">
        <v>0</v>
      </c>
      <c r="F150" s="1421" t="b">
        <v>0</v>
      </c>
      <c r="G150" s="1421" t="b">
        <v>0</v>
      </c>
      <c r="H150" s="1420" t="b">
        <v>1</v>
      </c>
      <c r="I150" s="1420" t="b">
        <v>1</v>
      </c>
      <c r="J150" s="1420" t="b">
        <v>1</v>
      </c>
      <c r="K150" s="1422" t="s">
        <v>2063</v>
      </c>
      <c r="L150" s="1423" t="s">
        <v>2658</v>
      </c>
      <c r="M150" s="1424">
        <v>3.0</v>
      </c>
      <c r="N150" s="1424" t="s">
        <v>2268</v>
      </c>
      <c r="O150" s="1436" t="b">
        <v>1</v>
      </c>
      <c r="P150" s="1425" t="b">
        <v>0</v>
      </c>
      <c r="Q150" s="1426" t="s">
        <v>2253</v>
      </c>
      <c r="R150" s="1426" t="s">
        <v>2311</v>
      </c>
      <c r="S150" s="1426" t="b">
        <v>1</v>
      </c>
      <c r="T150" s="1426" t="b">
        <v>1</v>
      </c>
      <c r="U150" s="1426" t="b">
        <v>1</v>
      </c>
      <c r="V150" s="1426" t="s">
        <v>2659</v>
      </c>
      <c r="W150" s="1426" t="s">
        <v>2308</v>
      </c>
      <c r="X150" s="1437" t="s">
        <v>2660</v>
      </c>
      <c r="Y150" s="1426" t="s">
        <v>113</v>
      </c>
    </row>
    <row r="151">
      <c r="A151" s="1419"/>
      <c r="B151" s="1428" t="b">
        <v>0</v>
      </c>
      <c r="C151" s="1429" t="b">
        <v>0</v>
      </c>
      <c r="D151" s="1429" t="b">
        <v>0</v>
      </c>
      <c r="E151" s="1428" t="b">
        <v>1</v>
      </c>
      <c r="F151" s="1429" t="b">
        <v>0</v>
      </c>
      <c r="G151" s="1428" t="b">
        <v>1</v>
      </c>
      <c r="H151" s="1428" t="b">
        <v>1</v>
      </c>
      <c r="I151" s="1429" t="b">
        <v>0</v>
      </c>
      <c r="J151" s="1428" t="b">
        <v>1</v>
      </c>
      <c r="K151" s="1430" t="s">
        <v>2128</v>
      </c>
      <c r="L151" s="1431" t="s">
        <v>2661</v>
      </c>
      <c r="M151" s="1432">
        <v>1.0</v>
      </c>
      <c r="N151" s="1432" t="s">
        <v>2306</v>
      </c>
      <c r="O151" s="1438" t="b">
        <v>1</v>
      </c>
      <c r="P151" s="1433" t="b">
        <v>0</v>
      </c>
      <c r="Q151" s="1434" t="s">
        <v>2253</v>
      </c>
      <c r="R151" s="1434" t="s">
        <v>2287</v>
      </c>
      <c r="S151" s="1434" t="b">
        <v>1</v>
      </c>
      <c r="T151" s="1434" t="b">
        <v>1</v>
      </c>
      <c r="U151" s="1439" t="b">
        <v>0</v>
      </c>
      <c r="V151" s="1439"/>
      <c r="W151" s="1434" t="s">
        <v>2270</v>
      </c>
      <c r="X151" s="1435" t="s">
        <v>2662</v>
      </c>
      <c r="Y151" s="1434" t="s">
        <v>113</v>
      </c>
    </row>
    <row r="152">
      <c r="A152" s="1419"/>
      <c r="B152" s="1421" t="b">
        <v>0</v>
      </c>
      <c r="C152" s="1421" t="b">
        <v>0</v>
      </c>
      <c r="D152" s="1420" t="b">
        <v>1</v>
      </c>
      <c r="E152" s="1421" t="b">
        <v>0</v>
      </c>
      <c r="F152" s="1421" t="b">
        <v>0</v>
      </c>
      <c r="G152" s="1421" t="b">
        <v>0</v>
      </c>
      <c r="H152" s="1421" t="b">
        <v>0</v>
      </c>
      <c r="I152" s="1421" t="b">
        <v>0</v>
      </c>
      <c r="J152" s="1421" t="b">
        <v>0</v>
      </c>
      <c r="K152" s="1422" t="s">
        <v>2002</v>
      </c>
      <c r="L152" s="1423" t="s">
        <v>2663</v>
      </c>
      <c r="M152" s="1424">
        <v>6.0</v>
      </c>
      <c r="N152" s="1424" t="s">
        <v>2258</v>
      </c>
      <c r="O152" s="1436" t="b">
        <v>1</v>
      </c>
      <c r="P152" s="1425" t="b">
        <v>0</v>
      </c>
      <c r="Q152" s="1426" t="s">
        <v>2411</v>
      </c>
      <c r="R152" s="1426" t="s">
        <v>2311</v>
      </c>
      <c r="S152" s="1426" t="b">
        <v>1</v>
      </c>
      <c r="T152" s="1426" t="b">
        <v>1</v>
      </c>
      <c r="U152" s="1426" t="b">
        <v>1</v>
      </c>
      <c r="V152" s="1426" t="s">
        <v>2664</v>
      </c>
      <c r="W152" s="1426" t="s">
        <v>2275</v>
      </c>
      <c r="X152" s="1437" t="s">
        <v>2665</v>
      </c>
      <c r="Y152" s="1426" t="s">
        <v>113</v>
      </c>
    </row>
    <row r="153">
      <c r="A153" s="1419"/>
      <c r="B153" s="1428" t="b">
        <v>0</v>
      </c>
      <c r="C153" s="1429" t="b">
        <v>0</v>
      </c>
      <c r="D153" s="1429" t="b">
        <v>0</v>
      </c>
      <c r="E153" s="1429" t="b">
        <v>0</v>
      </c>
      <c r="F153" s="1428" t="b">
        <v>1</v>
      </c>
      <c r="G153" s="1429" t="b">
        <v>0</v>
      </c>
      <c r="H153" s="1429" t="b">
        <v>0</v>
      </c>
      <c r="I153" s="1428" t="b">
        <v>1</v>
      </c>
      <c r="J153" s="1428" t="b">
        <v>1</v>
      </c>
      <c r="K153" s="1430" t="s">
        <v>1944</v>
      </c>
      <c r="L153" s="1431" t="s">
        <v>2666</v>
      </c>
      <c r="M153" s="1432">
        <v>7.0</v>
      </c>
      <c r="N153" s="1432" t="s">
        <v>2252</v>
      </c>
      <c r="O153" s="1438" t="b">
        <v>1</v>
      </c>
      <c r="P153" s="1433" t="b">
        <v>0</v>
      </c>
      <c r="Q153" s="1434" t="s">
        <v>2253</v>
      </c>
      <c r="R153" s="1434" t="s">
        <v>2667</v>
      </c>
      <c r="S153" s="1434" t="b">
        <v>1</v>
      </c>
      <c r="T153" s="1434" t="b">
        <v>1</v>
      </c>
      <c r="U153" s="1434" t="b">
        <v>1</v>
      </c>
      <c r="V153" s="1434" t="s">
        <v>2668</v>
      </c>
      <c r="W153" s="1434" t="s">
        <v>2270</v>
      </c>
      <c r="X153" s="1435" t="s">
        <v>2669</v>
      </c>
      <c r="Y153" s="1434" t="s">
        <v>113</v>
      </c>
    </row>
    <row r="154">
      <c r="A154" s="1419"/>
      <c r="B154" s="1420" t="b">
        <v>0</v>
      </c>
      <c r="C154" s="1420" t="b">
        <v>1</v>
      </c>
      <c r="D154" s="1421" t="b">
        <v>0</v>
      </c>
      <c r="E154" s="1420" t="b">
        <v>1</v>
      </c>
      <c r="F154" s="1421" t="b">
        <v>0</v>
      </c>
      <c r="G154" s="1421" t="b">
        <v>0</v>
      </c>
      <c r="H154" s="1421" t="b">
        <v>0</v>
      </c>
      <c r="I154" s="1420" t="b">
        <v>1</v>
      </c>
      <c r="J154" s="1420" t="b">
        <v>1</v>
      </c>
      <c r="K154" s="1422" t="s">
        <v>1896</v>
      </c>
      <c r="L154" s="1423" t="s">
        <v>2670</v>
      </c>
      <c r="M154" s="1424">
        <v>9.0</v>
      </c>
      <c r="N154" s="1424" t="s">
        <v>2302</v>
      </c>
      <c r="O154" s="1425" t="b">
        <v>0</v>
      </c>
      <c r="P154" s="1425" t="b">
        <v>0</v>
      </c>
      <c r="Q154" s="1426" t="s">
        <v>2264</v>
      </c>
      <c r="R154" s="1426" t="s">
        <v>2311</v>
      </c>
      <c r="S154" s="1426" t="b">
        <v>1</v>
      </c>
      <c r="T154" s="1426" t="b">
        <v>1</v>
      </c>
      <c r="U154" s="1426" t="b">
        <v>1</v>
      </c>
      <c r="V154" s="1426" t="s">
        <v>2671</v>
      </c>
      <c r="W154" s="1426" t="s">
        <v>2485</v>
      </c>
      <c r="X154" s="1437" t="s">
        <v>2672</v>
      </c>
      <c r="Y154" s="1426" t="s">
        <v>113</v>
      </c>
    </row>
    <row r="155">
      <c r="A155" s="1419"/>
      <c r="B155" s="1429" t="b">
        <v>0</v>
      </c>
      <c r="C155" s="1428" t="b">
        <v>1</v>
      </c>
      <c r="D155" s="1429" t="b">
        <v>0</v>
      </c>
      <c r="E155" s="1428" t="b">
        <v>1</v>
      </c>
      <c r="F155" s="1429" t="b">
        <v>0</v>
      </c>
      <c r="G155" s="1429" t="b">
        <v>0</v>
      </c>
      <c r="H155" s="1429" t="b">
        <v>0</v>
      </c>
      <c r="I155" s="1429" t="b">
        <v>0</v>
      </c>
      <c r="J155" s="1429" t="b">
        <v>0</v>
      </c>
      <c r="K155" s="1430" t="s">
        <v>2057</v>
      </c>
      <c r="L155" s="1431" t="s">
        <v>2673</v>
      </c>
      <c r="M155" s="1432">
        <v>4.0</v>
      </c>
      <c r="N155" s="1432" t="s">
        <v>2252</v>
      </c>
      <c r="O155" s="1438" t="b">
        <v>1</v>
      </c>
      <c r="P155" s="1433" t="b">
        <v>0</v>
      </c>
      <c r="Q155" s="1434" t="s">
        <v>2253</v>
      </c>
      <c r="R155" s="1434" t="s">
        <v>2269</v>
      </c>
      <c r="S155" s="1434" t="b">
        <v>1</v>
      </c>
      <c r="T155" s="1434" t="b">
        <v>1</v>
      </c>
      <c r="U155" s="1439" t="b">
        <v>0</v>
      </c>
      <c r="V155" s="1439"/>
      <c r="W155" s="1434" t="s">
        <v>2308</v>
      </c>
      <c r="X155" s="1435" t="s">
        <v>2674</v>
      </c>
      <c r="Y155" s="1434" t="s">
        <v>113</v>
      </c>
    </row>
    <row r="156">
      <c r="A156" s="1419"/>
      <c r="B156" s="1420" t="b">
        <v>1</v>
      </c>
      <c r="C156" s="1420" t="b">
        <v>1</v>
      </c>
      <c r="D156" s="1420" t="b">
        <v>1</v>
      </c>
      <c r="E156" s="1420" t="b">
        <v>1</v>
      </c>
      <c r="F156" s="1421" t="b">
        <v>0</v>
      </c>
      <c r="G156" s="1420" t="b">
        <v>1</v>
      </c>
      <c r="H156" s="1421" t="b">
        <v>0</v>
      </c>
      <c r="I156" s="1421" t="b">
        <v>0</v>
      </c>
      <c r="J156" s="1421" t="b">
        <v>0</v>
      </c>
      <c r="K156" s="1422" t="s">
        <v>2064</v>
      </c>
      <c r="L156" s="1423" t="s">
        <v>2675</v>
      </c>
      <c r="M156" s="1424">
        <v>4.0</v>
      </c>
      <c r="N156" s="1424" t="s">
        <v>2258</v>
      </c>
      <c r="O156" s="1425" t="b">
        <v>0</v>
      </c>
      <c r="P156" s="1425" t="b">
        <v>0</v>
      </c>
      <c r="Q156" s="1426" t="s">
        <v>2253</v>
      </c>
      <c r="R156" s="1426" t="s">
        <v>2311</v>
      </c>
      <c r="S156" s="1426" t="b">
        <v>1</v>
      </c>
      <c r="T156" s="1426" t="b">
        <v>1</v>
      </c>
      <c r="U156" s="1426" t="b">
        <v>1</v>
      </c>
      <c r="V156" s="1426" t="s">
        <v>2676</v>
      </c>
      <c r="W156" s="1426" t="s">
        <v>2297</v>
      </c>
      <c r="X156" s="1437" t="s">
        <v>2677</v>
      </c>
      <c r="Y156" s="1426" t="s">
        <v>113</v>
      </c>
    </row>
    <row r="157">
      <c r="A157" s="1419"/>
      <c r="B157" s="1428" t="b">
        <v>0</v>
      </c>
      <c r="C157" s="1428" t="b">
        <v>1</v>
      </c>
      <c r="D157" s="1429" t="b">
        <v>0</v>
      </c>
      <c r="E157" s="1429" t="b">
        <v>0</v>
      </c>
      <c r="F157" s="1429" t="b">
        <v>0</v>
      </c>
      <c r="G157" s="1429" t="b">
        <v>0</v>
      </c>
      <c r="H157" s="1428" t="b">
        <v>1</v>
      </c>
      <c r="I157" s="1428" t="b">
        <v>1</v>
      </c>
      <c r="J157" s="1428" t="b">
        <v>1</v>
      </c>
      <c r="K157" s="1430" t="s">
        <v>1957</v>
      </c>
      <c r="L157" s="1431" t="s">
        <v>2678</v>
      </c>
      <c r="M157" s="1432">
        <v>0.0</v>
      </c>
      <c r="N157" s="1432" t="s">
        <v>2273</v>
      </c>
      <c r="O157" s="1438" t="b">
        <v>1</v>
      </c>
      <c r="P157" s="1433" t="b">
        <v>0</v>
      </c>
      <c r="Q157" s="1434" t="s">
        <v>2253</v>
      </c>
      <c r="R157" s="1434" t="s">
        <v>2283</v>
      </c>
      <c r="S157" s="1439" t="b">
        <v>0</v>
      </c>
      <c r="T157" s="1434" t="b">
        <v>1</v>
      </c>
      <c r="U157" s="1434" t="b">
        <v>1</v>
      </c>
      <c r="V157" s="1434" t="s">
        <v>2679</v>
      </c>
      <c r="W157" s="1434" t="s">
        <v>2288</v>
      </c>
      <c r="X157" s="1435" t="s">
        <v>2680</v>
      </c>
      <c r="Y157" s="1434" t="s">
        <v>113</v>
      </c>
    </row>
    <row r="158">
      <c r="A158" s="1419"/>
      <c r="B158" s="1420" t="b">
        <v>0</v>
      </c>
      <c r="C158" s="1421" t="b">
        <v>0</v>
      </c>
      <c r="D158" s="1421" t="b">
        <v>0</v>
      </c>
      <c r="E158" s="1421" t="b">
        <v>0</v>
      </c>
      <c r="F158" s="1421" t="b">
        <v>0</v>
      </c>
      <c r="G158" s="1421" t="b">
        <v>0</v>
      </c>
      <c r="H158" s="1420" t="b">
        <v>1</v>
      </c>
      <c r="I158" s="1420" t="b">
        <v>1</v>
      </c>
      <c r="J158" s="1420" t="b">
        <v>1</v>
      </c>
      <c r="K158" s="1422" t="s">
        <v>2071</v>
      </c>
      <c r="L158" s="1423" t="s">
        <v>2681</v>
      </c>
      <c r="M158" s="1424">
        <v>3.0</v>
      </c>
      <c r="N158" s="1424" t="s">
        <v>2268</v>
      </c>
      <c r="O158" s="1436" t="b">
        <v>1</v>
      </c>
      <c r="P158" s="1425" t="b">
        <v>0</v>
      </c>
      <c r="Q158" s="1426" t="s">
        <v>2253</v>
      </c>
      <c r="R158" s="1426" t="s">
        <v>2311</v>
      </c>
      <c r="S158" s="1426" t="b">
        <v>1</v>
      </c>
      <c r="T158" s="1426" t="b">
        <v>1</v>
      </c>
      <c r="U158" s="1426" t="b">
        <v>1</v>
      </c>
      <c r="V158" s="1426" t="s">
        <v>2682</v>
      </c>
      <c r="W158" s="1426" t="s">
        <v>2270</v>
      </c>
      <c r="X158" s="1437" t="s">
        <v>2683</v>
      </c>
      <c r="Y158" s="1426" t="s">
        <v>113</v>
      </c>
    </row>
    <row r="159">
      <c r="A159" s="1419"/>
      <c r="B159" s="1428" t="b">
        <v>0</v>
      </c>
      <c r="C159" s="1429" t="b">
        <v>0</v>
      </c>
      <c r="D159" s="1428" t="b">
        <v>1</v>
      </c>
      <c r="E159" s="1429" t="b">
        <v>0</v>
      </c>
      <c r="F159" s="1429" t="b">
        <v>0</v>
      </c>
      <c r="G159" s="1429" t="b">
        <v>0</v>
      </c>
      <c r="H159" s="1428" t="b">
        <v>1</v>
      </c>
      <c r="I159" s="1428" t="b">
        <v>1</v>
      </c>
      <c r="J159" s="1428" t="b">
        <v>1</v>
      </c>
      <c r="K159" s="1430" t="s">
        <v>1906</v>
      </c>
      <c r="L159" s="1431" t="s">
        <v>2684</v>
      </c>
      <c r="M159" s="1432">
        <v>9.0</v>
      </c>
      <c r="N159" s="1432" t="s">
        <v>2306</v>
      </c>
      <c r="O159" s="1438" t="b">
        <v>1</v>
      </c>
      <c r="P159" s="1433" t="b">
        <v>0</v>
      </c>
      <c r="Q159" s="1434" t="s">
        <v>2253</v>
      </c>
      <c r="R159" s="1434" t="s">
        <v>2254</v>
      </c>
      <c r="S159" s="1434" t="b">
        <v>1</v>
      </c>
      <c r="T159" s="1434" t="b">
        <v>1</v>
      </c>
      <c r="U159" s="1434" t="b">
        <v>1</v>
      </c>
      <c r="V159" s="1434" t="s">
        <v>2685</v>
      </c>
      <c r="W159" s="1434" t="s">
        <v>2288</v>
      </c>
      <c r="X159" s="1435" t="s">
        <v>2686</v>
      </c>
      <c r="Y159" s="1434" t="s">
        <v>113</v>
      </c>
    </row>
    <row r="160">
      <c r="A160" s="1419"/>
      <c r="B160" s="1420" t="b">
        <v>0</v>
      </c>
      <c r="C160" s="1420" t="b">
        <v>1</v>
      </c>
      <c r="D160" s="1420" t="b">
        <v>1</v>
      </c>
      <c r="E160" s="1420" t="b">
        <v>1</v>
      </c>
      <c r="F160" s="1420" t="b">
        <v>1</v>
      </c>
      <c r="G160" s="1421" t="b">
        <v>0</v>
      </c>
      <c r="H160" s="1421" t="b">
        <v>0</v>
      </c>
      <c r="I160" s="1421" t="b">
        <v>0</v>
      </c>
      <c r="J160" s="1420" t="b">
        <v>1</v>
      </c>
      <c r="K160" s="1422" t="s">
        <v>2072</v>
      </c>
      <c r="L160" s="1423" t="s">
        <v>2687</v>
      </c>
      <c r="M160" s="1424">
        <v>5.0</v>
      </c>
      <c r="N160" s="1424" t="s">
        <v>2273</v>
      </c>
      <c r="O160" s="1425" t="b">
        <v>0</v>
      </c>
      <c r="P160" s="1425" t="b">
        <v>0</v>
      </c>
      <c r="Q160" s="1426" t="s">
        <v>2264</v>
      </c>
      <c r="R160" s="1426" t="s">
        <v>2254</v>
      </c>
      <c r="S160" s="1426" t="b">
        <v>1</v>
      </c>
      <c r="T160" s="1427" t="b">
        <v>0</v>
      </c>
      <c r="U160" s="1427" t="b">
        <v>0</v>
      </c>
      <c r="V160" s="1427"/>
      <c r="W160" s="1426" t="s">
        <v>2688</v>
      </c>
      <c r="X160" s="1437" t="s">
        <v>2689</v>
      </c>
      <c r="Y160" s="1426" t="s">
        <v>113</v>
      </c>
    </row>
    <row r="161">
      <c r="A161" s="1419"/>
      <c r="B161" s="1428" t="b">
        <v>0</v>
      </c>
      <c r="C161" s="1429" t="b">
        <v>0</v>
      </c>
      <c r="D161" s="1428" t="b">
        <v>1</v>
      </c>
      <c r="E161" s="1429" t="b">
        <v>0</v>
      </c>
      <c r="F161" s="1428" t="b">
        <v>1</v>
      </c>
      <c r="G161" s="1429" t="b">
        <v>0</v>
      </c>
      <c r="H161" s="1429" t="b">
        <v>0</v>
      </c>
      <c r="I161" s="1429" t="b">
        <v>0</v>
      </c>
      <c r="J161" s="1428" t="b">
        <v>1</v>
      </c>
      <c r="K161" s="1430" t="s">
        <v>2109</v>
      </c>
      <c r="L161" s="1431" t="s">
        <v>2690</v>
      </c>
      <c r="M161" s="1432">
        <v>2.0</v>
      </c>
      <c r="N161" s="1432" t="s">
        <v>2282</v>
      </c>
      <c r="O161" s="1438" t="b">
        <v>0</v>
      </c>
      <c r="P161" s="1438" t="b">
        <v>1</v>
      </c>
      <c r="Q161" s="1434" t="s">
        <v>2253</v>
      </c>
      <c r="R161" s="1434" t="s">
        <v>2311</v>
      </c>
      <c r="S161" s="1434" t="b">
        <v>1</v>
      </c>
      <c r="T161" s="1434" t="b">
        <v>1</v>
      </c>
      <c r="U161" s="1434" t="b">
        <v>1</v>
      </c>
      <c r="V161" s="1434" t="s">
        <v>2691</v>
      </c>
      <c r="W161" s="1434" t="s">
        <v>2299</v>
      </c>
      <c r="X161" s="1435" t="s">
        <v>2692</v>
      </c>
      <c r="Y161" s="1434" t="s">
        <v>113</v>
      </c>
    </row>
    <row r="162">
      <c r="A162" s="1419"/>
      <c r="B162" s="1421" t="b">
        <v>0</v>
      </c>
      <c r="C162" s="1421" t="b">
        <v>0</v>
      </c>
      <c r="D162" s="1421" t="b">
        <v>0</v>
      </c>
      <c r="E162" s="1420" t="b">
        <v>1</v>
      </c>
      <c r="F162" s="1421" t="b">
        <v>0</v>
      </c>
      <c r="G162" s="1421" t="b">
        <v>0</v>
      </c>
      <c r="H162" s="1421" t="b">
        <v>0</v>
      </c>
      <c r="I162" s="1421" t="b">
        <v>0</v>
      </c>
      <c r="J162" s="1421" t="b">
        <v>0</v>
      </c>
      <c r="K162" s="1422" t="s">
        <v>622</v>
      </c>
      <c r="L162" s="1423" t="s">
        <v>2693</v>
      </c>
      <c r="M162" s="1424">
        <v>4.0</v>
      </c>
      <c r="N162" s="1424" t="s">
        <v>2306</v>
      </c>
      <c r="O162" s="1436" t="b">
        <v>1</v>
      </c>
      <c r="P162" s="1425" t="b">
        <v>0</v>
      </c>
      <c r="Q162" s="1426" t="s">
        <v>2253</v>
      </c>
      <c r="R162" s="1426" t="s">
        <v>2254</v>
      </c>
      <c r="S162" s="1426" t="b">
        <v>1</v>
      </c>
      <c r="T162" s="1426" t="b">
        <v>1</v>
      </c>
      <c r="U162" s="1427" t="b">
        <v>0</v>
      </c>
      <c r="V162" s="1427"/>
      <c r="W162" s="1426" t="s">
        <v>2308</v>
      </c>
      <c r="X162" s="1437" t="s">
        <v>2694</v>
      </c>
      <c r="Y162" s="1426" t="s">
        <v>113</v>
      </c>
    </row>
    <row r="163">
      <c r="A163" s="1419"/>
      <c r="B163" s="1429" t="b">
        <v>0</v>
      </c>
      <c r="C163" s="1428" t="b">
        <v>1</v>
      </c>
      <c r="D163" s="1429" t="b">
        <v>0</v>
      </c>
      <c r="E163" s="1429" t="b">
        <v>0</v>
      </c>
      <c r="F163" s="1429" t="b">
        <v>0</v>
      </c>
      <c r="G163" s="1429" t="b">
        <v>0</v>
      </c>
      <c r="H163" s="1429" t="b">
        <v>0</v>
      </c>
      <c r="I163" s="1428" t="b">
        <v>1</v>
      </c>
      <c r="J163" s="1429" t="b">
        <v>0</v>
      </c>
      <c r="K163" s="1430" t="s">
        <v>1975</v>
      </c>
      <c r="L163" s="1431" t="s">
        <v>2695</v>
      </c>
      <c r="M163" s="1432">
        <v>8.0</v>
      </c>
      <c r="N163" s="1432" t="s">
        <v>2273</v>
      </c>
      <c r="O163" s="1433" t="b">
        <v>0</v>
      </c>
      <c r="P163" s="1433" t="b">
        <v>0</v>
      </c>
      <c r="Q163" s="1434" t="s">
        <v>2253</v>
      </c>
      <c r="R163" s="1434" t="s">
        <v>2269</v>
      </c>
      <c r="S163" s="1434" t="b">
        <v>1</v>
      </c>
      <c r="T163" s="1439" t="b">
        <v>0</v>
      </c>
      <c r="U163" s="1439" t="b">
        <v>0</v>
      </c>
      <c r="V163" s="1439"/>
      <c r="W163" s="1434" t="s">
        <v>2297</v>
      </c>
      <c r="X163" s="1435" t="s">
        <v>2696</v>
      </c>
      <c r="Y163" s="1434" t="s">
        <v>113</v>
      </c>
    </row>
    <row r="164">
      <c r="A164" s="1419"/>
      <c r="B164" s="1420" t="b">
        <v>0</v>
      </c>
      <c r="C164" s="1421" t="b">
        <v>0</v>
      </c>
      <c r="D164" s="1421" t="b">
        <v>0</v>
      </c>
      <c r="E164" s="1421" t="b">
        <v>0</v>
      </c>
      <c r="F164" s="1421" t="b">
        <v>0</v>
      </c>
      <c r="G164" s="1421" t="b">
        <v>0</v>
      </c>
      <c r="H164" s="1420" t="b">
        <v>1</v>
      </c>
      <c r="I164" s="1421" t="b">
        <v>0</v>
      </c>
      <c r="J164" s="1420" t="b">
        <v>1</v>
      </c>
      <c r="K164" s="1422" t="s">
        <v>2012</v>
      </c>
      <c r="L164" s="1423" t="s">
        <v>2697</v>
      </c>
      <c r="M164" s="1424">
        <v>6.0</v>
      </c>
      <c r="N164" s="1424" t="s">
        <v>2258</v>
      </c>
      <c r="O164" s="1436" t="b">
        <v>1</v>
      </c>
      <c r="P164" s="1425" t="b">
        <v>0</v>
      </c>
      <c r="Q164" s="1426" t="s">
        <v>2253</v>
      </c>
      <c r="R164" s="1426" t="s">
        <v>2269</v>
      </c>
      <c r="S164" s="1426" t="b">
        <v>1</v>
      </c>
      <c r="T164" s="1426" t="b">
        <v>1</v>
      </c>
      <c r="U164" s="1426" t="b">
        <v>1</v>
      </c>
      <c r="V164" s="1426" t="s">
        <v>2698</v>
      </c>
      <c r="W164" s="1426" t="s">
        <v>2288</v>
      </c>
      <c r="X164" s="1437" t="s">
        <v>2699</v>
      </c>
      <c r="Y164" s="1426" t="s">
        <v>113</v>
      </c>
    </row>
    <row r="165">
      <c r="A165" s="1419"/>
      <c r="B165" s="1428" t="b">
        <v>1</v>
      </c>
      <c r="C165" s="1428" t="b">
        <v>1</v>
      </c>
      <c r="D165" s="1428" t="b">
        <v>1</v>
      </c>
      <c r="E165" s="1429" t="b">
        <v>0</v>
      </c>
      <c r="F165" s="1429" t="b">
        <v>0</v>
      </c>
      <c r="G165" s="1429" t="b">
        <v>0</v>
      </c>
      <c r="H165" s="1429" t="b">
        <v>0</v>
      </c>
      <c r="I165" s="1429" t="b">
        <v>0</v>
      </c>
      <c r="J165" s="1428" t="b">
        <v>1</v>
      </c>
      <c r="K165" s="1430" t="s">
        <v>2078</v>
      </c>
      <c r="L165" s="1431" t="s">
        <v>2700</v>
      </c>
      <c r="M165" s="1432">
        <v>3.0</v>
      </c>
      <c r="N165" s="1432" t="s">
        <v>2258</v>
      </c>
      <c r="O165" s="1433" t="b">
        <v>0</v>
      </c>
      <c r="P165" s="1433" t="b">
        <v>0</v>
      </c>
      <c r="Q165" s="1434" t="s">
        <v>2297</v>
      </c>
      <c r="R165" s="1434" t="s">
        <v>2311</v>
      </c>
      <c r="S165" s="1434" t="b">
        <v>1</v>
      </c>
      <c r="T165" s="1434" t="b">
        <v>1</v>
      </c>
      <c r="U165" s="1434" t="b">
        <v>1</v>
      </c>
      <c r="V165" s="1434" t="s">
        <v>2701</v>
      </c>
      <c r="W165" s="1434" t="s">
        <v>2702</v>
      </c>
      <c r="X165" s="1435" t="s">
        <v>2703</v>
      </c>
      <c r="Y165" s="1434" t="s">
        <v>113</v>
      </c>
    </row>
    <row r="166">
      <c r="A166" s="1419"/>
      <c r="B166" s="1421" t="b">
        <v>0</v>
      </c>
      <c r="C166" s="1421" t="b">
        <v>0</v>
      </c>
      <c r="D166" s="1421" t="b">
        <v>0</v>
      </c>
      <c r="E166" s="1420" t="b">
        <v>1</v>
      </c>
      <c r="F166" s="1421" t="b">
        <v>0</v>
      </c>
      <c r="G166" s="1420" t="b">
        <v>1</v>
      </c>
      <c r="H166" s="1421" t="b">
        <v>0</v>
      </c>
      <c r="I166" s="1421" t="b">
        <v>0</v>
      </c>
      <c r="J166" s="1421" t="b">
        <v>0</v>
      </c>
      <c r="K166" s="1422" t="s">
        <v>2135</v>
      </c>
      <c r="L166" s="1423" t="s">
        <v>2704</v>
      </c>
      <c r="M166" s="1424">
        <v>1.0</v>
      </c>
      <c r="N166" s="1424" t="s">
        <v>2306</v>
      </c>
      <c r="O166" s="1425" t="b">
        <v>0</v>
      </c>
      <c r="P166" s="1425" t="b">
        <v>0</v>
      </c>
      <c r="Q166" s="1426" t="s">
        <v>2253</v>
      </c>
      <c r="R166" s="1426" t="s">
        <v>2269</v>
      </c>
      <c r="S166" s="1426" t="b">
        <v>1</v>
      </c>
      <c r="T166" s="1426" t="b">
        <v>1</v>
      </c>
      <c r="U166" s="1426" t="b">
        <v>1</v>
      </c>
      <c r="V166" s="1426" t="s">
        <v>2705</v>
      </c>
      <c r="W166" s="1426" t="s">
        <v>2275</v>
      </c>
      <c r="X166" s="1437" t="s">
        <v>2706</v>
      </c>
      <c r="Y166" s="1426" t="s">
        <v>113</v>
      </c>
    </row>
    <row r="167">
      <c r="A167" s="1419"/>
      <c r="B167" s="1429" t="b">
        <v>0</v>
      </c>
      <c r="C167" s="1429" t="b">
        <v>0</v>
      </c>
      <c r="D167" s="1429" t="b">
        <v>0</v>
      </c>
      <c r="E167" s="1428" t="b">
        <v>1</v>
      </c>
      <c r="F167" s="1429" t="b">
        <v>0</v>
      </c>
      <c r="G167" s="1428" t="b">
        <v>1</v>
      </c>
      <c r="H167" s="1429" t="b">
        <v>0</v>
      </c>
      <c r="I167" s="1429" t="b">
        <v>0</v>
      </c>
      <c r="J167" s="1429" t="b">
        <v>0</v>
      </c>
      <c r="K167" s="1430" t="s">
        <v>2079</v>
      </c>
      <c r="L167" s="1431" t="s">
        <v>2707</v>
      </c>
      <c r="M167" s="1432">
        <v>4.0</v>
      </c>
      <c r="N167" s="1432" t="s">
        <v>2306</v>
      </c>
      <c r="O167" s="1438" t="b">
        <v>1</v>
      </c>
      <c r="P167" s="1433" t="b">
        <v>0</v>
      </c>
      <c r="Q167" s="1434" t="s">
        <v>2316</v>
      </c>
      <c r="R167" s="1434" t="s">
        <v>2254</v>
      </c>
      <c r="S167" s="1434" t="b">
        <v>1</v>
      </c>
      <c r="T167" s="1434" t="b">
        <v>1</v>
      </c>
      <c r="U167" s="1439" t="b">
        <v>0</v>
      </c>
      <c r="V167" s="1439"/>
      <c r="W167" s="1434" t="s">
        <v>2288</v>
      </c>
      <c r="X167" s="1435" t="s">
        <v>2708</v>
      </c>
      <c r="Y167" s="1434" t="s">
        <v>113</v>
      </c>
    </row>
    <row r="168">
      <c r="A168" s="1419"/>
      <c r="B168" s="1420" t="b">
        <v>1</v>
      </c>
      <c r="C168" s="1421" t="b">
        <v>0</v>
      </c>
      <c r="D168" s="1421" t="b">
        <v>0</v>
      </c>
      <c r="E168" s="1421" t="b">
        <v>0</v>
      </c>
      <c r="F168" s="1421" t="b">
        <v>0</v>
      </c>
      <c r="G168" s="1421" t="b">
        <v>0</v>
      </c>
      <c r="H168" s="1420" t="b">
        <v>1</v>
      </c>
      <c r="I168" s="1420" t="b">
        <v>0</v>
      </c>
      <c r="J168" s="1420" t="b">
        <v>1</v>
      </c>
      <c r="K168" s="1422" t="s">
        <v>2141</v>
      </c>
      <c r="L168" s="1423" t="s">
        <v>2709</v>
      </c>
      <c r="M168" s="1424">
        <v>1.0</v>
      </c>
      <c r="N168" s="1424" t="s">
        <v>2306</v>
      </c>
      <c r="O168" s="1425" t="b">
        <v>0</v>
      </c>
      <c r="P168" s="1425" t="b">
        <v>0</v>
      </c>
      <c r="Q168" s="1426" t="s">
        <v>2253</v>
      </c>
      <c r="R168" s="1426" t="s">
        <v>2254</v>
      </c>
      <c r="S168" s="1426" t="b">
        <v>1</v>
      </c>
      <c r="T168" s="1426" t="b">
        <v>1</v>
      </c>
      <c r="U168" s="1426" t="b">
        <v>1</v>
      </c>
      <c r="V168" s="1426" t="s">
        <v>2710</v>
      </c>
      <c r="W168" s="1426" t="s">
        <v>2264</v>
      </c>
      <c r="X168" s="1437" t="s">
        <v>2711</v>
      </c>
      <c r="Y168" s="1426" t="s">
        <v>113</v>
      </c>
    </row>
    <row r="169">
      <c r="A169" s="1419"/>
      <c r="B169" s="1428" t="b">
        <v>0</v>
      </c>
      <c r="C169" s="1428" t="b">
        <v>1</v>
      </c>
      <c r="D169" s="1429" t="b">
        <v>0</v>
      </c>
      <c r="E169" s="1429" t="b">
        <v>0</v>
      </c>
      <c r="F169" s="1429" t="b">
        <v>0</v>
      </c>
      <c r="G169" s="1429" t="b">
        <v>0</v>
      </c>
      <c r="H169" s="1428" t="b">
        <v>1</v>
      </c>
      <c r="I169" s="1429" t="b">
        <v>0</v>
      </c>
      <c r="J169" s="1428" t="b">
        <v>1</v>
      </c>
      <c r="K169" s="1430" t="s">
        <v>2085</v>
      </c>
      <c r="L169" s="1431" t="s">
        <v>2712</v>
      </c>
      <c r="M169" s="1432">
        <v>4.0</v>
      </c>
      <c r="N169" s="1432" t="s">
        <v>2385</v>
      </c>
      <c r="O169" s="1438" t="b">
        <v>1</v>
      </c>
      <c r="P169" s="1433" t="b">
        <v>0</v>
      </c>
      <c r="Q169" s="1434" t="s">
        <v>2253</v>
      </c>
      <c r="R169" s="1434" t="s">
        <v>2311</v>
      </c>
      <c r="S169" s="1434" t="b">
        <v>1</v>
      </c>
      <c r="T169" s="1434" t="b">
        <v>1</v>
      </c>
      <c r="U169" s="1439" t="b">
        <v>0</v>
      </c>
      <c r="V169" s="1439"/>
      <c r="W169" s="1434" t="s">
        <v>2288</v>
      </c>
      <c r="X169" s="1435" t="s">
        <v>2713</v>
      </c>
      <c r="Y169" s="1434" t="s">
        <v>113</v>
      </c>
    </row>
    <row r="170">
      <c r="A170" s="1419"/>
      <c r="B170" s="1420" t="b">
        <v>1</v>
      </c>
      <c r="C170" s="1420" t="b">
        <v>1</v>
      </c>
      <c r="D170" s="1420" t="b">
        <v>1</v>
      </c>
      <c r="E170" s="1420" t="b">
        <v>1</v>
      </c>
      <c r="F170" s="1420" t="b">
        <v>1</v>
      </c>
      <c r="G170" s="1420" t="b">
        <v>1</v>
      </c>
      <c r="H170" s="1421" t="b">
        <v>0</v>
      </c>
      <c r="I170" s="1421" t="b">
        <v>0</v>
      </c>
      <c r="J170" s="1421" t="b">
        <v>0</v>
      </c>
      <c r="K170" s="1422" t="s">
        <v>2080</v>
      </c>
      <c r="L170" s="1423" t="s">
        <v>2714</v>
      </c>
      <c r="M170" s="1424">
        <v>5.0</v>
      </c>
      <c r="N170" s="1424" t="s">
        <v>2258</v>
      </c>
      <c r="O170" s="1425" t="b">
        <v>0</v>
      </c>
      <c r="P170" s="1425" t="b">
        <v>0</v>
      </c>
      <c r="Q170" s="1426" t="s">
        <v>2253</v>
      </c>
      <c r="R170" s="1426" t="s">
        <v>2311</v>
      </c>
      <c r="S170" s="1426" t="b">
        <v>1</v>
      </c>
      <c r="T170" s="1426" t="b">
        <v>1</v>
      </c>
      <c r="U170" s="1426" t="b">
        <v>1</v>
      </c>
      <c r="V170" s="1426" t="s">
        <v>2715</v>
      </c>
      <c r="W170" s="1426" t="s">
        <v>2255</v>
      </c>
      <c r="X170" s="1437" t="s">
        <v>2716</v>
      </c>
      <c r="Y170" s="1426" t="s">
        <v>113</v>
      </c>
    </row>
    <row r="171">
      <c r="A171" s="1419"/>
      <c r="B171" s="1429" t="b">
        <v>0</v>
      </c>
      <c r="C171" s="1429" t="b">
        <v>0</v>
      </c>
      <c r="D171" s="1428" t="b">
        <v>1</v>
      </c>
      <c r="E171" s="1429" t="b">
        <v>0</v>
      </c>
      <c r="F171" s="1429" t="b">
        <v>0</v>
      </c>
      <c r="G171" s="1429" t="b">
        <v>0</v>
      </c>
      <c r="H171" s="1429" t="b">
        <v>0</v>
      </c>
      <c r="I171" s="1429" t="b">
        <v>0</v>
      </c>
      <c r="J171" s="1429" t="b">
        <v>0</v>
      </c>
      <c r="K171" s="1430" t="s">
        <v>2091</v>
      </c>
      <c r="L171" s="1431" t="s">
        <v>2717</v>
      </c>
      <c r="M171" s="1432">
        <v>4.0</v>
      </c>
      <c r="N171" s="1432" t="s">
        <v>2306</v>
      </c>
      <c r="O171" s="1433" t="b">
        <v>0</v>
      </c>
      <c r="P171" s="1433" t="b">
        <v>0</v>
      </c>
      <c r="Q171" s="1434" t="s">
        <v>2253</v>
      </c>
      <c r="R171" s="1434" t="s">
        <v>2259</v>
      </c>
      <c r="S171" s="1434" t="b">
        <v>1</v>
      </c>
      <c r="T171" s="1439" t="b">
        <v>0</v>
      </c>
      <c r="U171" s="1439" t="b">
        <v>0</v>
      </c>
      <c r="V171" s="1439"/>
      <c r="W171" s="1434" t="s">
        <v>2261</v>
      </c>
      <c r="X171" s="1435" t="s">
        <v>2718</v>
      </c>
      <c r="Y171" s="1434" t="s">
        <v>113</v>
      </c>
    </row>
    <row r="172">
      <c r="A172" s="1419"/>
      <c r="B172" s="1420" t="b">
        <v>0</v>
      </c>
      <c r="C172" s="1420" t="b">
        <v>1</v>
      </c>
      <c r="D172" s="1421" t="b">
        <v>0</v>
      </c>
      <c r="E172" s="1421" t="b">
        <v>0</v>
      </c>
      <c r="F172" s="1421" t="b">
        <v>0</v>
      </c>
      <c r="G172" s="1421" t="b">
        <v>0</v>
      </c>
      <c r="H172" s="1421" t="b">
        <v>0</v>
      </c>
      <c r="I172" s="1421" t="b">
        <v>0</v>
      </c>
      <c r="J172" s="1420" t="b">
        <v>1</v>
      </c>
      <c r="K172" s="1422" t="s">
        <v>2022</v>
      </c>
      <c r="L172" s="1423" t="s">
        <v>2719</v>
      </c>
      <c r="M172" s="1424">
        <v>6.0</v>
      </c>
      <c r="N172" s="1424" t="s">
        <v>2258</v>
      </c>
      <c r="O172" s="1425" t="b">
        <v>0</v>
      </c>
      <c r="P172" s="1425" t="b">
        <v>0</v>
      </c>
      <c r="Q172" s="1426" t="s">
        <v>2297</v>
      </c>
      <c r="R172" s="1426" t="s">
        <v>2311</v>
      </c>
      <c r="S172" s="1426" t="b">
        <v>1</v>
      </c>
      <c r="T172" s="1426" t="b">
        <v>1</v>
      </c>
      <c r="U172" s="1426" t="b">
        <v>1</v>
      </c>
      <c r="V172" s="1426" t="s">
        <v>2720</v>
      </c>
      <c r="W172" s="1426" t="s">
        <v>2275</v>
      </c>
      <c r="X172" s="1437" t="s">
        <v>2721</v>
      </c>
      <c r="Y172" s="1426" t="s">
        <v>113</v>
      </c>
    </row>
    <row r="173">
      <c r="A173" s="1419"/>
      <c r="B173" s="1428" t="b">
        <v>1</v>
      </c>
      <c r="C173" s="1429" t="b">
        <v>0</v>
      </c>
      <c r="D173" s="1428" t="b">
        <v>1</v>
      </c>
      <c r="E173" s="1428" t="b">
        <v>1</v>
      </c>
      <c r="F173" s="1429" t="b">
        <v>0</v>
      </c>
      <c r="G173" s="1429" t="b">
        <v>0</v>
      </c>
      <c r="H173" s="1429" t="b">
        <v>0</v>
      </c>
      <c r="I173" s="1429" t="b">
        <v>0</v>
      </c>
      <c r="J173" s="1429" t="b">
        <v>0</v>
      </c>
      <c r="K173" s="1430" t="s">
        <v>1967</v>
      </c>
      <c r="L173" s="1431" t="s">
        <v>2722</v>
      </c>
      <c r="M173" s="1432">
        <v>0.0</v>
      </c>
      <c r="N173" s="1432" t="s">
        <v>2302</v>
      </c>
      <c r="O173" s="1438" t="b">
        <v>1</v>
      </c>
      <c r="P173" s="1433" t="b">
        <v>0</v>
      </c>
      <c r="Q173" s="1434" t="s">
        <v>2253</v>
      </c>
      <c r="R173" s="1434" t="s">
        <v>2311</v>
      </c>
      <c r="S173" s="1434" t="b">
        <v>1</v>
      </c>
      <c r="T173" s="1434" t="b">
        <v>1</v>
      </c>
      <c r="U173" s="1439" t="b">
        <v>0</v>
      </c>
      <c r="V173" s="1439"/>
      <c r="W173" s="1434" t="s">
        <v>2288</v>
      </c>
      <c r="X173" s="1435" t="s">
        <v>2723</v>
      </c>
      <c r="Y173" s="1434" t="s">
        <v>113</v>
      </c>
    </row>
    <row r="174">
      <c r="A174" s="1419"/>
      <c r="B174" s="1421" t="b">
        <v>0</v>
      </c>
      <c r="C174" s="1421" t="b">
        <v>0</v>
      </c>
      <c r="D174" s="1420" t="b">
        <v>1</v>
      </c>
      <c r="E174" s="1421" t="b">
        <v>0</v>
      </c>
      <c r="F174" s="1421" t="b">
        <v>0</v>
      </c>
      <c r="G174" s="1421" t="b">
        <v>0</v>
      </c>
      <c r="H174" s="1421" t="b">
        <v>0</v>
      </c>
      <c r="I174" s="1421" t="b">
        <v>0</v>
      </c>
      <c r="J174" s="1421" t="b">
        <v>0</v>
      </c>
      <c r="K174" s="1422" t="s">
        <v>2148</v>
      </c>
      <c r="L174" s="1423" t="s">
        <v>2724</v>
      </c>
      <c r="M174" s="1424">
        <v>1.0</v>
      </c>
      <c r="N174" s="1424" t="s">
        <v>2252</v>
      </c>
      <c r="O174" s="1425" t="b">
        <v>0</v>
      </c>
      <c r="P174" s="1425" t="b">
        <v>0</v>
      </c>
      <c r="Q174" s="1426" t="s">
        <v>2253</v>
      </c>
      <c r="R174" s="1426" t="s">
        <v>2287</v>
      </c>
      <c r="S174" s="1426" t="b">
        <v>1</v>
      </c>
      <c r="T174" s="1426" t="b">
        <v>1</v>
      </c>
      <c r="U174" s="1426" t="b">
        <v>0</v>
      </c>
      <c r="V174" s="1427"/>
      <c r="W174" s="1426" t="s">
        <v>2725</v>
      </c>
      <c r="X174" s="1437" t="s">
        <v>2726</v>
      </c>
      <c r="Y174" s="1426" t="s">
        <v>113</v>
      </c>
    </row>
    <row r="175">
      <c r="A175" s="1419"/>
      <c r="B175" s="1428" t="b">
        <v>0</v>
      </c>
      <c r="C175" s="1429" t="b">
        <v>0</v>
      </c>
      <c r="D175" s="1429" t="b">
        <v>0</v>
      </c>
      <c r="E175" s="1428" t="b">
        <v>1</v>
      </c>
      <c r="F175" s="1429" t="b">
        <v>0</v>
      </c>
      <c r="G175" s="1428" t="b">
        <v>1</v>
      </c>
      <c r="H175" s="1428" t="b">
        <v>1</v>
      </c>
      <c r="I175" s="1429" t="b">
        <v>0</v>
      </c>
      <c r="J175" s="1428" t="b">
        <v>1</v>
      </c>
      <c r="K175" s="1430" t="s">
        <v>2116</v>
      </c>
      <c r="L175" s="1431" t="s">
        <v>2727</v>
      </c>
      <c r="M175" s="1432">
        <v>2.0</v>
      </c>
      <c r="N175" s="1432" t="s">
        <v>2252</v>
      </c>
      <c r="O175" s="1438" t="b">
        <v>1</v>
      </c>
      <c r="P175" s="1433" t="b">
        <v>0</v>
      </c>
      <c r="Q175" s="1434" t="s">
        <v>2253</v>
      </c>
      <c r="R175" s="1434" t="s">
        <v>2269</v>
      </c>
      <c r="S175" s="1434" t="b">
        <v>1</v>
      </c>
      <c r="T175" s="1434" t="b">
        <v>1</v>
      </c>
      <c r="U175" s="1434" t="b">
        <v>1</v>
      </c>
      <c r="V175" s="1434" t="s">
        <v>2728</v>
      </c>
      <c r="W175" s="1434" t="s">
        <v>2288</v>
      </c>
      <c r="X175" s="1435" t="s">
        <v>2729</v>
      </c>
      <c r="Y175" s="1434" t="s">
        <v>113</v>
      </c>
    </row>
    <row r="176">
      <c r="A176" s="1419"/>
      <c r="B176" s="1421" t="b">
        <v>0</v>
      </c>
      <c r="C176" s="1421" t="b">
        <v>0</v>
      </c>
      <c r="D176" s="1421" t="b">
        <v>0</v>
      </c>
      <c r="E176" s="1421" t="b">
        <v>0</v>
      </c>
      <c r="F176" s="1421" t="b">
        <v>0</v>
      </c>
      <c r="G176" s="1420" t="b">
        <v>1</v>
      </c>
      <c r="H176" s="1421" t="b">
        <v>0</v>
      </c>
      <c r="I176" s="1421" t="b">
        <v>0</v>
      </c>
      <c r="J176" s="1421" t="b">
        <v>0</v>
      </c>
      <c r="K176" s="1422" t="s">
        <v>2155</v>
      </c>
      <c r="L176" s="1423" t="s">
        <v>2730</v>
      </c>
      <c r="M176" s="1424">
        <v>1.0</v>
      </c>
      <c r="N176" s="1424" t="s">
        <v>2306</v>
      </c>
      <c r="O176" s="1425" t="b">
        <v>0</v>
      </c>
      <c r="P176" s="1425" t="b">
        <v>0</v>
      </c>
      <c r="Q176" s="1426" t="s">
        <v>2731</v>
      </c>
      <c r="R176" s="1426" t="s">
        <v>2269</v>
      </c>
      <c r="S176" s="1426" t="b">
        <v>1</v>
      </c>
      <c r="T176" s="1427" t="b">
        <v>0</v>
      </c>
      <c r="U176" s="1427" t="b">
        <v>0</v>
      </c>
      <c r="V176" s="1427"/>
      <c r="W176" s="1426" t="s">
        <v>2255</v>
      </c>
      <c r="X176" s="1437" t="s">
        <v>2732</v>
      </c>
      <c r="Y176" s="1426" t="s">
        <v>113</v>
      </c>
    </row>
    <row r="177">
      <c r="A177" s="1419"/>
      <c r="B177" s="1429" t="b">
        <v>0</v>
      </c>
      <c r="C177" s="1429" t="b">
        <v>0</v>
      </c>
      <c r="D177" s="1428" t="b">
        <v>1</v>
      </c>
      <c r="E177" s="1429" t="b">
        <v>0</v>
      </c>
      <c r="F177" s="1429" t="b">
        <v>0</v>
      </c>
      <c r="G177" s="1429" t="b">
        <v>0</v>
      </c>
      <c r="H177" s="1429" t="b">
        <v>0</v>
      </c>
      <c r="I177" s="1429" t="b">
        <v>0</v>
      </c>
      <c r="J177" s="1429" t="b">
        <v>0</v>
      </c>
      <c r="K177" s="1430" t="s">
        <v>2086</v>
      </c>
      <c r="L177" s="1431" t="s">
        <v>2733</v>
      </c>
      <c r="M177" s="1432">
        <v>5.0</v>
      </c>
      <c r="N177" s="1432" t="s">
        <v>2258</v>
      </c>
      <c r="O177" s="1433" t="b">
        <v>0</v>
      </c>
      <c r="P177" s="1433" t="b">
        <v>0</v>
      </c>
      <c r="Q177" s="1434" t="s">
        <v>2275</v>
      </c>
      <c r="R177" s="1434" t="s">
        <v>2311</v>
      </c>
      <c r="S177" s="1434" t="b">
        <v>1</v>
      </c>
      <c r="T177" s="1434" t="b">
        <v>1</v>
      </c>
      <c r="U177" s="1434" t="b">
        <v>1</v>
      </c>
      <c r="V177" s="1434" t="s">
        <v>2734</v>
      </c>
      <c r="W177" s="1434" t="s">
        <v>2313</v>
      </c>
      <c r="X177" s="1435" t="s">
        <v>2735</v>
      </c>
      <c r="Y177" s="1434" t="s">
        <v>113</v>
      </c>
    </row>
    <row r="178">
      <c r="A178" s="1419"/>
      <c r="B178" s="1420" t="b">
        <v>0</v>
      </c>
      <c r="C178" s="1420" t="b">
        <v>1</v>
      </c>
      <c r="D178" s="1421" t="b">
        <v>0</v>
      </c>
      <c r="E178" s="1420" t="b">
        <v>1</v>
      </c>
      <c r="F178" s="1421" t="b">
        <v>0</v>
      </c>
      <c r="G178" s="1421" t="b">
        <v>0</v>
      </c>
      <c r="H178" s="1421" t="b">
        <v>0</v>
      </c>
      <c r="I178" s="1420" t="b">
        <v>1</v>
      </c>
      <c r="J178" s="1420" t="b">
        <v>1</v>
      </c>
      <c r="K178" s="1422" t="s">
        <v>2098</v>
      </c>
      <c r="L178" s="1423" t="s">
        <v>2736</v>
      </c>
      <c r="M178" s="1424">
        <v>4.0</v>
      </c>
      <c r="N178" s="1424" t="s">
        <v>2385</v>
      </c>
      <c r="O178" s="1425" t="b">
        <v>0</v>
      </c>
      <c r="P178" s="1425" t="b">
        <v>0</v>
      </c>
      <c r="Q178" s="1426" t="s">
        <v>2411</v>
      </c>
      <c r="R178" s="1426" t="s">
        <v>2476</v>
      </c>
      <c r="S178" s="1426" t="b">
        <v>1</v>
      </c>
      <c r="T178" s="1426" t="b">
        <v>1</v>
      </c>
      <c r="U178" s="1426" t="b">
        <v>1</v>
      </c>
      <c r="V178" s="1426" t="s">
        <v>2737</v>
      </c>
      <c r="W178" s="1426" t="s">
        <v>2275</v>
      </c>
      <c r="X178" s="1437" t="s">
        <v>2738</v>
      </c>
      <c r="Y178" s="1426" t="s">
        <v>113</v>
      </c>
    </row>
    <row r="179">
      <c r="A179" s="1419"/>
      <c r="B179" s="1429" t="b">
        <v>0</v>
      </c>
      <c r="C179" s="1429" t="b">
        <v>0</v>
      </c>
      <c r="D179" s="1428" t="b">
        <v>1</v>
      </c>
      <c r="E179" s="1429" t="b">
        <v>0</v>
      </c>
      <c r="F179" s="1429" t="b">
        <v>0</v>
      </c>
      <c r="G179" s="1429" t="b">
        <v>0</v>
      </c>
      <c r="H179" s="1429" t="b">
        <v>0</v>
      </c>
      <c r="I179" s="1429" t="b">
        <v>0</v>
      </c>
      <c r="J179" s="1429" t="b">
        <v>0</v>
      </c>
      <c r="K179" s="1430" t="s">
        <v>2032</v>
      </c>
      <c r="L179" s="1431" t="s">
        <v>2739</v>
      </c>
      <c r="M179" s="1432">
        <v>6.0</v>
      </c>
      <c r="N179" s="1432" t="s">
        <v>2282</v>
      </c>
      <c r="O179" s="1438" t="b">
        <v>0</v>
      </c>
      <c r="P179" s="1433" t="b">
        <v>0</v>
      </c>
      <c r="Q179" s="1434" t="s">
        <v>2253</v>
      </c>
      <c r="R179" s="1434" t="s">
        <v>2254</v>
      </c>
      <c r="S179" s="1434" t="b">
        <v>1</v>
      </c>
      <c r="T179" s="1434" t="b">
        <v>1</v>
      </c>
      <c r="U179" s="1439" t="b">
        <v>0</v>
      </c>
      <c r="V179" s="1439"/>
      <c r="W179" s="1434" t="s">
        <v>2255</v>
      </c>
      <c r="X179" s="1435" t="s">
        <v>2740</v>
      </c>
      <c r="Y179" s="1434" t="s">
        <v>113</v>
      </c>
    </row>
    <row r="180">
      <c r="A180" s="1419"/>
      <c r="B180" s="1420" t="b">
        <v>1</v>
      </c>
      <c r="C180" s="1421" t="b">
        <v>0</v>
      </c>
      <c r="D180" s="1421" t="b">
        <v>0</v>
      </c>
      <c r="E180" s="1421" t="b">
        <v>0</v>
      </c>
      <c r="F180" s="1421" t="b">
        <v>0</v>
      </c>
      <c r="G180" s="1421" t="b">
        <v>0</v>
      </c>
      <c r="H180" s="1420" t="b">
        <v>1</v>
      </c>
      <c r="I180" s="1420" t="b">
        <v>0</v>
      </c>
      <c r="J180" s="1420" t="b">
        <v>1</v>
      </c>
      <c r="K180" s="1422" t="s">
        <v>2084</v>
      </c>
      <c r="L180" s="1423" t="s">
        <v>2741</v>
      </c>
      <c r="M180" s="1424">
        <v>3.0</v>
      </c>
      <c r="N180" s="1424" t="s">
        <v>2268</v>
      </c>
      <c r="O180" s="1436" t="b">
        <v>1</v>
      </c>
      <c r="P180" s="1425" t="b">
        <v>0</v>
      </c>
      <c r="Q180" s="1426" t="s">
        <v>2253</v>
      </c>
      <c r="R180" s="1426" t="s">
        <v>2259</v>
      </c>
      <c r="S180" s="1426" t="b">
        <v>1</v>
      </c>
      <c r="T180" s="1426" t="b">
        <v>1</v>
      </c>
      <c r="U180" s="1426" t="b">
        <v>1</v>
      </c>
      <c r="V180" s="1426" t="s">
        <v>2742</v>
      </c>
      <c r="W180" s="1426" t="s">
        <v>2288</v>
      </c>
      <c r="X180" s="1437" t="s">
        <v>2743</v>
      </c>
      <c r="Y180" s="1426" t="s">
        <v>113</v>
      </c>
    </row>
    <row r="181">
      <c r="A181" s="1419"/>
      <c r="B181" s="1429" t="b">
        <v>0</v>
      </c>
      <c r="C181" s="1429" t="b">
        <v>0</v>
      </c>
      <c r="D181" s="1428" t="b">
        <v>1</v>
      </c>
      <c r="E181" s="1428" t="b">
        <v>1</v>
      </c>
      <c r="F181" s="1429" t="b">
        <v>0</v>
      </c>
      <c r="G181" s="1429" t="b">
        <v>0</v>
      </c>
      <c r="H181" s="1429" t="b">
        <v>0</v>
      </c>
      <c r="I181" s="1429" t="b">
        <v>0</v>
      </c>
      <c r="J181" s="1429" t="b">
        <v>0</v>
      </c>
      <c r="K181" s="1430" t="s">
        <v>2041</v>
      </c>
      <c r="L181" s="1431" t="s">
        <v>2744</v>
      </c>
      <c r="M181" s="1432">
        <v>6.0</v>
      </c>
      <c r="N181" s="1432" t="s">
        <v>2258</v>
      </c>
      <c r="O181" s="1433" t="b">
        <v>0</v>
      </c>
      <c r="P181" s="1433" t="b">
        <v>0</v>
      </c>
      <c r="Q181" s="1434" t="s">
        <v>2253</v>
      </c>
      <c r="R181" s="1434" t="s">
        <v>2254</v>
      </c>
      <c r="S181" s="1434" t="b">
        <v>1</v>
      </c>
      <c r="T181" s="1434" t="b">
        <v>1</v>
      </c>
      <c r="U181" s="1439" t="b">
        <v>0</v>
      </c>
      <c r="V181" s="1439"/>
      <c r="W181" s="1434" t="s">
        <v>2255</v>
      </c>
      <c r="X181" s="1435" t="s">
        <v>2745</v>
      </c>
      <c r="Y181" s="1434" t="s">
        <v>113</v>
      </c>
    </row>
    <row r="182">
      <c r="A182" s="1419"/>
      <c r="B182" s="1421" t="b">
        <v>0</v>
      </c>
      <c r="C182" s="1420" t="b">
        <v>1</v>
      </c>
      <c r="D182" s="1420" t="b">
        <v>1</v>
      </c>
      <c r="E182" s="1420" t="b">
        <v>1</v>
      </c>
      <c r="F182" s="1421" t="b">
        <v>0</v>
      </c>
      <c r="G182" s="1421" t="b">
        <v>0</v>
      </c>
      <c r="H182" s="1421" t="b">
        <v>0</v>
      </c>
      <c r="I182" s="1421" t="b">
        <v>0</v>
      </c>
      <c r="J182" s="1421" t="b">
        <v>0</v>
      </c>
      <c r="K182" s="1422" t="s">
        <v>2161</v>
      </c>
      <c r="L182" s="1423" t="s">
        <v>2746</v>
      </c>
      <c r="M182" s="1424">
        <v>1.0</v>
      </c>
      <c r="N182" s="1424" t="s">
        <v>2258</v>
      </c>
      <c r="O182" s="1425" t="b">
        <v>0</v>
      </c>
      <c r="P182" s="1425" t="b">
        <v>0</v>
      </c>
      <c r="Q182" s="1426" t="s">
        <v>2316</v>
      </c>
      <c r="R182" s="1426" t="s">
        <v>2254</v>
      </c>
      <c r="S182" s="1426" t="b">
        <v>1</v>
      </c>
      <c r="T182" s="1427" t="b">
        <v>0</v>
      </c>
      <c r="U182" s="1427" t="b">
        <v>0</v>
      </c>
      <c r="V182" s="1427"/>
      <c r="W182" s="1426" t="s">
        <v>2255</v>
      </c>
      <c r="X182" s="1437" t="s">
        <v>2747</v>
      </c>
      <c r="Y182" s="1426" t="s">
        <v>113</v>
      </c>
    </row>
    <row r="183">
      <c r="A183" s="1440" t="s">
        <v>2461</v>
      </c>
      <c r="B183" s="1428" t="b">
        <v>1</v>
      </c>
      <c r="C183" s="1428" t="b">
        <v>1</v>
      </c>
      <c r="D183" s="1429" t="b">
        <v>0</v>
      </c>
      <c r="E183" s="1428" t="b">
        <v>1</v>
      </c>
      <c r="F183" s="1429" t="b">
        <v>0</v>
      </c>
      <c r="G183" s="1429" t="b">
        <v>0</v>
      </c>
      <c r="H183" s="1429" t="b">
        <v>0</v>
      </c>
      <c r="I183" s="1429" t="b">
        <v>0</v>
      </c>
      <c r="J183" s="1429" t="b">
        <v>0</v>
      </c>
      <c r="K183" s="1430" t="s">
        <v>2122</v>
      </c>
      <c r="L183" s="1431" t="s">
        <v>2748</v>
      </c>
      <c r="M183" s="1432">
        <v>2.0</v>
      </c>
      <c r="N183" s="1432" t="s">
        <v>2268</v>
      </c>
      <c r="O183" s="1438" t="b">
        <v>1</v>
      </c>
      <c r="P183" s="1433" t="b">
        <v>0</v>
      </c>
      <c r="Q183" s="1434" t="s">
        <v>2253</v>
      </c>
      <c r="R183" s="1434" t="s">
        <v>2254</v>
      </c>
      <c r="S183" s="1434" t="b">
        <v>1</v>
      </c>
      <c r="T183" s="1434" t="b">
        <v>1</v>
      </c>
      <c r="U183" s="1434" t="b">
        <v>1</v>
      </c>
      <c r="V183" s="1434" t="s">
        <v>2749</v>
      </c>
      <c r="W183" s="1434" t="s">
        <v>2288</v>
      </c>
      <c r="X183" s="1435" t="s">
        <v>2750</v>
      </c>
      <c r="Y183" s="1434" t="s">
        <v>113</v>
      </c>
    </row>
    <row r="184">
      <c r="A184" s="1440" t="s">
        <v>2461</v>
      </c>
      <c r="B184" s="1421" t="b">
        <v>0</v>
      </c>
      <c r="C184" s="1421" t="b">
        <v>0</v>
      </c>
      <c r="D184" s="1421" t="b">
        <v>0</v>
      </c>
      <c r="E184" s="1421" t="b">
        <v>0</v>
      </c>
      <c r="F184" s="1421" t="b">
        <v>0</v>
      </c>
      <c r="G184" s="1421" t="b">
        <v>0</v>
      </c>
      <c r="H184" s="1421" t="b">
        <v>0</v>
      </c>
      <c r="I184" s="1420" t="b">
        <v>1</v>
      </c>
      <c r="J184" s="1421" t="b">
        <v>0</v>
      </c>
      <c r="K184" s="1422" t="s">
        <v>2166</v>
      </c>
      <c r="L184" s="1423" t="s">
        <v>2751</v>
      </c>
      <c r="M184" s="1424">
        <v>1.0</v>
      </c>
      <c r="N184" s="1424" t="s">
        <v>2252</v>
      </c>
      <c r="O184" s="1425" t="b">
        <v>0</v>
      </c>
      <c r="P184" s="1425" t="b">
        <v>0</v>
      </c>
      <c r="Q184" s="1426" t="s">
        <v>2752</v>
      </c>
      <c r="R184" s="1426" t="s">
        <v>2254</v>
      </c>
      <c r="S184" s="1426" t="b">
        <v>1</v>
      </c>
      <c r="T184" s="1426" t="b">
        <v>1</v>
      </c>
      <c r="U184" s="1427" t="b">
        <v>0</v>
      </c>
      <c r="V184" s="1427"/>
      <c r="W184" s="1426" t="s">
        <v>2753</v>
      </c>
      <c r="X184" s="1437" t="s">
        <v>2754</v>
      </c>
      <c r="Y184" s="1426" t="s">
        <v>113</v>
      </c>
    </row>
    <row r="185">
      <c r="A185" s="1419"/>
      <c r="B185" s="1429" t="b">
        <v>0</v>
      </c>
      <c r="C185" s="1428" t="b">
        <v>1</v>
      </c>
      <c r="D185" s="1428" t="b">
        <v>1</v>
      </c>
      <c r="E185" s="1428" t="b">
        <v>1</v>
      </c>
      <c r="F185" s="1429" t="b">
        <v>0</v>
      </c>
      <c r="G185" s="1429" t="b">
        <v>0</v>
      </c>
      <c r="H185" s="1429" t="b">
        <v>0</v>
      </c>
      <c r="I185" s="1429" t="b">
        <v>0</v>
      </c>
      <c r="J185" s="1429" t="b">
        <v>0</v>
      </c>
      <c r="K185" s="1430" t="s">
        <v>2050</v>
      </c>
      <c r="L185" s="1431" t="s">
        <v>2755</v>
      </c>
      <c r="M185" s="1432">
        <v>6.0</v>
      </c>
      <c r="N185" s="1432" t="s">
        <v>2306</v>
      </c>
      <c r="O185" s="1433" t="b">
        <v>0</v>
      </c>
      <c r="P185" s="1433" t="b">
        <v>0</v>
      </c>
      <c r="Q185" s="1434" t="s">
        <v>2411</v>
      </c>
      <c r="R185" s="1434" t="s">
        <v>2269</v>
      </c>
      <c r="S185" s="1434" t="b">
        <v>1</v>
      </c>
      <c r="T185" s="1434" t="b">
        <v>1</v>
      </c>
      <c r="U185" s="1434" t="b">
        <v>1</v>
      </c>
      <c r="V185" s="1434" t="s">
        <v>2756</v>
      </c>
      <c r="W185" s="1434" t="s">
        <v>2255</v>
      </c>
      <c r="X185" s="1435" t="s">
        <v>2757</v>
      </c>
      <c r="Y185" s="1434" t="s">
        <v>113</v>
      </c>
    </row>
    <row r="186">
      <c r="A186" s="1419"/>
      <c r="B186" s="1421" t="b">
        <v>0</v>
      </c>
      <c r="C186" s="1420" t="b">
        <v>1</v>
      </c>
      <c r="D186" s="1421" t="b">
        <v>0</v>
      </c>
      <c r="E186" s="1421" t="b">
        <v>0</v>
      </c>
      <c r="F186" s="1420" t="b">
        <v>1</v>
      </c>
      <c r="G186" s="1421" t="b">
        <v>0</v>
      </c>
      <c r="H186" s="1421" t="b">
        <v>0</v>
      </c>
      <c r="I186" s="1421" t="b">
        <v>0</v>
      </c>
      <c r="J186" s="1421" t="b">
        <v>0</v>
      </c>
      <c r="K186" s="1422" t="s">
        <v>2171</v>
      </c>
      <c r="L186" s="1423" t="s">
        <v>2758</v>
      </c>
      <c r="M186" s="1424">
        <v>1.0</v>
      </c>
      <c r="N186" s="1424" t="s">
        <v>2273</v>
      </c>
      <c r="O186" s="1436" t="b">
        <v>1</v>
      </c>
      <c r="P186" s="1425" t="b">
        <v>0</v>
      </c>
      <c r="Q186" s="1426" t="s">
        <v>2253</v>
      </c>
      <c r="R186" s="1426" t="s">
        <v>2311</v>
      </c>
      <c r="S186" s="1426" t="b">
        <v>1</v>
      </c>
      <c r="T186" s="1426" t="b">
        <v>1</v>
      </c>
      <c r="U186" s="1427" t="b">
        <v>0</v>
      </c>
      <c r="V186" s="1427"/>
      <c r="W186" s="1426" t="s">
        <v>2288</v>
      </c>
      <c r="X186" s="1437" t="s">
        <v>2759</v>
      </c>
      <c r="Y186" s="1426" t="s">
        <v>113</v>
      </c>
    </row>
    <row r="187">
      <c r="A187" s="1419"/>
      <c r="B187" s="1429" t="b">
        <v>0</v>
      </c>
      <c r="C187" s="1429" t="b">
        <v>0</v>
      </c>
      <c r="D187" s="1429" t="b">
        <v>0</v>
      </c>
      <c r="E187" s="1429" t="b">
        <v>0</v>
      </c>
      <c r="F187" s="1429" t="b">
        <v>0</v>
      </c>
      <c r="G187" s="1429" t="b">
        <v>0</v>
      </c>
      <c r="H187" s="1429" t="b">
        <v>0</v>
      </c>
      <c r="I187" s="1428" t="b">
        <v>1</v>
      </c>
      <c r="J187" s="1429" t="b">
        <v>0</v>
      </c>
      <c r="K187" s="1430" t="s">
        <v>2175</v>
      </c>
      <c r="L187" s="1431" t="s">
        <v>2760</v>
      </c>
      <c r="M187" s="1432">
        <v>1.0</v>
      </c>
      <c r="N187" s="1432" t="s">
        <v>2273</v>
      </c>
      <c r="O187" s="1438" t="b">
        <v>1</v>
      </c>
      <c r="P187" s="1433" t="b">
        <v>0</v>
      </c>
      <c r="Q187" s="1434" t="s">
        <v>2316</v>
      </c>
      <c r="R187" s="1434" t="s">
        <v>2368</v>
      </c>
      <c r="S187" s="1434" t="b">
        <v>1</v>
      </c>
      <c r="T187" s="1434" t="b">
        <v>1</v>
      </c>
      <c r="U187" s="1434" t="b">
        <v>1</v>
      </c>
      <c r="V187" s="1434" t="s">
        <v>2761</v>
      </c>
      <c r="W187" s="1434" t="s">
        <v>2762</v>
      </c>
      <c r="X187" s="1435" t="s">
        <v>2763</v>
      </c>
      <c r="Y187" s="1434" t="s">
        <v>113</v>
      </c>
    </row>
    <row r="188">
      <c r="A188" s="1419"/>
      <c r="B188" s="1420" t="b">
        <v>0</v>
      </c>
      <c r="C188" s="1420" t="b">
        <v>1</v>
      </c>
      <c r="D188" s="1421" t="b">
        <v>0</v>
      </c>
      <c r="E188" s="1421" t="b">
        <v>0</v>
      </c>
      <c r="F188" s="1421" t="b">
        <v>0</v>
      </c>
      <c r="G188" s="1421" t="b">
        <v>0</v>
      </c>
      <c r="H188" s="1420" t="b">
        <v>1</v>
      </c>
      <c r="I188" s="1420" t="b">
        <v>1</v>
      </c>
      <c r="J188" s="1420" t="b">
        <v>1</v>
      </c>
      <c r="K188" s="1422" t="s">
        <v>2092</v>
      </c>
      <c r="L188" s="1423" t="s">
        <v>2764</v>
      </c>
      <c r="M188" s="1424">
        <v>5.0</v>
      </c>
      <c r="N188" s="1424" t="s">
        <v>2273</v>
      </c>
      <c r="O188" s="1436" t="b">
        <v>1</v>
      </c>
      <c r="P188" s="1425" t="b">
        <v>0</v>
      </c>
      <c r="Q188" s="1426" t="s">
        <v>2253</v>
      </c>
      <c r="R188" s="1426" t="s">
        <v>2368</v>
      </c>
      <c r="S188" s="1426" t="b">
        <v>1</v>
      </c>
      <c r="T188" s="1426" t="b">
        <v>1</v>
      </c>
      <c r="U188" s="1426" t="b">
        <v>1</v>
      </c>
      <c r="V188" s="1426" t="s">
        <v>2765</v>
      </c>
      <c r="W188" s="1426" t="s">
        <v>2288</v>
      </c>
      <c r="X188" s="1437" t="s">
        <v>2766</v>
      </c>
      <c r="Y188" s="1426" t="s">
        <v>113</v>
      </c>
    </row>
    <row r="189">
      <c r="A189" s="1419"/>
      <c r="B189" s="1428" t="b">
        <v>0</v>
      </c>
      <c r="C189" s="1428" t="b">
        <v>1</v>
      </c>
      <c r="D189" s="1428" t="b">
        <v>1</v>
      </c>
      <c r="E189" s="1428" t="b">
        <v>1</v>
      </c>
      <c r="F189" s="1429" t="b">
        <v>0</v>
      </c>
      <c r="G189" s="1429" t="b">
        <v>0</v>
      </c>
      <c r="H189" s="1428" t="b">
        <v>1</v>
      </c>
      <c r="I189" s="1428" t="b">
        <v>1</v>
      </c>
      <c r="J189" s="1428" t="b">
        <v>1</v>
      </c>
      <c r="K189" s="1430" t="s">
        <v>2129</v>
      </c>
      <c r="L189" s="1431" t="s">
        <v>2767</v>
      </c>
      <c r="M189" s="1432">
        <v>2.0</v>
      </c>
      <c r="N189" s="1432" t="s">
        <v>2273</v>
      </c>
      <c r="O189" s="1438" t="b">
        <v>1</v>
      </c>
      <c r="P189" s="1433" t="b">
        <v>0</v>
      </c>
      <c r="Q189" s="1434" t="s">
        <v>2253</v>
      </c>
      <c r="R189" s="1434" t="s">
        <v>2254</v>
      </c>
      <c r="S189" s="1434" t="b">
        <v>1</v>
      </c>
      <c r="T189" s="1434" t="b">
        <v>1</v>
      </c>
      <c r="U189" s="1434" t="b">
        <v>1</v>
      </c>
      <c r="V189" s="1434" t="s">
        <v>2765</v>
      </c>
      <c r="W189" s="1434" t="s">
        <v>2288</v>
      </c>
      <c r="X189" s="1435" t="s">
        <v>2768</v>
      </c>
      <c r="Y189" s="1434" t="s">
        <v>113</v>
      </c>
    </row>
    <row r="190">
      <c r="A190" s="1419"/>
      <c r="B190" s="1421" t="b">
        <v>0</v>
      </c>
      <c r="C190" s="1421" t="b">
        <v>0</v>
      </c>
      <c r="D190" s="1420" t="b">
        <v>1</v>
      </c>
      <c r="E190" s="1421" t="b">
        <v>0</v>
      </c>
      <c r="F190" s="1421" t="b">
        <v>0</v>
      </c>
      <c r="G190" s="1421" t="b">
        <v>0</v>
      </c>
      <c r="H190" s="1421" t="b">
        <v>0</v>
      </c>
      <c r="I190" s="1421" t="b">
        <v>0</v>
      </c>
      <c r="J190" s="1421" t="b">
        <v>0</v>
      </c>
      <c r="K190" s="1422" t="s">
        <v>1984</v>
      </c>
      <c r="L190" s="1423" t="s">
        <v>2769</v>
      </c>
      <c r="M190" s="1424">
        <v>8.0</v>
      </c>
      <c r="N190" s="1424" t="s">
        <v>2258</v>
      </c>
      <c r="O190" s="1436" t="b">
        <v>1</v>
      </c>
      <c r="P190" s="1425" t="b">
        <v>0</v>
      </c>
      <c r="Q190" s="1426" t="s">
        <v>2253</v>
      </c>
      <c r="R190" s="1426" t="s">
        <v>2269</v>
      </c>
      <c r="S190" s="1426" t="b">
        <v>1</v>
      </c>
      <c r="T190" s="1426" t="b">
        <v>1</v>
      </c>
      <c r="U190" s="1426" t="b">
        <v>1</v>
      </c>
      <c r="V190" s="1426" t="s">
        <v>2770</v>
      </c>
      <c r="W190" s="1426" t="s">
        <v>2288</v>
      </c>
      <c r="X190" s="1437" t="s">
        <v>2771</v>
      </c>
      <c r="Y190" s="1426" t="s">
        <v>113</v>
      </c>
    </row>
    <row r="191">
      <c r="A191" s="1419"/>
      <c r="B191" s="1429" t="b">
        <v>0</v>
      </c>
      <c r="C191" s="1429" t="b">
        <v>0</v>
      </c>
      <c r="D191" s="1429" t="b">
        <v>0</v>
      </c>
      <c r="E191" s="1429" t="b">
        <v>0</v>
      </c>
      <c r="F191" s="1429" t="b">
        <v>0</v>
      </c>
      <c r="G191" s="1429" t="b">
        <v>0</v>
      </c>
      <c r="H191" s="1429" t="b">
        <v>0</v>
      </c>
      <c r="I191" s="1428" t="b">
        <v>1</v>
      </c>
      <c r="J191" s="1429" t="b">
        <v>0</v>
      </c>
      <c r="K191" s="1430" t="s">
        <v>2090</v>
      </c>
      <c r="L191" s="1431" t="s">
        <v>2772</v>
      </c>
      <c r="M191" s="1432">
        <v>3.0</v>
      </c>
      <c r="N191" s="1432" t="s">
        <v>2306</v>
      </c>
      <c r="O191" s="1438" t="b">
        <v>1</v>
      </c>
      <c r="P191" s="1433" t="b">
        <v>0</v>
      </c>
      <c r="Q191" s="1434" t="s">
        <v>2253</v>
      </c>
      <c r="R191" s="1434" t="s">
        <v>2359</v>
      </c>
      <c r="S191" s="1434" t="b">
        <v>1</v>
      </c>
      <c r="T191" s="1434" t="b">
        <v>1</v>
      </c>
      <c r="U191" s="1434" t="b">
        <v>1</v>
      </c>
      <c r="V191" s="1434" t="s">
        <v>2773</v>
      </c>
      <c r="W191" s="1434" t="s">
        <v>2288</v>
      </c>
      <c r="X191" s="1435" t="s">
        <v>2774</v>
      </c>
      <c r="Y191" s="1434" t="s">
        <v>113</v>
      </c>
    </row>
    <row r="192">
      <c r="A192" s="1419"/>
      <c r="B192" s="1421" t="b">
        <v>0</v>
      </c>
      <c r="C192" s="1421" t="b">
        <v>0</v>
      </c>
      <c r="D192" s="1421" t="b">
        <v>0</v>
      </c>
      <c r="E192" s="1421" t="b">
        <v>0</v>
      </c>
      <c r="F192" s="1421" t="b">
        <v>0</v>
      </c>
      <c r="G192" s="1420" t="b">
        <v>1</v>
      </c>
      <c r="H192" s="1421" t="b">
        <v>0</v>
      </c>
      <c r="I192" s="1421" t="b">
        <v>0</v>
      </c>
      <c r="J192" s="1421" t="b">
        <v>0</v>
      </c>
      <c r="K192" s="1422" t="s">
        <v>2179</v>
      </c>
      <c r="L192" s="1423" t="s">
        <v>2775</v>
      </c>
      <c r="M192" s="1424">
        <v>1.0</v>
      </c>
      <c r="N192" s="1424" t="s">
        <v>2302</v>
      </c>
      <c r="O192" s="1436" t="b">
        <v>1</v>
      </c>
      <c r="P192" s="1425" t="b">
        <v>0</v>
      </c>
      <c r="Q192" s="1426" t="s">
        <v>2316</v>
      </c>
      <c r="R192" s="1426" t="s">
        <v>2368</v>
      </c>
      <c r="S192" s="1426" t="b">
        <v>1</v>
      </c>
      <c r="T192" s="1427" t="b">
        <v>0</v>
      </c>
      <c r="U192" s="1427" t="b">
        <v>0</v>
      </c>
      <c r="V192" s="1427"/>
      <c r="W192" s="1426" t="s">
        <v>2270</v>
      </c>
      <c r="X192" s="1437" t="s">
        <v>2776</v>
      </c>
      <c r="Y192" s="1426" t="s">
        <v>113</v>
      </c>
    </row>
    <row r="193">
      <c r="A193" s="1419"/>
      <c r="B193" s="1428" t="b">
        <v>0</v>
      </c>
      <c r="C193" s="1428" t="b">
        <v>1</v>
      </c>
      <c r="D193" s="1429" t="b">
        <v>0</v>
      </c>
      <c r="E193" s="1429" t="b">
        <v>0</v>
      </c>
      <c r="F193" s="1429" t="b">
        <v>0</v>
      </c>
      <c r="G193" s="1429" t="b">
        <v>0</v>
      </c>
      <c r="H193" s="1428" t="b">
        <v>1</v>
      </c>
      <c r="I193" s="1428" t="b">
        <v>1</v>
      </c>
      <c r="J193" s="1428" t="b">
        <v>1</v>
      </c>
      <c r="K193" s="1430" t="s">
        <v>2097</v>
      </c>
      <c r="L193" s="1431" t="s">
        <v>2777</v>
      </c>
      <c r="M193" s="1432">
        <v>3.0</v>
      </c>
      <c r="N193" s="1432" t="s">
        <v>2385</v>
      </c>
      <c r="O193" s="1438" t="b">
        <v>1</v>
      </c>
      <c r="P193" s="1433" t="b">
        <v>0</v>
      </c>
      <c r="Q193" s="1434" t="s">
        <v>2253</v>
      </c>
      <c r="R193" s="1434" t="s">
        <v>2287</v>
      </c>
      <c r="S193" s="1439" t="b">
        <v>0</v>
      </c>
      <c r="T193" s="1434" t="b">
        <v>1</v>
      </c>
      <c r="U193" s="1434" t="b">
        <v>1</v>
      </c>
      <c r="V193" s="1434" t="s">
        <v>2778</v>
      </c>
      <c r="W193" s="1434" t="s">
        <v>2288</v>
      </c>
      <c r="X193" s="1435" t="s">
        <v>2779</v>
      </c>
      <c r="Y193" s="1434" t="s">
        <v>113</v>
      </c>
    </row>
    <row r="194">
      <c r="A194" s="1419"/>
      <c r="B194" s="1420" t="b">
        <v>0</v>
      </c>
      <c r="C194" s="1421" t="b">
        <v>0</v>
      </c>
      <c r="D194" s="1421" t="b">
        <v>0</v>
      </c>
      <c r="E194" s="1420" t="b">
        <v>1</v>
      </c>
      <c r="F194" s="1421" t="b">
        <v>0</v>
      </c>
      <c r="G194" s="1421" t="b">
        <v>0</v>
      </c>
      <c r="H194" s="1420" t="b">
        <v>1</v>
      </c>
      <c r="I194" s="1421" t="b">
        <v>0</v>
      </c>
      <c r="J194" s="1420" t="b">
        <v>1</v>
      </c>
      <c r="K194" s="1422" t="s">
        <v>2182</v>
      </c>
      <c r="L194" s="1423" t="s">
        <v>2780</v>
      </c>
      <c r="M194" s="1424">
        <v>1.0</v>
      </c>
      <c r="N194" s="1424" t="s">
        <v>2306</v>
      </c>
      <c r="O194" s="1425" t="b">
        <v>0</v>
      </c>
      <c r="P194" s="1425" t="b">
        <v>0</v>
      </c>
      <c r="Q194" s="1426" t="s">
        <v>2253</v>
      </c>
      <c r="R194" s="1426" t="s">
        <v>2254</v>
      </c>
      <c r="S194" s="1427" t="b">
        <v>0</v>
      </c>
      <c r="T194" s="1426" t="b">
        <v>1</v>
      </c>
      <c r="U194" s="1426" t="b">
        <v>1</v>
      </c>
      <c r="V194" s="1426" t="s">
        <v>2781</v>
      </c>
      <c r="W194" s="1426" t="s">
        <v>2255</v>
      </c>
      <c r="X194" s="1437" t="s">
        <v>2782</v>
      </c>
      <c r="Y194" s="1426" t="s">
        <v>113</v>
      </c>
    </row>
    <row r="195">
      <c r="A195" s="1419"/>
      <c r="B195" s="1428" t="b">
        <v>0</v>
      </c>
      <c r="C195" s="1429" t="b">
        <v>0</v>
      </c>
      <c r="D195" s="1429" t="b">
        <v>0</v>
      </c>
      <c r="E195" s="1428" t="b">
        <v>1</v>
      </c>
      <c r="F195" s="1429" t="b">
        <v>0</v>
      </c>
      <c r="G195" s="1429" t="b">
        <v>0</v>
      </c>
      <c r="H195" s="1428" t="b">
        <v>1</v>
      </c>
      <c r="I195" s="1429" t="b">
        <v>0</v>
      </c>
      <c r="J195" s="1428" t="b">
        <v>1</v>
      </c>
      <c r="K195" s="1430" t="s">
        <v>2105</v>
      </c>
      <c r="L195" s="1431" t="s">
        <v>2783</v>
      </c>
      <c r="M195" s="1432">
        <v>4.0</v>
      </c>
      <c r="N195" s="1432" t="s">
        <v>2252</v>
      </c>
      <c r="O195" s="1433" t="b">
        <v>0</v>
      </c>
      <c r="P195" s="1433" t="b">
        <v>0</v>
      </c>
      <c r="Q195" s="1434" t="s">
        <v>2253</v>
      </c>
      <c r="R195" s="1434" t="s">
        <v>2476</v>
      </c>
      <c r="S195" s="1434" t="b">
        <v>1</v>
      </c>
      <c r="T195" s="1434" t="b">
        <v>1</v>
      </c>
      <c r="U195" s="1434" t="b">
        <v>1</v>
      </c>
      <c r="V195" s="1434" t="s">
        <v>2784</v>
      </c>
      <c r="W195" s="1434" t="s">
        <v>2255</v>
      </c>
      <c r="X195" s="1435" t="s">
        <v>2785</v>
      </c>
      <c r="Y195" s="1434" t="s">
        <v>113</v>
      </c>
    </row>
    <row r="196">
      <c r="A196" s="1419"/>
      <c r="B196" s="1420" t="b">
        <v>1</v>
      </c>
      <c r="C196" s="1420" t="b">
        <v>1</v>
      </c>
      <c r="D196" s="1421" t="b">
        <v>0</v>
      </c>
      <c r="E196" s="1421" t="b">
        <v>0</v>
      </c>
      <c r="F196" s="1421" t="b">
        <v>0</v>
      </c>
      <c r="G196" s="1421" t="b">
        <v>0</v>
      </c>
      <c r="H196" s="1421" t="b">
        <v>0</v>
      </c>
      <c r="I196" s="1421" t="b">
        <v>0</v>
      </c>
      <c r="J196" s="1420" t="b">
        <v>1</v>
      </c>
      <c r="K196" s="1422" t="s">
        <v>2186</v>
      </c>
      <c r="L196" s="1423" t="s">
        <v>2786</v>
      </c>
      <c r="M196" s="1424">
        <v>1.0</v>
      </c>
      <c r="N196" s="1424" t="s">
        <v>2302</v>
      </c>
      <c r="O196" s="1425" t="b">
        <v>0</v>
      </c>
      <c r="P196" s="1436" t="b">
        <v>1</v>
      </c>
      <c r="Q196" s="1426" t="s">
        <v>2264</v>
      </c>
      <c r="R196" s="1426" t="s">
        <v>2311</v>
      </c>
      <c r="S196" s="1426" t="b">
        <v>1</v>
      </c>
      <c r="T196" s="1426" t="b">
        <v>1</v>
      </c>
      <c r="U196" s="1426" t="b">
        <v>1</v>
      </c>
      <c r="V196" s="1426" t="s">
        <v>2787</v>
      </c>
      <c r="W196" s="1426" t="s">
        <v>2255</v>
      </c>
      <c r="X196" s="1437" t="s">
        <v>2788</v>
      </c>
      <c r="Y196" s="1426" t="s">
        <v>113</v>
      </c>
    </row>
    <row r="197">
      <c r="A197" s="1419"/>
      <c r="B197" s="1428" t="b">
        <v>0</v>
      </c>
      <c r="C197" s="1428" t="b">
        <v>1</v>
      </c>
      <c r="D197" s="1429" t="b">
        <v>0</v>
      </c>
      <c r="E197" s="1429" t="b">
        <v>0</v>
      </c>
      <c r="F197" s="1429" t="b">
        <v>0</v>
      </c>
      <c r="G197" s="1429" t="b">
        <v>0</v>
      </c>
      <c r="H197" s="1429" t="b">
        <v>0</v>
      </c>
      <c r="I197" s="1429" t="b">
        <v>0</v>
      </c>
      <c r="J197" s="1428" t="b">
        <v>1</v>
      </c>
      <c r="K197" s="1430" t="s">
        <v>2190</v>
      </c>
      <c r="L197" s="1431" t="s">
        <v>2789</v>
      </c>
      <c r="M197" s="1432">
        <v>1.0</v>
      </c>
      <c r="N197" s="1432" t="s">
        <v>2385</v>
      </c>
      <c r="O197" s="1433" t="b">
        <v>0</v>
      </c>
      <c r="P197" s="1438" t="b">
        <v>1</v>
      </c>
      <c r="Q197" s="1434" t="s">
        <v>2264</v>
      </c>
      <c r="R197" s="1434" t="s">
        <v>2311</v>
      </c>
      <c r="S197" s="1434" t="b">
        <v>1</v>
      </c>
      <c r="T197" s="1434" t="b">
        <v>1</v>
      </c>
      <c r="U197" s="1434" t="b">
        <v>1</v>
      </c>
      <c r="V197" s="1434" t="s">
        <v>2790</v>
      </c>
      <c r="W197" s="1434" t="s">
        <v>2299</v>
      </c>
      <c r="X197" s="1435" t="s">
        <v>2791</v>
      </c>
      <c r="Y197" s="1434" t="s">
        <v>113</v>
      </c>
    </row>
    <row r="198">
      <c r="A198" s="1419"/>
      <c r="B198" s="1420" t="b">
        <v>0</v>
      </c>
      <c r="C198" s="1421" t="b">
        <v>0</v>
      </c>
      <c r="D198" s="1421" t="b">
        <v>0</v>
      </c>
      <c r="E198" s="1421" t="b">
        <v>0</v>
      </c>
      <c r="F198" s="1421" t="b">
        <v>0</v>
      </c>
      <c r="G198" s="1421" t="b">
        <v>0</v>
      </c>
      <c r="H198" s="1421" t="b">
        <v>0</v>
      </c>
      <c r="I198" s="1420" t="b">
        <v>1</v>
      </c>
      <c r="J198" s="1420" t="b">
        <v>1</v>
      </c>
      <c r="K198" s="1422" t="s">
        <v>1916</v>
      </c>
      <c r="L198" s="1423" t="s">
        <v>2792</v>
      </c>
      <c r="M198" s="1424">
        <v>9.0</v>
      </c>
      <c r="N198" s="1424" t="s">
        <v>2258</v>
      </c>
      <c r="O198" s="1425" t="b">
        <v>0</v>
      </c>
      <c r="P198" s="1425" t="b">
        <v>0</v>
      </c>
      <c r="Q198" s="1426" t="s">
        <v>2264</v>
      </c>
      <c r="R198" s="1426" t="s">
        <v>2259</v>
      </c>
      <c r="S198" s="1426" t="b">
        <v>1</v>
      </c>
      <c r="T198" s="1426" t="b">
        <v>1</v>
      </c>
      <c r="U198" s="1426" t="b">
        <v>1</v>
      </c>
      <c r="V198" s="1426" t="s">
        <v>2793</v>
      </c>
      <c r="W198" s="1426" t="s">
        <v>2313</v>
      </c>
      <c r="X198" s="1437" t="s">
        <v>2794</v>
      </c>
      <c r="Y198" s="1426" t="s">
        <v>113</v>
      </c>
    </row>
    <row r="199">
      <c r="A199" s="1419"/>
      <c r="B199" s="1428" t="b">
        <v>0</v>
      </c>
      <c r="C199" s="1429" t="b">
        <v>0</v>
      </c>
      <c r="D199" s="1429" t="b">
        <v>0</v>
      </c>
      <c r="E199" s="1428" t="b">
        <v>1</v>
      </c>
      <c r="F199" s="1429" t="b">
        <v>0</v>
      </c>
      <c r="G199" s="1429" t="b">
        <v>0</v>
      </c>
      <c r="H199" s="1428" t="b">
        <v>1</v>
      </c>
      <c r="I199" s="1429" t="b">
        <v>0</v>
      </c>
      <c r="J199" s="1428" t="b">
        <v>1</v>
      </c>
      <c r="K199" s="1430" t="s">
        <v>1994</v>
      </c>
      <c r="L199" s="1431" t="s">
        <v>2795</v>
      </c>
      <c r="M199" s="1432">
        <v>8.0</v>
      </c>
      <c r="N199" s="1432" t="s">
        <v>2306</v>
      </c>
      <c r="O199" s="1438" t="b">
        <v>1</v>
      </c>
      <c r="P199" s="1433" t="b">
        <v>0</v>
      </c>
      <c r="Q199" s="1434" t="s">
        <v>2253</v>
      </c>
      <c r="R199" s="1434" t="s">
        <v>2359</v>
      </c>
      <c r="S199" s="1434" t="b">
        <v>1</v>
      </c>
      <c r="T199" s="1434" t="b">
        <v>1</v>
      </c>
      <c r="U199" s="1439" t="b">
        <v>0</v>
      </c>
      <c r="V199" s="1439"/>
      <c r="W199" s="1434" t="s">
        <v>2288</v>
      </c>
      <c r="X199" s="1435" t="s">
        <v>2796</v>
      </c>
      <c r="Y199" s="1434" t="s">
        <v>113</v>
      </c>
    </row>
    <row r="200">
      <c r="A200" s="1419"/>
      <c r="B200" s="1421" t="b">
        <v>0</v>
      </c>
      <c r="C200" s="1421" t="b">
        <v>0</v>
      </c>
      <c r="D200" s="1420" t="b">
        <v>1</v>
      </c>
      <c r="E200" s="1421" t="b">
        <v>0</v>
      </c>
      <c r="F200" s="1421" t="b">
        <v>0</v>
      </c>
      <c r="G200" s="1421" t="b">
        <v>0</v>
      </c>
      <c r="H200" s="1421" t="b">
        <v>0</v>
      </c>
      <c r="I200" s="1421" t="b">
        <v>0</v>
      </c>
      <c r="J200" s="1421" t="b">
        <v>0</v>
      </c>
      <c r="K200" s="1422" t="s">
        <v>2194</v>
      </c>
      <c r="L200" s="1423" t="s">
        <v>2797</v>
      </c>
      <c r="M200" s="1424">
        <v>1.0</v>
      </c>
      <c r="N200" s="1424" t="s">
        <v>2282</v>
      </c>
      <c r="O200" s="1425" t="b">
        <v>0</v>
      </c>
      <c r="P200" s="1425" t="b">
        <v>0</v>
      </c>
      <c r="Q200" s="1426" t="s">
        <v>2253</v>
      </c>
      <c r="R200" s="1426" t="s">
        <v>2311</v>
      </c>
      <c r="S200" s="1426" t="b">
        <v>1</v>
      </c>
      <c r="T200" s="1426" t="b">
        <v>1</v>
      </c>
      <c r="U200" s="1427" t="b">
        <v>0</v>
      </c>
      <c r="V200" s="1427"/>
      <c r="W200" s="1426" t="s">
        <v>2255</v>
      </c>
      <c r="X200" s="1437" t="s">
        <v>2798</v>
      </c>
      <c r="Y200" s="1426" t="s">
        <v>113</v>
      </c>
    </row>
    <row r="201">
      <c r="A201" s="1419"/>
      <c r="B201" s="1429" t="b">
        <v>0</v>
      </c>
      <c r="C201" s="1429" t="b">
        <v>0</v>
      </c>
      <c r="D201" s="1428" t="b">
        <v>1</v>
      </c>
      <c r="E201" s="1428" t="b">
        <v>1</v>
      </c>
      <c r="F201" s="1429" t="b">
        <v>0</v>
      </c>
      <c r="G201" s="1429" t="b">
        <v>0</v>
      </c>
      <c r="H201" s="1428" t="b">
        <v>1</v>
      </c>
      <c r="I201" s="1429" t="b">
        <v>0</v>
      </c>
      <c r="J201" s="1429" t="b">
        <v>0</v>
      </c>
      <c r="K201" s="1430" t="s">
        <v>2099</v>
      </c>
      <c r="L201" s="1431" t="s">
        <v>2799</v>
      </c>
      <c r="M201" s="1432">
        <v>5.0</v>
      </c>
      <c r="N201" s="1432" t="s">
        <v>2306</v>
      </c>
      <c r="O201" s="1438" t="b">
        <v>1</v>
      </c>
      <c r="P201" s="1433" t="b">
        <v>0</v>
      </c>
      <c r="Q201" s="1434" t="s">
        <v>2253</v>
      </c>
      <c r="R201" s="1434" t="s">
        <v>2476</v>
      </c>
      <c r="S201" s="1434" t="b">
        <v>1</v>
      </c>
      <c r="T201" s="1434" t="b">
        <v>1</v>
      </c>
      <c r="U201" s="1434" t="b">
        <v>1</v>
      </c>
      <c r="V201" s="1434" t="s">
        <v>2800</v>
      </c>
      <c r="W201" s="1434" t="s">
        <v>2308</v>
      </c>
      <c r="X201" s="1435" t="s">
        <v>2801</v>
      </c>
      <c r="Y201" s="1434" t="s">
        <v>113</v>
      </c>
    </row>
    <row r="202">
      <c r="A202" s="1419"/>
      <c r="B202" s="1420" t="b">
        <v>1</v>
      </c>
      <c r="C202" s="1420" t="b">
        <v>1</v>
      </c>
      <c r="D202" s="1421" t="b">
        <v>0</v>
      </c>
      <c r="E202" s="1421" t="b">
        <v>0</v>
      </c>
      <c r="F202" s="1421" t="b">
        <v>0</v>
      </c>
      <c r="G202" s="1421" t="b">
        <v>0</v>
      </c>
      <c r="H202" s="1420" t="b">
        <v>1</v>
      </c>
      <c r="I202" s="1420" t="b">
        <v>1</v>
      </c>
      <c r="J202" s="1420" t="b">
        <v>1</v>
      </c>
      <c r="K202" s="1422" t="s">
        <v>1861</v>
      </c>
      <c r="L202" s="1423" t="s">
        <v>2802</v>
      </c>
      <c r="M202" s="1424">
        <v>2.0</v>
      </c>
      <c r="N202" s="1424" t="s">
        <v>2385</v>
      </c>
      <c r="O202" s="1436" t="b">
        <v>1</v>
      </c>
      <c r="P202" s="1425" t="b">
        <v>0</v>
      </c>
      <c r="Q202" s="1426" t="s">
        <v>2253</v>
      </c>
      <c r="R202" s="1426" t="s">
        <v>2311</v>
      </c>
      <c r="S202" s="1426" t="b">
        <v>1</v>
      </c>
      <c r="T202" s="1426" t="b">
        <v>1</v>
      </c>
      <c r="U202" s="1426" t="b">
        <v>1</v>
      </c>
      <c r="V202" s="1426" t="s">
        <v>2803</v>
      </c>
      <c r="W202" s="1426" t="s">
        <v>2270</v>
      </c>
      <c r="X202" s="1437" t="s">
        <v>2804</v>
      </c>
      <c r="Y202" s="1426" t="s">
        <v>113</v>
      </c>
    </row>
    <row r="203">
      <c r="A203" s="1419"/>
      <c r="B203" s="1428" t="b">
        <v>0</v>
      </c>
      <c r="C203" s="1429" t="b">
        <v>0</v>
      </c>
      <c r="D203" s="1429" t="b">
        <v>0</v>
      </c>
      <c r="E203" s="1429" t="b">
        <v>0</v>
      </c>
      <c r="F203" s="1429" t="b">
        <v>0</v>
      </c>
      <c r="G203" s="1429" t="b">
        <v>0</v>
      </c>
      <c r="H203" s="1429" t="b">
        <v>0</v>
      </c>
      <c r="I203" s="1428" t="b">
        <v>1</v>
      </c>
      <c r="J203" s="1428" t="b">
        <v>1</v>
      </c>
      <c r="K203" s="1430" t="s">
        <v>2106</v>
      </c>
      <c r="L203" s="1431" t="s">
        <v>2805</v>
      </c>
      <c r="M203" s="1432">
        <v>5.0</v>
      </c>
      <c r="N203" s="1432" t="s">
        <v>2252</v>
      </c>
      <c r="O203" s="1438" t="b">
        <v>1</v>
      </c>
      <c r="P203" s="1433" t="b">
        <v>0</v>
      </c>
      <c r="Q203" s="1434" t="s">
        <v>2253</v>
      </c>
      <c r="R203" s="1434" t="s">
        <v>2287</v>
      </c>
      <c r="S203" s="1434" t="b">
        <v>1</v>
      </c>
      <c r="T203" s="1434" t="b">
        <v>1</v>
      </c>
      <c r="U203" s="1434" t="b">
        <v>1</v>
      </c>
      <c r="V203" s="1434" t="s">
        <v>2806</v>
      </c>
      <c r="W203" s="1434" t="s">
        <v>2288</v>
      </c>
      <c r="X203" s="1435" t="s">
        <v>2807</v>
      </c>
      <c r="Y203" s="1434" t="s">
        <v>113</v>
      </c>
    </row>
    <row r="204">
      <c r="A204" s="1419"/>
      <c r="B204" s="1420" t="b">
        <v>1</v>
      </c>
      <c r="C204" s="1421" t="b">
        <v>0</v>
      </c>
      <c r="D204" s="1421" t="b">
        <v>0</v>
      </c>
      <c r="E204" s="1421" t="b">
        <v>0</v>
      </c>
      <c r="F204" s="1420" t="b">
        <v>1</v>
      </c>
      <c r="G204" s="1420" t="b">
        <v>1</v>
      </c>
      <c r="H204" s="1420" t="b">
        <v>1</v>
      </c>
      <c r="I204" s="1421" t="b">
        <v>0</v>
      </c>
      <c r="J204" s="1420" t="b">
        <v>1</v>
      </c>
      <c r="K204" s="1422" t="s">
        <v>1859</v>
      </c>
      <c r="L204" s="1423" t="s">
        <v>2808</v>
      </c>
      <c r="M204" s="1424">
        <v>1.0</v>
      </c>
      <c r="N204" s="1424" t="s">
        <v>2268</v>
      </c>
      <c r="O204" s="1425" t="b">
        <v>0</v>
      </c>
      <c r="P204" s="1425" t="b">
        <v>0</v>
      </c>
      <c r="Q204" s="1426" t="s">
        <v>2316</v>
      </c>
      <c r="R204" s="1426" t="s">
        <v>2311</v>
      </c>
      <c r="S204" s="1426" t="b">
        <v>1</v>
      </c>
      <c r="T204" s="1426" t="b">
        <v>1</v>
      </c>
      <c r="U204" s="1426" t="b">
        <v>1</v>
      </c>
      <c r="V204" s="1426" t="s">
        <v>2809</v>
      </c>
      <c r="W204" s="1426" t="s">
        <v>2264</v>
      </c>
      <c r="X204" s="1437" t="s">
        <v>2810</v>
      </c>
      <c r="Y204" s="1426" t="s">
        <v>113</v>
      </c>
    </row>
    <row r="205">
      <c r="A205" s="1419"/>
      <c r="B205" s="1428" t="b">
        <v>0</v>
      </c>
      <c r="C205" s="1428" t="b">
        <v>1</v>
      </c>
      <c r="D205" s="1429" t="b">
        <v>0</v>
      </c>
      <c r="E205" s="1429" t="b">
        <v>0</v>
      </c>
      <c r="F205" s="1429" t="b">
        <v>0</v>
      </c>
      <c r="G205" s="1429" t="b">
        <v>0</v>
      </c>
      <c r="H205" s="1428" t="b">
        <v>1</v>
      </c>
      <c r="I205" s="1429" t="b">
        <v>0</v>
      </c>
      <c r="J205" s="1428" t="b">
        <v>1</v>
      </c>
      <c r="K205" s="1430" t="s">
        <v>2142</v>
      </c>
      <c r="L205" s="1431" t="s">
        <v>2811</v>
      </c>
      <c r="M205" s="1432">
        <v>2.0</v>
      </c>
      <c r="N205" s="1432" t="s">
        <v>2268</v>
      </c>
      <c r="O205" s="1433" t="b">
        <v>0</v>
      </c>
      <c r="P205" s="1433" t="b">
        <v>0</v>
      </c>
      <c r="Q205" s="1434" t="s">
        <v>2253</v>
      </c>
      <c r="R205" s="1434" t="s">
        <v>2254</v>
      </c>
      <c r="S205" s="1434" t="b">
        <v>1</v>
      </c>
      <c r="T205" s="1439" t="b">
        <v>0</v>
      </c>
      <c r="U205" s="1439" t="b">
        <v>0</v>
      </c>
      <c r="V205" s="1439"/>
      <c r="W205" s="1434" t="s">
        <v>2255</v>
      </c>
      <c r="X205" s="1435" t="s">
        <v>2812</v>
      </c>
      <c r="Y205" s="1434" t="s">
        <v>113</v>
      </c>
    </row>
    <row r="206">
      <c r="A206" s="1419"/>
      <c r="B206" s="1420" t="b">
        <v>0</v>
      </c>
      <c r="C206" s="1420" t="b">
        <v>1</v>
      </c>
      <c r="D206" s="1420" t="b">
        <v>1</v>
      </c>
      <c r="E206" s="1421" t="b">
        <v>0</v>
      </c>
      <c r="F206" s="1421" t="b">
        <v>0</v>
      </c>
      <c r="G206" s="1421" t="b">
        <v>0</v>
      </c>
      <c r="H206" s="1421" t="b">
        <v>0</v>
      </c>
      <c r="I206" s="1421" t="b">
        <v>0</v>
      </c>
      <c r="J206" s="1420" t="b">
        <v>1</v>
      </c>
      <c r="K206" s="1422" t="s">
        <v>2112</v>
      </c>
      <c r="L206" s="1423" t="s">
        <v>2813</v>
      </c>
      <c r="M206" s="1424">
        <v>5.0</v>
      </c>
      <c r="N206" s="1424" t="s">
        <v>2302</v>
      </c>
      <c r="O206" s="1425" t="b">
        <v>0</v>
      </c>
      <c r="P206" s="1425" t="b">
        <v>0</v>
      </c>
      <c r="Q206" s="1426" t="s">
        <v>2411</v>
      </c>
      <c r="R206" s="1426" t="s">
        <v>2269</v>
      </c>
      <c r="S206" s="1426" t="b">
        <v>1</v>
      </c>
      <c r="T206" s="1426" t="b">
        <v>1</v>
      </c>
      <c r="U206" s="1426" t="b">
        <v>1</v>
      </c>
      <c r="V206" s="1426" t="s">
        <v>2814</v>
      </c>
      <c r="W206" s="1426" t="s">
        <v>2255</v>
      </c>
      <c r="X206" s="1437" t="s">
        <v>2815</v>
      </c>
      <c r="Y206" s="1426" t="s">
        <v>113</v>
      </c>
    </row>
    <row r="207">
      <c r="A207" s="1419"/>
      <c r="B207" s="1428" t="b">
        <v>1</v>
      </c>
      <c r="C207" s="1429" t="b">
        <v>0</v>
      </c>
      <c r="D207" s="1429" t="b">
        <v>0</v>
      </c>
      <c r="E207" s="1429" t="b">
        <v>0</v>
      </c>
      <c r="F207" s="1429" t="b">
        <v>0</v>
      </c>
      <c r="G207" s="1429" t="b">
        <v>0</v>
      </c>
      <c r="H207" s="1429" t="b">
        <v>0</v>
      </c>
      <c r="I207" s="1429" t="b">
        <v>0</v>
      </c>
      <c r="J207" s="1428" t="b">
        <v>1</v>
      </c>
      <c r="K207" s="1430" t="s">
        <v>2111</v>
      </c>
      <c r="L207" s="1431" t="s">
        <v>2816</v>
      </c>
      <c r="M207" s="1432">
        <v>4.0</v>
      </c>
      <c r="N207" s="1432" t="s">
        <v>2306</v>
      </c>
      <c r="O207" s="1433" t="b">
        <v>0</v>
      </c>
      <c r="P207" s="1433" t="b">
        <v>0</v>
      </c>
      <c r="Q207" s="1434" t="s">
        <v>2253</v>
      </c>
      <c r="R207" s="1434" t="s">
        <v>2311</v>
      </c>
      <c r="S207" s="1434" t="b">
        <v>1</v>
      </c>
      <c r="T207" s="1434" t="b">
        <v>1</v>
      </c>
      <c r="U207" s="1434" t="b">
        <v>1</v>
      </c>
      <c r="V207" s="1434" t="s">
        <v>2817</v>
      </c>
      <c r="W207" s="1434" t="s">
        <v>2313</v>
      </c>
      <c r="X207" s="1435" t="s">
        <v>2818</v>
      </c>
      <c r="Y207" s="1434" t="s">
        <v>113</v>
      </c>
    </row>
    <row r="208">
      <c r="A208" s="1419"/>
      <c r="B208" s="1420" t="b">
        <v>0</v>
      </c>
      <c r="C208" s="1420" t="b">
        <v>1</v>
      </c>
      <c r="D208" s="1421" t="b">
        <v>0</v>
      </c>
      <c r="E208" s="1421" t="b">
        <v>0</v>
      </c>
      <c r="F208" s="1421" t="b">
        <v>0</v>
      </c>
      <c r="G208" s="1421" t="b">
        <v>0</v>
      </c>
      <c r="H208" s="1421" t="b">
        <v>0</v>
      </c>
      <c r="I208" s="1421" t="b">
        <v>0</v>
      </c>
      <c r="J208" s="1420" t="b">
        <v>1</v>
      </c>
      <c r="K208" s="1422" t="s">
        <v>2104</v>
      </c>
      <c r="L208" s="1423" t="s">
        <v>2819</v>
      </c>
      <c r="M208" s="1424">
        <v>3.0</v>
      </c>
      <c r="N208" s="1424" t="s">
        <v>2252</v>
      </c>
      <c r="O208" s="1425" t="b">
        <v>0</v>
      </c>
      <c r="P208" s="1436" t="b">
        <v>1</v>
      </c>
      <c r="Q208" s="1426" t="s">
        <v>2264</v>
      </c>
      <c r="R208" s="1426" t="s">
        <v>2269</v>
      </c>
      <c r="S208" s="1426" t="b">
        <v>1</v>
      </c>
      <c r="T208" s="1426" t="b">
        <v>1</v>
      </c>
      <c r="U208" s="1426" t="b">
        <v>1</v>
      </c>
      <c r="V208" s="1426" t="s">
        <v>2820</v>
      </c>
      <c r="W208" s="1426" t="s">
        <v>2261</v>
      </c>
      <c r="X208" s="1437" t="s">
        <v>2821</v>
      </c>
      <c r="Y208" s="1426" t="s">
        <v>113</v>
      </c>
    </row>
    <row r="209">
      <c r="A209" s="1419"/>
      <c r="B209" s="1428" t="b">
        <v>1</v>
      </c>
      <c r="C209" s="1428" t="b">
        <v>1</v>
      </c>
      <c r="D209" s="1428" t="b">
        <v>1</v>
      </c>
      <c r="E209" s="1428" t="b">
        <v>1</v>
      </c>
      <c r="F209" s="1428" t="b">
        <v>1</v>
      </c>
      <c r="G209" s="1428" t="b">
        <v>1</v>
      </c>
      <c r="H209" s="1429" t="b">
        <v>0</v>
      </c>
      <c r="I209" s="1429" t="b">
        <v>0</v>
      </c>
      <c r="J209" s="1429" t="b">
        <v>0</v>
      </c>
      <c r="K209" s="1430" t="s">
        <v>2149</v>
      </c>
      <c r="L209" s="1431" t="s">
        <v>2822</v>
      </c>
      <c r="M209" s="1432">
        <v>2.0</v>
      </c>
      <c r="N209" s="1432" t="s">
        <v>2258</v>
      </c>
      <c r="O209" s="1433" t="b">
        <v>0</v>
      </c>
      <c r="P209" s="1433" t="b">
        <v>0</v>
      </c>
      <c r="Q209" s="1434" t="s">
        <v>2316</v>
      </c>
      <c r="R209" s="1434" t="s">
        <v>2311</v>
      </c>
      <c r="S209" s="1434" t="b">
        <v>1</v>
      </c>
      <c r="T209" s="1434" t="b">
        <v>1</v>
      </c>
      <c r="U209" s="1439" t="b">
        <v>0</v>
      </c>
      <c r="V209" s="1439"/>
      <c r="W209" s="1434" t="s">
        <v>2255</v>
      </c>
      <c r="X209" s="1435" t="s">
        <v>2823</v>
      </c>
      <c r="Y209" s="1434" t="s">
        <v>113</v>
      </c>
    </row>
    <row r="210">
      <c r="A210" s="1419"/>
      <c r="B210" s="1420" t="b">
        <v>1</v>
      </c>
      <c r="C210" s="1421" t="b">
        <v>0</v>
      </c>
      <c r="D210" s="1421" t="b">
        <v>0</v>
      </c>
      <c r="E210" s="1421" t="b">
        <v>0</v>
      </c>
      <c r="F210" s="1421" t="b">
        <v>0</v>
      </c>
      <c r="G210" s="1421" t="b">
        <v>0</v>
      </c>
      <c r="H210" s="1420" t="b">
        <v>1</v>
      </c>
      <c r="I210" s="1421" t="b">
        <v>0</v>
      </c>
      <c r="J210" s="1420" t="b">
        <v>1</v>
      </c>
      <c r="K210" s="1422" t="s">
        <v>2156</v>
      </c>
      <c r="L210" s="1423" t="s">
        <v>2824</v>
      </c>
      <c r="M210" s="1424">
        <v>2.0</v>
      </c>
      <c r="N210" s="1424" t="s">
        <v>2268</v>
      </c>
      <c r="O210" s="1436" t="b">
        <v>1</v>
      </c>
      <c r="P210" s="1425" t="b">
        <v>0</v>
      </c>
      <c r="Q210" s="1426" t="s">
        <v>2253</v>
      </c>
      <c r="R210" s="1426" t="s">
        <v>2254</v>
      </c>
      <c r="S210" s="1426" t="b">
        <v>1</v>
      </c>
      <c r="T210" s="1426" t="b">
        <v>1</v>
      </c>
      <c r="U210" s="1426" t="b">
        <v>1</v>
      </c>
      <c r="V210" s="1426" t="s">
        <v>2825</v>
      </c>
      <c r="W210" s="1426" t="s">
        <v>2308</v>
      </c>
      <c r="X210" s="1437" t="s">
        <v>2826</v>
      </c>
      <c r="Y210" s="1426" t="s">
        <v>113</v>
      </c>
    </row>
    <row r="211">
      <c r="A211" s="1419"/>
      <c r="B211" s="1428" t="b">
        <v>1</v>
      </c>
      <c r="C211" s="1428" t="b">
        <v>1</v>
      </c>
      <c r="D211" s="1428" t="b">
        <v>1</v>
      </c>
      <c r="E211" s="1429" t="b">
        <v>0</v>
      </c>
      <c r="F211" s="1429" t="b">
        <v>0</v>
      </c>
      <c r="G211" s="1429" t="b">
        <v>0</v>
      </c>
      <c r="H211" s="1428" t="b">
        <v>1</v>
      </c>
      <c r="I211" s="1429" t="b">
        <v>0</v>
      </c>
      <c r="J211" s="1428" t="b">
        <v>1</v>
      </c>
      <c r="K211" s="1430" t="s">
        <v>1851</v>
      </c>
      <c r="L211" s="1431" t="s">
        <v>2827</v>
      </c>
      <c r="M211" s="1432">
        <v>0.0</v>
      </c>
      <c r="N211" s="1432" t="s">
        <v>2252</v>
      </c>
      <c r="O211" s="1433" t="b">
        <v>0</v>
      </c>
      <c r="P211" s="1433" t="b">
        <v>0</v>
      </c>
      <c r="Q211" s="1434" t="s">
        <v>2253</v>
      </c>
      <c r="R211" s="1434" t="s">
        <v>2311</v>
      </c>
      <c r="S211" s="1434" t="b">
        <v>1</v>
      </c>
      <c r="T211" s="1434" t="b">
        <v>0</v>
      </c>
      <c r="U211" s="1434" t="b">
        <v>1</v>
      </c>
      <c r="V211" s="1434" t="s">
        <v>2828</v>
      </c>
      <c r="W211" s="1434" t="s">
        <v>2297</v>
      </c>
      <c r="X211" s="1435" t="s">
        <v>2829</v>
      </c>
      <c r="Y211" s="1434" t="s">
        <v>113</v>
      </c>
    </row>
    <row r="212">
      <c r="A212" s="1419"/>
      <c r="B212" s="1421" t="b">
        <v>0</v>
      </c>
      <c r="C212" s="1421" t="b">
        <v>0</v>
      </c>
      <c r="D212" s="1421" t="b">
        <v>0</v>
      </c>
      <c r="E212" s="1421" t="b">
        <v>0</v>
      </c>
      <c r="F212" s="1421" t="b">
        <v>0</v>
      </c>
      <c r="G212" s="1420" t="b">
        <v>1</v>
      </c>
      <c r="H212" s="1421" t="b">
        <v>0</v>
      </c>
      <c r="I212" s="1421" t="b">
        <v>0</v>
      </c>
      <c r="J212" s="1421" t="b">
        <v>0</v>
      </c>
      <c r="K212" s="1422" t="s">
        <v>2110</v>
      </c>
      <c r="L212" s="1423" t="s">
        <v>2830</v>
      </c>
      <c r="M212" s="1424">
        <v>3.0</v>
      </c>
      <c r="N212" s="1424" t="s">
        <v>2268</v>
      </c>
      <c r="O212" s="1425" t="b">
        <v>0</v>
      </c>
      <c r="P212" s="1425" t="b">
        <v>0</v>
      </c>
      <c r="Q212" s="1426" t="s">
        <v>2831</v>
      </c>
      <c r="R212" s="1426" t="s">
        <v>2269</v>
      </c>
      <c r="S212" s="1426" t="b">
        <v>1</v>
      </c>
      <c r="T212" s="1426" t="b">
        <v>1</v>
      </c>
      <c r="U212" s="1427" t="b">
        <v>0</v>
      </c>
      <c r="V212" s="1427"/>
      <c r="W212" s="1426" t="s">
        <v>2255</v>
      </c>
      <c r="X212" s="1437" t="s">
        <v>2832</v>
      </c>
      <c r="Y212" s="1426" t="s">
        <v>113</v>
      </c>
    </row>
    <row r="213">
      <c r="A213" s="1419"/>
      <c r="B213" s="1428" t="b">
        <v>0</v>
      </c>
      <c r="C213" s="1429" t="b">
        <v>0</v>
      </c>
      <c r="D213" s="1429" t="b">
        <v>0</v>
      </c>
      <c r="E213" s="1429" t="b">
        <v>0</v>
      </c>
      <c r="F213" s="1429" t="b">
        <v>0</v>
      </c>
      <c r="G213" s="1429" t="b">
        <v>0</v>
      </c>
      <c r="H213" s="1429" t="b">
        <v>0</v>
      </c>
      <c r="I213" s="1428" t="b">
        <v>1</v>
      </c>
      <c r="J213" s="1428" t="b">
        <v>1</v>
      </c>
      <c r="K213" s="1430" t="s">
        <v>2117</v>
      </c>
      <c r="L213" s="1431" t="s">
        <v>2833</v>
      </c>
      <c r="M213" s="1432">
        <v>3.0</v>
      </c>
      <c r="N213" s="1432" t="s">
        <v>2252</v>
      </c>
      <c r="O213" s="1433" t="b">
        <v>0</v>
      </c>
      <c r="P213" s="1433" t="b">
        <v>0</v>
      </c>
      <c r="Q213" s="1434" t="s">
        <v>2253</v>
      </c>
      <c r="R213" s="1434" t="s">
        <v>2269</v>
      </c>
      <c r="S213" s="1434" t="b">
        <v>1</v>
      </c>
      <c r="T213" s="1434" t="b">
        <v>1</v>
      </c>
      <c r="U213" s="1434" t="b">
        <v>1</v>
      </c>
      <c r="V213" s="1434" t="s">
        <v>2834</v>
      </c>
      <c r="W213" s="1434" t="s">
        <v>2255</v>
      </c>
      <c r="X213" s="1435" t="s">
        <v>2835</v>
      </c>
      <c r="Y213" s="1434" t="s">
        <v>113</v>
      </c>
    </row>
    <row r="214">
      <c r="A214" s="1419"/>
      <c r="B214" s="1421" t="b">
        <v>0</v>
      </c>
      <c r="C214" s="1420" t="b">
        <v>1</v>
      </c>
      <c r="D214" s="1421" t="b">
        <v>0</v>
      </c>
      <c r="E214" s="1420" t="b">
        <v>1</v>
      </c>
      <c r="F214" s="1421" t="b">
        <v>0</v>
      </c>
      <c r="G214" s="1420" t="b">
        <v>1</v>
      </c>
      <c r="H214" s="1421" t="b">
        <v>0</v>
      </c>
      <c r="I214" s="1421" t="b">
        <v>0</v>
      </c>
      <c r="J214" s="1421" t="b">
        <v>0</v>
      </c>
      <c r="K214" s="1422" t="s">
        <v>2162</v>
      </c>
      <c r="L214" s="1423" t="s">
        <v>2836</v>
      </c>
      <c r="M214" s="1424">
        <v>2.0</v>
      </c>
      <c r="N214" s="1424" t="s">
        <v>2302</v>
      </c>
      <c r="O214" s="1436" t="b">
        <v>0</v>
      </c>
      <c r="P214" s="1436" t="b">
        <v>1</v>
      </c>
      <c r="Q214" s="1426" t="s">
        <v>2253</v>
      </c>
      <c r="R214" s="1426" t="s">
        <v>2269</v>
      </c>
      <c r="S214" s="1426" t="b">
        <v>1</v>
      </c>
      <c r="T214" s="1426" t="b">
        <v>1</v>
      </c>
      <c r="U214" s="1426" t="b">
        <v>1</v>
      </c>
      <c r="V214" s="1426" t="s">
        <v>2837</v>
      </c>
      <c r="W214" s="1426" t="s">
        <v>2255</v>
      </c>
      <c r="X214" s="1437" t="s">
        <v>2838</v>
      </c>
      <c r="Y214" s="1426" t="s">
        <v>113</v>
      </c>
    </row>
    <row r="215">
      <c r="A215" s="1419"/>
      <c r="B215" s="1428" t="b">
        <v>0</v>
      </c>
      <c r="C215" s="1428" t="b">
        <v>1</v>
      </c>
      <c r="D215" s="1428" t="b">
        <v>1</v>
      </c>
      <c r="E215" s="1428" t="b">
        <v>1</v>
      </c>
      <c r="F215" s="1428" t="b">
        <v>1</v>
      </c>
      <c r="G215" s="1428" t="b">
        <v>1</v>
      </c>
      <c r="H215" s="1429" t="b">
        <v>0</v>
      </c>
      <c r="I215" s="1429" t="b">
        <v>0</v>
      </c>
      <c r="J215" s="1428" t="b">
        <v>1</v>
      </c>
      <c r="K215" s="1430" t="s">
        <v>2118</v>
      </c>
      <c r="L215" s="1431" t="s">
        <v>2839</v>
      </c>
      <c r="M215" s="1432">
        <v>4.0</v>
      </c>
      <c r="N215" s="1432" t="s">
        <v>2302</v>
      </c>
      <c r="O215" s="1438" t="b">
        <v>1</v>
      </c>
      <c r="P215" s="1433" t="b">
        <v>0</v>
      </c>
      <c r="Q215" s="1434" t="s">
        <v>2253</v>
      </c>
      <c r="R215" s="1434" t="s">
        <v>2269</v>
      </c>
      <c r="S215" s="1434" t="b">
        <v>1</v>
      </c>
      <c r="T215" s="1434" t="b">
        <v>1</v>
      </c>
      <c r="U215" s="1434" t="b">
        <v>1</v>
      </c>
      <c r="V215" s="1434" t="s">
        <v>2837</v>
      </c>
      <c r="W215" s="1434" t="s">
        <v>2270</v>
      </c>
      <c r="X215" s="1435" t="s">
        <v>2840</v>
      </c>
      <c r="Y215" s="1434" t="s">
        <v>113</v>
      </c>
    </row>
    <row r="216">
      <c r="A216" s="1419"/>
      <c r="B216" s="1420" t="b">
        <v>0</v>
      </c>
      <c r="C216" s="1420" t="b">
        <v>1</v>
      </c>
      <c r="D216" s="1420" t="b">
        <v>1</v>
      </c>
      <c r="E216" s="1420" t="b">
        <v>1</v>
      </c>
      <c r="F216" s="1420" t="b">
        <v>1</v>
      </c>
      <c r="G216" s="1420" t="b">
        <v>1</v>
      </c>
      <c r="H216" s="1421" t="b">
        <v>0</v>
      </c>
      <c r="I216" s="1421" t="b">
        <v>0</v>
      </c>
      <c r="J216" s="1420" t="b">
        <v>1</v>
      </c>
      <c r="K216" s="1422" t="s">
        <v>2167</v>
      </c>
      <c r="L216" s="1423" t="s">
        <v>2841</v>
      </c>
      <c r="M216" s="1424">
        <v>2.0</v>
      </c>
      <c r="N216" s="1424" t="s">
        <v>2302</v>
      </c>
      <c r="O216" s="1436" t="b">
        <v>1</v>
      </c>
      <c r="P216" s="1425" t="b">
        <v>0</v>
      </c>
      <c r="Q216" s="1426" t="s">
        <v>2253</v>
      </c>
      <c r="R216" s="1426" t="s">
        <v>2269</v>
      </c>
      <c r="S216" s="1426" t="b">
        <v>1</v>
      </c>
      <c r="T216" s="1426" t="b">
        <v>1</v>
      </c>
      <c r="U216" s="1426" t="b">
        <v>1</v>
      </c>
      <c r="V216" s="1426" t="s">
        <v>2842</v>
      </c>
      <c r="W216" s="1426" t="s">
        <v>2308</v>
      </c>
      <c r="X216" s="1437" t="s">
        <v>2843</v>
      </c>
      <c r="Y216" s="1426" t="s">
        <v>113</v>
      </c>
    </row>
    <row r="217">
      <c r="A217" s="1419"/>
      <c r="B217" s="1428" t="b">
        <v>1</v>
      </c>
      <c r="C217" s="1428" t="b">
        <v>1</v>
      </c>
      <c r="D217" s="1429" t="b">
        <v>0</v>
      </c>
      <c r="E217" s="1428" t="b">
        <v>1</v>
      </c>
      <c r="F217" s="1429" t="b">
        <v>0</v>
      </c>
      <c r="G217" s="1428" t="b">
        <v>1</v>
      </c>
      <c r="H217" s="1429" t="b">
        <v>0</v>
      </c>
      <c r="I217" s="1429" t="b">
        <v>0</v>
      </c>
      <c r="J217" s="1428" t="b">
        <v>1</v>
      </c>
      <c r="K217" s="1430" t="s">
        <v>2201</v>
      </c>
      <c r="L217" s="1431" t="s">
        <v>2844</v>
      </c>
      <c r="M217" s="1432">
        <v>1.0</v>
      </c>
      <c r="N217" s="1432" t="s">
        <v>2268</v>
      </c>
      <c r="O217" s="1433" t="b">
        <v>0</v>
      </c>
      <c r="P217" s="1433" t="b">
        <v>0</v>
      </c>
      <c r="Q217" s="1434" t="s">
        <v>2253</v>
      </c>
      <c r="R217" s="1434" t="s">
        <v>2311</v>
      </c>
      <c r="S217" s="1434" t="b">
        <v>1</v>
      </c>
      <c r="T217" s="1434" t="b">
        <v>1</v>
      </c>
      <c r="U217" s="1434" t="b">
        <v>1</v>
      </c>
      <c r="V217" s="1434" t="s">
        <v>2845</v>
      </c>
      <c r="W217" s="1434" t="s">
        <v>2297</v>
      </c>
      <c r="X217" s="1435" t="s">
        <v>2846</v>
      </c>
      <c r="Y217" s="1434" t="s">
        <v>113</v>
      </c>
    </row>
    <row r="218">
      <c r="A218" s="1419"/>
      <c r="B218" s="1420" t="b">
        <v>0</v>
      </c>
      <c r="C218" s="1421" t="b">
        <v>0</v>
      </c>
      <c r="D218" s="1421" t="b">
        <v>0</v>
      </c>
      <c r="E218" s="1421" t="b">
        <v>0</v>
      </c>
      <c r="F218" s="1421" t="b">
        <v>0</v>
      </c>
      <c r="G218" s="1421" t="b">
        <v>0</v>
      </c>
      <c r="H218" s="1420" t="b">
        <v>1</v>
      </c>
      <c r="I218" s="1421" t="b">
        <v>0</v>
      </c>
      <c r="J218" s="1420" t="b">
        <v>1</v>
      </c>
      <c r="K218" s="1422" t="s">
        <v>1855</v>
      </c>
      <c r="L218" s="1423" t="s">
        <v>2847</v>
      </c>
      <c r="M218" s="1424">
        <v>1.0</v>
      </c>
      <c r="N218" s="1424" t="s">
        <v>2258</v>
      </c>
      <c r="O218" s="1425" t="b">
        <v>0</v>
      </c>
      <c r="P218" s="1425" t="b">
        <v>0</v>
      </c>
      <c r="Q218" s="1426" t="s">
        <v>2253</v>
      </c>
      <c r="R218" s="1426" t="s">
        <v>2311</v>
      </c>
      <c r="S218" s="1426" t="b">
        <v>1</v>
      </c>
      <c r="T218" s="1426" t="b">
        <v>1</v>
      </c>
      <c r="U218" s="1426" t="b">
        <v>1</v>
      </c>
      <c r="V218" s="1426" t="s">
        <v>2848</v>
      </c>
      <c r="W218" s="1426" t="s">
        <v>2261</v>
      </c>
      <c r="X218" s="1437" t="s">
        <v>2849</v>
      </c>
      <c r="Y218" s="1426" t="s">
        <v>113</v>
      </c>
    </row>
    <row r="219">
      <c r="A219" s="1419"/>
      <c r="B219" s="1428" t="b">
        <v>1</v>
      </c>
      <c r="C219" s="1428" t="b">
        <v>1</v>
      </c>
      <c r="D219" s="1429" t="b">
        <v>0</v>
      </c>
      <c r="E219" s="1429" t="b">
        <v>0</v>
      </c>
      <c r="F219" s="1429" t="b">
        <v>0</v>
      </c>
      <c r="G219" s="1429" t="b">
        <v>0</v>
      </c>
      <c r="H219" s="1428" t="b">
        <v>1</v>
      </c>
      <c r="I219" s="1428" t="b">
        <v>1</v>
      </c>
      <c r="J219" s="1428" t="b">
        <v>1</v>
      </c>
      <c r="K219" s="1430" t="s">
        <v>1986</v>
      </c>
      <c r="L219" s="1431" t="s">
        <v>2850</v>
      </c>
      <c r="M219" s="1432">
        <v>0.0</v>
      </c>
      <c r="N219" s="1432" t="s">
        <v>2306</v>
      </c>
      <c r="O219" s="1433" t="b">
        <v>0</v>
      </c>
      <c r="P219" s="1433" t="b">
        <v>0</v>
      </c>
      <c r="Q219" s="1434" t="s">
        <v>2253</v>
      </c>
      <c r="R219" s="1434" t="s">
        <v>2259</v>
      </c>
      <c r="S219" s="1434" t="b">
        <v>1</v>
      </c>
      <c r="T219" s="1434" t="b">
        <v>1</v>
      </c>
      <c r="U219" s="1439" t="b">
        <v>0</v>
      </c>
      <c r="V219" s="1439"/>
      <c r="W219" s="1434" t="s">
        <v>2264</v>
      </c>
      <c r="X219" s="1435" t="s">
        <v>2851</v>
      </c>
      <c r="Y219" s="1434" t="s">
        <v>113</v>
      </c>
    </row>
    <row r="220">
      <c r="A220" s="1419"/>
      <c r="B220" s="1420" t="b">
        <v>0</v>
      </c>
      <c r="C220" s="1421" t="b">
        <v>0</v>
      </c>
      <c r="D220" s="1420" t="b">
        <v>1</v>
      </c>
      <c r="E220" s="1421" t="b">
        <v>0</v>
      </c>
      <c r="F220" s="1420" t="b">
        <v>1</v>
      </c>
      <c r="G220" s="1421" t="b">
        <v>0</v>
      </c>
      <c r="H220" s="1421" t="b">
        <v>0</v>
      </c>
      <c r="I220" s="1420" t="b">
        <v>1</v>
      </c>
      <c r="J220" s="1420" t="b">
        <v>1</v>
      </c>
      <c r="K220" s="1422" t="s">
        <v>2123</v>
      </c>
      <c r="L220" s="1423" t="s">
        <v>2852</v>
      </c>
      <c r="M220" s="1424">
        <v>3.0</v>
      </c>
      <c r="N220" s="1424" t="s">
        <v>2258</v>
      </c>
      <c r="O220" s="1425" t="b">
        <v>0</v>
      </c>
      <c r="P220" s="1425" t="b">
        <v>0</v>
      </c>
      <c r="Q220" s="1426" t="s">
        <v>2264</v>
      </c>
      <c r="R220" s="1426" t="s">
        <v>2283</v>
      </c>
      <c r="S220" s="1426" t="b">
        <v>1</v>
      </c>
      <c r="T220" s="1426" t="b">
        <v>1</v>
      </c>
      <c r="U220" s="1426" t="b">
        <v>1</v>
      </c>
      <c r="V220" s="1426" t="s">
        <v>2853</v>
      </c>
      <c r="W220" s="1426" t="s">
        <v>2297</v>
      </c>
      <c r="X220" s="1437" t="s">
        <v>2854</v>
      </c>
      <c r="Y220" s="1426" t="s">
        <v>113</v>
      </c>
    </row>
    <row r="221">
      <c r="A221" s="1419"/>
      <c r="B221" s="1428" t="b">
        <v>0</v>
      </c>
      <c r="C221" s="1429" t="b">
        <v>0</v>
      </c>
      <c r="D221" s="1429" t="b">
        <v>0</v>
      </c>
      <c r="E221" s="1429" t="b">
        <v>0</v>
      </c>
      <c r="F221" s="1429" t="b">
        <v>0</v>
      </c>
      <c r="G221" s="1429" t="b">
        <v>0</v>
      </c>
      <c r="H221" s="1429" t="b">
        <v>0</v>
      </c>
      <c r="I221" s="1429" t="b">
        <v>0</v>
      </c>
      <c r="J221" s="1428" t="b">
        <v>1</v>
      </c>
      <c r="K221" s="1430" t="s">
        <v>2059</v>
      </c>
      <c r="L221" s="1431" t="s">
        <v>2855</v>
      </c>
      <c r="M221" s="1432">
        <v>6.0</v>
      </c>
      <c r="N221" s="1432" t="s">
        <v>2282</v>
      </c>
      <c r="O221" s="1433" t="b">
        <v>0</v>
      </c>
      <c r="P221" s="1433" t="b">
        <v>0</v>
      </c>
      <c r="Q221" s="1434" t="s">
        <v>2264</v>
      </c>
      <c r="R221" s="1434" t="s">
        <v>2269</v>
      </c>
      <c r="S221" s="1434" t="b">
        <v>1</v>
      </c>
      <c r="T221" s="1434" t="b">
        <v>1</v>
      </c>
      <c r="U221" s="1434" t="b">
        <v>1</v>
      </c>
      <c r="V221" s="1434" t="s">
        <v>2856</v>
      </c>
      <c r="W221" s="1434" t="s">
        <v>2313</v>
      </c>
      <c r="X221" s="1435" t="s">
        <v>2857</v>
      </c>
      <c r="Y221" s="1434" t="s">
        <v>113</v>
      </c>
    </row>
    <row r="222">
      <c r="A222" s="1419"/>
      <c r="B222" s="1420" t="b">
        <v>0</v>
      </c>
      <c r="C222" s="1421" t="b">
        <v>0</v>
      </c>
      <c r="D222" s="1421" t="b">
        <v>0</v>
      </c>
      <c r="E222" s="1421" t="b">
        <v>0</v>
      </c>
      <c r="F222" s="1421" t="b">
        <v>0</v>
      </c>
      <c r="G222" s="1421" t="b">
        <v>0</v>
      </c>
      <c r="H222" s="1420" t="b">
        <v>1</v>
      </c>
      <c r="I222" s="1421" t="b">
        <v>0</v>
      </c>
      <c r="J222" s="1420" t="b">
        <v>1</v>
      </c>
      <c r="K222" s="1422" t="s">
        <v>2207</v>
      </c>
      <c r="L222" s="1423" t="s">
        <v>2858</v>
      </c>
      <c r="M222" s="1424">
        <v>1.0</v>
      </c>
      <c r="N222" s="1424" t="s">
        <v>2252</v>
      </c>
      <c r="O222" s="1425" t="b">
        <v>0</v>
      </c>
      <c r="P222" s="1425" t="b">
        <v>0</v>
      </c>
      <c r="Q222" s="1426" t="s">
        <v>2253</v>
      </c>
      <c r="R222" s="1426" t="s">
        <v>2287</v>
      </c>
      <c r="S222" s="1426" t="b">
        <v>1</v>
      </c>
      <c r="T222" s="1426" t="b">
        <v>1</v>
      </c>
      <c r="U222" s="1427" t="b">
        <v>0</v>
      </c>
      <c r="V222" s="1427"/>
      <c r="W222" s="1426" t="s">
        <v>2255</v>
      </c>
      <c r="X222" s="1437" t="s">
        <v>2859</v>
      </c>
      <c r="Y222" s="1426" t="s">
        <v>113</v>
      </c>
    </row>
    <row r="223">
      <c r="A223" s="1419"/>
      <c r="B223" s="1428" t="b">
        <v>1</v>
      </c>
      <c r="C223" s="1428" t="b">
        <v>1</v>
      </c>
      <c r="D223" s="1429" t="b">
        <v>0</v>
      </c>
      <c r="E223" s="1429" t="b">
        <v>0</v>
      </c>
      <c r="F223" s="1429" t="b">
        <v>0</v>
      </c>
      <c r="G223" s="1429" t="b">
        <v>0</v>
      </c>
      <c r="H223" s="1429" t="b">
        <v>0</v>
      </c>
      <c r="I223" s="1429" t="b">
        <v>0</v>
      </c>
      <c r="J223" s="1428" t="b">
        <v>1</v>
      </c>
      <c r="K223" s="1430" t="s">
        <v>2172</v>
      </c>
      <c r="L223" s="1431" t="s">
        <v>2860</v>
      </c>
      <c r="M223" s="1432">
        <v>2.0</v>
      </c>
      <c r="N223" s="1432" t="s">
        <v>2385</v>
      </c>
      <c r="O223" s="1433" t="b">
        <v>0</v>
      </c>
      <c r="P223" s="1438" t="b">
        <v>1</v>
      </c>
      <c r="Q223" s="1434" t="s">
        <v>2264</v>
      </c>
      <c r="R223" s="1434" t="s">
        <v>2259</v>
      </c>
      <c r="S223" s="1434" t="b">
        <v>1</v>
      </c>
      <c r="T223" s="1434" t="b">
        <v>1</v>
      </c>
      <c r="U223" s="1434" t="b">
        <v>1</v>
      </c>
      <c r="V223" s="1434" t="s">
        <v>2861</v>
      </c>
      <c r="W223" s="1434" t="s">
        <v>2313</v>
      </c>
      <c r="X223" s="1435" t="s">
        <v>2862</v>
      </c>
      <c r="Y223" s="1434" t="s">
        <v>113</v>
      </c>
    </row>
    <row r="224">
      <c r="A224" s="1419"/>
      <c r="B224" s="1420" t="b">
        <v>1</v>
      </c>
      <c r="C224" s="1421" t="b">
        <v>0</v>
      </c>
      <c r="D224" s="1421" t="b">
        <v>0</v>
      </c>
      <c r="E224" s="1421" t="b">
        <v>0</v>
      </c>
      <c r="F224" s="1420" t="b">
        <v>1</v>
      </c>
      <c r="G224" s="1420" t="b">
        <v>1</v>
      </c>
      <c r="H224" s="1420" t="b">
        <v>1</v>
      </c>
      <c r="I224" s="1421" t="b">
        <v>0</v>
      </c>
      <c r="J224" s="1420" t="b">
        <v>1</v>
      </c>
      <c r="K224" s="1422" t="s">
        <v>2176</v>
      </c>
      <c r="L224" s="1423" t="s">
        <v>2863</v>
      </c>
      <c r="M224" s="1424">
        <v>2.0</v>
      </c>
      <c r="N224" s="1424" t="s">
        <v>2268</v>
      </c>
      <c r="O224" s="1425" t="b">
        <v>0</v>
      </c>
      <c r="P224" s="1425" t="b">
        <v>0</v>
      </c>
      <c r="Q224" s="1426" t="s">
        <v>2316</v>
      </c>
      <c r="R224" s="1426" t="s">
        <v>2311</v>
      </c>
      <c r="S224" s="1426" t="b">
        <v>1</v>
      </c>
      <c r="T224" s="1426" t="b">
        <v>1</v>
      </c>
      <c r="U224" s="1427" t="b">
        <v>0</v>
      </c>
      <c r="V224" s="1427"/>
      <c r="W224" s="1426" t="s">
        <v>2297</v>
      </c>
      <c r="X224" s="1437" t="s">
        <v>2864</v>
      </c>
      <c r="Y224" s="1426" t="s">
        <v>113</v>
      </c>
    </row>
    <row r="225">
      <c r="A225" s="1419"/>
      <c r="B225" s="1428" t="b">
        <v>0</v>
      </c>
      <c r="C225" s="1428" t="b">
        <v>1</v>
      </c>
      <c r="D225" s="1429" t="b">
        <v>0</v>
      </c>
      <c r="E225" s="1429" t="b">
        <v>0</v>
      </c>
      <c r="F225" s="1429" t="b">
        <v>0</v>
      </c>
      <c r="G225" s="1429" t="b">
        <v>0</v>
      </c>
      <c r="H225" s="1428" t="b">
        <v>1</v>
      </c>
      <c r="I225" s="1428" t="b">
        <v>1</v>
      </c>
      <c r="J225" s="1428" t="b">
        <v>1</v>
      </c>
      <c r="K225" s="1430" t="s">
        <v>2130</v>
      </c>
      <c r="L225" s="1431" t="s">
        <v>2865</v>
      </c>
      <c r="M225" s="1432">
        <v>3.0</v>
      </c>
      <c r="N225" s="1432" t="s">
        <v>2385</v>
      </c>
      <c r="O225" s="1438" t="b">
        <v>1</v>
      </c>
      <c r="P225" s="1433" t="b">
        <v>0</v>
      </c>
      <c r="Q225" s="1434" t="s">
        <v>2253</v>
      </c>
      <c r="R225" s="1434" t="s">
        <v>2287</v>
      </c>
      <c r="S225" s="1434" t="b">
        <v>1</v>
      </c>
      <c r="T225" s="1434" t="b">
        <v>1</v>
      </c>
      <c r="U225" s="1434" t="b">
        <v>1</v>
      </c>
      <c r="V225" s="1434" t="s">
        <v>2866</v>
      </c>
      <c r="W225" s="1434" t="s">
        <v>2308</v>
      </c>
      <c r="X225" s="1435" t="s">
        <v>2867</v>
      </c>
      <c r="Y225" s="1434" t="s">
        <v>113</v>
      </c>
    </row>
    <row r="226">
      <c r="A226" s="1419"/>
      <c r="B226" s="1421" t="b">
        <v>0</v>
      </c>
      <c r="C226" s="1420" t="b">
        <v>1</v>
      </c>
      <c r="D226" s="1420" t="b">
        <v>1</v>
      </c>
      <c r="E226" s="1420" t="b">
        <v>1</v>
      </c>
      <c r="F226" s="1421" t="b">
        <v>0</v>
      </c>
      <c r="G226" s="1421" t="b">
        <v>0</v>
      </c>
      <c r="H226" s="1421" t="b">
        <v>0</v>
      </c>
      <c r="I226" s="1421" t="b">
        <v>0</v>
      </c>
      <c r="J226" s="1421" t="b">
        <v>0</v>
      </c>
      <c r="K226" s="1422" t="s">
        <v>2119</v>
      </c>
      <c r="L226" s="1423" t="s">
        <v>2868</v>
      </c>
      <c r="M226" s="1424">
        <v>5.0</v>
      </c>
      <c r="N226" s="1424" t="s">
        <v>2258</v>
      </c>
      <c r="O226" s="1425" t="b">
        <v>0</v>
      </c>
      <c r="P226" s="1425" t="b">
        <v>0</v>
      </c>
      <c r="Q226" s="1426" t="s">
        <v>2253</v>
      </c>
      <c r="R226" s="1426" t="s">
        <v>2254</v>
      </c>
      <c r="S226" s="1426" t="b">
        <v>1</v>
      </c>
      <c r="T226" s="1426" t="b">
        <v>1</v>
      </c>
      <c r="U226" s="1427" t="b">
        <v>0</v>
      </c>
      <c r="V226" s="1427"/>
      <c r="W226" s="1426" t="s">
        <v>2255</v>
      </c>
      <c r="X226" s="1437" t="s">
        <v>2869</v>
      </c>
      <c r="Y226" s="1426" t="s">
        <v>113</v>
      </c>
    </row>
    <row r="227">
      <c r="A227" s="1419"/>
      <c r="B227" s="1429" t="b">
        <v>0</v>
      </c>
      <c r="C227" s="1429" t="b">
        <v>0</v>
      </c>
      <c r="D227" s="1428" t="b">
        <v>1</v>
      </c>
      <c r="E227" s="1429" t="b">
        <v>0</v>
      </c>
      <c r="F227" s="1429" t="b">
        <v>0</v>
      </c>
      <c r="G227" s="1429" t="b">
        <v>0</v>
      </c>
      <c r="H227" s="1429" t="b">
        <v>0</v>
      </c>
      <c r="I227" s="1429" t="b">
        <v>0</v>
      </c>
      <c r="J227" s="1429" t="b">
        <v>0</v>
      </c>
      <c r="K227" s="1430" t="s">
        <v>1926</v>
      </c>
      <c r="L227" s="1431" t="s">
        <v>2870</v>
      </c>
      <c r="M227" s="1432">
        <v>9.0</v>
      </c>
      <c r="N227" s="1432" t="s">
        <v>2258</v>
      </c>
      <c r="O227" s="1433" t="b">
        <v>0</v>
      </c>
      <c r="P227" s="1433" t="b">
        <v>0</v>
      </c>
      <c r="Q227" s="1434" t="s">
        <v>2253</v>
      </c>
      <c r="R227" s="1434" t="s">
        <v>2254</v>
      </c>
      <c r="S227" s="1434" t="b">
        <v>1</v>
      </c>
      <c r="T227" s="1434" t="b">
        <v>1</v>
      </c>
      <c r="U227" s="1439" t="b">
        <v>0</v>
      </c>
      <c r="V227" s="1439"/>
      <c r="W227" s="1434" t="s">
        <v>2255</v>
      </c>
      <c r="X227" s="1435" t="s">
        <v>2871</v>
      </c>
      <c r="Y227" s="1434" t="s">
        <v>113</v>
      </c>
    </row>
    <row r="228">
      <c r="A228" s="1419"/>
      <c r="B228" s="1420" t="b">
        <v>0</v>
      </c>
      <c r="C228" s="1420" t="b">
        <v>1</v>
      </c>
      <c r="D228" s="1420" t="b">
        <v>1</v>
      </c>
      <c r="E228" s="1421" t="b">
        <v>0</v>
      </c>
      <c r="F228" s="1421" t="b">
        <v>0</v>
      </c>
      <c r="G228" s="1421" t="b">
        <v>0</v>
      </c>
      <c r="H228" s="1421" t="b">
        <v>0</v>
      </c>
      <c r="I228" s="1421" t="b">
        <v>0</v>
      </c>
      <c r="J228" s="1420" t="b">
        <v>0</v>
      </c>
      <c r="K228" s="1422" t="s">
        <v>2136</v>
      </c>
      <c r="L228" s="1423" t="s">
        <v>2872</v>
      </c>
      <c r="M228" s="1424">
        <v>3.0</v>
      </c>
      <c r="N228" s="1424" t="s">
        <v>2258</v>
      </c>
      <c r="O228" s="1425" t="b">
        <v>0</v>
      </c>
      <c r="P228" s="1425" t="b">
        <v>0</v>
      </c>
      <c r="Q228" s="1426" t="s">
        <v>2316</v>
      </c>
      <c r="R228" s="1426" t="s">
        <v>2254</v>
      </c>
      <c r="S228" s="1426" t="b">
        <v>1</v>
      </c>
      <c r="T228" s="1427" t="b">
        <v>0</v>
      </c>
      <c r="U228" s="1427" t="b">
        <v>0</v>
      </c>
      <c r="V228" s="1427"/>
      <c r="W228" s="1426" t="s">
        <v>2255</v>
      </c>
      <c r="X228" s="1437" t="s">
        <v>2873</v>
      </c>
      <c r="Y228" s="1426" t="s">
        <v>113</v>
      </c>
    </row>
    <row r="229">
      <c r="A229" s="1419"/>
      <c r="B229" s="1428" t="b">
        <v>0</v>
      </c>
      <c r="C229" s="1428" t="b">
        <v>1</v>
      </c>
      <c r="D229" s="1429" t="b">
        <v>0</v>
      </c>
      <c r="E229" s="1429" t="b">
        <v>0</v>
      </c>
      <c r="F229" s="1429" t="b">
        <v>0</v>
      </c>
      <c r="G229" s="1429" t="b">
        <v>0</v>
      </c>
      <c r="H229" s="1428" t="b">
        <v>1</v>
      </c>
      <c r="I229" s="1429" t="b">
        <v>0</v>
      </c>
      <c r="J229" s="1428" t="b">
        <v>1</v>
      </c>
      <c r="K229" s="1430" t="s">
        <v>2066</v>
      </c>
      <c r="L229" s="1431" t="s">
        <v>2874</v>
      </c>
      <c r="M229" s="1432">
        <v>6.0</v>
      </c>
      <c r="N229" s="1432" t="s">
        <v>2273</v>
      </c>
      <c r="O229" s="1433" t="b">
        <v>0</v>
      </c>
      <c r="P229" s="1433" t="b">
        <v>0</v>
      </c>
      <c r="Q229" s="1434" t="s">
        <v>2253</v>
      </c>
      <c r="R229" s="1434" t="s">
        <v>2254</v>
      </c>
      <c r="S229" s="1434" t="b">
        <v>1</v>
      </c>
      <c r="T229" s="1439" t="b">
        <v>0</v>
      </c>
      <c r="U229" s="1434" t="b">
        <v>1</v>
      </c>
      <c r="V229" s="1434" t="s">
        <v>2875</v>
      </c>
      <c r="W229" s="1434" t="s">
        <v>2275</v>
      </c>
      <c r="X229" s="1435" t="s">
        <v>2876</v>
      </c>
      <c r="Y229" s="1434" t="s">
        <v>113</v>
      </c>
    </row>
    <row r="230">
      <c r="A230" s="1419"/>
      <c r="B230" s="1420" t="b">
        <v>0</v>
      </c>
      <c r="C230" s="1421" t="b">
        <v>0</v>
      </c>
      <c r="D230" s="1421" t="b">
        <v>0</v>
      </c>
      <c r="E230" s="1421" t="b">
        <v>0</v>
      </c>
      <c r="F230" s="1421" t="b">
        <v>0</v>
      </c>
      <c r="G230" s="1421" t="b">
        <v>0</v>
      </c>
      <c r="H230" s="1421" t="b">
        <v>0</v>
      </c>
      <c r="I230" s="1421" t="b">
        <v>0</v>
      </c>
      <c r="J230" s="1420" t="b">
        <v>1</v>
      </c>
      <c r="K230" s="1422" t="s">
        <v>2004</v>
      </c>
      <c r="L230" s="1423" t="s">
        <v>2877</v>
      </c>
      <c r="M230" s="1424">
        <v>8.0</v>
      </c>
      <c r="N230" s="1424" t="s">
        <v>2306</v>
      </c>
      <c r="O230" s="1436" t="b">
        <v>1</v>
      </c>
      <c r="P230" s="1425" t="b">
        <v>0</v>
      </c>
      <c r="Q230" s="1426" t="s">
        <v>2253</v>
      </c>
      <c r="R230" s="1426" t="s">
        <v>2254</v>
      </c>
      <c r="S230" s="1426" t="b">
        <v>1</v>
      </c>
      <c r="T230" s="1426" t="b">
        <v>1</v>
      </c>
      <c r="U230" s="1427" t="b">
        <v>0</v>
      </c>
      <c r="V230" s="1427"/>
      <c r="W230" s="1426" t="s">
        <v>2411</v>
      </c>
      <c r="X230" s="1437" t="s">
        <v>2878</v>
      </c>
      <c r="Y230" s="1426" t="s">
        <v>113</v>
      </c>
    </row>
    <row r="231">
      <c r="A231" s="1419"/>
      <c r="B231" s="1429" t="b">
        <v>0</v>
      </c>
      <c r="C231" s="1429" t="b">
        <v>0</v>
      </c>
      <c r="D231" s="1428" t="b">
        <v>1</v>
      </c>
      <c r="E231" s="1428" t="b">
        <v>1</v>
      </c>
      <c r="F231" s="1429" t="b">
        <v>0</v>
      </c>
      <c r="G231" s="1428" t="b">
        <v>1</v>
      </c>
      <c r="H231" s="1429" t="b">
        <v>0</v>
      </c>
      <c r="I231" s="1429" t="b">
        <v>0</v>
      </c>
      <c r="J231" s="1429" t="b">
        <v>0</v>
      </c>
      <c r="K231" s="1430" t="s">
        <v>2143</v>
      </c>
      <c r="L231" s="1431" t="s">
        <v>2879</v>
      </c>
      <c r="M231" s="1432">
        <v>3.0</v>
      </c>
      <c r="N231" s="1432" t="s">
        <v>2268</v>
      </c>
      <c r="O231" s="1433" t="b">
        <v>0</v>
      </c>
      <c r="P231" s="1438" t="b">
        <v>1</v>
      </c>
      <c r="Q231" s="1434" t="s">
        <v>2253</v>
      </c>
      <c r="R231" s="1434" t="s">
        <v>2311</v>
      </c>
      <c r="S231" s="1434" t="b">
        <v>1</v>
      </c>
      <c r="T231" s="1434" t="b">
        <v>1</v>
      </c>
      <c r="U231" s="1439" t="b">
        <v>0</v>
      </c>
      <c r="V231" s="1439"/>
      <c r="W231" s="1434" t="s">
        <v>2261</v>
      </c>
      <c r="X231" s="1435" t="s">
        <v>2880</v>
      </c>
      <c r="Y231" s="1434" t="s">
        <v>113</v>
      </c>
    </row>
    <row r="232">
      <c r="A232" s="1419"/>
      <c r="B232" s="1420" t="b">
        <v>0</v>
      </c>
      <c r="C232" s="1420" t="b">
        <v>1</v>
      </c>
      <c r="D232" s="1421" t="b">
        <v>0</v>
      </c>
      <c r="E232" s="1421" t="b">
        <v>0</v>
      </c>
      <c r="F232" s="1421" t="b">
        <v>0</v>
      </c>
      <c r="G232" s="1421" t="b">
        <v>0</v>
      </c>
      <c r="H232" s="1421" t="b">
        <v>0</v>
      </c>
      <c r="I232" s="1421" t="b">
        <v>0</v>
      </c>
      <c r="J232" s="1420" t="b">
        <v>1</v>
      </c>
      <c r="K232" s="1422" t="s">
        <v>2180</v>
      </c>
      <c r="L232" s="1423" t="s">
        <v>2881</v>
      </c>
      <c r="M232" s="1424">
        <v>2.0</v>
      </c>
      <c r="N232" s="1424" t="s">
        <v>2252</v>
      </c>
      <c r="O232" s="1425" t="b">
        <v>0</v>
      </c>
      <c r="P232" s="1425" t="b">
        <v>0</v>
      </c>
      <c r="Q232" s="1426" t="s">
        <v>2253</v>
      </c>
      <c r="R232" s="1426" t="s">
        <v>2368</v>
      </c>
      <c r="S232" s="1426" t="b">
        <v>1</v>
      </c>
      <c r="T232" s="1426" t="b">
        <v>1</v>
      </c>
      <c r="U232" s="1426" t="b">
        <v>1</v>
      </c>
      <c r="V232" s="1426" t="s">
        <v>2882</v>
      </c>
      <c r="W232" s="1426" t="s">
        <v>2255</v>
      </c>
      <c r="X232" s="1437" t="s">
        <v>2883</v>
      </c>
      <c r="Y232" s="1426" t="s">
        <v>113</v>
      </c>
    </row>
    <row r="233">
      <c r="A233" s="1419"/>
      <c r="B233" s="1428" t="b">
        <v>0</v>
      </c>
      <c r="C233" s="1428" t="b">
        <v>1</v>
      </c>
      <c r="D233" s="1428" t="b">
        <v>1</v>
      </c>
      <c r="E233" s="1428" t="b">
        <v>1</v>
      </c>
      <c r="F233" s="1429" t="b">
        <v>0</v>
      </c>
      <c r="G233" s="1429" t="b">
        <v>0</v>
      </c>
      <c r="H233" s="1428" t="b">
        <v>1</v>
      </c>
      <c r="I233" s="1429" t="b">
        <v>0</v>
      </c>
      <c r="J233" s="1428" t="b">
        <v>1</v>
      </c>
      <c r="K233" s="1430" t="s">
        <v>1996</v>
      </c>
      <c r="L233" s="1431" t="s">
        <v>2884</v>
      </c>
      <c r="M233" s="1432">
        <v>0.0</v>
      </c>
      <c r="N233" s="1432" t="s">
        <v>2268</v>
      </c>
      <c r="O233" s="1433" t="b">
        <v>0</v>
      </c>
      <c r="P233" s="1433" t="b">
        <v>0</v>
      </c>
      <c r="Q233" s="1434" t="s">
        <v>2264</v>
      </c>
      <c r="R233" s="1434" t="s">
        <v>2311</v>
      </c>
      <c r="S233" s="1434" t="b">
        <v>1</v>
      </c>
      <c r="T233" s="1434" t="b">
        <v>1</v>
      </c>
      <c r="U233" s="1434" t="b">
        <v>1</v>
      </c>
      <c r="V233" s="1434" t="s">
        <v>2885</v>
      </c>
      <c r="W233" s="1434" t="s">
        <v>2255</v>
      </c>
      <c r="X233" s="1435" t="s">
        <v>2886</v>
      </c>
      <c r="Y233" s="1434" t="s">
        <v>113</v>
      </c>
    </row>
    <row r="234">
      <c r="A234" s="1419"/>
      <c r="B234" s="1420" t="b">
        <v>1</v>
      </c>
      <c r="C234" s="1420" t="b">
        <v>1</v>
      </c>
      <c r="D234" s="1421" t="b">
        <v>0</v>
      </c>
      <c r="E234" s="1420" t="b">
        <v>1</v>
      </c>
      <c r="F234" s="1421" t="b">
        <v>0</v>
      </c>
      <c r="G234" s="1421" t="b">
        <v>0</v>
      </c>
      <c r="H234" s="1420" t="b">
        <v>1</v>
      </c>
      <c r="I234" s="1421" t="b">
        <v>0</v>
      </c>
      <c r="J234" s="1420" t="b">
        <v>1</v>
      </c>
      <c r="K234" s="1422" t="s">
        <v>2006</v>
      </c>
      <c r="L234" s="1423" t="s">
        <v>2887</v>
      </c>
      <c r="M234" s="1424">
        <v>0.0</v>
      </c>
      <c r="N234" s="1424" t="s">
        <v>2268</v>
      </c>
      <c r="O234" s="1425" t="b">
        <v>0</v>
      </c>
      <c r="P234" s="1425" t="b">
        <v>0</v>
      </c>
      <c r="Q234" s="1426" t="s">
        <v>2253</v>
      </c>
      <c r="R234" s="1426" t="s">
        <v>2287</v>
      </c>
      <c r="S234" s="1426" t="b">
        <v>0</v>
      </c>
      <c r="T234" s="1426" t="b">
        <v>1</v>
      </c>
      <c r="U234" s="1426" t="b">
        <v>1</v>
      </c>
      <c r="V234" s="1426" t="s">
        <v>2888</v>
      </c>
      <c r="W234" s="1426" t="s">
        <v>2255</v>
      </c>
      <c r="X234" s="1437" t="s">
        <v>2889</v>
      </c>
      <c r="Y234" s="1426" t="s">
        <v>113</v>
      </c>
    </row>
    <row r="235">
      <c r="A235" s="1419"/>
      <c r="B235" s="1428" t="b">
        <v>0</v>
      </c>
      <c r="C235" s="1429" t="b">
        <v>0</v>
      </c>
      <c r="D235" s="1429" t="b">
        <v>0</v>
      </c>
      <c r="E235" s="1429" t="b">
        <v>0</v>
      </c>
      <c r="F235" s="1429" t="b">
        <v>0</v>
      </c>
      <c r="G235" s="1429" t="b">
        <v>0</v>
      </c>
      <c r="H235" s="1428" t="b">
        <v>1</v>
      </c>
      <c r="I235" s="1429" t="b">
        <v>0</v>
      </c>
      <c r="J235" s="1428" t="b">
        <v>1</v>
      </c>
      <c r="K235" s="1430" t="s">
        <v>1936</v>
      </c>
      <c r="L235" s="1431" t="s">
        <v>2890</v>
      </c>
      <c r="M235" s="1432">
        <v>9.0</v>
      </c>
      <c r="N235" s="1432" t="s">
        <v>2252</v>
      </c>
      <c r="O235" s="1433" t="b">
        <v>0</v>
      </c>
      <c r="P235" s="1433" t="b">
        <v>0</v>
      </c>
      <c r="Q235" s="1434" t="s">
        <v>2253</v>
      </c>
      <c r="R235" s="1434" t="s">
        <v>2412</v>
      </c>
      <c r="S235" s="1434" t="b">
        <v>1</v>
      </c>
      <c r="T235" s="1434" t="b">
        <v>1</v>
      </c>
      <c r="U235" s="1439" t="b">
        <v>0</v>
      </c>
      <c r="V235" s="1439"/>
      <c r="W235" s="1434" t="s">
        <v>2255</v>
      </c>
      <c r="X235" s="1435" t="s">
        <v>2891</v>
      </c>
      <c r="Y235" s="1434" t="s">
        <v>113</v>
      </c>
    </row>
    <row r="236">
      <c r="A236" s="1419"/>
      <c r="B236" s="1420" t="b">
        <v>0</v>
      </c>
      <c r="C236" s="1420" t="b">
        <v>1</v>
      </c>
      <c r="D236" s="1421" t="b">
        <v>0</v>
      </c>
      <c r="E236" s="1421" t="b">
        <v>0</v>
      </c>
      <c r="F236" s="1421" t="b">
        <v>0</v>
      </c>
      <c r="G236" s="1421" t="b">
        <v>0</v>
      </c>
      <c r="H236" s="1421" t="b">
        <v>0</v>
      </c>
      <c r="I236" s="1421" t="b">
        <v>0</v>
      </c>
      <c r="J236" s="1420" t="b">
        <v>1</v>
      </c>
      <c r="K236" s="1422" t="s">
        <v>2014</v>
      </c>
      <c r="L236" s="1423" t="s">
        <v>2892</v>
      </c>
      <c r="M236" s="1424">
        <v>8.0</v>
      </c>
      <c r="N236" s="1424" t="s">
        <v>2258</v>
      </c>
      <c r="O236" s="1425" t="b">
        <v>0</v>
      </c>
      <c r="P236" s="1425" t="b">
        <v>0</v>
      </c>
      <c r="Q236" s="1426" t="s">
        <v>2253</v>
      </c>
      <c r="R236" s="1426" t="s">
        <v>2311</v>
      </c>
      <c r="S236" s="1426" t="b">
        <v>1</v>
      </c>
      <c r="T236" s="1426" t="b">
        <v>1</v>
      </c>
      <c r="U236" s="1427" t="b">
        <v>0</v>
      </c>
      <c r="V236" s="1427"/>
      <c r="W236" s="1426" t="s">
        <v>2275</v>
      </c>
      <c r="X236" s="1437" t="s">
        <v>2893</v>
      </c>
      <c r="Y236" s="1426" t="s">
        <v>113</v>
      </c>
    </row>
    <row r="237">
      <c r="A237" s="1419"/>
      <c r="B237" s="1428" t="b">
        <v>0</v>
      </c>
      <c r="C237" s="1428" t="b">
        <v>0</v>
      </c>
      <c r="D237" s="1429" t="b">
        <v>0</v>
      </c>
      <c r="E237" s="1429" t="b">
        <v>0</v>
      </c>
      <c r="F237" s="1429" t="b">
        <v>0</v>
      </c>
      <c r="G237" s="1429" t="b">
        <v>0</v>
      </c>
      <c r="H237" s="1428" t="b">
        <v>1</v>
      </c>
      <c r="I237" s="1428" t="b">
        <v>1</v>
      </c>
      <c r="J237" s="1428" t="b">
        <v>1</v>
      </c>
      <c r="K237" s="1430" t="s">
        <v>2016</v>
      </c>
      <c r="L237" s="1431" t="s">
        <v>2894</v>
      </c>
      <c r="M237" s="1432">
        <v>0.0</v>
      </c>
      <c r="N237" s="1432" t="s">
        <v>2273</v>
      </c>
      <c r="O237" s="1433" t="b">
        <v>0</v>
      </c>
      <c r="P237" s="1433" t="b">
        <v>0</v>
      </c>
      <c r="Q237" s="1434" t="s">
        <v>2253</v>
      </c>
      <c r="R237" s="1434" t="s">
        <v>2254</v>
      </c>
      <c r="S237" s="1434" t="b">
        <v>1</v>
      </c>
      <c r="T237" s="1439" t="b">
        <v>0</v>
      </c>
      <c r="U237" s="1439" t="b">
        <v>0</v>
      </c>
      <c r="V237" s="1439"/>
      <c r="W237" s="1434" t="s">
        <v>2725</v>
      </c>
      <c r="X237" s="1435" t="s">
        <v>2895</v>
      </c>
      <c r="Y237" s="1434" t="s">
        <v>113</v>
      </c>
    </row>
    <row r="238">
      <c r="A238" s="1419"/>
      <c r="B238" s="1420" t="b">
        <v>0</v>
      </c>
      <c r="C238" s="1421" t="b">
        <v>0</v>
      </c>
      <c r="D238" s="1421" t="b">
        <v>0</v>
      </c>
      <c r="E238" s="1421" t="b">
        <v>0</v>
      </c>
      <c r="F238" s="1421" t="b">
        <v>0</v>
      </c>
      <c r="G238" s="1421" t="b">
        <v>0</v>
      </c>
      <c r="H238" s="1420" t="b">
        <v>1</v>
      </c>
      <c r="I238" s="1420" t="b">
        <v>1</v>
      </c>
      <c r="J238" s="1420" t="b">
        <v>1</v>
      </c>
      <c r="K238" s="1422" t="s">
        <v>2183</v>
      </c>
      <c r="L238" s="1423" t="s">
        <v>2896</v>
      </c>
      <c r="M238" s="1424">
        <v>2.0</v>
      </c>
      <c r="N238" s="1424" t="s">
        <v>2302</v>
      </c>
      <c r="O238" s="1436" t="b">
        <v>1</v>
      </c>
      <c r="P238" s="1425" t="b">
        <v>0</v>
      </c>
      <c r="Q238" s="1427" t="s">
        <v>2253</v>
      </c>
      <c r="R238" s="1427" t="s">
        <v>2287</v>
      </c>
      <c r="S238" s="1427" t="b">
        <v>0</v>
      </c>
      <c r="T238" s="1427" t="b">
        <v>1</v>
      </c>
      <c r="U238" s="1427" t="b">
        <v>0</v>
      </c>
      <c r="V238" s="1427"/>
      <c r="W238" s="1427" t="s">
        <v>2297</v>
      </c>
      <c r="X238" s="1437" t="s">
        <v>2897</v>
      </c>
      <c r="Y238" s="1426" t="s">
        <v>113</v>
      </c>
    </row>
    <row r="239">
      <c r="A239" s="1440" t="s">
        <v>2461</v>
      </c>
      <c r="B239" s="1428" t="b">
        <v>0</v>
      </c>
      <c r="C239" s="1428" t="b">
        <v>1</v>
      </c>
      <c r="D239" s="1429" t="b">
        <v>0</v>
      </c>
      <c r="E239" s="1429" t="b">
        <v>0</v>
      </c>
      <c r="F239" s="1429" t="b">
        <v>0</v>
      </c>
      <c r="G239" s="1429" t="b">
        <v>0</v>
      </c>
      <c r="H239" s="1428" t="b">
        <v>1</v>
      </c>
      <c r="I239" s="1428" t="b">
        <v>1</v>
      </c>
      <c r="J239" s="1428" t="b">
        <v>1</v>
      </c>
      <c r="K239" s="1430" t="s">
        <v>2026</v>
      </c>
      <c r="L239" s="1431" t="s">
        <v>2898</v>
      </c>
      <c r="M239" s="1432">
        <v>0.0</v>
      </c>
      <c r="N239" s="1432" t="s">
        <v>2385</v>
      </c>
      <c r="O239" s="1438" t="b">
        <v>0</v>
      </c>
      <c r="P239" s="1433" t="b">
        <v>0</v>
      </c>
      <c r="Q239" s="1439" t="s">
        <v>2253</v>
      </c>
      <c r="R239" s="1439" t="s">
        <v>2259</v>
      </c>
      <c r="S239" s="1439" t="b">
        <v>0</v>
      </c>
      <c r="T239" s="1439" t="b">
        <v>1</v>
      </c>
      <c r="U239" s="1439" t="b">
        <v>1</v>
      </c>
      <c r="V239" s="1439" t="s">
        <v>2866</v>
      </c>
      <c r="W239" s="1439" t="s">
        <v>2264</v>
      </c>
      <c r="X239" s="1435" t="s">
        <v>2899</v>
      </c>
      <c r="Y239" s="1434" t="s">
        <v>113</v>
      </c>
    </row>
    <row r="240">
      <c r="A240" s="1440" t="s">
        <v>2461</v>
      </c>
      <c r="B240" s="1420" t="b">
        <v>0</v>
      </c>
      <c r="C240" s="1420" t="b">
        <v>1</v>
      </c>
      <c r="D240" s="1421" t="b">
        <v>0</v>
      </c>
      <c r="E240" s="1420" t="b">
        <v>1</v>
      </c>
      <c r="F240" s="1421" t="b">
        <v>0</v>
      </c>
      <c r="G240" s="1421" t="b">
        <v>0</v>
      </c>
      <c r="H240" s="1421" t="b">
        <v>0</v>
      </c>
      <c r="I240" s="1421" t="b">
        <v>0</v>
      </c>
      <c r="J240" s="1420" t="b">
        <v>1</v>
      </c>
      <c r="K240" s="1422" t="s">
        <v>1954</v>
      </c>
      <c r="L240" s="1423" t="s">
        <v>2900</v>
      </c>
      <c r="M240" s="1424">
        <v>7.0</v>
      </c>
      <c r="N240" s="1424" t="s">
        <v>2385</v>
      </c>
      <c r="O240" s="1425" t="b">
        <v>0</v>
      </c>
      <c r="P240" s="1425" t="b">
        <v>0</v>
      </c>
      <c r="Q240" s="1427" t="s">
        <v>2411</v>
      </c>
      <c r="R240" s="1427" t="s">
        <v>2901</v>
      </c>
      <c r="S240" s="1427" t="b">
        <v>1</v>
      </c>
      <c r="T240" s="1427" t="b">
        <v>1</v>
      </c>
      <c r="U240" s="1427" t="b">
        <v>0</v>
      </c>
      <c r="V240" s="1427"/>
      <c r="W240" s="1427" t="s">
        <v>2299</v>
      </c>
      <c r="X240" s="1437" t="s">
        <v>2902</v>
      </c>
      <c r="Y240" s="1426" t="s">
        <v>113</v>
      </c>
    </row>
    <row r="241">
      <c r="A241" s="1419"/>
      <c r="B241" s="1428" t="b">
        <v>0</v>
      </c>
      <c r="C241" s="1428" t="b">
        <v>1</v>
      </c>
      <c r="D241" s="1429" t="b">
        <v>0</v>
      </c>
      <c r="E241" s="1429" t="b">
        <v>0</v>
      </c>
      <c r="F241" s="1429" t="b">
        <v>0</v>
      </c>
      <c r="G241" s="1429" t="b">
        <v>0</v>
      </c>
      <c r="H241" s="1428" t="b">
        <v>1</v>
      </c>
      <c r="I241" s="1428" t="b">
        <v>1</v>
      </c>
      <c r="J241" s="1428" t="b">
        <v>1</v>
      </c>
      <c r="K241" s="1430" t="s">
        <v>1862</v>
      </c>
      <c r="L241" s="1431" t="s">
        <v>2903</v>
      </c>
      <c r="M241" s="1432">
        <v>2.0</v>
      </c>
      <c r="N241" s="1432" t="s">
        <v>2385</v>
      </c>
      <c r="O241" s="1433" t="b">
        <v>0</v>
      </c>
      <c r="P241" s="1433" t="b">
        <v>0</v>
      </c>
      <c r="Q241" s="1434" t="s">
        <v>2253</v>
      </c>
      <c r="R241" s="1434" t="s">
        <v>2269</v>
      </c>
      <c r="S241" s="1434" t="b">
        <v>1</v>
      </c>
      <c r="T241" s="1434" t="b">
        <v>1</v>
      </c>
      <c r="U241" s="1439" t="b">
        <v>0</v>
      </c>
      <c r="V241" s="1439"/>
      <c r="W241" s="1434" t="s">
        <v>2264</v>
      </c>
      <c r="X241" s="1435" t="s">
        <v>2904</v>
      </c>
      <c r="Y241" s="1434" t="s">
        <v>113</v>
      </c>
    </row>
    <row r="242">
      <c r="A242" s="1419"/>
      <c r="B242" s="1420" t="b">
        <v>0</v>
      </c>
      <c r="C242" s="1420" t="b">
        <v>1</v>
      </c>
      <c r="D242" s="1421" t="b">
        <v>0</v>
      </c>
      <c r="E242" s="1421" t="b">
        <v>0</v>
      </c>
      <c r="F242" s="1421" t="b">
        <v>0</v>
      </c>
      <c r="G242" s="1421" t="b">
        <v>0</v>
      </c>
      <c r="H242" s="1421" t="b">
        <v>0</v>
      </c>
      <c r="I242" s="1420" t="b">
        <v>1</v>
      </c>
      <c r="J242" s="1420" t="b">
        <v>1</v>
      </c>
      <c r="K242" s="1422" t="s">
        <v>2125</v>
      </c>
      <c r="L242" s="1423" t="s">
        <v>2905</v>
      </c>
      <c r="M242" s="1424">
        <v>5.0</v>
      </c>
      <c r="N242" s="1424" t="s">
        <v>2385</v>
      </c>
      <c r="O242" s="1436" t="b">
        <v>1</v>
      </c>
      <c r="P242" s="1425" t="b">
        <v>0</v>
      </c>
      <c r="Q242" s="1426" t="s">
        <v>2253</v>
      </c>
      <c r="R242" s="1426" t="s">
        <v>2269</v>
      </c>
      <c r="S242" s="1427" t="b">
        <v>0</v>
      </c>
      <c r="T242" s="1426" t="b">
        <v>1</v>
      </c>
      <c r="U242" s="1427" t="b">
        <v>0</v>
      </c>
      <c r="V242" s="1427"/>
      <c r="W242" s="1426" t="s">
        <v>2270</v>
      </c>
      <c r="X242" s="1437" t="s">
        <v>2906</v>
      </c>
      <c r="Y242" s="1426" t="s">
        <v>113</v>
      </c>
    </row>
    <row r="243">
      <c r="A243" s="1419"/>
      <c r="B243" s="1428" t="b">
        <v>0</v>
      </c>
      <c r="C243" s="1429" t="b">
        <v>0</v>
      </c>
      <c r="D243" s="1429" t="b">
        <v>0</v>
      </c>
      <c r="E243" s="1429" t="b">
        <v>0</v>
      </c>
      <c r="F243" s="1429" t="b">
        <v>0</v>
      </c>
      <c r="G243" s="1429" t="b">
        <v>0</v>
      </c>
      <c r="H243" s="1428" t="b">
        <v>1</v>
      </c>
      <c r="I243" s="1428" t="b">
        <v>1</v>
      </c>
      <c r="J243" s="1428" t="b">
        <v>1</v>
      </c>
      <c r="K243" s="1430" t="s">
        <v>2191</v>
      </c>
      <c r="L243" s="1431" t="s">
        <v>2907</v>
      </c>
      <c r="M243" s="1432">
        <v>2.0</v>
      </c>
      <c r="N243" s="1432" t="s">
        <v>2306</v>
      </c>
      <c r="O243" s="1433" t="b">
        <v>0</v>
      </c>
      <c r="P243" s="1433" t="b">
        <v>0</v>
      </c>
      <c r="Q243" s="1434" t="s">
        <v>2316</v>
      </c>
      <c r="R243" s="1434" t="s">
        <v>2269</v>
      </c>
      <c r="S243" s="1434" t="b">
        <v>1</v>
      </c>
      <c r="T243" s="1439" t="b">
        <v>0</v>
      </c>
      <c r="U243" s="1439" t="b">
        <v>0</v>
      </c>
      <c r="V243" s="1439"/>
      <c r="W243" s="1434" t="s">
        <v>2255</v>
      </c>
      <c r="X243" s="1435" t="s">
        <v>2908</v>
      </c>
      <c r="Y243" s="1434" t="s">
        <v>113</v>
      </c>
    </row>
    <row r="244">
      <c r="A244" s="1419"/>
      <c r="B244" s="1420" t="b">
        <v>0</v>
      </c>
      <c r="C244" s="1420" t="b">
        <v>1</v>
      </c>
      <c r="D244" s="1421" t="b">
        <v>0</v>
      </c>
      <c r="E244" s="1421" t="b">
        <v>0</v>
      </c>
      <c r="F244" s="1421" t="b">
        <v>0</v>
      </c>
      <c r="G244" s="1421" t="b">
        <v>0</v>
      </c>
      <c r="H244" s="1421" t="b">
        <v>0</v>
      </c>
      <c r="I244" s="1421" t="b">
        <v>0</v>
      </c>
      <c r="J244" s="1420" t="b">
        <v>1</v>
      </c>
      <c r="K244" s="1422" t="s">
        <v>2132</v>
      </c>
      <c r="L244" s="1423" t="s">
        <v>2909</v>
      </c>
      <c r="M244" s="1424">
        <v>5.0</v>
      </c>
      <c r="N244" s="1424" t="s">
        <v>2273</v>
      </c>
      <c r="O244" s="1436" t="b">
        <v>1</v>
      </c>
      <c r="P244" s="1425" t="b">
        <v>0</v>
      </c>
      <c r="Q244" s="1426" t="s">
        <v>2253</v>
      </c>
      <c r="R244" s="1426" t="s">
        <v>2259</v>
      </c>
      <c r="S244" s="1426" t="b">
        <v>1</v>
      </c>
      <c r="T244" s="1426" t="b">
        <v>1</v>
      </c>
      <c r="U244" s="1427" t="b">
        <v>0</v>
      </c>
      <c r="V244" s="1427"/>
      <c r="W244" s="1426" t="s">
        <v>2270</v>
      </c>
      <c r="X244" s="1437" t="s">
        <v>2910</v>
      </c>
      <c r="Y244" s="1426" t="s">
        <v>113</v>
      </c>
    </row>
    <row r="245">
      <c r="A245" s="1419"/>
      <c r="B245" s="1429" t="b">
        <v>0</v>
      </c>
      <c r="C245" s="1429" t="b">
        <v>0</v>
      </c>
      <c r="D245" s="1429" t="b">
        <v>0</v>
      </c>
      <c r="E245" s="1428" t="b">
        <v>1</v>
      </c>
      <c r="F245" s="1429" t="b">
        <v>0</v>
      </c>
      <c r="G245" s="1429" t="b">
        <v>0</v>
      </c>
      <c r="H245" s="1429" t="b">
        <v>0</v>
      </c>
      <c r="I245" s="1429" t="b">
        <v>0</v>
      </c>
      <c r="J245" s="1429" t="b">
        <v>0</v>
      </c>
      <c r="K245" s="1430" t="s">
        <v>2195</v>
      </c>
      <c r="L245" s="1431" t="s">
        <v>2911</v>
      </c>
      <c r="M245" s="1432">
        <v>2.0</v>
      </c>
      <c r="N245" s="1432" t="s">
        <v>2252</v>
      </c>
      <c r="O245" s="1438" t="b">
        <v>1</v>
      </c>
      <c r="P245" s="1433" t="b">
        <v>0</v>
      </c>
      <c r="Q245" s="1434" t="s">
        <v>2253</v>
      </c>
      <c r="R245" s="1434" t="s">
        <v>2287</v>
      </c>
      <c r="S245" s="1434" t="b">
        <v>1</v>
      </c>
      <c r="T245" s="1434" t="b">
        <v>1</v>
      </c>
      <c r="U245" s="1434" t="b">
        <v>1</v>
      </c>
      <c r="V245" s="1434" t="s">
        <v>2912</v>
      </c>
      <c r="W245" s="1434" t="s">
        <v>2270</v>
      </c>
      <c r="X245" s="1435" t="s">
        <v>2913</v>
      </c>
      <c r="Y245" s="1434" t="s">
        <v>113</v>
      </c>
    </row>
    <row r="246">
      <c r="A246" s="1419"/>
      <c r="B246" s="1420" t="b">
        <v>1</v>
      </c>
      <c r="C246" s="1421" t="b">
        <v>0</v>
      </c>
      <c r="D246" s="1421" t="b">
        <v>0</v>
      </c>
      <c r="E246" s="1421" t="b">
        <v>0</v>
      </c>
      <c r="F246" s="1421" t="b">
        <v>0</v>
      </c>
      <c r="G246" s="1421" t="b">
        <v>0</v>
      </c>
      <c r="H246" s="1421" t="b">
        <v>0</v>
      </c>
      <c r="I246" s="1421" t="b">
        <v>0</v>
      </c>
      <c r="J246" s="1420" t="b">
        <v>1</v>
      </c>
      <c r="K246" s="1422" t="s">
        <v>2124</v>
      </c>
      <c r="L246" s="1423" t="s">
        <v>2914</v>
      </c>
      <c r="M246" s="1424">
        <v>4.0</v>
      </c>
      <c r="N246" s="1424" t="s">
        <v>2306</v>
      </c>
      <c r="O246" s="1425" t="b">
        <v>0</v>
      </c>
      <c r="P246" s="1425" t="b">
        <v>0</v>
      </c>
      <c r="Q246" s="1426" t="s">
        <v>2253</v>
      </c>
      <c r="R246" s="1426" t="s">
        <v>2259</v>
      </c>
      <c r="S246" s="1426" t="b">
        <v>1</v>
      </c>
      <c r="T246" s="1426" t="b">
        <v>1</v>
      </c>
      <c r="U246" s="1426" t="b">
        <v>1</v>
      </c>
      <c r="V246" s="1426" t="s">
        <v>2915</v>
      </c>
      <c r="W246" s="1426" t="s">
        <v>2261</v>
      </c>
      <c r="X246" s="1437" t="s">
        <v>2916</v>
      </c>
      <c r="Y246" s="1426" t="s">
        <v>113</v>
      </c>
    </row>
    <row r="247">
      <c r="A247" s="1419"/>
      <c r="B247" s="1428" t="b">
        <v>0</v>
      </c>
      <c r="C247" s="1428" t="b">
        <v>1</v>
      </c>
      <c r="D247" s="1429" t="b">
        <v>0</v>
      </c>
      <c r="E247" s="1429" t="b">
        <v>0</v>
      </c>
      <c r="F247" s="1429" t="b">
        <v>0</v>
      </c>
      <c r="G247" s="1429" t="b">
        <v>0</v>
      </c>
      <c r="H247" s="1429" t="b">
        <v>0</v>
      </c>
      <c r="I247" s="1429" t="b">
        <v>0</v>
      </c>
      <c r="J247" s="1428" t="b">
        <v>1</v>
      </c>
      <c r="K247" s="1430" t="s">
        <v>1964</v>
      </c>
      <c r="L247" s="1431" t="s">
        <v>2917</v>
      </c>
      <c r="M247" s="1432">
        <v>7.0</v>
      </c>
      <c r="N247" s="1432" t="s">
        <v>2306</v>
      </c>
      <c r="O247" s="1433" t="b">
        <v>0</v>
      </c>
      <c r="P247" s="1433" t="b">
        <v>0</v>
      </c>
      <c r="Q247" s="1434" t="s">
        <v>2264</v>
      </c>
      <c r="R247" s="1434" t="s">
        <v>2476</v>
      </c>
      <c r="S247" s="1434" t="b">
        <v>1</v>
      </c>
      <c r="T247" s="1434" t="b">
        <v>1</v>
      </c>
      <c r="U247" s="1434" t="b">
        <v>1</v>
      </c>
      <c r="V247" s="1434" t="s">
        <v>2918</v>
      </c>
      <c r="W247" s="1434" t="s">
        <v>2275</v>
      </c>
      <c r="X247" s="1435" t="s">
        <v>2919</v>
      </c>
      <c r="Y247" s="1434" t="s">
        <v>113</v>
      </c>
    </row>
    <row r="248">
      <c r="A248" s="1419"/>
      <c r="B248" s="1420" t="b">
        <v>1</v>
      </c>
      <c r="C248" s="1421" t="b">
        <v>0</v>
      </c>
      <c r="D248" s="1421" t="b">
        <v>0</v>
      </c>
      <c r="E248" s="1421" t="b">
        <v>0</v>
      </c>
      <c r="F248" s="1421" t="b">
        <v>0</v>
      </c>
      <c r="G248" s="1421" t="b">
        <v>0</v>
      </c>
      <c r="H248" s="1421" t="b">
        <v>0</v>
      </c>
      <c r="I248" s="1421" t="b">
        <v>0</v>
      </c>
      <c r="J248" s="1420" t="b">
        <v>1</v>
      </c>
      <c r="K248" s="1422" t="s">
        <v>2131</v>
      </c>
      <c r="L248" s="1423" t="s">
        <v>2920</v>
      </c>
      <c r="M248" s="1424">
        <v>4.0</v>
      </c>
      <c r="N248" s="1424" t="s">
        <v>2258</v>
      </c>
      <c r="O248" s="1425" t="b">
        <v>0</v>
      </c>
      <c r="P248" s="1425" t="b">
        <v>0</v>
      </c>
      <c r="Q248" s="1426" t="s">
        <v>2411</v>
      </c>
      <c r="R248" s="1426" t="s">
        <v>2287</v>
      </c>
      <c r="S248" s="1426" t="b">
        <v>1</v>
      </c>
      <c r="T248" s="1426" t="b">
        <v>1</v>
      </c>
      <c r="U248" s="1426" t="b">
        <v>1</v>
      </c>
      <c r="V248" s="1426" t="s">
        <v>2921</v>
      </c>
      <c r="W248" s="1426" t="s">
        <v>2275</v>
      </c>
      <c r="X248" s="1437" t="s">
        <v>2922</v>
      </c>
      <c r="Y248" s="1426" t="s">
        <v>113</v>
      </c>
    </row>
    <row r="249">
      <c r="A249" s="1419"/>
      <c r="B249" s="1428" t="b">
        <v>0</v>
      </c>
      <c r="C249" s="1428" t="b">
        <v>1</v>
      </c>
      <c r="D249" s="1429" t="b">
        <v>0</v>
      </c>
      <c r="E249" s="1429" t="b">
        <v>0</v>
      </c>
      <c r="F249" s="1429" t="b">
        <v>0</v>
      </c>
      <c r="G249" s="1429" t="b">
        <v>0</v>
      </c>
      <c r="H249" s="1429" t="b">
        <v>0</v>
      </c>
      <c r="I249" s="1429" t="b">
        <v>0</v>
      </c>
      <c r="J249" s="1428" t="b">
        <v>1</v>
      </c>
      <c r="K249" s="1430" t="s">
        <v>1974</v>
      </c>
      <c r="L249" s="1431" t="s">
        <v>2923</v>
      </c>
      <c r="M249" s="1432">
        <v>7.0</v>
      </c>
      <c r="N249" s="1432" t="s">
        <v>2252</v>
      </c>
      <c r="O249" s="1438" t="b">
        <v>1</v>
      </c>
      <c r="P249" s="1433" t="b">
        <v>0</v>
      </c>
      <c r="Q249" s="1434" t="s">
        <v>2253</v>
      </c>
      <c r="R249" s="1434" t="s">
        <v>2368</v>
      </c>
      <c r="S249" s="1434" t="b">
        <v>1</v>
      </c>
      <c r="T249" s="1434" t="b">
        <v>1</v>
      </c>
      <c r="U249" s="1434" t="b">
        <v>1</v>
      </c>
      <c r="V249" s="1434" t="s">
        <v>2924</v>
      </c>
      <c r="W249" s="1434" t="s">
        <v>2264</v>
      </c>
      <c r="X249" s="1435" t="s">
        <v>2925</v>
      </c>
      <c r="Y249" s="1434" t="s">
        <v>113</v>
      </c>
    </row>
    <row r="250">
      <c r="A250" s="1419"/>
      <c r="B250" s="1420" t="b">
        <v>0</v>
      </c>
      <c r="C250" s="1421" t="b">
        <v>0</v>
      </c>
      <c r="D250" s="1421" t="b">
        <v>0</v>
      </c>
      <c r="E250" s="1420" t="b">
        <v>1</v>
      </c>
      <c r="F250" s="1421" t="b">
        <v>0</v>
      </c>
      <c r="G250" s="1421" t="b">
        <v>0</v>
      </c>
      <c r="H250" s="1420" t="b">
        <v>1</v>
      </c>
      <c r="I250" s="1421" t="b">
        <v>0</v>
      </c>
      <c r="J250" s="1420" t="b">
        <v>1</v>
      </c>
      <c r="K250" s="1422" t="s">
        <v>2073</v>
      </c>
      <c r="L250" s="1423" t="s">
        <v>2926</v>
      </c>
      <c r="M250" s="1424">
        <v>6.0</v>
      </c>
      <c r="N250" s="1424" t="s">
        <v>2268</v>
      </c>
      <c r="O250" s="1436" t="b">
        <v>1</v>
      </c>
      <c r="P250" s="1425" t="b">
        <v>0</v>
      </c>
      <c r="Q250" s="1426" t="s">
        <v>2253</v>
      </c>
      <c r="R250" s="1426" t="s">
        <v>2287</v>
      </c>
      <c r="S250" s="1426" t="b">
        <v>1</v>
      </c>
      <c r="T250" s="1426" t="b">
        <v>1</v>
      </c>
      <c r="U250" s="1426" t="b">
        <v>1</v>
      </c>
      <c r="V250" s="1426" t="s">
        <v>2927</v>
      </c>
      <c r="W250" s="1426" t="s">
        <v>2928</v>
      </c>
      <c r="X250" s="1437" t="s">
        <v>2929</v>
      </c>
      <c r="Y250" s="1426" t="s">
        <v>113</v>
      </c>
    </row>
    <row r="251">
      <c r="A251" s="1419"/>
      <c r="B251" s="1428" t="b">
        <v>0</v>
      </c>
      <c r="C251" s="1428" t="b">
        <v>1</v>
      </c>
      <c r="D251" s="1429" t="b">
        <v>0</v>
      </c>
      <c r="E251" s="1429" t="b">
        <v>0</v>
      </c>
      <c r="F251" s="1429" t="b">
        <v>0</v>
      </c>
      <c r="G251" s="1428" t="b">
        <v>1</v>
      </c>
      <c r="H251" s="1429" t="b">
        <v>0</v>
      </c>
      <c r="I251" s="1429" t="b">
        <v>0</v>
      </c>
      <c r="J251" s="1428" t="b">
        <v>1</v>
      </c>
      <c r="K251" s="1430" t="s">
        <v>2150</v>
      </c>
      <c r="L251" s="1431" t="s">
        <v>2930</v>
      </c>
      <c r="M251" s="1432">
        <v>3.0</v>
      </c>
      <c r="N251" s="1432" t="s">
        <v>2258</v>
      </c>
      <c r="O251" s="1433" t="b">
        <v>0</v>
      </c>
      <c r="P251" s="1433" t="b">
        <v>0</v>
      </c>
      <c r="Q251" s="1434" t="s">
        <v>2253</v>
      </c>
      <c r="R251" s="1434" t="s">
        <v>2311</v>
      </c>
      <c r="S251" s="1434" t="b">
        <v>1</v>
      </c>
      <c r="T251" s="1434" t="b">
        <v>1</v>
      </c>
      <c r="U251" s="1434" t="b">
        <v>1</v>
      </c>
      <c r="V251" s="1434" t="s">
        <v>2931</v>
      </c>
      <c r="W251" s="1434" t="s">
        <v>2261</v>
      </c>
      <c r="X251" s="1435" t="s">
        <v>2932</v>
      </c>
      <c r="Y251" s="1434" t="s">
        <v>113</v>
      </c>
    </row>
    <row r="252">
      <c r="A252" s="1419"/>
      <c r="B252" s="1420" t="b">
        <v>0</v>
      </c>
      <c r="C252" s="1421" t="b">
        <v>0</v>
      </c>
      <c r="D252" s="1421" t="b">
        <v>0</v>
      </c>
      <c r="E252" s="1421" t="b">
        <v>0</v>
      </c>
      <c r="F252" s="1421" t="b">
        <v>0</v>
      </c>
      <c r="G252" s="1421" t="b">
        <v>0</v>
      </c>
      <c r="H252" s="1421" t="b">
        <v>0</v>
      </c>
      <c r="I252" s="1421" t="b">
        <v>0</v>
      </c>
      <c r="J252" s="1420" t="b">
        <v>1</v>
      </c>
      <c r="K252" s="1422" t="s">
        <v>2198</v>
      </c>
      <c r="L252" s="1423" t="s">
        <v>2933</v>
      </c>
      <c r="M252" s="1424">
        <v>2.0</v>
      </c>
      <c r="N252" s="1424" t="s">
        <v>2385</v>
      </c>
      <c r="O252" s="1425" t="b">
        <v>0</v>
      </c>
      <c r="P252" s="1425" t="b">
        <v>0</v>
      </c>
      <c r="Q252" s="1426" t="s">
        <v>2253</v>
      </c>
      <c r="R252" s="1426" t="s">
        <v>2311</v>
      </c>
      <c r="S252" s="1426" t="b">
        <v>1</v>
      </c>
      <c r="T252" s="1426" t="b">
        <v>1</v>
      </c>
      <c r="U252" s="1426" t="b">
        <v>1</v>
      </c>
      <c r="V252" s="1426" t="s">
        <v>2934</v>
      </c>
      <c r="W252" s="1426" t="s">
        <v>2275</v>
      </c>
      <c r="X252" s="1437" t="s">
        <v>2935</v>
      </c>
      <c r="Y252" s="1426" t="s">
        <v>113</v>
      </c>
    </row>
    <row r="253">
      <c r="A253" s="1419"/>
      <c r="B253" s="1428" t="b">
        <v>0</v>
      </c>
      <c r="C253" s="1429" t="b">
        <v>0</v>
      </c>
      <c r="D253" s="1429" t="b">
        <v>0</v>
      </c>
      <c r="E253" s="1429" t="b">
        <v>0</v>
      </c>
      <c r="F253" s="1429" t="b">
        <v>0</v>
      </c>
      <c r="G253" s="1429" t="b">
        <v>0</v>
      </c>
      <c r="H253" s="1428" t="b">
        <v>1</v>
      </c>
      <c r="I253" s="1429" t="b">
        <v>0</v>
      </c>
      <c r="J253" s="1428" t="b">
        <v>1</v>
      </c>
      <c r="K253" s="1430" t="s">
        <v>2081</v>
      </c>
      <c r="L253" s="1431" t="s">
        <v>2936</v>
      </c>
      <c r="M253" s="1432">
        <v>6.0</v>
      </c>
      <c r="N253" s="1432" t="s">
        <v>2252</v>
      </c>
      <c r="O253" s="1433" t="b">
        <v>0</v>
      </c>
      <c r="P253" s="1433" t="b">
        <v>0</v>
      </c>
      <c r="Q253" s="1434" t="s">
        <v>2253</v>
      </c>
      <c r="R253" s="1434" t="s">
        <v>2476</v>
      </c>
      <c r="S253" s="1434" t="b">
        <v>1</v>
      </c>
      <c r="T253" s="1434" t="b">
        <v>1</v>
      </c>
      <c r="U253" s="1434" t="b">
        <v>1</v>
      </c>
      <c r="V253" s="1434" t="s">
        <v>2937</v>
      </c>
      <c r="W253" s="1434" t="s">
        <v>2255</v>
      </c>
      <c r="X253" s="1435" t="s">
        <v>2938</v>
      </c>
      <c r="Y253" s="1434" t="s">
        <v>113</v>
      </c>
    </row>
    <row r="254">
      <c r="A254" s="1419"/>
      <c r="B254" s="1420" t="b">
        <v>1</v>
      </c>
      <c r="C254" s="1421" t="b">
        <v>0</v>
      </c>
      <c r="D254" s="1421" t="b">
        <v>0</v>
      </c>
      <c r="E254" s="1421" t="b">
        <v>0</v>
      </c>
      <c r="F254" s="1421" t="b">
        <v>0</v>
      </c>
      <c r="G254" s="1421" t="b">
        <v>0</v>
      </c>
      <c r="H254" s="1421" t="b">
        <v>0</v>
      </c>
      <c r="I254" s="1421" t="b">
        <v>0</v>
      </c>
      <c r="J254" s="1420" t="b">
        <v>1</v>
      </c>
      <c r="K254" s="1422" t="s">
        <v>2137</v>
      </c>
      <c r="L254" s="1423" t="s">
        <v>2939</v>
      </c>
      <c r="M254" s="1424">
        <v>4.0</v>
      </c>
      <c r="N254" s="1424" t="s">
        <v>2258</v>
      </c>
      <c r="O254" s="1436" t="b">
        <v>1</v>
      </c>
      <c r="P254" s="1425" t="b">
        <v>0</v>
      </c>
      <c r="Q254" s="1426" t="s">
        <v>2253</v>
      </c>
      <c r="R254" s="1426" t="s">
        <v>2259</v>
      </c>
      <c r="S254" s="1426" t="b">
        <v>1</v>
      </c>
      <c r="T254" s="1426" t="b">
        <v>1</v>
      </c>
      <c r="U254" s="1426" t="b">
        <v>1</v>
      </c>
      <c r="V254" s="1426" t="s">
        <v>2940</v>
      </c>
      <c r="W254" s="1426" t="s">
        <v>2288</v>
      </c>
      <c r="X254" s="1437" t="s">
        <v>2941</v>
      </c>
      <c r="Y254" s="1426" t="s">
        <v>113</v>
      </c>
    </row>
    <row r="255">
      <c r="A255" s="1419"/>
      <c r="B255" s="1428" t="b">
        <v>0</v>
      </c>
      <c r="C255" s="1428" t="b">
        <v>1</v>
      </c>
      <c r="D255" s="1429" t="b">
        <v>0</v>
      </c>
      <c r="E255" s="1429" t="b">
        <v>0</v>
      </c>
      <c r="F255" s="1429" t="b">
        <v>0</v>
      </c>
      <c r="G255" s="1429" t="b">
        <v>0</v>
      </c>
      <c r="H255" s="1429" t="b">
        <v>0</v>
      </c>
      <c r="I255" s="1429" t="b">
        <v>0</v>
      </c>
      <c r="J255" s="1428" t="b">
        <v>1</v>
      </c>
      <c r="K255" s="1430" t="s">
        <v>2087</v>
      </c>
      <c r="L255" s="1431" t="s">
        <v>2942</v>
      </c>
      <c r="M255" s="1432">
        <v>6.0</v>
      </c>
      <c r="N255" s="1432" t="s">
        <v>2273</v>
      </c>
      <c r="O255" s="1438" t="b">
        <v>1</v>
      </c>
      <c r="P255" s="1433" t="b">
        <v>0</v>
      </c>
      <c r="Q255" s="1434" t="s">
        <v>2253</v>
      </c>
      <c r="R255" s="1434" t="s">
        <v>2259</v>
      </c>
      <c r="S255" s="1434" t="b">
        <v>1</v>
      </c>
      <c r="T255" s="1439" t="b">
        <v>0</v>
      </c>
      <c r="U255" s="1439" t="b">
        <v>0</v>
      </c>
      <c r="V255" s="1439"/>
      <c r="W255" s="1434" t="s">
        <v>2288</v>
      </c>
      <c r="X255" s="1435" t="s">
        <v>2943</v>
      </c>
      <c r="Y255" s="1434" t="s">
        <v>113</v>
      </c>
    </row>
    <row r="256">
      <c r="A256" s="1419"/>
      <c r="B256" s="1421" t="b">
        <v>0</v>
      </c>
      <c r="C256" s="1421" t="b">
        <v>0</v>
      </c>
      <c r="D256" s="1421" t="b">
        <v>0</v>
      </c>
      <c r="E256" s="1420" t="b">
        <v>1</v>
      </c>
      <c r="F256" s="1421" t="b">
        <v>0</v>
      </c>
      <c r="G256" s="1420" t="b">
        <v>1</v>
      </c>
      <c r="H256" s="1421" t="b">
        <v>0</v>
      </c>
      <c r="I256" s="1421" t="b">
        <v>0</v>
      </c>
      <c r="J256" s="1421" t="b">
        <v>0</v>
      </c>
      <c r="K256" s="1422" t="s">
        <v>2202</v>
      </c>
      <c r="L256" s="1423" t="s">
        <v>2944</v>
      </c>
      <c r="M256" s="1424">
        <v>2.0</v>
      </c>
      <c r="N256" s="1424" t="s">
        <v>2258</v>
      </c>
      <c r="O256" s="1436" t="b">
        <v>1</v>
      </c>
      <c r="P256" s="1425" t="b">
        <v>0</v>
      </c>
      <c r="Q256" s="1426" t="s">
        <v>2253</v>
      </c>
      <c r="R256" s="1426" t="s">
        <v>2269</v>
      </c>
      <c r="S256" s="1426" t="b">
        <v>1</v>
      </c>
      <c r="T256" s="1426" t="b">
        <v>1</v>
      </c>
      <c r="U256" s="1426" t="b">
        <v>1</v>
      </c>
      <c r="V256" s="1426" t="s">
        <v>2945</v>
      </c>
      <c r="W256" s="1426" t="s">
        <v>2270</v>
      </c>
      <c r="X256" s="1437" t="s">
        <v>2946</v>
      </c>
      <c r="Y256" s="1426" t="s">
        <v>113</v>
      </c>
    </row>
    <row r="257">
      <c r="A257" s="1419"/>
      <c r="B257" s="1428" t="b">
        <v>0</v>
      </c>
      <c r="C257" s="1429" t="b">
        <v>0</v>
      </c>
      <c r="D257" s="1429" t="b">
        <v>0</v>
      </c>
      <c r="E257" s="1429" t="b">
        <v>0</v>
      </c>
      <c r="F257" s="1429" t="b">
        <v>0</v>
      </c>
      <c r="G257" s="1429" t="b">
        <v>0</v>
      </c>
      <c r="H257" s="1429" t="b">
        <v>0</v>
      </c>
      <c r="I257" s="1429" t="b">
        <v>0</v>
      </c>
      <c r="J257" s="1428" t="b">
        <v>1</v>
      </c>
      <c r="K257" s="1430" t="s">
        <v>2138</v>
      </c>
      <c r="L257" s="1431" t="s">
        <v>2947</v>
      </c>
      <c r="M257" s="1432">
        <v>5.0</v>
      </c>
      <c r="N257" s="1432" t="s">
        <v>2268</v>
      </c>
      <c r="O257" s="1433" t="b">
        <v>0</v>
      </c>
      <c r="P257" s="1433" t="b">
        <v>0</v>
      </c>
      <c r="Q257" s="1434" t="s">
        <v>2253</v>
      </c>
      <c r="R257" s="1434" t="s">
        <v>2259</v>
      </c>
      <c r="S257" s="1434" t="b">
        <v>1</v>
      </c>
      <c r="T257" s="1434" t="b">
        <v>1</v>
      </c>
      <c r="U257" s="1434" t="b">
        <v>1</v>
      </c>
      <c r="V257" s="1434" t="s">
        <v>2948</v>
      </c>
      <c r="W257" s="1434" t="s">
        <v>2297</v>
      </c>
      <c r="X257" s="1435" t="s">
        <v>2949</v>
      </c>
      <c r="Y257" s="1434" t="s">
        <v>113</v>
      </c>
    </row>
    <row r="258">
      <c r="A258" s="1419"/>
      <c r="B258" s="1420" t="b">
        <v>0</v>
      </c>
      <c r="C258" s="1420" t="b">
        <v>1</v>
      </c>
      <c r="D258" s="1421" t="b">
        <v>0</v>
      </c>
      <c r="E258" s="1421" t="b">
        <v>0</v>
      </c>
      <c r="F258" s="1421" t="b">
        <v>0</v>
      </c>
      <c r="G258" s="1421" t="b">
        <v>0</v>
      </c>
      <c r="H258" s="1420" t="b">
        <v>1</v>
      </c>
      <c r="I258" s="1421" t="b">
        <v>0</v>
      </c>
      <c r="J258" s="1420" t="b">
        <v>1</v>
      </c>
      <c r="K258" s="1422" t="s">
        <v>2205</v>
      </c>
      <c r="L258" s="1423" t="s">
        <v>2950</v>
      </c>
      <c r="M258" s="1424">
        <v>2.0</v>
      </c>
      <c r="N258" s="1424" t="s">
        <v>2385</v>
      </c>
      <c r="O258" s="1436" t="b">
        <v>1</v>
      </c>
      <c r="P258" s="1425" t="b">
        <v>0</v>
      </c>
      <c r="Q258" s="1426" t="s">
        <v>2253</v>
      </c>
      <c r="R258" s="1426" t="s">
        <v>2254</v>
      </c>
      <c r="S258" s="1426" t="b">
        <v>1</v>
      </c>
      <c r="T258" s="1426" t="b">
        <v>1</v>
      </c>
      <c r="U258" s="1426" t="b">
        <v>1</v>
      </c>
      <c r="V258" s="1426" t="s">
        <v>2951</v>
      </c>
      <c r="W258" s="1426" t="s">
        <v>2288</v>
      </c>
      <c r="X258" s="1437" t="s">
        <v>2952</v>
      </c>
      <c r="Y258" s="1426" t="s">
        <v>113</v>
      </c>
    </row>
    <row r="259">
      <c r="A259" s="1419"/>
      <c r="B259" s="1428" t="b">
        <v>0</v>
      </c>
      <c r="C259" s="1428" t="b">
        <v>1</v>
      </c>
      <c r="D259" s="1429" t="b">
        <v>0</v>
      </c>
      <c r="E259" s="1429" t="b">
        <v>0</v>
      </c>
      <c r="F259" s="1429" t="b">
        <v>0</v>
      </c>
      <c r="G259" s="1429" t="b">
        <v>0</v>
      </c>
      <c r="H259" s="1429" t="b">
        <v>0</v>
      </c>
      <c r="I259" s="1429" t="b">
        <v>0</v>
      </c>
      <c r="J259" s="1428" t="b">
        <v>1</v>
      </c>
      <c r="K259" s="1430" t="s">
        <v>2144</v>
      </c>
      <c r="L259" s="1431" t="s">
        <v>2953</v>
      </c>
      <c r="M259" s="1432">
        <v>4.0</v>
      </c>
      <c r="N259" s="1432" t="s">
        <v>2385</v>
      </c>
      <c r="O259" s="1438" t="b">
        <v>1</v>
      </c>
      <c r="P259" s="1433" t="b">
        <v>0</v>
      </c>
      <c r="Q259" s="1434" t="s">
        <v>2253</v>
      </c>
      <c r="R259" s="1434" t="s">
        <v>2287</v>
      </c>
      <c r="S259" s="1434" t="b">
        <v>1</v>
      </c>
      <c r="T259" s="1434" t="b">
        <v>1</v>
      </c>
      <c r="U259" s="1439" t="b">
        <v>0</v>
      </c>
      <c r="V259" s="1439"/>
      <c r="W259" s="1434" t="s">
        <v>2288</v>
      </c>
      <c r="X259" s="1435" t="s">
        <v>2954</v>
      </c>
      <c r="Y259" s="1434" t="s">
        <v>113</v>
      </c>
    </row>
    <row r="260">
      <c r="A260" s="1419"/>
      <c r="B260" s="1420" t="b">
        <v>0</v>
      </c>
      <c r="C260" s="1421" t="b">
        <v>0</v>
      </c>
      <c r="D260" s="1421" t="b">
        <v>0</v>
      </c>
      <c r="E260" s="1421" t="b">
        <v>0</v>
      </c>
      <c r="F260" s="1421" t="b">
        <v>0</v>
      </c>
      <c r="G260" s="1421" t="b">
        <v>0</v>
      </c>
      <c r="H260" s="1421" t="b">
        <v>0</v>
      </c>
      <c r="I260" s="1421" t="b">
        <v>0</v>
      </c>
      <c r="J260" s="1420" t="b">
        <v>1</v>
      </c>
      <c r="K260" s="1422" t="s">
        <v>2157</v>
      </c>
      <c r="L260" s="1423" t="s">
        <v>2955</v>
      </c>
      <c r="M260" s="1424">
        <v>3.0</v>
      </c>
      <c r="N260" s="1424" t="s">
        <v>2385</v>
      </c>
      <c r="O260" s="1425" t="b">
        <v>0</v>
      </c>
      <c r="P260" s="1436" t="b">
        <v>1</v>
      </c>
      <c r="Q260" s="1426" t="s">
        <v>2264</v>
      </c>
      <c r="R260" s="1426" t="s">
        <v>2259</v>
      </c>
      <c r="S260" s="1426" t="b">
        <v>1</v>
      </c>
      <c r="T260" s="1426" t="b">
        <v>1</v>
      </c>
      <c r="U260" s="1427" t="b">
        <v>0</v>
      </c>
      <c r="V260" s="1427"/>
      <c r="W260" s="1426" t="s">
        <v>2297</v>
      </c>
      <c r="X260" s="1437" t="s">
        <v>2956</v>
      </c>
      <c r="Y260" s="1426" t="s">
        <v>113</v>
      </c>
    </row>
    <row r="261">
      <c r="A261" s="1419"/>
      <c r="B261" s="1429" t="b">
        <v>0</v>
      </c>
      <c r="C261" s="1429" t="b">
        <v>0</v>
      </c>
      <c r="D261" s="1428" t="b">
        <v>1</v>
      </c>
      <c r="E261" s="1429" t="b">
        <v>0</v>
      </c>
      <c r="F261" s="1429" t="b">
        <v>0</v>
      </c>
      <c r="G261" s="1429" t="b">
        <v>0</v>
      </c>
      <c r="H261" s="1429" t="b">
        <v>0</v>
      </c>
      <c r="I261" s="1429" t="b">
        <v>0</v>
      </c>
      <c r="J261" s="1429" t="b">
        <v>0</v>
      </c>
      <c r="K261" s="1430" t="s">
        <v>2093</v>
      </c>
      <c r="L261" s="1431" t="s">
        <v>2957</v>
      </c>
      <c r="M261" s="1432">
        <v>6.0</v>
      </c>
      <c r="N261" s="1432" t="s">
        <v>2306</v>
      </c>
      <c r="O261" s="1433" t="b">
        <v>0</v>
      </c>
      <c r="P261" s="1433" t="b">
        <v>0</v>
      </c>
      <c r="Q261" s="1434" t="s">
        <v>2411</v>
      </c>
      <c r="R261" s="1434" t="s">
        <v>2254</v>
      </c>
      <c r="S261" s="1434" t="b">
        <v>1</v>
      </c>
      <c r="T261" s="1434" t="b">
        <v>1</v>
      </c>
      <c r="U261" s="1439" t="b">
        <v>0</v>
      </c>
      <c r="V261" s="1439"/>
      <c r="W261" s="1434" t="s">
        <v>2255</v>
      </c>
      <c r="X261" s="1435" t="s">
        <v>2958</v>
      </c>
      <c r="Y261" s="1434" t="s">
        <v>113</v>
      </c>
    </row>
    <row r="262">
      <c r="A262" s="1419"/>
      <c r="B262" s="1421" t="b">
        <v>0</v>
      </c>
      <c r="C262" s="1421" t="b">
        <v>0</v>
      </c>
      <c r="D262" s="1420" t="b">
        <v>1</v>
      </c>
      <c r="E262" s="1421" t="b">
        <v>0</v>
      </c>
      <c r="F262" s="1421" t="b">
        <v>0</v>
      </c>
      <c r="G262" s="1421" t="b">
        <v>0</v>
      </c>
      <c r="H262" s="1421" t="b">
        <v>0</v>
      </c>
      <c r="I262" s="1421" t="b">
        <v>0</v>
      </c>
      <c r="J262" s="1421" t="b">
        <v>0</v>
      </c>
      <c r="K262" s="1422" t="s">
        <v>2145</v>
      </c>
      <c r="L262" s="1423" t="s">
        <v>2959</v>
      </c>
      <c r="M262" s="1424">
        <v>5.0</v>
      </c>
      <c r="N262" s="1424" t="s">
        <v>2306</v>
      </c>
      <c r="O262" s="1425" t="b">
        <v>0</v>
      </c>
      <c r="P262" s="1425" t="b">
        <v>0</v>
      </c>
      <c r="Q262" s="1426" t="s">
        <v>2297</v>
      </c>
      <c r="R262" s="1426" t="s">
        <v>2254</v>
      </c>
      <c r="S262" s="1426" t="b">
        <v>1</v>
      </c>
      <c r="T262" s="1426" t="b">
        <v>1</v>
      </c>
      <c r="U262" s="1426" t="b">
        <v>1</v>
      </c>
      <c r="V262" s="1426" t="s">
        <v>2960</v>
      </c>
      <c r="W262" s="1426" t="s">
        <v>2275</v>
      </c>
      <c r="X262" s="1437" t="s">
        <v>2961</v>
      </c>
      <c r="Y262" s="1426" t="s">
        <v>113</v>
      </c>
    </row>
    <row r="263">
      <c r="A263" s="1419"/>
      <c r="B263" s="1428" t="b">
        <v>0</v>
      </c>
      <c r="C263" s="1429" t="b">
        <v>0</v>
      </c>
      <c r="D263" s="1428" t="b">
        <v>1</v>
      </c>
      <c r="E263" s="1428" t="b">
        <v>1</v>
      </c>
      <c r="F263" s="1429" t="b">
        <v>0</v>
      </c>
      <c r="G263" s="1429" t="b">
        <v>0</v>
      </c>
      <c r="H263" s="1428" t="b">
        <v>1</v>
      </c>
      <c r="I263" s="1428" t="b">
        <v>1</v>
      </c>
      <c r="J263" s="1428" t="b">
        <v>1</v>
      </c>
      <c r="K263" s="1430" t="s">
        <v>1983</v>
      </c>
      <c r="L263" s="1431" t="s">
        <v>2962</v>
      </c>
      <c r="M263" s="1432">
        <v>7.0</v>
      </c>
      <c r="N263" s="1432" t="s">
        <v>2306</v>
      </c>
      <c r="O263" s="1433" t="b">
        <v>0</v>
      </c>
      <c r="P263" s="1433" t="b">
        <v>0</v>
      </c>
      <c r="Q263" s="1434" t="s">
        <v>2253</v>
      </c>
      <c r="R263" s="1434" t="s">
        <v>2311</v>
      </c>
      <c r="S263" s="1434" t="b">
        <v>1</v>
      </c>
      <c r="T263" s="1434" t="b">
        <v>1</v>
      </c>
      <c r="U263" s="1434" t="b">
        <v>1</v>
      </c>
      <c r="V263" s="1434" t="s">
        <v>2963</v>
      </c>
      <c r="W263" s="1434" t="s">
        <v>2255</v>
      </c>
      <c r="X263" s="1435" t="s">
        <v>2964</v>
      </c>
      <c r="Y263" s="1434" t="s">
        <v>113</v>
      </c>
    </row>
    <row r="264">
      <c r="A264" s="1419"/>
      <c r="B264" s="1421" t="b">
        <v>0</v>
      </c>
      <c r="C264" s="1420" t="b">
        <v>1</v>
      </c>
      <c r="D264" s="1421" t="b">
        <v>0</v>
      </c>
      <c r="E264" s="1420" t="b">
        <v>1</v>
      </c>
      <c r="F264" s="1421" t="b">
        <v>0</v>
      </c>
      <c r="G264" s="1420" t="b">
        <v>1</v>
      </c>
      <c r="H264" s="1421" t="b">
        <v>0</v>
      </c>
      <c r="I264" s="1421" t="b">
        <v>0</v>
      </c>
      <c r="J264" s="1421" t="b">
        <v>0</v>
      </c>
      <c r="K264" s="1422" t="s">
        <v>2163</v>
      </c>
      <c r="L264" s="1423" t="s">
        <v>2965</v>
      </c>
      <c r="M264" s="1424">
        <v>3.0</v>
      </c>
      <c r="N264" s="1424" t="s">
        <v>2268</v>
      </c>
      <c r="O264" s="1425" t="b">
        <v>0</v>
      </c>
      <c r="P264" s="1425" t="b">
        <v>0</v>
      </c>
      <c r="Q264" s="1426" t="s">
        <v>2966</v>
      </c>
      <c r="R264" s="1426" t="s">
        <v>2359</v>
      </c>
      <c r="S264" s="1426" t="b">
        <v>1</v>
      </c>
      <c r="T264" s="1426" t="b">
        <v>1</v>
      </c>
      <c r="U264" s="1427" t="b">
        <v>0</v>
      </c>
      <c r="V264" s="1427"/>
      <c r="W264" s="1426" t="s">
        <v>2255</v>
      </c>
      <c r="X264" s="1437" t="s">
        <v>2967</v>
      </c>
      <c r="Y264" s="1426" t="s">
        <v>113</v>
      </c>
    </row>
    <row r="265">
      <c r="A265" s="1419"/>
      <c r="B265" s="1428" t="b">
        <v>1</v>
      </c>
      <c r="C265" s="1429" t="b">
        <v>0</v>
      </c>
      <c r="D265" s="1429" t="b">
        <v>0</v>
      </c>
      <c r="E265" s="1428" t="b">
        <v>1</v>
      </c>
      <c r="F265" s="1429" t="b">
        <v>0</v>
      </c>
      <c r="G265" s="1429" t="b">
        <v>0</v>
      </c>
      <c r="H265" s="1428" t="b">
        <v>1</v>
      </c>
      <c r="I265" s="1428" t="b">
        <v>1</v>
      </c>
      <c r="J265" s="1428" t="b">
        <v>1</v>
      </c>
      <c r="K265" s="1430" t="s">
        <v>1852</v>
      </c>
      <c r="L265" s="1431" t="s">
        <v>2968</v>
      </c>
      <c r="M265" s="1432">
        <v>0.0</v>
      </c>
      <c r="N265" s="1432" t="s">
        <v>2282</v>
      </c>
      <c r="O265" s="1433" t="b">
        <v>0</v>
      </c>
      <c r="P265" s="1433" t="b">
        <v>0</v>
      </c>
      <c r="Q265" s="1434" t="s">
        <v>2253</v>
      </c>
      <c r="R265" s="1434" t="s">
        <v>2259</v>
      </c>
      <c r="S265" s="1434" t="b">
        <v>1</v>
      </c>
      <c r="T265" s="1434" t="b">
        <v>1</v>
      </c>
      <c r="U265" s="1439" t="b">
        <v>0</v>
      </c>
      <c r="V265" s="1439"/>
      <c r="W265" s="1434" t="s">
        <v>2255</v>
      </c>
      <c r="X265" s="1435" t="s">
        <v>2969</v>
      </c>
      <c r="Y265" s="1434" t="s">
        <v>113</v>
      </c>
    </row>
    <row r="266">
      <c r="A266" s="1419"/>
      <c r="B266" s="1420" t="b">
        <v>0</v>
      </c>
      <c r="C266" s="1420" t="b">
        <v>1</v>
      </c>
      <c r="D266" s="1421" t="b">
        <v>0</v>
      </c>
      <c r="E266" s="1420" t="b">
        <v>1</v>
      </c>
      <c r="F266" s="1421" t="b">
        <v>0</v>
      </c>
      <c r="G266" s="1421" t="b">
        <v>0</v>
      </c>
      <c r="H266" s="1420" t="b">
        <v>1</v>
      </c>
      <c r="I266" s="1421" t="b">
        <v>0</v>
      </c>
      <c r="J266" s="1420" t="b">
        <v>1</v>
      </c>
      <c r="K266" s="1422" t="s">
        <v>2151</v>
      </c>
      <c r="L266" s="1423" t="s">
        <v>2970</v>
      </c>
      <c r="M266" s="1424">
        <v>4.0</v>
      </c>
      <c r="N266" s="1424" t="s">
        <v>2268</v>
      </c>
      <c r="O266" s="1436" t="b">
        <v>1</v>
      </c>
      <c r="P266" s="1425" t="b">
        <v>0</v>
      </c>
      <c r="Q266" s="1426" t="s">
        <v>2253</v>
      </c>
      <c r="R266" s="1426" t="s">
        <v>2254</v>
      </c>
      <c r="S266" s="1426" t="b">
        <v>1</v>
      </c>
      <c r="T266" s="1426" t="b">
        <v>1</v>
      </c>
      <c r="U266" s="1426" t="b">
        <v>1</v>
      </c>
      <c r="V266" s="1427"/>
      <c r="W266" s="1426" t="s">
        <v>2270</v>
      </c>
      <c r="X266" s="1437" t="s">
        <v>2971</v>
      </c>
      <c r="Y266" s="1426" t="s">
        <v>113</v>
      </c>
    </row>
    <row r="267">
      <c r="A267" s="1440" t="s">
        <v>2461</v>
      </c>
      <c r="B267" s="1429" t="b">
        <v>0</v>
      </c>
      <c r="C267" s="1428" t="b">
        <v>1</v>
      </c>
      <c r="D267" s="1428" t="b">
        <v>1</v>
      </c>
      <c r="E267" s="1429" t="b">
        <v>0</v>
      </c>
      <c r="F267" s="1429" t="b">
        <v>0</v>
      </c>
      <c r="G267" s="1429" t="b">
        <v>0</v>
      </c>
      <c r="H267" s="1429" t="b">
        <v>0</v>
      </c>
      <c r="I267" s="1429" t="b">
        <v>0</v>
      </c>
      <c r="J267" s="1429" t="b">
        <v>0</v>
      </c>
      <c r="K267" s="1430" t="s">
        <v>1993</v>
      </c>
      <c r="L267" s="1431" t="s">
        <v>2972</v>
      </c>
      <c r="M267" s="1432">
        <v>7.0</v>
      </c>
      <c r="N267" s="1432" t="s">
        <v>2273</v>
      </c>
      <c r="O267" s="1433" t="b">
        <v>0</v>
      </c>
      <c r="P267" s="1433" t="b">
        <v>0</v>
      </c>
      <c r="Q267" s="1434" t="s">
        <v>2253</v>
      </c>
      <c r="R267" s="1434" t="s">
        <v>2254</v>
      </c>
      <c r="S267" s="1434" t="b">
        <v>1</v>
      </c>
      <c r="T267" s="1439" t="b">
        <v>0</v>
      </c>
      <c r="U267" s="1439" t="b">
        <v>0</v>
      </c>
      <c r="V267" s="1439"/>
      <c r="W267" s="1434" t="s">
        <v>2255</v>
      </c>
      <c r="X267" s="1435" t="s">
        <v>2973</v>
      </c>
      <c r="Y267" s="1434" t="s">
        <v>113</v>
      </c>
    </row>
    <row r="268">
      <c r="A268" s="1440" t="s">
        <v>2461</v>
      </c>
      <c r="B268" s="1421" t="b">
        <v>0</v>
      </c>
      <c r="C268" s="1420" t="b">
        <v>1</v>
      </c>
      <c r="D268" s="1420" t="b">
        <v>1</v>
      </c>
      <c r="E268" s="1421" t="b">
        <v>0</v>
      </c>
      <c r="F268" s="1421" t="b">
        <v>0</v>
      </c>
      <c r="G268" s="1421" t="b">
        <v>0</v>
      </c>
      <c r="H268" s="1421" t="b">
        <v>0</v>
      </c>
      <c r="I268" s="1421" t="b">
        <v>0</v>
      </c>
      <c r="J268" s="1421" t="b">
        <v>0</v>
      </c>
      <c r="K268" s="1422" t="s">
        <v>1946</v>
      </c>
      <c r="L268" s="1423" t="s">
        <v>2974</v>
      </c>
      <c r="M268" s="1424">
        <v>9.0</v>
      </c>
      <c r="N268" s="1424" t="s">
        <v>2273</v>
      </c>
      <c r="O268" s="1425" t="b">
        <v>0</v>
      </c>
      <c r="P268" s="1425" t="b">
        <v>0</v>
      </c>
      <c r="Q268" s="1426" t="s">
        <v>2253</v>
      </c>
      <c r="R268" s="1426" t="s">
        <v>2254</v>
      </c>
      <c r="S268" s="1426" t="b">
        <v>1</v>
      </c>
      <c r="T268" s="1427" t="b">
        <v>0</v>
      </c>
      <c r="U268" s="1427" t="b">
        <v>0</v>
      </c>
      <c r="V268" s="1427"/>
      <c r="W268" s="1426" t="s">
        <v>2255</v>
      </c>
      <c r="X268" s="1437" t="s">
        <v>2975</v>
      </c>
      <c r="Y268" s="1426" t="s">
        <v>113</v>
      </c>
    </row>
    <row r="269">
      <c r="A269" s="1440" t="s">
        <v>2461</v>
      </c>
      <c r="B269" s="1428" t="b">
        <v>0</v>
      </c>
      <c r="C269" s="1428" t="b">
        <v>1</v>
      </c>
      <c r="D269" s="1429" t="b">
        <v>0</v>
      </c>
      <c r="E269" s="1429" t="b">
        <v>0</v>
      </c>
      <c r="F269" s="1429" t="b">
        <v>0</v>
      </c>
      <c r="G269" s="1429" t="b">
        <v>0</v>
      </c>
      <c r="H269" s="1428" t="b">
        <v>1</v>
      </c>
      <c r="I269" s="1428" t="b">
        <v>1</v>
      </c>
      <c r="J269" s="1428" t="b">
        <v>1</v>
      </c>
      <c r="K269" s="1430" t="s">
        <v>1956</v>
      </c>
      <c r="L269" s="1431" t="s">
        <v>2976</v>
      </c>
      <c r="M269" s="1432">
        <v>9.0</v>
      </c>
      <c r="N269" s="1432" t="s">
        <v>2273</v>
      </c>
      <c r="O269" s="1433" t="b">
        <v>0</v>
      </c>
      <c r="P269" s="1433" t="b">
        <v>0</v>
      </c>
      <c r="Q269" s="1434" t="s">
        <v>2253</v>
      </c>
      <c r="R269" s="1434" t="s">
        <v>2254</v>
      </c>
      <c r="S269" s="1434" t="b">
        <v>1</v>
      </c>
      <c r="T269" s="1439" t="b">
        <v>0</v>
      </c>
      <c r="U269" s="1439" t="b">
        <v>0</v>
      </c>
      <c r="V269" s="1439"/>
      <c r="W269" s="1434" t="s">
        <v>2255</v>
      </c>
      <c r="X269" s="1435" t="s">
        <v>2977</v>
      </c>
      <c r="Y269" s="1434" t="s">
        <v>113</v>
      </c>
    </row>
    <row r="270">
      <c r="A270" s="1440" t="s">
        <v>2461</v>
      </c>
      <c r="B270" s="1420" t="b">
        <v>0</v>
      </c>
      <c r="C270" s="1420" t="b">
        <v>1</v>
      </c>
      <c r="D270" s="1421" t="b">
        <v>0</v>
      </c>
      <c r="E270" s="1421" t="b">
        <v>0</v>
      </c>
      <c r="F270" s="1421" t="b">
        <v>0</v>
      </c>
      <c r="G270" s="1421" t="b">
        <v>0</v>
      </c>
      <c r="H270" s="1420" t="b">
        <v>1</v>
      </c>
      <c r="I270" s="1420" t="b">
        <v>1</v>
      </c>
      <c r="J270" s="1420" t="b">
        <v>1</v>
      </c>
      <c r="K270" s="1422" t="s">
        <v>2024</v>
      </c>
      <c r="L270" s="1423" t="s">
        <v>2978</v>
      </c>
      <c r="M270" s="1424">
        <v>8.0</v>
      </c>
      <c r="N270" s="1424" t="s">
        <v>2273</v>
      </c>
      <c r="O270" s="1425" t="b">
        <v>0</v>
      </c>
      <c r="P270" s="1425" t="b">
        <v>0</v>
      </c>
      <c r="Q270" s="1426" t="s">
        <v>2253</v>
      </c>
      <c r="R270" s="1426" t="s">
        <v>2254</v>
      </c>
      <c r="S270" s="1426" t="b">
        <v>1</v>
      </c>
      <c r="T270" s="1427" t="b">
        <v>0</v>
      </c>
      <c r="U270" s="1427" t="b">
        <v>0</v>
      </c>
      <c r="V270" s="1427"/>
      <c r="W270" s="1426" t="s">
        <v>2255</v>
      </c>
      <c r="X270" s="1437" t="s">
        <v>2979</v>
      </c>
      <c r="Y270" s="1426" t="s">
        <v>113</v>
      </c>
    </row>
    <row r="271">
      <c r="A271" s="1419"/>
      <c r="B271" s="1429" t="b">
        <v>0</v>
      </c>
      <c r="C271" s="1429" t="b">
        <v>0</v>
      </c>
      <c r="D271" s="1428" t="b">
        <v>1</v>
      </c>
      <c r="E271" s="1429" t="b">
        <v>0</v>
      </c>
      <c r="F271" s="1428" t="b">
        <v>1</v>
      </c>
      <c r="G271" s="1429" t="b">
        <v>0</v>
      </c>
      <c r="H271" s="1429" t="b">
        <v>0</v>
      </c>
      <c r="I271" s="1429" t="b">
        <v>0</v>
      </c>
      <c r="J271" s="1429" t="b">
        <v>0</v>
      </c>
      <c r="K271" s="1430" t="s">
        <v>2208</v>
      </c>
      <c r="L271" s="1431" t="s">
        <v>2980</v>
      </c>
      <c r="M271" s="1432">
        <v>2.0</v>
      </c>
      <c r="N271" s="1432" t="s">
        <v>2258</v>
      </c>
      <c r="O271" s="1433" t="b">
        <v>0</v>
      </c>
      <c r="P271" s="1433" t="b">
        <v>0</v>
      </c>
      <c r="Q271" s="1434" t="s">
        <v>2411</v>
      </c>
      <c r="R271" s="1434" t="s">
        <v>2259</v>
      </c>
      <c r="S271" s="1434" t="b">
        <v>1</v>
      </c>
      <c r="T271" s="1439" t="b">
        <v>0</v>
      </c>
      <c r="U271" s="1439" t="b">
        <v>0</v>
      </c>
      <c r="V271" s="1439"/>
      <c r="W271" s="1434" t="s">
        <v>2255</v>
      </c>
      <c r="X271" s="1435" t="s">
        <v>2981</v>
      </c>
      <c r="Y271" s="1434" t="s">
        <v>113</v>
      </c>
    </row>
    <row r="272">
      <c r="A272" s="1419"/>
      <c r="B272" s="1420" t="b">
        <v>1</v>
      </c>
      <c r="C272" s="1420" t="b">
        <v>1</v>
      </c>
      <c r="D272" s="1421" t="b">
        <v>0</v>
      </c>
      <c r="E272" s="1421" t="b">
        <v>0</v>
      </c>
      <c r="F272" s="1421" t="b">
        <v>0</v>
      </c>
      <c r="G272" s="1421" t="b">
        <v>0</v>
      </c>
      <c r="H272" s="1420" t="b">
        <v>1</v>
      </c>
      <c r="I272" s="1420" t="b">
        <v>1</v>
      </c>
      <c r="J272" s="1420" t="b">
        <v>1</v>
      </c>
      <c r="K272" s="1422" t="s">
        <v>2044</v>
      </c>
      <c r="L272" s="1423" t="s">
        <v>2982</v>
      </c>
      <c r="M272" s="1424">
        <v>0.0</v>
      </c>
      <c r="N272" s="1424" t="s">
        <v>2268</v>
      </c>
      <c r="O272" s="1425" t="b">
        <v>0</v>
      </c>
      <c r="P272" s="1425" t="b">
        <v>0</v>
      </c>
      <c r="Q272" s="1426" t="s">
        <v>2253</v>
      </c>
      <c r="R272" s="1426" t="s">
        <v>2283</v>
      </c>
      <c r="S272" s="1426" t="b">
        <v>1</v>
      </c>
      <c r="T272" s="1426" t="b">
        <v>1</v>
      </c>
      <c r="U272" s="1427" t="b">
        <v>0</v>
      </c>
      <c r="V272" s="1427"/>
      <c r="W272" s="1426" t="s">
        <v>2270</v>
      </c>
      <c r="X272" s="1437" t="s">
        <v>2983</v>
      </c>
      <c r="Y272" s="1426" t="s">
        <v>113</v>
      </c>
    </row>
    <row r="273">
      <c r="A273" s="1419"/>
      <c r="B273" s="1428" t="b">
        <v>0</v>
      </c>
      <c r="C273" s="1428" t="b">
        <v>1</v>
      </c>
      <c r="D273" s="1429" t="b">
        <v>0</v>
      </c>
      <c r="E273" s="1429" t="b">
        <v>0</v>
      </c>
      <c r="F273" s="1429" t="b">
        <v>0</v>
      </c>
      <c r="G273" s="1429" t="b">
        <v>0</v>
      </c>
      <c r="H273" s="1428" t="b">
        <v>1</v>
      </c>
      <c r="I273" s="1429" t="b">
        <v>0</v>
      </c>
      <c r="J273" s="1428" t="b">
        <v>1</v>
      </c>
      <c r="K273" s="1430" t="s">
        <v>2003</v>
      </c>
      <c r="L273" s="1431" t="s">
        <v>2984</v>
      </c>
      <c r="M273" s="1432">
        <v>7.0</v>
      </c>
      <c r="N273" s="1432" t="s">
        <v>2252</v>
      </c>
      <c r="O273" s="1433" t="b">
        <v>0</v>
      </c>
      <c r="P273" s="1433" t="b">
        <v>0</v>
      </c>
      <c r="Q273" s="1434" t="s">
        <v>2253</v>
      </c>
      <c r="R273" s="1434" t="s">
        <v>2269</v>
      </c>
      <c r="S273" s="1434" t="b">
        <v>1</v>
      </c>
      <c r="T273" s="1434" t="b">
        <v>1</v>
      </c>
      <c r="U273" s="1439" t="b">
        <v>0</v>
      </c>
      <c r="V273" s="1439"/>
      <c r="W273" s="1434" t="s">
        <v>2255</v>
      </c>
      <c r="X273" s="1435" t="s">
        <v>2985</v>
      </c>
      <c r="Y273" s="1434" t="s">
        <v>113</v>
      </c>
    </row>
    <row r="274">
      <c r="A274" s="1419"/>
      <c r="B274" s="1420" t="b">
        <v>0</v>
      </c>
      <c r="C274" s="1420" t="b">
        <v>1</v>
      </c>
      <c r="D274" s="1421" t="b">
        <v>0</v>
      </c>
      <c r="E274" s="1421" t="b">
        <v>0</v>
      </c>
      <c r="F274" s="1421" t="b">
        <v>0</v>
      </c>
      <c r="G274" s="1421" t="b">
        <v>0</v>
      </c>
      <c r="H274" s="1421" t="b">
        <v>0</v>
      </c>
      <c r="I274" s="1421" t="b">
        <v>0</v>
      </c>
      <c r="J274" s="1420" t="b">
        <v>1</v>
      </c>
      <c r="K274" s="1422" t="s">
        <v>1966</v>
      </c>
      <c r="L274" s="1423" t="s">
        <v>2986</v>
      </c>
      <c r="M274" s="1424">
        <v>9.0</v>
      </c>
      <c r="N274" s="1424" t="s">
        <v>2258</v>
      </c>
      <c r="O274" s="1425" t="b">
        <v>0</v>
      </c>
      <c r="P274" s="1425" t="b">
        <v>0</v>
      </c>
      <c r="Q274" s="1426" t="s">
        <v>2253</v>
      </c>
      <c r="R274" s="1426" t="s">
        <v>2254</v>
      </c>
      <c r="S274" s="1426" t="b">
        <v>1</v>
      </c>
      <c r="T274" s="1426" t="b">
        <v>1</v>
      </c>
      <c r="U274" s="1427" t="b">
        <v>0</v>
      </c>
      <c r="V274" s="1427"/>
      <c r="W274" s="1426" t="s">
        <v>2411</v>
      </c>
      <c r="X274" s="1437" t="s">
        <v>2987</v>
      </c>
      <c r="Y274" s="1426" t="s">
        <v>113</v>
      </c>
    </row>
    <row r="275">
      <c r="A275" s="1419"/>
      <c r="B275" s="1429" t="b">
        <v>0</v>
      </c>
      <c r="C275" s="1429" t="b">
        <v>0</v>
      </c>
      <c r="D275" s="1429" t="b">
        <v>0</v>
      </c>
      <c r="E275" s="1428" t="b">
        <v>1</v>
      </c>
      <c r="F275" s="1429" t="b">
        <v>0</v>
      </c>
      <c r="G275" s="1429" t="b">
        <v>0</v>
      </c>
      <c r="H275" s="1429" t="b">
        <v>0</v>
      </c>
      <c r="I275" s="1429" t="b">
        <v>0</v>
      </c>
      <c r="J275" s="1429" t="b">
        <v>0</v>
      </c>
      <c r="K275" s="1430" t="s">
        <v>2053</v>
      </c>
      <c r="L275" s="1431" t="s">
        <v>2988</v>
      </c>
      <c r="M275" s="1432">
        <v>0.0</v>
      </c>
      <c r="N275" s="1432" t="s">
        <v>2306</v>
      </c>
      <c r="O275" s="1433" t="b">
        <v>0</v>
      </c>
      <c r="P275" s="1433" t="b">
        <v>0</v>
      </c>
      <c r="Q275" s="1434" t="s">
        <v>2316</v>
      </c>
      <c r="R275" s="1434" t="s">
        <v>2269</v>
      </c>
      <c r="S275" s="1434" t="b">
        <v>1</v>
      </c>
      <c r="T275" s="1434" t="b">
        <v>1</v>
      </c>
      <c r="U275" s="1439" t="b">
        <v>0</v>
      </c>
      <c r="V275" s="1439"/>
      <c r="W275" s="1434" t="s">
        <v>2411</v>
      </c>
      <c r="X275" s="1435" t="s">
        <v>2989</v>
      </c>
      <c r="Y275" s="1434" t="s">
        <v>113</v>
      </c>
    </row>
    <row r="276">
      <c r="A276" s="1419"/>
      <c r="B276" s="1420" t="b">
        <v>0</v>
      </c>
      <c r="C276" s="1420" t="b">
        <v>1</v>
      </c>
      <c r="D276" s="1421" t="b">
        <v>0</v>
      </c>
      <c r="E276" s="1421" t="b">
        <v>0</v>
      </c>
      <c r="F276" s="1421" t="b">
        <v>0</v>
      </c>
      <c r="G276" s="1421" t="b">
        <v>0</v>
      </c>
      <c r="H276" s="1421" t="b">
        <v>0</v>
      </c>
      <c r="I276" s="1421" t="b">
        <v>0</v>
      </c>
      <c r="J276" s="1420" t="b">
        <v>1</v>
      </c>
      <c r="K276" s="1422" t="s">
        <v>2100</v>
      </c>
      <c r="L276" s="1423" t="s">
        <v>2990</v>
      </c>
      <c r="M276" s="1424">
        <v>6.0</v>
      </c>
      <c r="N276" s="1424" t="s">
        <v>2385</v>
      </c>
      <c r="O276" s="1425" t="b">
        <v>0</v>
      </c>
      <c r="P276" s="1425" t="b">
        <v>0</v>
      </c>
      <c r="Q276" s="1426" t="s">
        <v>2253</v>
      </c>
      <c r="R276" s="1426" t="s">
        <v>2287</v>
      </c>
      <c r="S276" s="1426" t="b">
        <v>1</v>
      </c>
      <c r="T276" s="1426" t="b">
        <v>1</v>
      </c>
      <c r="U276" s="1426" t="b">
        <v>1</v>
      </c>
      <c r="V276" s="1426" t="s">
        <v>2991</v>
      </c>
      <c r="W276" s="1426" t="s">
        <v>2313</v>
      </c>
      <c r="X276" s="1437" t="s">
        <v>2992</v>
      </c>
      <c r="Y276" s="1426" t="s">
        <v>113</v>
      </c>
    </row>
    <row r="277">
      <c r="A277" s="1419"/>
      <c r="B277" s="1428" t="b">
        <v>0</v>
      </c>
      <c r="C277" s="1428" t="b">
        <v>1</v>
      </c>
      <c r="D277" s="1429" t="b">
        <v>0</v>
      </c>
      <c r="E277" s="1429" t="b">
        <v>0</v>
      </c>
      <c r="F277" s="1429" t="b">
        <v>0</v>
      </c>
      <c r="G277" s="1429" t="b">
        <v>0</v>
      </c>
      <c r="H277" s="1429" t="b">
        <v>0</v>
      </c>
      <c r="I277" s="1429" t="b">
        <v>0</v>
      </c>
      <c r="J277" s="1428" t="b">
        <v>1</v>
      </c>
      <c r="K277" s="1430" t="s">
        <v>2013</v>
      </c>
      <c r="L277" s="1431" t="s">
        <v>2993</v>
      </c>
      <c r="M277" s="1432">
        <v>7.0</v>
      </c>
      <c r="N277" s="1432" t="s">
        <v>2385</v>
      </c>
      <c r="O277" s="1438" t="b">
        <v>1</v>
      </c>
      <c r="P277" s="1433" t="b">
        <v>0</v>
      </c>
      <c r="Q277" s="1434" t="s">
        <v>2253</v>
      </c>
      <c r="R277" s="1434" t="s">
        <v>2994</v>
      </c>
      <c r="S277" s="1434" t="b">
        <v>1</v>
      </c>
      <c r="T277" s="1434" t="b">
        <v>1</v>
      </c>
      <c r="U277" s="1434" t="b">
        <v>1</v>
      </c>
      <c r="V277" s="1434" t="s">
        <v>2995</v>
      </c>
      <c r="W277" s="1434" t="s">
        <v>2631</v>
      </c>
      <c r="X277" s="1435" t="s">
        <v>2996</v>
      </c>
      <c r="Y277" s="1434" t="s">
        <v>113</v>
      </c>
    </row>
    <row r="278">
      <c r="A278" s="1419"/>
      <c r="B278" s="1420" t="b">
        <v>1</v>
      </c>
      <c r="C278" s="1421" t="b">
        <v>0</v>
      </c>
      <c r="D278" s="1420" t="b">
        <v>1</v>
      </c>
      <c r="E278" s="1420" t="b">
        <v>1</v>
      </c>
      <c r="F278" s="1421" t="b">
        <v>0</v>
      </c>
      <c r="G278" s="1420" t="b">
        <v>1</v>
      </c>
      <c r="H278" s="1420" t="b">
        <v>1</v>
      </c>
      <c r="I278" s="1421" t="b">
        <v>0</v>
      </c>
      <c r="J278" s="1420" t="b">
        <v>1</v>
      </c>
      <c r="K278" s="1422" t="s">
        <v>2168</v>
      </c>
      <c r="L278" s="1423" t="s">
        <v>2997</v>
      </c>
      <c r="M278" s="1424">
        <v>3.0</v>
      </c>
      <c r="N278" s="1424" t="s">
        <v>2258</v>
      </c>
      <c r="O278" s="1436" t="b">
        <v>1</v>
      </c>
      <c r="P278" s="1425" t="b">
        <v>0</v>
      </c>
      <c r="Q278" s="1426" t="s">
        <v>2253</v>
      </c>
      <c r="R278" s="1426" t="s">
        <v>2311</v>
      </c>
      <c r="S278" s="1426" t="b">
        <v>1</v>
      </c>
      <c r="T278" s="1426" t="b">
        <v>1</v>
      </c>
      <c r="U278" s="1427" t="b">
        <v>0</v>
      </c>
      <c r="V278" s="1427"/>
      <c r="W278" s="1426" t="s">
        <v>2270</v>
      </c>
      <c r="X278" s="1437" t="s">
        <v>2998</v>
      </c>
      <c r="Y278" s="1426" t="s">
        <v>113</v>
      </c>
    </row>
    <row r="279">
      <c r="A279" s="1419"/>
      <c r="B279" s="1428" t="b">
        <v>0</v>
      </c>
      <c r="C279" s="1429" t="b">
        <v>0</v>
      </c>
      <c r="D279" s="1428" t="b">
        <v>1</v>
      </c>
      <c r="E279" s="1428" t="b">
        <v>1</v>
      </c>
      <c r="F279" s="1428" t="b">
        <v>1</v>
      </c>
      <c r="G279" s="1429" t="b">
        <v>0</v>
      </c>
      <c r="H279" s="1429" t="b">
        <v>0</v>
      </c>
      <c r="I279" s="1428" t="b">
        <v>1</v>
      </c>
      <c r="J279" s="1428" t="b">
        <v>1</v>
      </c>
      <c r="K279" s="1430" t="s">
        <v>2210</v>
      </c>
      <c r="L279" s="1431" t="s">
        <v>2999</v>
      </c>
      <c r="M279" s="1432">
        <v>1.0</v>
      </c>
      <c r="N279" s="1432" t="s">
        <v>2258</v>
      </c>
      <c r="O279" s="1438" t="b">
        <v>1</v>
      </c>
      <c r="P279" s="1433" t="b">
        <v>0</v>
      </c>
      <c r="Q279" s="1434" t="s">
        <v>2253</v>
      </c>
      <c r="R279" s="1434" t="s">
        <v>2311</v>
      </c>
      <c r="S279" s="1434" t="b">
        <v>1</v>
      </c>
      <c r="T279" s="1434" t="b">
        <v>1</v>
      </c>
      <c r="U279" s="1434" t="b">
        <v>1</v>
      </c>
      <c r="V279" s="1434" t="s">
        <v>3000</v>
      </c>
      <c r="W279" s="1434" t="s">
        <v>2308</v>
      </c>
      <c r="X279" s="1435" t="s">
        <v>3001</v>
      </c>
      <c r="Y279" s="1434" t="s">
        <v>113</v>
      </c>
    </row>
    <row r="280">
      <c r="A280" s="1419"/>
      <c r="B280" s="1420" t="b">
        <v>1</v>
      </c>
      <c r="C280" s="1421" t="b">
        <v>0</v>
      </c>
      <c r="D280" s="1420" t="b">
        <v>1</v>
      </c>
      <c r="E280" s="1420" t="b">
        <v>1</v>
      </c>
      <c r="F280" s="1420" t="b">
        <v>1</v>
      </c>
      <c r="G280" s="1420" t="b">
        <v>1</v>
      </c>
      <c r="H280" s="1421" t="b">
        <v>0</v>
      </c>
      <c r="I280" s="1421" t="b">
        <v>0</v>
      </c>
      <c r="J280" s="1421" t="b">
        <v>0</v>
      </c>
      <c r="K280" s="1422" t="s">
        <v>2211</v>
      </c>
      <c r="L280" s="1423" t="s">
        <v>3002</v>
      </c>
      <c r="M280" s="1424">
        <v>2.0</v>
      </c>
      <c r="N280" s="1424" t="s">
        <v>2258</v>
      </c>
      <c r="O280" s="1425" t="b">
        <v>0</v>
      </c>
      <c r="P280" s="1425" t="b">
        <v>0</v>
      </c>
      <c r="Q280" s="1426" t="s">
        <v>2253</v>
      </c>
      <c r="R280" s="1426" t="s">
        <v>2311</v>
      </c>
      <c r="S280" s="1426" t="b">
        <v>1</v>
      </c>
      <c r="T280" s="1426" t="b">
        <v>1</v>
      </c>
      <c r="U280" s="1427" t="b">
        <v>0</v>
      </c>
      <c r="V280" s="1427"/>
      <c r="W280" s="1426" t="s">
        <v>2255</v>
      </c>
      <c r="X280" s="1437" t="s">
        <v>3003</v>
      </c>
      <c r="Y280" s="1426" t="s">
        <v>113</v>
      </c>
    </row>
    <row r="281">
      <c r="A281" s="1419"/>
      <c r="B281" s="1428" t="b">
        <v>1</v>
      </c>
      <c r="C281" s="1429" t="b">
        <v>0</v>
      </c>
      <c r="D281" s="1428" t="b">
        <v>1</v>
      </c>
      <c r="E281" s="1428" t="b">
        <v>1</v>
      </c>
      <c r="F281" s="1428" t="b">
        <v>1</v>
      </c>
      <c r="G281" s="1429" t="b">
        <v>0</v>
      </c>
      <c r="H281" s="1429" t="b">
        <v>0</v>
      </c>
      <c r="I281" s="1429" t="b">
        <v>0</v>
      </c>
      <c r="J281" s="1429" t="b">
        <v>0</v>
      </c>
      <c r="K281" s="1430" t="s">
        <v>2214</v>
      </c>
      <c r="L281" s="1431" t="s">
        <v>3004</v>
      </c>
      <c r="M281" s="1432">
        <v>1.0</v>
      </c>
      <c r="N281" s="1432" t="s">
        <v>2268</v>
      </c>
      <c r="O281" s="1433" t="b">
        <v>0</v>
      </c>
      <c r="P281" s="1438" t="b">
        <v>1</v>
      </c>
      <c r="Q281" s="1434" t="s">
        <v>2253</v>
      </c>
      <c r="R281" s="1434" t="s">
        <v>2283</v>
      </c>
      <c r="S281" s="1434" t="b">
        <v>1</v>
      </c>
      <c r="T281" s="1434" t="b">
        <v>1</v>
      </c>
      <c r="U281" s="1439" t="b">
        <v>0</v>
      </c>
      <c r="V281" s="1439"/>
      <c r="W281" s="1434" t="s">
        <v>2255</v>
      </c>
      <c r="X281" s="1435" t="s">
        <v>3005</v>
      </c>
      <c r="Y281" s="1434" t="s">
        <v>113</v>
      </c>
    </row>
    <row r="282">
      <c r="A282" s="1419"/>
      <c r="B282" s="1421" t="b">
        <v>0</v>
      </c>
      <c r="C282" s="1420" t="b">
        <v>1</v>
      </c>
      <c r="D282" s="1420" t="b">
        <v>1</v>
      </c>
      <c r="E282" s="1421" t="b">
        <v>0</v>
      </c>
      <c r="F282" s="1420" t="b">
        <v>1</v>
      </c>
      <c r="G282" s="1421" t="b">
        <v>0</v>
      </c>
      <c r="H282" s="1421" t="b">
        <v>0</v>
      </c>
      <c r="I282" s="1421" t="b">
        <v>0</v>
      </c>
      <c r="J282" s="1421" t="b">
        <v>0</v>
      </c>
      <c r="K282" s="1422" t="s">
        <v>2152</v>
      </c>
      <c r="L282" s="1423" t="s">
        <v>3006</v>
      </c>
      <c r="M282" s="1424">
        <v>5.0</v>
      </c>
      <c r="N282" s="1424" t="s">
        <v>2282</v>
      </c>
      <c r="O282" s="1425" t="b">
        <v>0</v>
      </c>
      <c r="P282" s="1425" t="b">
        <v>0</v>
      </c>
      <c r="Q282" s="1426" t="s">
        <v>2297</v>
      </c>
      <c r="R282" s="1426" t="s">
        <v>2311</v>
      </c>
      <c r="S282" s="1426" t="b">
        <v>1</v>
      </c>
      <c r="T282" s="1426" t="b">
        <v>1</v>
      </c>
      <c r="U282" s="1426" t="b">
        <v>1</v>
      </c>
      <c r="V282" s="1426" t="s">
        <v>3007</v>
      </c>
      <c r="W282" s="1426" t="s">
        <v>2255</v>
      </c>
      <c r="X282" s="1437" t="s">
        <v>3008</v>
      </c>
      <c r="Y282" s="1426" t="s">
        <v>113</v>
      </c>
    </row>
    <row r="283">
      <c r="A283" s="1419"/>
      <c r="B283" s="1428" t="b">
        <v>0</v>
      </c>
      <c r="C283" s="1428" t="b">
        <v>1</v>
      </c>
      <c r="D283" s="1429" t="b">
        <v>0</v>
      </c>
      <c r="E283" s="1429" t="b">
        <v>0</v>
      </c>
      <c r="F283" s="1429" t="b">
        <v>0</v>
      </c>
      <c r="G283" s="1429" t="b">
        <v>0</v>
      </c>
      <c r="H283" s="1429" t="b">
        <v>0</v>
      </c>
      <c r="I283" s="1429" t="b">
        <v>0</v>
      </c>
      <c r="J283" s="1428" t="b">
        <v>1</v>
      </c>
      <c r="K283" s="1430" t="s">
        <v>2159</v>
      </c>
      <c r="L283" s="1431" t="s">
        <v>3009</v>
      </c>
      <c r="M283" s="1432">
        <v>5.0</v>
      </c>
      <c r="N283" s="1432" t="s">
        <v>2302</v>
      </c>
      <c r="O283" s="1433" t="b">
        <v>0</v>
      </c>
      <c r="P283" s="1438" t="b">
        <v>1</v>
      </c>
      <c r="Q283" s="1434" t="s">
        <v>2253</v>
      </c>
      <c r="R283" s="1434" t="s">
        <v>2259</v>
      </c>
      <c r="S283" s="1434" t="b">
        <v>1</v>
      </c>
      <c r="T283" s="1434" t="b">
        <v>1</v>
      </c>
      <c r="U283" s="1434" t="b">
        <v>1</v>
      </c>
      <c r="V283" s="1434" t="s">
        <v>3010</v>
      </c>
      <c r="W283" s="1434" t="s">
        <v>2297</v>
      </c>
      <c r="X283" s="1435" t="s">
        <v>3011</v>
      </c>
      <c r="Y283" s="1434" t="s">
        <v>113</v>
      </c>
    </row>
    <row r="284">
      <c r="A284" s="1419"/>
      <c r="B284" s="1420" t="b">
        <v>0</v>
      </c>
      <c r="C284" s="1421" t="b">
        <v>0</v>
      </c>
      <c r="D284" s="1421" t="b">
        <v>0</v>
      </c>
      <c r="E284" s="1421" t="b">
        <v>0</v>
      </c>
      <c r="F284" s="1421" t="b">
        <v>0</v>
      </c>
      <c r="G284" s="1421" t="b">
        <v>0</v>
      </c>
      <c r="H284" s="1421" t="b">
        <v>0</v>
      </c>
      <c r="I284" s="1420" t="b">
        <v>1</v>
      </c>
      <c r="J284" s="1420" t="b">
        <v>1</v>
      </c>
      <c r="K284" s="1422" t="s">
        <v>2215</v>
      </c>
      <c r="L284" s="1423" t="s">
        <v>3012</v>
      </c>
      <c r="M284" s="1424">
        <v>2.0</v>
      </c>
      <c r="N284" s="1424" t="s">
        <v>2282</v>
      </c>
      <c r="O284" s="1436" t="b">
        <v>1</v>
      </c>
      <c r="P284" s="1425" t="b">
        <v>0</v>
      </c>
      <c r="Q284" s="1426" t="s">
        <v>2253</v>
      </c>
      <c r="R284" s="1426" t="s">
        <v>2254</v>
      </c>
      <c r="S284" s="1426" t="b">
        <v>1</v>
      </c>
      <c r="T284" s="1426" t="b">
        <v>1</v>
      </c>
      <c r="U284" s="1427" t="b">
        <v>0</v>
      </c>
      <c r="V284" s="1427"/>
      <c r="W284" s="1426" t="s">
        <v>2288</v>
      </c>
      <c r="X284" s="1437" t="s">
        <v>3013</v>
      </c>
      <c r="Y284" s="1426" t="s">
        <v>113</v>
      </c>
    </row>
    <row r="285">
      <c r="A285" s="1419"/>
      <c r="B285" s="1428" t="b">
        <v>1</v>
      </c>
      <c r="C285" s="1429" t="b">
        <v>0</v>
      </c>
      <c r="D285" s="1429" t="b">
        <v>0</v>
      </c>
      <c r="E285" s="1429" t="b">
        <v>0</v>
      </c>
      <c r="F285" s="1429" t="b">
        <v>0</v>
      </c>
      <c r="G285" s="1429" t="b">
        <v>0</v>
      </c>
      <c r="H285" s="1428" t="b">
        <v>1</v>
      </c>
      <c r="I285" s="1429" t="b">
        <v>0</v>
      </c>
      <c r="J285" s="1428" t="b">
        <v>1</v>
      </c>
      <c r="K285" s="1430" t="s">
        <v>1849</v>
      </c>
      <c r="L285" s="1431" t="s">
        <v>3014</v>
      </c>
      <c r="M285" s="1432">
        <v>0.0</v>
      </c>
      <c r="N285" s="1432" t="s">
        <v>2252</v>
      </c>
      <c r="O285" s="1433" t="b">
        <v>0</v>
      </c>
      <c r="P285" s="1433" t="b">
        <v>0</v>
      </c>
      <c r="Q285" s="1434" t="s">
        <v>2253</v>
      </c>
      <c r="R285" s="1434" t="s">
        <v>2254</v>
      </c>
      <c r="S285" s="1434" t="b">
        <v>1</v>
      </c>
      <c r="T285" s="1434" t="b">
        <v>1</v>
      </c>
      <c r="U285" s="1439" t="b">
        <v>0</v>
      </c>
      <c r="V285" s="1439"/>
      <c r="W285" s="1434" t="s">
        <v>2255</v>
      </c>
      <c r="X285" s="1435" t="s">
        <v>3015</v>
      </c>
      <c r="Y285" s="1434" t="s">
        <v>113</v>
      </c>
    </row>
    <row r="286">
      <c r="A286" s="1419"/>
      <c r="B286" s="1420" t="b">
        <v>0</v>
      </c>
      <c r="C286" s="1421" t="b">
        <v>0</v>
      </c>
      <c r="D286" s="1421" t="b">
        <v>0</v>
      </c>
      <c r="E286" s="1421" t="b">
        <v>0</v>
      </c>
      <c r="F286" s="1421" t="b">
        <v>0</v>
      </c>
      <c r="G286" s="1421" t="b">
        <v>0</v>
      </c>
      <c r="H286" s="1420" t="b">
        <v>1</v>
      </c>
      <c r="I286" s="1421" t="b">
        <v>0</v>
      </c>
      <c r="J286" s="1420" t="b">
        <v>1</v>
      </c>
      <c r="K286" s="1422" t="s">
        <v>2217</v>
      </c>
      <c r="L286" s="1423" t="s">
        <v>3016</v>
      </c>
      <c r="M286" s="1424">
        <v>1.0</v>
      </c>
      <c r="N286" s="1424" t="s">
        <v>2282</v>
      </c>
      <c r="O286" s="1425" t="b">
        <v>0</v>
      </c>
      <c r="P286" s="1425" t="b">
        <v>0</v>
      </c>
      <c r="Q286" s="1426" t="s">
        <v>2253</v>
      </c>
      <c r="R286" s="1426" t="s">
        <v>2254</v>
      </c>
      <c r="S286" s="1426" t="b">
        <v>1</v>
      </c>
      <c r="T286" s="1426" t="b">
        <v>1</v>
      </c>
      <c r="U286" s="1427" t="b">
        <v>0</v>
      </c>
      <c r="V286" s="1427"/>
      <c r="W286" s="1426" t="s">
        <v>2255</v>
      </c>
      <c r="X286" s="1437" t="s">
        <v>3017</v>
      </c>
      <c r="Y286" s="1426" t="s">
        <v>113</v>
      </c>
    </row>
    <row r="287">
      <c r="A287" s="1419"/>
      <c r="B287" s="1429" t="b">
        <v>0</v>
      </c>
      <c r="C287" s="1428" t="b">
        <v>1</v>
      </c>
      <c r="D287" s="1428" t="b">
        <v>1</v>
      </c>
      <c r="E287" s="1428" t="b">
        <v>1</v>
      </c>
      <c r="F287" s="1429" t="b">
        <v>0</v>
      </c>
      <c r="G287" s="1429" t="b">
        <v>0</v>
      </c>
      <c r="H287" s="1429" t="b">
        <v>0</v>
      </c>
      <c r="I287" s="1429" t="b">
        <v>0</v>
      </c>
      <c r="J287" s="1429" t="b">
        <v>0</v>
      </c>
      <c r="K287" s="1430" t="s">
        <v>2023</v>
      </c>
      <c r="L287" s="1431" t="s">
        <v>3018</v>
      </c>
      <c r="M287" s="1432">
        <v>7.0</v>
      </c>
      <c r="N287" s="1432" t="s">
        <v>2268</v>
      </c>
      <c r="O287" s="1433" t="b">
        <v>0</v>
      </c>
      <c r="P287" s="1433" t="b">
        <v>0</v>
      </c>
      <c r="Q287" s="1434" t="s">
        <v>2264</v>
      </c>
      <c r="R287" s="1434" t="s">
        <v>2311</v>
      </c>
      <c r="S287" s="1434" t="b">
        <v>1</v>
      </c>
      <c r="T287" s="1434" t="b">
        <v>1</v>
      </c>
      <c r="U287" s="1434" t="b">
        <v>1</v>
      </c>
      <c r="V287" s="1434" t="s">
        <v>3019</v>
      </c>
      <c r="W287" s="1434" t="s">
        <v>2297</v>
      </c>
      <c r="X287" s="1435" t="s">
        <v>3020</v>
      </c>
      <c r="Y287" s="1434" t="s">
        <v>113</v>
      </c>
    </row>
    <row r="288">
      <c r="A288" s="1419"/>
      <c r="B288" s="1421" t="b">
        <v>0</v>
      </c>
      <c r="C288" s="1421" t="b">
        <v>0</v>
      </c>
      <c r="D288" s="1421" t="b">
        <v>0</v>
      </c>
      <c r="E288" s="1420" t="b">
        <v>1</v>
      </c>
      <c r="F288" s="1421" t="b">
        <v>0</v>
      </c>
      <c r="G288" s="1421" t="b">
        <v>0</v>
      </c>
      <c r="H288" s="1421" t="b">
        <v>0</v>
      </c>
      <c r="I288" s="1421" t="b">
        <v>0</v>
      </c>
      <c r="J288" s="1421" t="b">
        <v>0</v>
      </c>
      <c r="K288" s="1422" t="s">
        <v>2165</v>
      </c>
      <c r="L288" s="1423" t="s">
        <v>3021</v>
      </c>
      <c r="M288" s="1424">
        <v>5.0</v>
      </c>
      <c r="N288" s="1424" t="s">
        <v>2282</v>
      </c>
      <c r="O288" s="1425" t="b">
        <v>0</v>
      </c>
      <c r="P288" s="1425" t="b">
        <v>0</v>
      </c>
      <c r="Q288" s="1426" t="s">
        <v>2297</v>
      </c>
      <c r="R288" s="1426" t="s">
        <v>2311</v>
      </c>
      <c r="S288" s="1426" t="b">
        <v>1</v>
      </c>
      <c r="T288" s="1426" t="b">
        <v>1</v>
      </c>
      <c r="U288" s="1426" t="b">
        <v>1</v>
      </c>
      <c r="V288" s="1426" t="s">
        <v>3022</v>
      </c>
      <c r="W288" s="1426" t="s">
        <v>2255</v>
      </c>
      <c r="X288" s="1437" t="s">
        <v>3023</v>
      </c>
      <c r="Y288" s="1426" t="s">
        <v>113</v>
      </c>
    </row>
    <row r="289">
      <c r="A289" s="1419"/>
      <c r="B289" s="1428" t="b">
        <v>0</v>
      </c>
      <c r="C289" s="1429" t="b">
        <v>0</v>
      </c>
      <c r="D289" s="1428" t="b">
        <v>1</v>
      </c>
      <c r="E289" s="1429" t="b">
        <v>0</v>
      </c>
      <c r="F289" s="1428" t="b">
        <v>1</v>
      </c>
      <c r="G289" s="1429" t="b">
        <v>0</v>
      </c>
      <c r="H289" s="1429" t="b">
        <v>0</v>
      </c>
      <c r="I289" s="1428" t="b">
        <v>1</v>
      </c>
      <c r="J289" s="1428" t="b">
        <v>1</v>
      </c>
      <c r="K289" s="1430" t="s">
        <v>2173</v>
      </c>
      <c r="L289" s="1431" t="s">
        <v>3024</v>
      </c>
      <c r="M289" s="1432">
        <v>3.0</v>
      </c>
      <c r="N289" s="1432" t="s">
        <v>2258</v>
      </c>
      <c r="O289" s="1433" t="b">
        <v>0</v>
      </c>
      <c r="P289" s="1433" t="b">
        <v>0</v>
      </c>
      <c r="Q289" s="1434" t="s">
        <v>2253</v>
      </c>
      <c r="R289" s="1434" t="s">
        <v>2311</v>
      </c>
      <c r="S289" s="1434" t="b">
        <v>1</v>
      </c>
      <c r="T289" s="1434" t="b">
        <v>1</v>
      </c>
      <c r="U289" s="1439" t="b">
        <v>0</v>
      </c>
      <c r="V289" s="1439"/>
      <c r="W289" s="1434" t="s">
        <v>2255</v>
      </c>
      <c r="X289" s="1435" t="s">
        <v>3025</v>
      </c>
      <c r="Y289" s="1434" t="s">
        <v>113</v>
      </c>
    </row>
    <row r="290">
      <c r="A290" s="1419"/>
      <c r="B290" s="1420" t="b">
        <v>1</v>
      </c>
      <c r="C290" s="1421" t="b">
        <v>0</v>
      </c>
      <c r="D290" s="1420" t="b">
        <v>1</v>
      </c>
      <c r="E290" s="1420" t="b">
        <v>1</v>
      </c>
      <c r="F290" s="1421" t="b">
        <v>0</v>
      </c>
      <c r="G290" s="1421" t="b">
        <v>0</v>
      </c>
      <c r="H290" s="1421" t="b">
        <v>0</v>
      </c>
      <c r="I290" s="1421" t="b">
        <v>0</v>
      </c>
      <c r="J290" s="1421" t="b">
        <v>0</v>
      </c>
      <c r="K290" s="1422" t="s">
        <v>2068</v>
      </c>
      <c r="L290" s="1423" t="s">
        <v>3026</v>
      </c>
      <c r="M290" s="1424">
        <v>0.0</v>
      </c>
      <c r="N290" s="1424" t="s">
        <v>2258</v>
      </c>
      <c r="O290" s="1436" t="b">
        <v>1</v>
      </c>
      <c r="P290" s="1425" t="b">
        <v>0</v>
      </c>
      <c r="Q290" s="1426" t="s">
        <v>2253</v>
      </c>
      <c r="R290" s="1426" t="s">
        <v>2311</v>
      </c>
      <c r="S290" s="1426" t="b">
        <v>1</v>
      </c>
      <c r="T290" s="1426" t="b">
        <v>1</v>
      </c>
      <c r="U290" s="1427" t="b">
        <v>0</v>
      </c>
      <c r="V290" s="1427"/>
      <c r="W290" s="1426" t="s">
        <v>2288</v>
      </c>
      <c r="X290" s="1437" t="s">
        <v>3027</v>
      </c>
      <c r="Y290" s="1426" t="s">
        <v>113</v>
      </c>
    </row>
    <row r="291">
      <c r="A291" s="1419"/>
      <c r="B291" s="1428" t="b">
        <v>0</v>
      </c>
      <c r="C291" s="1428" t="b">
        <v>1</v>
      </c>
      <c r="D291" s="1429" t="b">
        <v>0</v>
      </c>
      <c r="E291" s="1429" t="b">
        <v>0</v>
      </c>
      <c r="F291" s="1429" t="b">
        <v>0</v>
      </c>
      <c r="G291" s="1429" t="b">
        <v>0</v>
      </c>
      <c r="H291" s="1429" t="b">
        <v>0</v>
      </c>
      <c r="I291" s="1429" t="b">
        <v>0</v>
      </c>
      <c r="J291" s="1428" t="b">
        <v>1</v>
      </c>
      <c r="K291" s="1430" t="s">
        <v>2033</v>
      </c>
      <c r="L291" s="1431" t="s">
        <v>3028</v>
      </c>
      <c r="M291" s="1432">
        <v>7.0</v>
      </c>
      <c r="N291" s="1432" t="s">
        <v>2282</v>
      </c>
      <c r="O291" s="1433" t="b">
        <v>0</v>
      </c>
      <c r="P291" s="1433" t="b">
        <v>0</v>
      </c>
      <c r="Q291" s="1434" t="s">
        <v>2297</v>
      </c>
      <c r="R291" s="1434" t="s">
        <v>2311</v>
      </c>
      <c r="S291" s="1434" t="b">
        <v>1</v>
      </c>
      <c r="T291" s="1434" t="b">
        <v>1</v>
      </c>
      <c r="U291" s="1434" t="b">
        <v>1</v>
      </c>
      <c r="V291" s="1434" t="s">
        <v>3029</v>
      </c>
      <c r="W291" s="1434" t="s">
        <v>2255</v>
      </c>
      <c r="X291" s="1435" t="s">
        <v>3030</v>
      </c>
      <c r="Y291" s="1434" t="s">
        <v>113</v>
      </c>
    </row>
    <row r="292">
      <c r="A292" s="1419"/>
      <c r="B292" s="1420" t="b">
        <v>0</v>
      </c>
      <c r="C292" s="1421" t="b">
        <v>0</v>
      </c>
      <c r="D292" s="1421" t="b">
        <v>0</v>
      </c>
      <c r="E292" s="1420" t="b">
        <v>1</v>
      </c>
      <c r="F292" s="1421" t="b">
        <v>0</v>
      </c>
      <c r="G292" s="1421" t="b">
        <v>0</v>
      </c>
      <c r="H292" s="1420" t="b">
        <v>1</v>
      </c>
      <c r="I292" s="1421" t="b">
        <v>0</v>
      </c>
      <c r="J292" s="1420" t="b">
        <v>1</v>
      </c>
      <c r="K292" s="1422" t="s">
        <v>2042</v>
      </c>
      <c r="L292" s="1423" t="s">
        <v>3031</v>
      </c>
      <c r="M292" s="1424">
        <v>7.0</v>
      </c>
      <c r="N292" s="1424" t="s">
        <v>2268</v>
      </c>
      <c r="O292" s="1436" t="b">
        <v>1</v>
      </c>
      <c r="P292" s="1425" t="b">
        <v>0</v>
      </c>
      <c r="Q292" s="1426" t="s">
        <v>2253</v>
      </c>
      <c r="R292" s="1426" t="s">
        <v>2667</v>
      </c>
      <c r="S292" s="1426" t="b">
        <v>1</v>
      </c>
      <c r="T292" s="1426" t="b">
        <v>1</v>
      </c>
      <c r="U292" s="1426" t="b">
        <v>1</v>
      </c>
      <c r="V292" s="1426" t="s">
        <v>3032</v>
      </c>
      <c r="W292" s="1426" t="s">
        <v>2288</v>
      </c>
      <c r="X292" s="1437" t="s">
        <v>3033</v>
      </c>
      <c r="Y292" s="1426" t="s">
        <v>113</v>
      </c>
    </row>
    <row r="293">
      <c r="A293" s="1419"/>
      <c r="B293" s="1428" t="b">
        <v>1</v>
      </c>
      <c r="C293" s="1429" t="b">
        <v>0</v>
      </c>
      <c r="D293" s="1428" t="b">
        <v>1</v>
      </c>
      <c r="E293" s="1428" t="b">
        <v>1</v>
      </c>
      <c r="F293" s="1428" t="b">
        <v>1</v>
      </c>
      <c r="G293" s="1428" t="b">
        <v>1</v>
      </c>
      <c r="H293" s="1429" t="b">
        <v>0</v>
      </c>
      <c r="I293" s="1429" t="b">
        <v>0</v>
      </c>
      <c r="J293" s="1429" t="b">
        <v>0</v>
      </c>
      <c r="K293" s="1430" t="s">
        <v>2177</v>
      </c>
      <c r="L293" s="1431" t="s">
        <v>3034</v>
      </c>
      <c r="M293" s="1432">
        <v>3.0</v>
      </c>
      <c r="N293" s="1432" t="s">
        <v>2282</v>
      </c>
      <c r="O293" s="1433" t="b">
        <v>0</v>
      </c>
      <c r="P293" s="1433" t="b">
        <v>0</v>
      </c>
      <c r="Q293" s="1434" t="s">
        <v>2253</v>
      </c>
      <c r="R293" s="1434" t="s">
        <v>2311</v>
      </c>
      <c r="S293" s="1434" t="b">
        <v>1</v>
      </c>
      <c r="T293" s="1434" t="b">
        <v>1</v>
      </c>
      <c r="U293" s="1434" t="b">
        <v>1</v>
      </c>
      <c r="V293" s="1434" t="s">
        <v>3035</v>
      </c>
      <c r="W293" s="1434" t="s">
        <v>2255</v>
      </c>
      <c r="X293" s="1435" t="s">
        <v>3036</v>
      </c>
      <c r="Y293" s="1434" t="s">
        <v>113</v>
      </c>
    </row>
    <row r="294">
      <c r="A294" s="1419"/>
      <c r="B294" s="1420" t="b">
        <v>1</v>
      </c>
      <c r="C294" s="1421" t="b">
        <v>0</v>
      </c>
      <c r="D294" s="1421" t="b">
        <v>0</v>
      </c>
      <c r="E294" s="1421" t="b">
        <v>0</v>
      </c>
      <c r="F294" s="1421" t="b">
        <v>0</v>
      </c>
      <c r="G294" s="1421" t="b">
        <v>0</v>
      </c>
      <c r="H294" s="1421" t="b">
        <v>0</v>
      </c>
      <c r="I294" s="1421" t="b">
        <v>0</v>
      </c>
      <c r="J294" s="1420" t="b">
        <v>1</v>
      </c>
      <c r="K294" s="1422" t="s">
        <v>2218</v>
      </c>
      <c r="L294" s="1423" t="s">
        <v>3037</v>
      </c>
      <c r="M294" s="1424">
        <v>2.0</v>
      </c>
      <c r="N294" s="1424" t="s">
        <v>2268</v>
      </c>
      <c r="O294" s="1425" t="b">
        <v>0</v>
      </c>
      <c r="P294" s="1425" t="b">
        <v>0</v>
      </c>
      <c r="Q294" s="1426" t="s">
        <v>2253</v>
      </c>
      <c r="R294" s="1426" t="s">
        <v>2311</v>
      </c>
      <c r="S294" s="1426" t="b">
        <v>1</v>
      </c>
      <c r="T294" s="1426" t="b">
        <v>1</v>
      </c>
      <c r="U294" s="1426" t="b">
        <v>1</v>
      </c>
      <c r="V294" s="1426" t="s">
        <v>3038</v>
      </c>
      <c r="W294" s="1426" t="s">
        <v>2297</v>
      </c>
      <c r="X294" s="1437" t="s">
        <v>3039</v>
      </c>
      <c r="Y294" s="1426" t="s">
        <v>113</v>
      </c>
    </row>
    <row r="295">
      <c r="A295" s="1419"/>
      <c r="B295" s="1429" t="b">
        <v>0</v>
      </c>
      <c r="C295" s="1429" t="b">
        <v>0</v>
      </c>
      <c r="D295" s="1428" t="b">
        <v>1</v>
      </c>
      <c r="E295" s="1429" t="b">
        <v>0</v>
      </c>
      <c r="F295" s="1429" t="b">
        <v>0</v>
      </c>
      <c r="G295" s="1429" t="b">
        <v>0</v>
      </c>
      <c r="H295" s="1429" t="b">
        <v>0</v>
      </c>
      <c r="I295" s="1429" t="b">
        <v>0</v>
      </c>
      <c r="J295" s="1429" t="b">
        <v>0</v>
      </c>
      <c r="K295" s="1430" t="s">
        <v>2075</v>
      </c>
      <c r="L295" s="1431" t="s">
        <v>3040</v>
      </c>
      <c r="M295" s="1432">
        <v>0.0</v>
      </c>
      <c r="N295" s="1432" t="s">
        <v>2252</v>
      </c>
      <c r="O295" s="1433" t="b">
        <v>0</v>
      </c>
      <c r="P295" s="1433" t="b">
        <v>0</v>
      </c>
      <c r="Q295" s="1434" t="s">
        <v>2253</v>
      </c>
      <c r="R295" s="1434" t="s">
        <v>2254</v>
      </c>
      <c r="S295" s="1434" t="b">
        <v>1</v>
      </c>
      <c r="T295" s="1434" t="b">
        <v>1</v>
      </c>
      <c r="U295" s="1439" t="b">
        <v>0</v>
      </c>
      <c r="V295" s="1439"/>
      <c r="W295" s="1434" t="s">
        <v>2255</v>
      </c>
      <c r="X295" s="1435" t="s">
        <v>3041</v>
      </c>
      <c r="Y295" s="1434" t="s">
        <v>113</v>
      </c>
    </row>
    <row r="296">
      <c r="A296" s="1419"/>
      <c r="B296" s="1420" t="b">
        <v>1</v>
      </c>
      <c r="C296" s="1421" t="b">
        <v>0</v>
      </c>
      <c r="D296" s="1420" t="b">
        <v>1</v>
      </c>
      <c r="E296" s="1421" t="b">
        <v>0</v>
      </c>
      <c r="F296" s="1421" t="b">
        <v>0</v>
      </c>
      <c r="G296" s="1421" t="b">
        <v>0</v>
      </c>
      <c r="H296" s="1421" t="b">
        <v>0</v>
      </c>
      <c r="I296" s="1421" t="b">
        <v>0</v>
      </c>
      <c r="J296" s="1421" t="b">
        <v>0</v>
      </c>
      <c r="K296" s="1422" t="s">
        <v>2220</v>
      </c>
      <c r="L296" s="1423" t="s">
        <v>3042</v>
      </c>
      <c r="M296" s="1424">
        <v>1.0</v>
      </c>
      <c r="N296" s="1424" t="s">
        <v>2258</v>
      </c>
      <c r="O296" s="1425" t="b">
        <v>0</v>
      </c>
      <c r="P296" s="1425" t="b">
        <v>0</v>
      </c>
      <c r="Q296" s="1426" t="s">
        <v>2316</v>
      </c>
      <c r="R296" s="1426" t="s">
        <v>2259</v>
      </c>
      <c r="S296" s="1426" t="b">
        <v>1</v>
      </c>
      <c r="T296" s="1426" t="b">
        <v>1</v>
      </c>
      <c r="U296" s="1426" t="b">
        <v>1</v>
      </c>
      <c r="V296" s="1426" t="s">
        <v>3043</v>
      </c>
      <c r="W296" s="1426" t="s">
        <v>2264</v>
      </c>
      <c r="X296" s="1437" t="s">
        <v>3044</v>
      </c>
      <c r="Y296" s="1426" t="s">
        <v>113</v>
      </c>
    </row>
    <row r="297">
      <c r="A297" s="1419"/>
      <c r="B297" s="1428" t="b">
        <v>0</v>
      </c>
      <c r="C297" s="1429" t="b">
        <v>0</v>
      </c>
      <c r="D297" s="1429" t="b">
        <v>0</v>
      </c>
      <c r="E297" s="1429" t="b">
        <v>0</v>
      </c>
      <c r="F297" s="1429" t="b">
        <v>0</v>
      </c>
      <c r="G297" s="1429" t="b">
        <v>0</v>
      </c>
      <c r="H297" s="1428" t="b">
        <v>1</v>
      </c>
      <c r="I297" s="1428" t="b">
        <v>0</v>
      </c>
      <c r="J297" s="1428" t="b">
        <v>1</v>
      </c>
      <c r="K297" s="1430" t="s">
        <v>2221</v>
      </c>
      <c r="L297" s="1431" t="s">
        <v>3045</v>
      </c>
      <c r="M297" s="1432">
        <v>2.0</v>
      </c>
      <c r="N297" s="1432" t="s">
        <v>2252</v>
      </c>
      <c r="O297" s="1433" t="b">
        <v>0</v>
      </c>
      <c r="P297" s="1433" t="b">
        <v>0</v>
      </c>
      <c r="Q297" s="1434" t="s">
        <v>2253</v>
      </c>
      <c r="R297" s="1434" t="s">
        <v>2287</v>
      </c>
      <c r="S297" s="1434" t="b">
        <v>1</v>
      </c>
      <c r="T297" s="1434" t="b">
        <v>1</v>
      </c>
      <c r="U297" s="1439" t="b">
        <v>0</v>
      </c>
      <c r="V297" s="1439"/>
      <c r="W297" s="1434" t="s">
        <v>2255</v>
      </c>
      <c r="X297" s="1435" t="s">
        <v>3046</v>
      </c>
      <c r="Y297" s="1434" t="s">
        <v>113</v>
      </c>
    </row>
    <row r="298">
      <c r="A298" s="1419"/>
      <c r="B298" s="1420" t="b">
        <v>0</v>
      </c>
      <c r="C298" s="1420" t="b">
        <v>1</v>
      </c>
      <c r="D298" s="1420" t="b">
        <v>1</v>
      </c>
      <c r="E298" s="1420" t="b">
        <v>1</v>
      </c>
      <c r="F298" s="1421" t="b">
        <v>0</v>
      </c>
      <c r="G298" s="1421" t="b">
        <v>0</v>
      </c>
      <c r="H298" s="1421" t="b">
        <v>0</v>
      </c>
      <c r="I298" s="1420" t="b">
        <v>1</v>
      </c>
      <c r="J298" s="1420" t="b">
        <v>1</v>
      </c>
      <c r="K298" s="1422" t="s">
        <v>2170</v>
      </c>
      <c r="L298" s="1423" t="s">
        <v>3047</v>
      </c>
      <c r="M298" s="1424">
        <v>5.0</v>
      </c>
      <c r="N298" s="1424" t="s">
        <v>2302</v>
      </c>
      <c r="O298" s="1436" t="b">
        <v>1</v>
      </c>
      <c r="P298" s="1425" t="b">
        <v>0</v>
      </c>
      <c r="Q298" s="1426" t="s">
        <v>2411</v>
      </c>
      <c r="R298" s="1426" t="s">
        <v>2269</v>
      </c>
      <c r="S298" s="1426" t="b">
        <v>1</v>
      </c>
      <c r="T298" s="1426" t="b">
        <v>1</v>
      </c>
      <c r="U298" s="1426" t="b">
        <v>1</v>
      </c>
      <c r="V298" s="1426" t="s">
        <v>3048</v>
      </c>
      <c r="W298" s="1426" t="s">
        <v>2308</v>
      </c>
      <c r="X298" s="1437" t="s">
        <v>3049</v>
      </c>
      <c r="Y298" s="1426" t="s">
        <v>113</v>
      </c>
    </row>
    <row r="299">
      <c r="A299" s="1419"/>
      <c r="B299" s="1429" t="b">
        <v>0</v>
      </c>
      <c r="C299" s="1429" t="b">
        <v>0</v>
      </c>
      <c r="D299" s="1429" t="b">
        <v>0</v>
      </c>
      <c r="E299" s="1429" t="b">
        <v>0</v>
      </c>
      <c r="F299" s="1428" t="b">
        <v>1</v>
      </c>
      <c r="G299" s="1429" t="b">
        <v>0</v>
      </c>
      <c r="H299" s="1429" t="b">
        <v>0</v>
      </c>
      <c r="I299" s="1429" t="b">
        <v>0</v>
      </c>
      <c r="J299" s="1429" t="b">
        <v>0</v>
      </c>
      <c r="K299" s="1430" t="s">
        <v>2223</v>
      </c>
      <c r="L299" s="1431" t="s">
        <v>3050</v>
      </c>
      <c r="M299" s="1432">
        <v>1.0</v>
      </c>
      <c r="N299" s="1432" t="s">
        <v>2252</v>
      </c>
      <c r="O299" s="1433" t="b">
        <v>0</v>
      </c>
      <c r="P299" s="1433" t="b">
        <v>0</v>
      </c>
      <c r="Q299" s="1434" t="s">
        <v>2344</v>
      </c>
      <c r="R299" s="1434" t="s">
        <v>2269</v>
      </c>
      <c r="S299" s="1434" t="b">
        <v>1</v>
      </c>
      <c r="T299" s="1439" t="b">
        <v>0</v>
      </c>
      <c r="U299" s="1439" t="b">
        <v>0</v>
      </c>
      <c r="V299" s="1439"/>
      <c r="W299" s="1434" t="s">
        <v>2264</v>
      </c>
      <c r="X299" s="1435" t="s">
        <v>3051</v>
      </c>
      <c r="Y299" s="1434" t="s">
        <v>113</v>
      </c>
    </row>
    <row r="300">
      <c r="A300" s="1419"/>
      <c r="B300" s="1420" t="b">
        <v>1</v>
      </c>
      <c r="C300" s="1420" t="b">
        <v>1</v>
      </c>
      <c r="D300" s="1421" t="b">
        <v>0</v>
      </c>
      <c r="E300" s="1421" t="b">
        <v>0</v>
      </c>
      <c r="F300" s="1421" t="b">
        <v>0</v>
      </c>
      <c r="G300" s="1421" t="b">
        <v>0</v>
      </c>
      <c r="H300" s="1420" t="b">
        <v>1</v>
      </c>
      <c r="I300" s="1421" t="b">
        <v>0</v>
      </c>
      <c r="J300" s="1420" t="b">
        <v>1</v>
      </c>
      <c r="K300" s="1422" t="s">
        <v>2224</v>
      </c>
      <c r="L300" s="1423" t="s">
        <v>3052</v>
      </c>
      <c r="M300" s="1424">
        <v>2.0</v>
      </c>
      <c r="N300" s="1424" t="s">
        <v>2302</v>
      </c>
      <c r="O300" s="1425" t="b">
        <v>0</v>
      </c>
      <c r="P300" s="1425" t="b">
        <v>0</v>
      </c>
      <c r="Q300" s="1426" t="s">
        <v>2253</v>
      </c>
      <c r="R300" s="1426" t="s">
        <v>2269</v>
      </c>
      <c r="S300" s="1426" t="b">
        <v>1</v>
      </c>
      <c r="T300" s="1426" t="b">
        <v>1</v>
      </c>
      <c r="U300" s="1426" t="b">
        <v>1</v>
      </c>
      <c r="V300" s="1426" t="s">
        <v>3053</v>
      </c>
      <c r="W300" s="1426" t="s">
        <v>2297</v>
      </c>
      <c r="X300" s="1437" t="s">
        <v>3054</v>
      </c>
      <c r="Y300" s="1426" t="s">
        <v>113</v>
      </c>
    </row>
    <row r="301">
      <c r="A301" s="1419"/>
      <c r="B301" s="1428" t="b">
        <v>0</v>
      </c>
      <c r="C301" s="1428" t="b">
        <v>1</v>
      </c>
      <c r="D301" s="1429" t="b">
        <v>0</v>
      </c>
      <c r="E301" s="1429" t="b">
        <v>0</v>
      </c>
      <c r="F301" s="1429" t="b">
        <v>0</v>
      </c>
      <c r="G301" s="1429" t="b">
        <v>0</v>
      </c>
      <c r="H301" s="1428" t="b">
        <v>1</v>
      </c>
      <c r="I301" s="1429" t="b">
        <v>0</v>
      </c>
      <c r="J301" s="1428" t="b">
        <v>1</v>
      </c>
      <c r="K301" s="1430" t="s">
        <v>2174</v>
      </c>
      <c r="L301" s="1431" t="s">
        <v>3055</v>
      </c>
      <c r="M301" s="1432">
        <v>5.0</v>
      </c>
      <c r="N301" s="1432" t="s">
        <v>2385</v>
      </c>
      <c r="O301" s="1433" t="b">
        <v>0</v>
      </c>
      <c r="P301" s="1433" t="b">
        <v>0</v>
      </c>
      <c r="Q301" s="1434" t="s">
        <v>2253</v>
      </c>
      <c r="R301" s="1434" t="s">
        <v>2259</v>
      </c>
      <c r="S301" s="1434" t="b">
        <v>1</v>
      </c>
      <c r="T301" s="1434" t="b">
        <v>1</v>
      </c>
      <c r="U301" s="1439" t="b">
        <v>0</v>
      </c>
      <c r="V301" s="1439"/>
      <c r="W301" s="1434" t="s">
        <v>2261</v>
      </c>
      <c r="X301" s="1435" t="s">
        <v>3056</v>
      </c>
      <c r="Y301" s="1434" t="s">
        <v>113</v>
      </c>
    </row>
    <row r="302">
      <c r="A302" s="1419"/>
      <c r="B302" s="1420" t="b">
        <v>0</v>
      </c>
      <c r="C302" s="1420" t="b">
        <v>1</v>
      </c>
      <c r="D302" s="1420" t="b">
        <v>1</v>
      </c>
      <c r="E302" s="1421" t="b">
        <v>0</v>
      </c>
      <c r="F302" s="1421" t="b">
        <v>0</v>
      </c>
      <c r="G302" s="1421" t="b">
        <v>0</v>
      </c>
      <c r="H302" s="1421" t="b">
        <v>0</v>
      </c>
      <c r="I302" s="1421" t="b">
        <v>0</v>
      </c>
      <c r="J302" s="1420" t="b">
        <v>1</v>
      </c>
      <c r="K302" s="1422" t="s">
        <v>2181</v>
      </c>
      <c r="L302" s="1423" t="s">
        <v>3057</v>
      </c>
      <c r="M302" s="1424">
        <v>3.0</v>
      </c>
      <c r="N302" s="1424" t="s">
        <v>2302</v>
      </c>
      <c r="O302" s="1425" t="b">
        <v>0</v>
      </c>
      <c r="P302" s="1425" t="b">
        <v>0</v>
      </c>
      <c r="Q302" s="1426" t="s">
        <v>2253</v>
      </c>
      <c r="R302" s="1426" t="s">
        <v>3058</v>
      </c>
      <c r="S302" s="1426" t="b">
        <v>1</v>
      </c>
      <c r="T302" s="1426" t="b">
        <v>1</v>
      </c>
      <c r="U302" s="1426" t="b">
        <v>1</v>
      </c>
      <c r="V302" s="1426" t="s">
        <v>2888</v>
      </c>
      <c r="W302" s="1426" t="s">
        <v>2255</v>
      </c>
      <c r="X302" s="1437" t="s">
        <v>3059</v>
      </c>
      <c r="Y302" s="1426" t="s">
        <v>113</v>
      </c>
    </row>
    <row r="303">
      <c r="A303" s="1419"/>
      <c r="B303" s="1428" t="b">
        <v>0</v>
      </c>
      <c r="C303" s="1429" t="b">
        <v>0</v>
      </c>
      <c r="D303" s="1429" t="b">
        <v>0</v>
      </c>
      <c r="E303" s="1429" t="b">
        <v>0</v>
      </c>
      <c r="F303" s="1429" t="b">
        <v>0</v>
      </c>
      <c r="G303" s="1429" t="b">
        <v>0</v>
      </c>
      <c r="H303" s="1429" t="b">
        <v>0</v>
      </c>
      <c r="I303" s="1429" t="b">
        <v>0</v>
      </c>
      <c r="J303" s="1428" t="b">
        <v>1</v>
      </c>
      <c r="K303" s="1430" t="s">
        <v>2051</v>
      </c>
      <c r="L303" s="1431" t="s">
        <v>3060</v>
      </c>
      <c r="M303" s="1432">
        <v>7.0</v>
      </c>
      <c r="N303" s="1432" t="s">
        <v>2268</v>
      </c>
      <c r="O303" s="1433" t="b">
        <v>0</v>
      </c>
      <c r="P303" s="1433" t="b">
        <v>0</v>
      </c>
      <c r="Q303" s="1434" t="s">
        <v>2253</v>
      </c>
      <c r="R303" s="1434" t="s">
        <v>2311</v>
      </c>
      <c r="S303" s="1434" t="b">
        <v>1</v>
      </c>
      <c r="T303" s="1434" t="b">
        <v>1</v>
      </c>
      <c r="U303" s="1434" t="b">
        <v>1</v>
      </c>
      <c r="V303" s="1434" t="s">
        <v>3061</v>
      </c>
      <c r="W303" s="1434" t="s">
        <v>2313</v>
      </c>
      <c r="X303" s="1435" t="s">
        <v>3062</v>
      </c>
      <c r="Y303" s="1434" t="s">
        <v>113</v>
      </c>
    </row>
    <row r="304">
      <c r="A304" s="1419"/>
      <c r="B304" s="1420" t="b">
        <v>0</v>
      </c>
      <c r="C304" s="1421" t="b">
        <v>0</v>
      </c>
      <c r="D304" s="1421" t="b">
        <v>0</v>
      </c>
      <c r="E304" s="1420" t="b">
        <v>1</v>
      </c>
      <c r="F304" s="1421" t="b">
        <v>0</v>
      </c>
      <c r="G304" s="1421" t="b">
        <v>0</v>
      </c>
      <c r="H304" s="1421" t="b">
        <v>0</v>
      </c>
      <c r="I304" s="1421" t="b">
        <v>0</v>
      </c>
      <c r="J304" s="1420" t="b">
        <v>1</v>
      </c>
      <c r="K304" s="1422" t="s">
        <v>1976</v>
      </c>
      <c r="L304" s="1423" t="s">
        <v>3063</v>
      </c>
      <c r="M304" s="1424">
        <v>9.0</v>
      </c>
      <c r="N304" s="1424" t="s">
        <v>2268</v>
      </c>
      <c r="O304" s="1436" t="b">
        <v>1</v>
      </c>
      <c r="P304" s="1425" t="b">
        <v>0</v>
      </c>
      <c r="Q304" s="1426" t="s">
        <v>2253</v>
      </c>
      <c r="R304" s="1426" t="s">
        <v>2269</v>
      </c>
      <c r="S304" s="1426" t="b">
        <v>1</v>
      </c>
      <c r="T304" s="1426" t="b">
        <v>1</v>
      </c>
      <c r="U304" s="1426" t="b">
        <v>1</v>
      </c>
      <c r="V304" s="1426" t="s">
        <v>3064</v>
      </c>
      <c r="W304" s="1426" t="s">
        <v>2270</v>
      </c>
      <c r="X304" s="1437" t="s">
        <v>3065</v>
      </c>
      <c r="Y304" s="1426" t="s">
        <v>113</v>
      </c>
    </row>
    <row r="305">
      <c r="A305" s="1419"/>
      <c r="B305" s="1428" t="b">
        <v>0</v>
      </c>
      <c r="C305" s="1428" t="b">
        <v>1</v>
      </c>
      <c r="D305" s="1429" t="b">
        <v>0</v>
      </c>
      <c r="E305" s="1429" t="b">
        <v>0</v>
      </c>
      <c r="F305" s="1429" t="b">
        <v>0</v>
      </c>
      <c r="G305" s="1429" t="b">
        <v>0</v>
      </c>
      <c r="H305" s="1428" t="b">
        <v>1</v>
      </c>
      <c r="I305" s="1429" t="b">
        <v>0</v>
      </c>
      <c r="J305" s="1428" t="b">
        <v>1</v>
      </c>
      <c r="K305" s="1430" t="s">
        <v>2226</v>
      </c>
      <c r="L305" s="1431" t="s">
        <v>3066</v>
      </c>
      <c r="M305" s="1432">
        <v>2.0</v>
      </c>
      <c r="N305" s="1432" t="s">
        <v>2252</v>
      </c>
      <c r="O305" s="1433" t="b">
        <v>0</v>
      </c>
      <c r="P305" s="1433" t="b">
        <v>0</v>
      </c>
      <c r="Q305" s="1434" t="s">
        <v>2253</v>
      </c>
      <c r="R305" s="1434" t="s">
        <v>2254</v>
      </c>
      <c r="S305" s="1434" t="b">
        <v>1</v>
      </c>
      <c r="T305" s="1434" t="b">
        <v>1</v>
      </c>
      <c r="U305" s="1434" t="b">
        <v>1</v>
      </c>
      <c r="V305" s="1434" t="s">
        <v>3067</v>
      </c>
      <c r="W305" s="1434" t="s">
        <v>2255</v>
      </c>
      <c r="X305" s="1435" t="s">
        <v>3068</v>
      </c>
      <c r="Y305" s="1434" t="s">
        <v>113</v>
      </c>
    </row>
    <row r="306">
      <c r="A306" s="1419"/>
      <c r="B306" s="1420" t="b">
        <v>0</v>
      </c>
      <c r="C306" s="1421" t="b">
        <v>0</v>
      </c>
      <c r="D306" s="1421" t="b">
        <v>0</v>
      </c>
      <c r="E306" s="1421" t="b">
        <v>0</v>
      </c>
      <c r="F306" s="1421" t="b">
        <v>0</v>
      </c>
      <c r="G306" s="1421" t="b">
        <v>0</v>
      </c>
      <c r="H306" s="1420" t="b">
        <v>1</v>
      </c>
      <c r="I306" s="1421" t="b">
        <v>0</v>
      </c>
      <c r="J306" s="1420" t="b">
        <v>1</v>
      </c>
      <c r="K306" s="1422" t="s">
        <v>1856</v>
      </c>
      <c r="L306" s="1423" t="s">
        <v>3069</v>
      </c>
      <c r="M306" s="1424">
        <v>1.0</v>
      </c>
      <c r="N306" s="1424" t="s">
        <v>2258</v>
      </c>
      <c r="O306" s="1425" t="b">
        <v>0</v>
      </c>
      <c r="P306" s="1425" t="b">
        <v>0</v>
      </c>
      <c r="Q306" s="1426" t="s">
        <v>3070</v>
      </c>
      <c r="R306" s="1426" t="s">
        <v>2269</v>
      </c>
      <c r="S306" s="1426" t="b">
        <v>1</v>
      </c>
      <c r="T306" s="1426" t="b">
        <v>1</v>
      </c>
      <c r="U306" s="1427" t="b">
        <v>0</v>
      </c>
      <c r="V306" s="1427"/>
      <c r="W306" s="1426" t="s">
        <v>2725</v>
      </c>
      <c r="X306" s="1437" t="s">
        <v>3071</v>
      </c>
      <c r="Y306" s="1426" t="s">
        <v>113</v>
      </c>
    </row>
    <row r="307">
      <c r="A307" s="1440" t="s">
        <v>2461</v>
      </c>
      <c r="B307" s="1429" t="b">
        <v>0</v>
      </c>
      <c r="C307" s="1429" t="b">
        <v>0</v>
      </c>
      <c r="D307" s="1428" t="b">
        <v>1</v>
      </c>
      <c r="E307" s="1429" t="b">
        <v>0</v>
      </c>
      <c r="F307" s="1428" t="b">
        <v>1</v>
      </c>
      <c r="G307" s="1429" t="b">
        <v>0</v>
      </c>
      <c r="H307" s="1429" t="b">
        <v>0</v>
      </c>
      <c r="I307" s="1429" t="b">
        <v>0</v>
      </c>
      <c r="J307" s="1429" t="b">
        <v>0</v>
      </c>
      <c r="K307" s="1430" t="s">
        <v>2227</v>
      </c>
      <c r="L307" s="1431" t="s">
        <v>3072</v>
      </c>
      <c r="M307" s="1432">
        <v>1.0</v>
      </c>
      <c r="N307" s="1432" t="s">
        <v>2258</v>
      </c>
      <c r="O307" s="1438" t="b">
        <v>1</v>
      </c>
      <c r="P307" s="1433" t="b">
        <v>0</v>
      </c>
      <c r="Q307" s="1434" t="s">
        <v>2316</v>
      </c>
      <c r="R307" s="1434" t="s">
        <v>2254</v>
      </c>
      <c r="S307" s="1434" t="b">
        <v>1</v>
      </c>
      <c r="T307" s="1434" t="b">
        <v>1</v>
      </c>
      <c r="U307" s="1434" t="b">
        <v>1</v>
      </c>
      <c r="V307" s="1434" t="s">
        <v>3073</v>
      </c>
      <c r="W307" s="1434" t="s">
        <v>2308</v>
      </c>
      <c r="X307" s="1435" t="s">
        <v>3074</v>
      </c>
      <c r="Y307" s="1434" t="s">
        <v>113</v>
      </c>
    </row>
    <row r="308">
      <c r="A308" s="1419"/>
      <c r="B308" s="1421" t="b">
        <v>0</v>
      </c>
      <c r="C308" s="1421" t="b">
        <v>0</v>
      </c>
      <c r="D308" s="1421" t="b">
        <v>0</v>
      </c>
      <c r="E308" s="1420" t="b">
        <v>1</v>
      </c>
      <c r="F308" s="1421" t="b">
        <v>0</v>
      </c>
      <c r="G308" s="1421" t="b">
        <v>0</v>
      </c>
      <c r="H308" s="1421" t="b">
        <v>0</v>
      </c>
      <c r="I308" s="1421" t="b">
        <v>0</v>
      </c>
      <c r="J308" s="1421" t="b">
        <v>0</v>
      </c>
      <c r="K308" s="1422" t="s">
        <v>2082</v>
      </c>
      <c r="L308" s="1423" t="s">
        <v>3075</v>
      </c>
      <c r="M308" s="1424">
        <v>0.0</v>
      </c>
      <c r="N308" s="1424" t="s">
        <v>2268</v>
      </c>
      <c r="O308" s="1425" t="b">
        <v>0</v>
      </c>
      <c r="P308" s="1425" t="b">
        <v>0</v>
      </c>
      <c r="Q308" s="1426" t="s">
        <v>2316</v>
      </c>
      <c r="R308" s="1426" t="s">
        <v>2269</v>
      </c>
      <c r="S308" s="1426" t="b">
        <v>1</v>
      </c>
      <c r="T308" s="1426" t="b">
        <v>1</v>
      </c>
      <c r="U308" s="1426" t="b">
        <v>1</v>
      </c>
      <c r="V308" s="1426" t="s">
        <v>3076</v>
      </c>
      <c r="W308" s="1426" t="s">
        <v>2264</v>
      </c>
      <c r="X308" s="1437" t="s">
        <v>3077</v>
      </c>
      <c r="Y308" s="1426" t="s">
        <v>113</v>
      </c>
    </row>
    <row r="309">
      <c r="A309" s="1419"/>
      <c r="B309" s="1429" t="b">
        <v>0</v>
      </c>
      <c r="C309" s="1429" t="b">
        <v>0</v>
      </c>
      <c r="D309" s="1429" t="b">
        <v>0</v>
      </c>
      <c r="E309" s="1429" t="b">
        <v>0</v>
      </c>
      <c r="F309" s="1428" t="b">
        <v>1</v>
      </c>
      <c r="G309" s="1429" t="b">
        <v>0</v>
      </c>
      <c r="H309" s="1429" t="b">
        <v>0</v>
      </c>
      <c r="I309" s="1429" t="b">
        <v>0</v>
      </c>
      <c r="J309" s="1429" t="b">
        <v>0</v>
      </c>
      <c r="K309" s="1430" t="s">
        <v>2228</v>
      </c>
      <c r="L309" s="1431" t="s">
        <v>3078</v>
      </c>
      <c r="M309" s="1432">
        <v>2.0</v>
      </c>
      <c r="N309" s="1432" t="s">
        <v>2268</v>
      </c>
      <c r="O309" s="1438" t="b">
        <v>1</v>
      </c>
      <c r="P309" s="1433" t="b">
        <v>0</v>
      </c>
      <c r="Q309" s="1434" t="s">
        <v>2344</v>
      </c>
      <c r="R309" s="1434" t="s">
        <v>2269</v>
      </c>
      <c r="S309" s="1434" t="b">
        <v>1</v>
      </c>
      <c r="T309" s="1439" t="b">
        <v>0</v>
      </c>
      <c r="U309" s="1439" t="b">
        <v>0</v>
      </c>
      <c r="V309" s="1439"/>
      <c r="W309" s="1434" t="s">
        <v>2288</v>
      </c>
      <c r="X309" s="1435" t="s">
        <v>3079</v>
      </c>
      <c r="Y309" s="1434" t="s">
        <v>113</v>
      </c>
    </row>
    <row r="310">
      <c r="A310" s="1419"/>
      <c r="B310" s="1420" t="b">
        <v>1</v>
      </c>
      <c r="C310" s="1421" t="b">
        <v>0</v>
      </c>
      <c r="D310" s="1421" t="b">
        <v>0</v>
      </c>
      <c r="E310" s="1421" t="b">
        <v>0</v>
      </c>
      <c r="F310" s="1421" t="b">
        <v>0</v>
      </c>
      <c r="G310" s="1421" t="b">
        <v>0</v>
      </c>
      <c r="H310" s="1420" t="b">
        <v>1</v>
      </c>
      <c r="I310" s="1421" t="b">
        <v>0</v>
      </c>
      <c r="J310" s="1420" t="b">
        <v>1</v>
      </c>
      <c r="K310" s="1422" t="s">
        <v>1850</v>
      </c>
      <c r="L310" s="1423" t="s">
        <v>3080</v>
      </c>
      <c r="M310" s="1424">
        <v>0.0</v>
      </c>
      <c r="N310" s="1424" t="s">
        <v>2252</v>
      </c>
      <c r="O310" s="1436" t="b">
        <v>0</v>
      </c>
      <c r="P310" s="1425" t="b">
        <v>0</v>
      </c>
      <c r="Q310" s="1426" t="s">
        <v>2253</v>
      </c>
      <c r="R310" s="1426" t="s">
        <v>2311</v>
      </c>
      <c r="S310" s="1426" t="b">
        <v>1</v>
      </c>
      <c r="T310" s="1426" t="b">
        <v>1</v>
      </c>
      <c r="U310" s="1427" t="b">
        <v>0</v>
      </c>
      <c r="V310" s="1427"/>
      <c r="W310" s="1426" t="s">
        <v>2255</v>
      </c>
      <c r="X310" s="1437" t="s">
        <v>3081</v>
      </c>
      <c r="Y310" s="1426" t="s">
        <v>113</v>
      </c>
    </row>
    <row r="311">
      <c r="A311" s="1419"/>
      <c r="B311" s="1429" t="b">
        <v>0</v>
      </c>
      <c r="C311" s="1428" t="b">
        <v>1</v>
      </c>
      <c r="D311" s="1428" t="b">
        <v>1</v>
      </c>
      <c r="E311" s="1429" t="b">
        <v>0</v>
      </c>
      <c r="F311" s="1429" t="b">
        <v>0</v>
      </c>
      <c r="G311" s="1428" t="b">
        <v>1</v>
      </c>
      <c r="H311" s="1429" t="b">
        <v>0</v>
      </c>
      <c r="I311" s="1429" t="b">
        <v>0</v>
      </c>
      <c r="J311" s="1429" t="b">
        <v>0</v>
      </c>
      <c r="K311" s="1430" t="s">
        <v>2230</v>
      </c>
      <c r="L311" s="1431" t="s">
        <v>3082</v>
      </c>
      <c r="M311" s="1432">
        <v>2.0</v>
      </c>
      <c r="N311" s="1432" t="s">
        <v>2385</v>
      </c>
      <c r="O311" s="1438" t="b">
        <v>1</v>
      </c>
      <c r="P311" s="1438" t="b">
        <v>1</v>
      </c>
      <c r="Q311" s="1434" t="s">
        <v>2253</v>
      </c>
      <c r="R311" s="1434" t="s">
        <v>2287</v>
      </c>
      <c r="S311" s="1434" t="b">
        <v>1</v>
      </c>
      <c r="T311" s="1434" t="b">
        <v>1</v>
      </c>
      <c r="U311" s="1439" t="b">
        <v>0</v>
      </c>
      <c r="V311" s="1439"/>
      <c r="W311" s="1434" t="s">
        <v>2308</v>
      </c>
      <c r="X311" s="1435" t="s">
        <v>3083</v>
      </c>
      <c r="Y311" s="1434" t="s">
        <v>113</v>
      </c>
    </row>
    <row r="312">
      <c r="A312" s="1419"/>
      <c r="B312" s="1420" t="b">
        <v>0</v>
      </c>
      <c r="C312" s="1420" t="b">
        <v>1</v>
      </c>
      <c r="D312" s="1421" t="b">
        <v>0</v>
      </c>
      <c r="E312" s="1421" t="b">
        <v>0</v>
      </c>
      <c r="F312" s="1421" t="b">
        <v>0</v>
      </c>
      <c r="G312" s="1421" t="b">
        <v>0</v>
      </c>
      <c r="H312" s="1420" t="b">
        <v>1</v>
      </c>
      <c r="I312" s="1421" t="b">
        <v>0</v>
      </c>
      <c r="J312" s="1420" t="b">
        <v>1</v>
      </c>
      <c r="K312" s="1422" t="s">
        <v>2229</v>
      </c>
      <c r="L312" s="1423" t="s">
        <v>3084</v>
      </c>
      <c r="M312" s="1424">
        <v>1.0</v>
      </c>
      <c r="N312" s="1424" t="s">
        <v>2385</v>
      </c>
      <c r="O312" s="1436" t="b">
        <v>1</v>
      </c>
      <c r="P312" s="1425" t="b">
        <v>0</v>
      </c>
      <c r="Q312" s="1426" t="s">
        <v>2253</v>
      </c>
      <c r="R312" s="1426" t="s">
        <v>2254</v>
      </c>
      <c r="S312" s="1426" t="b">
        <v>1</v>
      </c>
      <c r="T312" s="1426" t="b">
        <v>1</v>
      </c>
      <c r="U312" s="1426" t="b">
        <v>1</v>
      </c>
      <c r="V312" s="1426" t="s">
        <v>3085</v>
      </c>
      <c r="W312" s="1426" t="s">
        <v>2308</v>
      </c>
      <c r="X312" s="1437" t="s">
        <v>3086</v>
      </c>
      <c r="Y312" s="1426" t="s">
        <v>113</v>
      </c>
    </row>
    <row r="313">
      <c r="A313" s="1419"/>
      <c r="B313" s="1428" t="b">
        <v>0</v>
      </c>
      <c r="C313" s="1429" t="b">
        <v>0</v>
      </c>
      <c r="D313" s="1429" t="b">
        <v>0</v>
      </c>
      <c r="E313" s="1429" t="b">
        <v>0</v>
      </c>
      <c r="F313" s="1429" t="b">
        <v>0</v>
      </c>
      <c r="G313" s="1429" t="b">
        <v>0</v>
      </c>
      <c r="H313" s="1429" t="b">
        <v>0</v>
      </c>
      <c r="I313" s="1429" t="b">
        <v>0</v>
      </c>
      <c r="J313" s="1428" t="b">
        <v>1</v>
      </c>
      <c r="K313" s="1430" t="s">
        <v>2060</v>
      </c>
      <c r="L313" s="1431" t="s">
        <v>3087</v>
      </c>
      <c r="M313" s="1432">
        <v>7.0</v>
      </c>
      <c r="N313" s="1432" t="s">
        <v>2385</v>
      </c>
      <c r="O313" s="1433" t="b">
        <v>0</v>
      </c>
      <c r="P313" s="1433" t="b">
        <v>0</v>
      </c>
      <c r="Q313" s="1439" t="s">
        <v>3088</v>
      </c>
      <c r="R313" s="1439" t="s">
        <v>2311</v>
      </c>
      <c r="S313" s="1439" t="b">
        <v>1</v>
      </c>
      <c r="T313" s="1439" t="b">
        <v>1</v>
      </c>
      <c r="U313" s="1439" t="b">
        <v>1</v>
      </c>
      <c r="V313" s="1434" t="s">
        <v>3089</v>
      </c>
      <c r="W313" s="1439" t="s">
        <v>2313</v>
      </c>
      <c r="X313" s="1435" t="s">
        <v>3090</v>
      </c>
      <c r="Y313" s="1434" t="s">
        <v>113</v>
      </c>
    </row>
    <row r="314">
      <c r="A314" s="1419"/>
      <c r="B314" s="1420" t="b">
        <v>0</v>
      </c>
      <c r="C314" s="1420" t="b">
        <v>1</v>
      </c>
      <c r="D314" s="1421" t="b">
        <v>0</v>
      </c>
      <c r="E314" s="1421" t="b">
        <v>0</v>
      </c>
      <c r="F314" s="1421" t="b">
        <v>0</v>
      </c>
      <c r="G314" s="1421" t="b">
        <v>0</v>
      </c>
      <c r="H314" s="1420" t="b">
        <v>1</v>
      </c>
      <c r="I314" s="1421" t="b">
        <v>0</v>
      </c>
      <c r="J314" s="1420" t="b">
        <v>1</v>
      </c>
      <c r="K314" s="1422" t="s">
        <v>1857</v>
      </c>
      <c r="L314" s="1423" t="s">
        <v>3091</v>
      </c>
      <c r="M314" s="1424">
        <v>1.0</v>
      </c>
      <c r="N314" s="1424" t="s">
        <v>2273</v>
      </c>
      <c r="O314" s="1436" t="b">
        <v>1</v>
      </c>
      <c r="P314" s="1425" t="b">
        <v>0</v>
      </c>
      <c r="Q314" s="1427" t="s">
        <v>2253</v>
      </c>
      <c r="R314" s="1427" t="s">
        <v>2254</v>
      </c>
      <c r="S314" s="1427" t="b">
        <v>1</v>
      </c>
      <c r="T314" s="1427" t="b">
        <v>1</v>
      </c>
      <c r="U314" s="1427" t="b">
        <v>1</v>
      </c>
      <c r="V314" s="1427" t="s">
        <v>3092</v>
      </c>
      <c r="W314" s="1427" t="s">
        <v>2288</v>
      </c>
      <c r="X314" s="1437" t="s">
        <v>3093</v>
      </c>
      <c r="Y314" s="1426" t="s">
        <v>113</v>
      </c>
    </row>
    <row r="315">
      <c r="A315" s="1419"/>
      <c r="B315" s="1428" t="b">
        <v>0</v>
      </c>
      <c r="C315" s="1429" t="b">
        <v>0</v>
      </c>
      <c r="D315" s="1429" t="b">
        <v>0</v>
      </c>
      <c r="E315" s="1428" t="b">
        <v>1</v>
      </c>
      <c r="F315" s="1429" t="b">
        <v>0</v>
      </c>
      <c r="G315" s="1429" t="b">
        <v>0</v>
      </c>
      <c r="H315" s="1428" t="b">
        <v>1</v>
      </c>
      <c r="I315" s="1429" t="b">
        <v>0</v>
      </c>
      <c r="J315" s="1428" t="b">
        <v>1</v>
      </c>
      <c r="K315" s="1430" t="s">
        <v>2184</v>
      </c>
      <c r="L315" s="1431" t="s">
        <v>3094</v>
      </c>
      <c r="M315" s="1432">
        <v>3.0</v>
      </c>
      <c r="N315" s="1432" t="s">
        <v>2306</v>
      </c>
      <c r="O315" s="1433" t="b">
        <v>1</v>
      </c>
      <c r="P315" s="1433" t="b">
        <v>0</v>
      </c>
      <c r="Q315" s="1439" t="s">
        <v>2253</v>
      </c>
      <c r="R315" s="1439" t="s">
        <v>2359</v>
      </c>
      <c r="S315" s="1439" t="b">
        <v>1</v>
      </c>
      <c r="T315" s="1439" t="b">
        <v>1</v>
      </c>
      <c r="U315" s="1439" t="b">
        <v>1</v>
      </c>
      <c r="V315" s="1439" t="s">
        <v>3095</v>
      </c>
      <c r="W315" s="1439" t="s">
        <v>2288</v>
      </c>
      <c r="X315" s="1435" t="s">
        <v>3096</v>
      </c>
      <c r="Y315" s="1434" t="s">
        <v>113</v>
      </c>
    </row>
    <row r="316">
      <c r="A316" s="1419"/>
      <c r="B316" s="1420" t="b">
        <v>0</v>
      </c>
      <c r="C316" s="1420" t="b">
        <v>1</v>
      </c>
      <c r="D316" s="1421" t="b">
        <v>0</v>
      </c>
      <c r="E316" s="1420" t="b">
        <v>0</v>
      </c>
      <c r="F316" s="1421" t="b">
        <v>0</v>
      </c>
      <c r="G316" s="1421" t="b">
        <v>0</v>
      </c>
      <c r="H316" s="1420" t="b">
        <v>1</v>
      </c>
      <c r="I316" s="1421" t="b">
        <v>0</v>
      </c>
      <c r="J316" s="1420" t="b">
        <v>1</v>
      </c>
      <c r="K316" s="1422" t="s">
        <v>2187</v>
      </c>
      <c r="L316" s="1423" t="s">
        <v>3097</v>
      </c>
      <c r="M316" s="1424">
        <v>3.0</v>
      </c>
      <c r="N316" s="1424" t="s">
        <v>2268</v>
      </c>
      <c r="O316" s="1436" t="b">
        <v>1</v>
      </c>
      <c r="P316" s="1425" t="b">
        <v>0</v>
      </c>
      <c r="Q316" s="1426" t="s">
        <v>2253</v>
      </c>
      <c r="R316" s="1426" t="s">
        <v>2287</v>
      </c>
      <c r="S316" s="1426" t="b">
        <v>1</v>
      </c>
      <c r="T316" s="1426" t="b">
        <v>1</v>
      </c>
      <c r="U316" s="1426" t="b">
        <v>1</v>
      </c>
      <c r="V316" s="1426" t="s">
        <v>3098</v>
      </c>
      <c r="W316" s="1426" t="s">
        <v>2288</v>
      </c>
      <c r="X316" s="1437" t="s">
        <v>3099</v>
      </c>
      <c r="Y316" s="1426" t="s">
        <v>113</v>
      </c>
    </row>
    <row r="317">
      <c r="A317" s="1419"/>
      <c r="B317" s="1429" t="b">
        <v>0</v>
      </c>
      <c r="C317" s="1429" t="b">
        <v>0</v>
      </c>
      <c r="D317" s="1429" t="b">
        <v>0</v>
      </c>
      <c r="E317" s="1429" t="b">
        <v>0</v>
      </c>
      <c r="F317" s="1429" t="b">
        <v>0</v>
      </c>
      <c r="G317" s="1429" t="b">
        <v>0</v>
      </c>
      <c r="H317" s="1428" t="b">
        <v>1</v>
      </c>
      <c r="I317" s="1429" t="b">
        <v>0</v>
      </c>
      <c r="J317" s="1429" t="b">
        <v>0</v>
      </c>
      <c r="K317" s="1430" t="s">
        <v>2094</v>
      </c>
      <c r="L317" s="1431" t="s">
        <v>3100</v>
      </c>
      <c r="M317" s="1432">
        <v>0.0</v>
      </c>
      <c r="N317" s="1432" t="s">
        <v>2252</v>
      </c>
      <c r="O317" s="1433" t="b">
        <v>0</v>
      </c>
      <c r="P317" s="1433" t="b">
        <v>0</v>
      </c>
      <c r="Q317" s="1434" t="s">
        <v>2253</v>
      </c>
      <c r="R317" s="1434" t="s">
        <v>2287</v>
      </c>
      <c r="S317" s="1434" t="b">
        <v>1</v>
      </c>
      <c r="T317" s="1434" t="b">
        <v>1</v>
      </c>
      <c r="U317" s="1439" t="b">
        <v>0</v>
      </c>
      <c r="V317" s="1439"/>
      <c r="W317" s="1434" t="s">
        <v>2255</v>
      </c>
      <c r="X317" s="1435" t="s">
        <v>3101</v>
      </c>
      <c r="Y317" s="1434" t="s">
        <v>113</v>
      </c>
    </row>
    <row r="318">
      <c r="A318" s="1419"/>
      <c r="B318" s="1420" t="b">
        <v>1</v>
      </c>
      <c r="C318" s="1421" t="b">
        <v>0</v>
      </c>
      <c r="D318" s="1420" t="b">
        <v>1</v>
      </c>
      <c r="E318" s="1420" t="b">
        <v>1</v>
      </c>
      <c r="F318" s="1421" t="b">
        <v>0</v>
      </c>
      <c r="G318" s="1421" t="b">
        <v>0</v>
      </c>
      <c r="H318" s="1421" t="b">
        <v>0</v>
      </c>
      <c r="I318" s="1421" t="b">
        <v>0</v>
      </c>
      <c r="J318" s="1421" t="b">
        <v>0</v>
      </c>
      <c r="K318" s="1422" t="s">
        <v>2101</v>
      </c>
      <c r="L318" s="1423" t="s">
        <v>3102</v>
      </c>
      <c r="M318" s="1424">
        <v>0.0</v>
      </c>
      <c r="N318" s="1424" t="s">
        <v>2282</v>
      </c>
      <c r="O318" s="1425" t="b">
        <v>0</v>
      </c>
      <c r="P318" s="1425" t="b">
        <v>0</v>
      </c>
      <c r="Q318" s="1426" t="s">
        <v>2253</v>
      </c>
      <c r="R318" s="1426" t="s">
        <v>3103</v>
      </c>
      <c r="S318" s="1426" t="b">
        <v>1</v>
      </c>
      <c r="T318" s="1426" t="b">
        <v>1</v>
      </c>
      <c r="U318" s="1427" t="b">
        <v>0</v>
      </c>
      <c r="V318" s="1427"/>
      <c r="W318" s="1426" t="s">
        <v>2255</v>
      </c>
      <c r="X318" s="1437" t="s">
        <v>3104</v>
      </c>
      <c r="Y318" s="1426" t="s">
        <v>113</v>
      </c>
    </row>
    <row r="319">
      <c r="A319" s="1419"/>
      <c r="B319" s="1429" t="b">
        <v>0</v>
      </c>
      <c r="C319" s="1428" t="b">
        <v>1</v>
      </c>
      <c r="D319" s="1429" t="b">
        <v>0</v>
      </c>
      <c r="E319" s="1428" t="b">
        <v>1</v>
      </c>
      <c r="F319" s="1429" t="b">
        <v>0</v>
      </c>
      <c r="G319" s="1428" t="b">
        <v>1</v>
      </c>
      <c r="H319" s="1429" t="b">
        <v>0</v>
      </c>
      <c r="I319" s="1428" t="b">
        <v>1</v>
      </c>
      <c r="J319" s="1429" t="b">
        <v>0</v>
      </c>
      <c r="K319" s="1430" t="s">
        <v>2232</v>
      </c>
      <c r="L319" s="1431" t="s">
        <v>3105</v>
      </c>
      <c r="M319" s="1432">
        <v>1.0</v>
      </c>
      <c r="N319" s="1432" t="s">
        <v>2302</v>
      </c>
      <c r="O319" s="1433" t="b">
        <v>0</v>
      </c>
      <c r="P319" s="1438" t="b">
        <v>1</v>
      </c>
      <c r="Q319" s="1434" t="s">
        <v>2253</v>
      </c>
      <c r="R319" s="1434" t="s">
        <v>2269</v>
      </c>
      <c r="S319" s="1434" t="b">
        <v>1</v>
      </c>
      <c r="T319" s="1434" t="b">
        <v>1</v>
      </c>
      <c r="U319" s="1439" t="b">
        <v>0</v>
      </c>
      <c r="V319" s="1439"/>
      <c r="W319" s="1434" t="s">
        <v>2411</v>
      </c>
      <c r="X319" s="1435" t="s">
        <v>3106</v>
      </c>
      <c r="Y319" s="1434" t="s">
        <v>113</v>
      </c>
    </row>
    <row r="320">
      <c r="A320" s="1419"/>
      <c r="B320" s="1420" t="b">
        <v>0</v>
      </c>
      <c r="C320" s="1420" t="b">
        <v>1</v>
      </c>
      <c r="D320" s="1420" t="b">
        <v>1</v>
      </c>
      <c r="E320" s="1421" t="b">
        <v>0</v>
      </c>
      <c r="F320" s="1421" t="b">
        <v>0</v>
      </c>
      <c r="G320" s="1421" t="b">
        <v>0</v>
      </c>
      <c r="H320" s="1421" t="b">
        <v>0</v>
      </c>
      <c r="I320" s="1421" t="b">
        <v>0</v>
      </c>
      <c r="J320" s="1420" t="b">
        <v>1</v>
      </c>
      <c r="K320" s="1422" t="s">
        <v>2192</v>
      </c>
      <c r="L320" s="1423" t="s">
        <v>3107</v>
      </c>
      <c r="M320" s="1424">
        <v>3.0</v>
      </c>
      <c r="N320" s="1424" t="s">
        <v>2282</v>
      </c>
      <c r="O320" s="1425" t="b">
        <v>0</v>
      </c>
      <c r="P320" s="1425" t="b">
        <v>0</v>
      </c>
      <c r="Q320" s="1426" t="s">
        <v>2253</v>
      </c>
      <c r="R320" s="1426" t="s">
        <v>2283</v>
      </c>
      <c r="S320" s="1426" t="b">
        <v>1</v>
      </c>
      <c r="T320" s="1426" t="b">
        <v>1</v>
      </c>
      <c r="U320" s="1426" t="b">
        <v>1</v>
      </c>
      <c r="V320" s="1426" t="s">
        <v>3108</v>
      </c>
      <c r="W320" s="1426" t="s">
        <v>2411</v>
      </c>
      <c r="X320" s="1437" t="s">
        <v>3109</v>
      </c>
      <c r="Y320" s="1426" t="s">
        <v>113</v>
      </c>
    </row>
    <row r="321">
      <c r="A321" s="1419"/>
      <c r="B321" s="1429" t="b">
        <v>0</v>
      </c>
      <c r="C321" s="1428" t="b">
        <v>1</v>
      </c>
      <c r="D321" s="1429" t="b">
        <v>0</v>
      </c>
      <c r="E321" s="1428" t="b">
        <v>1</v>
      </c>
      <c r="F321" s="1429" t="b">
        <v>0</v>
      </c>
      <c r="G321" s="1428" t="b">
        <v>1</v>
      </c>
      <c r="H321" s="1429" t="b">
        <v>0</v>
      </c>
      <c r="I321" s="1429" t="b">
        <v>0</v>
      </c>
      <c r="J321" s="1429" t="b">
        <v>0</v>
      </c>
      <c r="K321" s="1430" t="s">
        <v>2196</v>
      </c>
      <c r="L321" s="1431" t="s">
        <v>3110</v>
      </c>
      <c r="M321" s="1432">
        <v>3.0</v>
      </c>
      <c r="N321" s="1432" t="s">
        <v>2268</v>
      </c>
      <c r="O321" s="1433" t="b">
        <v>0</v>
      </c>
      <c r="P321" s="1433" t="b">
        <v>0</v>
      </c>
      <c r="Q321" s="1434" t="s">
        <v>2253</v>
      </c>
      <c r="R321" s="1434" t="s">
        <v>3111</v>
      </c>
      <c r="S321" s="1434" t="b">
        <v>1</v>
      </c>
      <c r="T321" s="1434" t="b">
        <v>1</v>
      </c>
      <c r="U321" s="1439" t="b">
        <v>0</v>
      </c>
      <c r="V321" s="1439"/>
      <c r="W321" s="1434" t="s">
        <v>2411</v>
      </c>
      <c r="X321" s="1435" t="s">
        <v>3112</v>
      </c>
      <c r="Y321" s="1434" t="s">
        <v>113</v>
      </c>
    </row>
    <row r="322">
      <c r="A322" s="1419"/>
      <c r="B322" s="1420" t="b">
        <v>1</v>
      </c>
      <c r="C322" s="1421" t="b">
        <v>0</v>
      </c>
      <c r="D322" s="1421" t="b">
        <v>0</v>
      </c>
      <c r="E322" s="1421" t="b">
        <v>0</v>
      </c>
      <c r="F322" s="1421" t="b">
        <v>0</v>
      </c>
      <c r="G322" s="1421" t="b">
        <v>0</v>
      </c>
      <c r="H322" s="1420" t="b">
        <v>1</v>
      </c>
      <c r="I322" s="1420" t="b">
        <v>1</v>
      </c>
      <c r="J322" s="1420" t="b">
        <v>1</v>
      </c>
      <c r="K322" s="1422" t="s">
        <v>2231</v>
      </c>
      <c r="L322" s="1423" t="s">
        <v>3113</v>
      </c>
      <c r="M322" s="1424">
        <v>2.0</v>
      </c>
      <c r="N322" s="1424" t="s">
        <v>2268</v>
      </c>
      <c r="O322" s="1436" t="b">
        <v>1</v>
      </c>
      <c r="P322" s="1425" t="b">
        <v>0</v>
      </c>
      <c r="Q322" s="1426" t="s">
        <v>2253</v>
      </c>
      <c r="R322" s="1426" t="s">
        <v>2311</v>
      </c>
      <c r="S322" s="1426" t="b">
        <v>1</v>
      </c>
      <c r="T322" s="1426" t="b">
        <v>1</v>
      </c>
      <c r="U322" s="1426" t="b">
        <v>1</v>
      </c>
      <c r="V322" s="1426" t="s">
        <v>3114</v>
      </c>
      <c r="W322" s="1426" t="s">
        <v>2270</v>
      </c>
      <c r="X322" s="1437" t="s">
        <v>3115</v>
      </c>
      <c r="Y322" s="1426" t="s">
        <v>113</v>
      </c>
    </row>
    <row r="323">
      <c r="A323" s="1419"/>
      <c r="B323" s="1429" t="b">
        <v>0</v>
      </c>
      <c r="C323" s="1429" t="b">
        <v>0</v>
      </c>
      <c r="D323" s="1429" t="b">
        <v>0</v>
      </c>
      <c r="E323" s="1428" t="b">
        <v>1</v>
      </c>
      <c r="F323" s="1429" t="b">
        <v>0</v>
      </c>
      <c r="G323" s="1428" t="b">
        <v>1</v>
      </c>
      <c r="H323" s="1429" t="b">
        <v>0</v>
      </c>
      <c r="I323" s="1429" t="b">
        <v>0</v>
      </c>
      <c r="J323" s="1429" t="b">
        <v>0</v>
      </c>
      <c r="K323" s="1430" t="s">
        <v>2233</v>
      </c>
      <c r="L323" s="1431" t="s">
        <v>3116</v>
      </c>
      <c r="M323" s="1432">
        <v>2.0</v>
      </c>
      <c r="N323" s="1432" t="s">
        <v>2268</v>
      </c>
      <c r="O323" s="1438" t="b">
        <v>1</v>
      </c>
      <c r="P323" s="1433" t="b">
        <v>0</v>
      </c>
      <c r="Q323" s="1434" t="s">
        <v>2253</v>
      </c>
      <c r="R323" s="1434" t="s">
        <v>2359</v>
      </c>
      <c r="S323" s="1434" t="b">
        <v>1</v>
      </c>
      <c r="T323" s="1434" t="b">
        <v>1</v>
      </c>
      <c r="U323" s="1434" t="b">
        <v>1</v>
      </c>
      <c r="V323" s="1434" t="s">
        <v>3117</v>
      </c>
      <c r="W323" s="1434" t="s">
        <v>2308</v>
      </c>
      <c r="X323" s="1435" t="s">
        <v>3118</v>
      </c>
      <c r="Y323" s="1434" t="s">
        <v>113</v>
      </c>
    </row>
    <row r="324">
      <c r="A324" s="1419"/>
      <c r="B324" s="1421" t="b">
        <v>0</v>
      </c>
      <c r="C324" s="1421" t="b">
        <v>0</v>
      </c>
      <c r="D324" s="1420" t="b">
        <v>1</v>
      </c>
      <c r="E324" s="1421" t="b">
        <v>0</v>
      </c>
      <c r="F324" s="1421" t="b">
        <v>0</v>
      </c>
      <c r="G324" s="1421" t="b">
        <v>0</v>
      </c>
      <c r="H324" s="1421" t="b">
        <v>0</v>
      </c>
      <c r="I324" s="1421" t="b">
        <v>0</v>
      </c>
      <c r="J324" s="1421" t="b">
        <v>0</v>
      </c>
      <c r="K324" s="1422" t="s">
        <v>2199</v>
      </c>
      <c r="L324" s="1423" t="s">
        <v>3119</v>
      </c>
      <c r="M324" s="1424">
        <v>3.0</v>
      </c>
      <c r="N324" s="1424" t="s">
        <v>2306</v>
      </c>
      <c r="O324" s="1436" t="b">
        <v>1</v>
      </c>
      <c r="P324" s="1425" t="b">
        <v>0</v>
      </c>
      <c r="Q324" s="1426" t="s">
        <v>2253</v>
      </c>
      <c r="R324" s="1426" t="s">
        <v>2269</v>
      </c>
      <c r="S324" s="1426" t="b">
        <v>1</v>
      </c>
      <c r="T324" s="1426" t="b">
        <v>1</v>
      </c>
      <c r="U324" s="1426" t="b">
        <v>1</v>
      </c>
      <c r="V324" s="1426" t="s">
        <v>3120</v>
      </c>
      <c r="W324" s="1426" t="s">
        <v>2308</v>
      </c>
      <c r="X324" s="1437" t="s">
        <v>3121</v>
      </c>
      <c r="Y324" s="1426" t="s">
        <v>113</v>
      </c>
    </row>
    <row r="325">
      <c r="A325" s="1419"/>
      <c r="B325" s="1429" t="b">
        <v>0</v>
      </c>
      <c r="C325" s="1429" t="b">
        <v>0</v>
      </c>
      <c r="D325" s="1428" t="b">
        <v>1</v>
      </c>
      <c r="E325" s="1429" t="b">
        <v>0</v>
      </c>
      <c r="F325" s="1429" t="b">
        <v>0</v>
      </c>
      <c r="G325" s="1429" t="b">
        <v>0</v>
      </c>
      <c r="H325" s="1429" t="b">
        <v>0</v>
      </c>
      <c r="I325" s="1429" t="b">
        <v>0</v>
      </c>
      <c r="J325" s="1429" t="b">
        <v>0</v>
      </c>
      <c r="K325" s="1430" t="s">
        <v>2235</v>
      </c>
      <c r="L325" s="1431" t="s">
        <v>3122</v>
      </c>
      <c r="M325" s="1432">
        <v>2.0</v>
      </c>
      <c r="N325" s="1432" t="s">
        <v>2252</v>
      </c>
      <c r="O325" s="1438" t="b">
        <v>1</v>
      </c>
      <c r="P325" s="1433" t="b">
        <v>0</v>
      </c>
      <c r="Q325" s="1434" t="s">
        <v>2316</v>
      </c>
      <c r="R325" s="1434" t="s">
        <v>2254</v>
      </c>
      <c r="S325" s="1434" t="b">
        <v>1</v>
      </c>
      <c r="T325" s="1434" t="b">
        <v>1</v>
      </c>
      <c r="U325" s="1439" t="b">
        <v>0</v>
      </c>
      <c r="V325" s="1439"/>
      <c r="W325" s="1434" t="s">
        <v>2288</v>
      </c>
      <c r="X325" s="1435" t="s">
        <v>3123</v>
      </c>
      <c r="Y325" s="1434" t="s">
        <v>113</v>
      </c>
    </row>
    <row r="326">
      <c r="A326" s="1419"/>
      <c r="B326" s="1421" t="b">
        <v>0</v>
      </c>
      <c r="C326" s="1421" t="b">
        <v>0</v>
      </c>
      <c r="D326" s="1421" t="b">
        <v>0</v>
      </c>
      <c r="E326" s="1421" t="b">
        <v>0</v>
      </c>
      <c r="F326" s="1420" t="b">
        <v>1</v>
      </c>
      <c r="G326" s="1421" t="b">
        <v>0</v>
      </c>
      <c r="H326" s="1421" t="b">
        <v>0</v>
      </c>
      <c r="I326" s="1421" t="b">
        <v>0</v>
      </c>
      <c r="J326" s="1421" t="b">
        <v>0</v>
      </c>
      <c r="K326" s="1422" t="s">
        <v>2158</v>
      </c>
      <c r="L326" s="1423" t="s">
        <v>3124</v>
      </c>
      <c r="M326" s="1424">
        <v>4.0</v>
      </c>
      <c r="N326" s="1424" t="s">
        <v>2273</v>
      </c>
      <c r="O326" s="1425" t="b">
        <v>0</v>
      </c>
      <c r="P326" s="1425" t="b">
        <v>0</v>
      </c>
      <c r="Q326" s="1426" t="s">
        <v>2344</v>
      </c>
      <c r="R326" s="1426" t="s">
        <v>2269</v>
      </c>
      <c r="S326" s="1426" t="b">
        <v>1</v>
      </c>
      <c r="T326" s="1427" t="b">
        <v>0</v>
      </c>
      <c r="U326" s="1427" t="b">
        <v>0</v>
      </c>
      <c r="V326" s="1427"/>
      <c r="W326" s="1426" t="s">
        <v>2255</v>
      </c>
      <c r="X326" s="1437" t="s">
        <v>3125</v>
      </c>
      <c r="Y326" s="1426" t="s">
        <v>113</v>
      </c>
    </row>
    <row r="327">
      <c r="A327" s="1419"/>
      <c r="B327" s="1429" t="b">
        <v>0</v>
      </c>
      <c r="C327" s="1428" t="b">
        <v>1</v>
      </c>
      <c r="D327" s="1429" t="b">
        <v>0</v>
      </c>
      <c r="E327" s="1428" t="b">
        <v>1</v>
      </c>
      <c r="F327" s="1429" t="b">
        <v>0</v>
      </c>
      <c r="G327" s="1429" t="b">
        <v>0</v>
      </c>
      <c r="H327" s="1429" t="b">
        <v>0</v>
      </c>
      <c r="I327" s="1429" t="b">
        <v>0</v>
      </c>
      <c r="J327" s="1429" t="b">
        <v>0</v>
      </c>
      <c r="K327" s="1430" t="s">
        <v>2107</v>
      </c>
      <c r="L327" s="1431" t="s">
        <v>3126</v>
      </c>
      <c r="M327" s="1432">
        <v>0.0</v>
      </c>
      <c r="N327" s="1432" t="s">
        <v>2252</v>
      </c>
      <c r="O327" s="1433" t="b">
        <v>0</v>
      </c>
      <c r="P327" s="1433" t="b">
        <v>0</v>
      </c>
      <c r="Q327" s="1434" t="s">
        <v>2253</v>
      </c>
      <c r="R327" s="1434" t="s">
        <v>2254</v>
      </c>
      <c r="S327" s="1434" t="b">
        <v>1</v>
      </c>
      <c r="T327" s="1434" t="b">
        <v>1</v>
      </c>
      <c r="U327" s="1439" t="b">
        <v>0</v>
      </c>
      <c r="V327" s="1439"/>
      <c r="W327" s="1434" t="s">
        <v>2255</v>
      </c>
      <c r="X327" s="1435" t="s">
        <v>3127</v>
      </c>
      <c r="Y327" s="1434" t="s">
        <v>113</v>
      </c>
    </row>
    <row r="328">
      <c r="A328" s="1419"/>
      <c r="B328" s="1420" t="b">
        <v>0</v>
      </c>
      <c r="C328" s="1421" t="b">
        <v>0</v>
      </c>
      <c r="D328" s="1421" t="b">
        <v>0</v>
      </c>
      <c r="E328" s="1421" t="b">
        <v>0</v>
      </c>
      <c r="F328" s="1421" t="b">
        <v>0</v>
      </c>
      <c r="G328" s="1420" t="b">
        <v>1</v>
      </c>
      <c r="H328" s="1421" t="b">
        <v>0</v>
      </c>
      <c r="I328" s="1421" t="b">
        <v>0</v>
      </c>
      <c r="J328" s="1420" t="b">
        <v>1</v>
      </c>
      <c r="K328" s="1422" t="s">
        <v>2178</v>
      </c>
      <c r="L328" s="1423" t="s">
        <v>3128</v>
      </c>
      <c r="M328" s="1424">
        <v>5.0</v>
      </c>
      <c r="N328" s="1424" t="s">
        <v>2306</v>
      </c>
      <c r="O328" s="1425" t="b">
        <v>0</v>
      </c>
      <c r="P328" s="1425" t="b">
        <v>0</v>
      </c>
      <c r="Q328" s="1426" t="s">
        <v>2253</v>
      </c>
      <c r="R328" s="1426" t="s">
        <v>2259</v>
      </c>
      <c r="S328" s="1426" t="b">
        <v>0</v>
      </c>
      <c r="T328" s="1426" t="b">
        <v>1</v>
      </c>
      <c r="U328" s="1426" t="b">
        <v>1</v>
      </c>
      <c r="V328" s="1426" t="s">
        <v>3129</v>
      </c>
      <c r="W328" s="1426" t="s">
        <v>2255</v>
      </c>
      <c r="X328" s="1437" t="s">
        <v>3130</v>
      </c>
      <c r="Y328" s="1426" t="s">
        <v>113</v>
      </c>
    </row>
    <row r="329">
      <c r="A329" s="1419"/>
      <c r="B329" s="1428" t="b">
        <v>0</v>
      </c>
      <c r="C329" s="1428" t="b">
        <v>1</v>
      </c>
      <c r="D329" s="1429" t="b">
        <v>0</v>
      </c>
      <c r="E329" s="1429" t="b">
        <v>0</v>
      </c>
      <c r="F329" s="1429" t="b">
        <v>0</v>
      </c>
      <c r="G329" s="1429" t="b">
        <v>0</v>
      </c>
      <c r="H329" s="1428" t="b">
        <v>1</v>
      </c>
      <c r="I329" s="1429" t="b">
        <v>0</v>
      </c>
      <c r="J329" s="1428" t="b">
        <v>1</v>
      </c>
      <c r="K329" s="1430" t="s">
        <v>2203</v>
      </c>
      <c r="L329" s="1431" t="s">
        <v>3131</v>
      </c>
      <c r="M329" s="1432">
        <v>3.0</v>
      </c>
      <c r="N329" s="1432" t="s">
        <v>2306</v>
      </c>
      <c r="O329" s="1438" t="b">
        <v>1</v>
      </c>
      <c r="P329" s="1433" t="b">
        <v>0</v>
      </c>
      <c r="Q329" s="1434" t="s">
        <v>2253</v>
      </c>
      <c r="R329" s="1434" t="s">
        <v>2368</v>
      </c>
      <c r="S329" s="1434" t="b">
        <v>1</v>
      </c>
      <c r="T329" s="1434" t="b">
        <v>1</v>
      </c>
      <c r="U329" s="1434" t="b">
        <v>1</v>
      </c>
      <c r="V329" s="1434" t="s">
        <v>3132</v>
      </c>
      <c r="W329" s="1434" t="s">
        <v>2288</v>
      </c>
      <c r="X329" s="1435" t="s">
        <v>3133</v>
      </c>
      <c r="Y329" s="1434" t="s">
        <v>113</v>
      </c>
    </row>
    <row r="330">
      <c r="A330" s="1419"/>
      <c r="B330" s="1420" t="b">
        <v>1</v>
      </c>
      <c r="C330" s="1421" t="b">
        <v>0</v>
      </c>
      <c r="D330" s="1420" t="b">
        <v>1</v>
      </c>
      <c r="E330" s="1420" t="b">
        <v>1</v>
      </c>
      <c r="F330" s="1421" t="b">
        <v>0</v>
      </c>
      <c r="G330" s="1421" t="b">
        <v>0</v>
      </c>
      <c r="H330" s="1421" t="b">
        <v>0</v>
      </c>
      <c r="I330" s="1421" t="b">
        <v>0</v>
      </c>
      <c r="J330" s="1420" t="b">
        <v>1</v>
      </c>
      <c r="K330" s="1422" t="s">
        <v>2164</v>
      </c>
      <c r="L330" s="1423" t="s">
        <v>3134</v>
      </c>
      <c r="M330" s="1424">
        <v>4.0</v>
      </c>
      <c r="N330" s="1424" t="s">
        <v>2268</v>
      </c>
      <c r="O330" s="1425" t="b">
        <v>0</v>
      </c>
      <c r="P330" s="1425" t="b">
        <v>0</v>
      </c>
      <c r="Q330" s="1426" t="s">
        <v>2253</v>
      </c>
      <c r="R330" s="1426" t="s">
        <v>2311</v>
      </c>
      <c r="S330" s="1426" t="b">
        <v>1</v>
      </c>
      <c r="T330" s="1426" t="b">
        <v>1</v>
      </c>
      <c r="U330" s="1426" t="b">
        <v>1</v>
      </c>
      <c r="V330" s="1426" t="s">
        <v>3135</v>
      </c>
      <c r="W330" s="1426" t="s">
        <v>2255</v>
      </c>
      <c r="X330" s="1437" t="s">
        <v>3136</v>
      </c>
      <c r="Y330" s="1426" t="s">
        <v>113</v>
      </c>
    </row>
    <row r="331">
      <c r="A331" s="1419"/>
      <c r="B331" s="1428" t="b">
        <v>1</v>
      </c>
      <c r="C331" s="1429" t="b">
        <v>0</v>
      </c>
      <c r="D331" s="1429" t="b">
        <v>0</v>
      </c>
      <c r="E331" s="1428" t="b">
        <v>1</v>
      </c>
      <c r="F331" s="1429" t="b">
        <v>0</v>
      </c>
      <c r="G331" s="1428" t="b">
        <v>1</v>
      </c>
      <c r="H331" s="1428" t="b">
        <v>1</v>
      </c>
      <c r="I331" s="1429" t="b">
        <v>0</v>
      </c>
      <c r="J331" s="1428" t="b">
        <v>1</v>
      </c>
      <c r="K331" s="1430" t="s">
        <v>2169</v>
      </c>
      <c r="L331" s="1431" t="s">
        <v>3137</v>
      </c>
      <c r="M331" s="1432">
        <v>4.0</v>
      </c>
      <c r="N331" s="1432" t="s">
        <v>2258</v>
      </c>
      <c r="O331" s="1438" t="b">
        <v>1</v>
      </c>
      <c r="P331" s="1433" t="b">
        <v>0</v>
      </c>
      <c r="Q331" s="1434" t="s">
        <v>2253</v>
      </c>
      <c r="R331" s="1434" t="s">
        <v>2311</v>
      </c>
      <c r="S331" s="1434" t="b">
        <v>1</v>
      </c>
      <c r="T331" s="1434" t="b">
        <v>1</v>
      </c>
      <c r="U331" s="1434" t="b">
        <v>1</v>
      </c>
      <c r="V331" s="1434" t="s">
        <v>3138</v>
      </c>
      <c r="W331" s="1434" t="s">
        <v>2270</v>
      </c>
      <c r="X331" s="1435" t="s">
        <v>3139</v>
      </c>
      <c r="Y331" s="1434" t="s">
        <v>113</v>
      </c>
    </row>
    <row r="332">
      <c r="A332" s="1419"/>
      <c r="B332" s="1421" t="b">
        <v>0</v>
      </c>
      <c r="C332" s="1421" t="b">
        <v>0</v>
      </c>
      <c r="D332" s="1421" t="b">
        <v>0</v>
      </c>
      <c r="E332" s="1420" t="b">
        <v>1</v>
      </c>
      <c r="F332" s="1421" t="b">
        <v>0</v>
      </c>
      <c r="G332" s="1421" t="b">
        <v>0</v>
      </c>
      <c r="H332" s="1421" t="b">
        <v>0</v>
      </c>
      <c r="I332" s="1421" t="b">
        <v>0</v>
      </c>
      <c r="J332" s="1421" t="b">
        <v>0</v>
      </c>
      <c r="K332" s="1422" t="s">
        <v>1985</v>
      </c>
      <c r="L332" s="1423" t="s">
        <v>3140</v>
      </c>
      <c r="M332" s="1424">
        <v>9.0</v>
      </c>
      <c r="N332" s="1424" t="s">
        <v>2306</v>
      </c>
      <c r="O332" s="1436" t="b">
        <v>1</v>
      </c>
      <c r="P332" s="1425" t="b">
        <v>0</v>
      </c>
      <c r="Q332" s="1426" t="s">
        <v>2253</v>
      </c>
      <c r="R332" s="1426" t="s">
        <v>2412</v>
      </c>
      <c r="S332" s="1426" t="b">
        <v>1</v>
      </c>
      <c r="T332" s="1426" t="b">
        <v>1</v>
      </c>
      <c r="U332" s="1427" t="b">
        <v>0</v>
      </c>
      <c r="V332" s="1427"/>
      <c r="W332" s="1426" t="s">
        <v>2288</v>
      </c>
      <c r="X332" s="1437" t="s">
        <v>3141</v>
      </c>
      <c r="Y332" s="1426" t="s">
        <v>113</v>
      </c>
    </row>
    <row r="333">
      <c r="A333" s="1419"/>
      <c r="B333" s="1428" t="b">
        <v>0</v>
      </c>
      <c r="C333" s="1428" t="b">
        <v>1</v>
      </c>
      <c r="D333" s="1429" t="b">
        <v>0</v>
      </c>
      <c r="E333" s="1429" t="b">
        <v>0</v>
      </c>
      <c r="F333" s="1429" t="b">
        <v>0</v>
      </c>
      <c r="G333" s="1429" t="b">
        <v>0</v>
      </c>
      <c r="H333" s="1428" t="b">
        <v>1</v>
      </c>
      <c r="I333" s="1428" t="b">
        <v>1</v>
      </c>
      <c r="J333" s="1428" t="b">
        <v>1</v>
      </c>
      <c r="K333" s="1430" t="s">
        <v>2237</v>
      </c>
      <c r="L333" s="1431" t="s">
        <v>3142</v>
      </c>
      <c r="M333" s="1432">
        <v>2.0</v>
      </c>
      <c r="N333" s="1432" t="s">
        <v>2273</v>
      </c>
      <c r="O333" s="1438" t="b">
        <v>1</v>
      </c>
      <c r="P333" s="1433" t="b">
        <v>0</v>
      </c>
      <c r="Q333" s="1434" t="s">
        <v>2253</v>
      </c>
      <c r="R333" s="1434" t="s">
        <v>2259</v>
      </c>
      <c r="S333" s="1434" t="b">
        <v>1</v>
      </c>
      <c r="T333" s="1439" t="b">
        <v>0</v>
      </c>
      <c r="U333" s="1434" t="b">
        <v>1</v>
      </c>
      <c r="V333" s="1434" t="s">
        <v>3143</v>
      </c>
      <c r="W333" s="1434" t="s">
        <v>2481</v>
      </c>
      <c r="X333" s="1435" t="s">
        <v>3144</v>
      </c>
      <c r="Y333" s="1434" t="s">
        <v>113</v>
      </c>
    </row>
    <row r="334">
      <c r="A334" s="1419"/>
      <c r="B334" s="1420" t="b">
        <v>0</v>
      </c>
      <c r="C334" s="1421" t="b">
        <v>0</v>
      </c>
      <c r="D334" s="1421" t="b">
        <v>0</v>
      </c>
      <c r="E334" s="1421" t="b">
        <v>0</v>
      </c>
      <c r="F334" s="1421" t="b">
        <v>0</v>
      </c>
      <c r="G334" s="1421" t="b">
        <v>0</v>
      </c>
      <c r="H334" s="1421" t="b">
        <v>0</v>
      </c>
      <c r="I334" s="1420" t="b">
        <v>1</v>
      </c>
      <c r="J334" s="1420" t="b">
        <v>1</v>
      </c>
      <c r="K334" s="1422" t="s">
        <v>627</v>
      </c>
      <c r="L334" s="1423" t="s">
        <v>3145</v>
      </c>
      <c r="M334" s="1424">
        <v>4.0</v>
      </c>
      <c r="N334" s="1424" t="s">
        <v>2306</v>
      </c>
      <c r="O334" s="1436" t="b">
        <v>1</v>
      </c>
      <c r="P334" s="1425" t="b">
        <v>0</v>
      </c>
      <c r="Q334" s="1426" t="s">
        <v>2253</v>
      </c>
      <c r="R334" s="1426" t="s">
        <v>2368</v>
      </c>
      <c r="S334" s="1426" t="b">
        <v>1</v>
      </c>
      <c r="T334" s="1426" t="b">
        <v>1</v>
      </c>
      <c r="U334" s="1426" t="b">
        <v>1</v>
      </c>
      <c r="V334" s="1426" t="s">
        <v>3146</v>
      </c>
      <c r="W334" s="1426" t="s">
        <v>2270</v>
      </c>
      <c r="X334" s="1437" t="s">
        <v>3147</v>
      </c>
      <c r="Y334" s="1426" t="s">
        <v>113</v>
      </c>
    </row>
    <row r="335">
      <c r="A335" s="1419"/>
      <c r="B335" s="1429" t="b">
        <v>0</v>
      </c>
      <c r="C335" s="1429" t="b">
        <v>0</v>
      </c>
      <c r="D335" s="1429" t="b">
        <v>0</v>
      </c>
      <c r="E335" s="1428" t="b">
        <v>1</v>
      </c>
      <c r="F335" s="1429" t="b">
        <v>0</v>
      </c>
      <c r="G335" s="1428" t="b">
        <v>1</v>
      </c>
      <c r="H335" s="1429" t="b">
        <v>0</v>
      </c>
      <c r="I335" s="1429" t="b">
        <v>0</v>
      </c>
      <c r="J335" s="1429" t="b">
        <v>0</v>
      </c>
      <c r="K335" s="1430" t="s">
        <v>603</v>
      </c>
      <c r="L335" s="1431" t="s">
        <v>3148</v>
      </c>
      <c r="M335" s="1432">
        <v>2.0</v>
      </c>
      <c r="N335" s="1432" t="s">
        <v>2306</v>
      </c>
      <c r="O335" s="1438" t="b">
        <v>1</v>
      </c>
      <c r="P335" s="1433" t="b">
        <v>0</v>
      </c>
      <c r="Q335" s="1434" t="s">
        <v>2253</v>
      </c>
      <c r="R335" s="1434" t="s">
        <v>2368</v>
      </c>
      <c r="S335" s="1434" t="b">
        <v>1</v>
      </c>
      <c r="T335" s="1434" t="b">
        <v>1</v>
      </c>
      <c r="U335" s="1434" t="b">
        <v>1</v>
      </c>
      <c r="V335" s="1434" t="s">
        <v>3149</v>
      </c>
      <c r="W335" s="1434" t="s">
        <v>2270</v>
      </c>
      <c r="X335" s="1435" t="s">
        <v>3150</v>
      </c>
      <c r="Y335" s="1434" t="s">
        <v>113</v>
      </c>
    </row>
    <row r="336">
      <c r="A336" s="1419"/>
      <c r="B336" s="1421" t="b">
        <v>0</v>
      </c>
      <c r="C336" s="1421" t="b">
        <v>0</v>
      </c>
      <c r="D336" s="1420" t="b">
        <v>1</v>
      </c>
      <c r="E336" s="1421" t="b">
        <v>0</v>
      </c>
      <c r="F336" s="1420" t="b">
        <v>1</v>
      </c>
      <c r="G336" s="1421" t="b">
        <v>0</v>
      </c>
      <c r="H336" s="1421" t="b">
        <v>0</v>
      </c>
      <c r="I336" s="1421" t="b">
        <v>0</v>
      </c>
      <c r="J336" s="1421" t="b">
        <v>0</v>
      </c>
      <c r="K336" s="1422" t="s">
        <v>648</v>
      </c>
      <c r="L336" s="1423" t="s">
        <v>3151</v>
      </c>
      <c r="M336" s="1424">
        <v>5.0</v>
      </c>
      <c r="N336" s="1424" t="s">
        <v>2306</v>
      </c>
      <c r="O336" s="1436" t="b">
        <v>1</v>
      </c>
      <c r="P336" s="1425" t="b">
        <v>0</v>
      </c>
      <c r="Q336" s="1426" t="s">
        <v>2253</v>
      </c>
      <c r="R336" s="1426" t="s">
        <v>2368</v>
      </c>
      <c r="S336" s="1426" t="b">
        <v>1</v>
      </c>
      <c r="T336" s="1426" t="b">
        <v>1</v>
      </c>
      <c r="U336" s="1426" t="b">
        <v>1</v>
      </c>
      <c r="V336" s="1426" t="s">
        <v>3152</v>
      </c>
      <c r="W336" s="1426" t="s">
        <v>2270</v>
      </c>
      <c r="X336" s="1437" t="s">
        <v>3153</v>
      </c>
      <c r="Y336" s="1426" t="s">
        <v>113</v>
      </c>
    </row>
    <row r="337">
      <c r="A337" s="1419"/>
      <c r="B337" s="1428" t="b">
        <v>1</v>
      </c>
      <c r="C337" s="1429" t="b">
        <v>0</v>
      </c>
      <c r="D337" s="1429" t="b">
        <v>0</v>
      </c>
      <c r="E337" s="1429" t="b">
        <v>0</v>
      </c>
      <c r="F337" s="1429" t="b">
        <v>0</v>
      </c>
      <c r="G337" s="1429" t="b">
        <v>0</v>
      </c>
      <c r="H337" s="1429" t="b">
        <v>0</v>
      </c>
      <c r="I337" s="1429" t="b">
        <v>0</v>
      </c>
      <c r="J337" s="1428" t="b">
        <v>1</v>
      </c>
      <c r="K337" s="1430" t="s">
        <v>632</v>
      </c>
      <c r="L337" s="1431" t="s">
        <v>3154</v>
      </c>
      <c r="M337" s="1432">
        <v>4.0</v>
      </c>
      <c r="N337" s="1432" t="s">
        <v>2306</v>
      </c>
      <c r="O337" s="1438" t="b">
        <v>1</v>
      </c>
      <c r="P337" s="1433" t="b">
        <v>0</v>
      </c>
      <c r="Q337" s="1434" t="s">
        <v>2253</v>
      </c>
      <c r="R337" s="1434" t="s">
        <v>2368</v>
      </c>
      <c r="S337" s="1434" t="b">
        <v>1</v>
      </c>
      <c r="T337" s="1434" t="b">
        <v>1</v>
      </c>
      <c r="U337" s="1434" t="b">
        <v>1</v>
      </c>
      <c r="V337" s="1434" t="s">
        <v>3155</v>
      </c>
      <c r="W337" s="1434" t="s">
        <v>2270</v>
      </c>
      <c r="X337" s="1435" t="s">
        <v>3156</v>
      </c>
      <c r="Y337" s="1434" t="s">
        <v>113</v>
      </c>
    </row>
    <row r="338">
      <c r="A338" s="1419"/>
      <c r="B338" s="1420" t="b">
        <v>0</v>
      </c>
      <c r="C338" s="1421" t="b">
        <v>0</v>
      </c>
      <c r="D338" s="1421" t="b">
        <v>0</v>
      </c>
      <c r="E338" s="1421" t="b">
        <v>0</v>
      </c>
      <c r="F338" s="1421" t="b">
        <v>0</v>
      </c>
      <c r="G338" s="1421" t="b">
        <v>0</v>
      </c>
      <c r="H338" s="1421" t="b">
        <v>0</v>
      </c>
      <c r="I338" s="1421" t="b">
        <v>0</v>
      </c>
      <c r="J338" s="1420" t="b">
        <v>1</v>
      </c>
      <c r="K338" s="1422" t="s">
        <v>652</v>
      </c>
      <c r="L338" s="1423" t="s">
        <v>3157</v>
      </c>
      <c r="M338" s="1424">
        <v>5.0</v>
      </c>
      <c r="N338" s="1424" t="s">
        <v>2306</v>
      </c>
      <c r="O338" s="1436" t="b">
        <v>1</v>
      </c>
      <c r="P338" s="1425" t="b">
        <v>0</v>
      </c>
      <c r="Q338" s="1426" t="s">
        <v>2253</v>
      </c>
      <c r="R338" s="1426" t="s">
        <v>2368</v>
      </c>
      <c r="S338" s="1426" t="b">
        <v>1</v>
      </c>
      <c r="T338" s="1426" t="b">
        <v>1</v>
      </c>
      <c r="U338" s="1426" t="b">
        <v>1</v>
      </c>
      <c r="V338" s="1426" t="s">
        <v>3158</v>
      </c>
      <c r="W338" s="1426" t="s">
        <v>2270</v>
      </c>
      <c r="X338" s="1437" t="s">
        <v>3159</v>
      </c>
      <c r="Y338" s="1426" t="s">
        <v>113</v>
      </c>
    </row>
    <row r="339">
      <c r="A339" s="1419"/>
      <c r="B339" s="1428" t="b">
        <v>0</v>
      </c>
      <c r="C339" s="1429" t="b">
        <v>0</v>
      </c>
      <c r="D339" s="1429" t="b">
        <v>0</v>
      </c>
      <c r="E339" s="1428" t="b">
        <v>1</v>
      </c>
      <c r="F339" s="1429" t="b">
        <v>0</v>
      </c>
      <c r="G339" s="1428" t="b">
        <v>1</v>
      </c>
      <c r="H339" s="1429" t="b">
        <v>0</v>
      </c>
      <c r="I339" s="1429" t="b">
        <v>0</v>
      </c>
      <c r="J339" s="1428" t="b">
        <v>1</v>
      </c>
      <c r="K339" s="1430" t="s">
        <v>637</v>
      </c>
      <c r="L339" s="1431" t="s">
        <v>3160</v>
      </c>
      <c r="M339" s="1432">
        <v>4.0</v>
      </c>
      <c r="N339" s="1432" t="s">
        <v>2306</v>
      </c>
      <c r="O339" s="1438" t="b">
        <v>1</v>
      </c>
      <c r="P339" s="1433" t="b">
        <v>0</v>
      </c>
      <c r="Q339" s="1434" t="s">
        <v>2253</v>
      </c>
      <c r="R339" s="1434" t="s">
        <v>2368</v>
      </c>
      <c r="S339" s="1434" t="b">
        <v>1</v>
      </c>
      <c r="T339" s="1434" t="b">
        <v>1</v>
      </c>
      <c r="U339" s="1434" t="b">
        <v>1</v>
      </c>
      <c r="V339" s="1434" t="s">
        <v>3161</v>
      </c>
      <c r="W339" s="1434" t="s">
        <v>2270</v>
      </c>
      <c r="X339" s="1435" t="s">
        <v>3162</v>
      </c>
      <c r="Y339" s="1434" t="s">
        <v>113</v>
      </c>
    </row>
    <row r="340">
      <c r="A340" s="1419"/>
      <c r="B340" s="1420" t="b">
        <v>0</v>
      </c>
      <c r="C340" s="1421" t="b">
        <v>0</v>
      </c>
      <c r="D340" s="1421" t="b">
        <v>0</v>
      </c>
      <c r="E340" s="1420" t="b">
        <v>1</v>
      </c>
      <c r="F340" s="1421" t="b">
        <v>0</v>
      </c>
      <c r="G340" s="1420" t="b">
        <v>1</v>
      </c>
      <c r="H340" s="1421" t="b">
        <v>0</v>
      </c>
      <c r="I340" s="1420" t="b">
        <v>1</v>
      </c>
      <c r="J340" s="1420" t="b">
        <v>1</v>
      </c>
      <c r="K340" s="1422" t="s">
        <v>612</v>
      </c>
      <c r="L340" s="1423" t="s">
        <v>3163</v>
      </c>
      <c r="M340" s="1424">
        <v>3.0</v>
      </c>
      <c r="N340" s="1424" t="s">
        <v>2306</v>
      </c>
      <c r="O340" s="1436" t="b">
        <v>1</v>
      </c>
      <c r="P340" s="1425" t="b">
        <v>0</v>
      </c>
      <c r="Q340" s="1426" t="s">
        <v>2253</v>
      </c>
      <c r="R340" s="1426" t="s">
        <v>2368</v>
      </c>
      <c r="S340" s="1426" t="b">
        <v>1</v>
      </c>
      <c r="T340" s="1426" t="b">
        <v>1</v>
      </c>
      <c r="U340" s="1426" t="b">
        <v>1</v>
      </c>
      <c r="V340" s="1426" t="s">
        <v>3164</v>
      </c>
      <c r="W340" s="1426" t="s">
        <v>2270</v>
      </c>
      <c r="X340" s="1437" t="s">
        <v>3165</v>
      </c>
      <c r="Y340" s="1426" t="s">
        <v>113</v>
      </c>
    </row>
    <row r="341">
      <c r="A341" s="1419"/>
      <c r="B341" s="1428" t="b">
        <v>0</v>
      </c>
      <c r="C341" s="1429" t="b">
        <v>0</v>
      </c>
      <c r="D341" s="1429" t="b">
        <v>0</v>
      </c>
      <c r="E341" s="1429" t="b">
        <v>0</v>
      </c>
      <c r="F341" s="1429" t="b">
        <v>0</v>
      </c>
      <c r="G341" s="1429" t="b">
        <v>0</v>
      </c>
      <c r="H341" s="1429" t="b">
        <v>0</v>
      </c>
      <c r="I341" s="1428" t="b">
        <v>1</v>
      </c>
      <c r="J341" s="1428" t="b">
        <v>1</v>
      </c>
      <c r="K341" s="1430" t="s">
        <v>654</v>
      </c>
      <c r="L341" s="1431" t="s">
        <v>3166</v>
      </c>
      <c r="M341" s="1432">
        <v>6.0</v>
      </c>
      <c r="N341" s="1432" t="s">
        <v>2306</v>
      </c>
      <c r="O341" s="1438" t="b">
        <v>1</v>
      </c>
      <c r="P341" s="1433" t="b">
        <v>0</v>
      </c>
      <c r="Q341" s="1434" t="s">
        <v>2253</v>
      </c>
      <c r="R341" s="1434" t="s">
        <v>2368</v>
      </c>
      <c r="S341" s="1434" t="b">
        <v>1</v>
      </c>
      <c r="T341" s="1434" t="b">
        <v>1</v>
      </c>
      <c r="U341" s="1434" t="b">
        <v>1</v>
      </c>
      <c r="V341" s="1434" t="s">
        <v>3167</v>
      </c>
      <c r="W341" s="1434" t="s">
        <v>2270</v>
      </c>
      <c r="X341" s="1435" t="s">
        <v>3168</v>
      </c>
      <c r="Y341" s="1434" t="s">
        <v>113</v>
      </c>
    </row>
    <row r="342">
      <c r="A342" s="1419"/>
      <c r="B342" s="1420" t="b">
        <v>0</v>
      </c>
      <c r="C342" s="1421" t="b">
        <v>0</v>
      </c>
      <c r="D342" s="1421" t="b">
        <v>0</v>
      </c>
      <c r="E342" s="1421" t="b">
        <v>0</v>
      </c>
      <c r="F342" s="1421" t="b">
        <v>0</v>
      </c>
      <c r="G342" s="1421" t="b">
        <v>0</v>
      </c>
      <c r="H342" s="1421" t="b">
        <v>0</v>
      </c>
      <c r="I342" s="1420" t="b">
        <v>1</v>
      </c>
      <c r="J342" s="1420" t="b">
        <v>1</v>
      </c>
      <c r="K342" s="1422" t="s">
        <v>617</v>
      </c>
      <c r="L342" s="1423" t="s">
        <v>3169</v>
      </c>
      <c r="M342" s="1424">
        <v>3.0</v>
      </c>
      <c r="N342" s="1424" t="s">
        <v>2282</v>
      </c>
      <c r="O342" s="1436" t="b">
        <v>1</v>
      </c>
      <c r="P342" s="1425" t="b">
        <v>0</v>
      </c>
      <c r="Q342" s="1426" t="s">
        <v>2253</v>
      </c>
      <c r="R342" s="1426" t="s">
        <v>2368</v>
      </c>
      <c r="S342" s="1426" t="b">
        <v>1</v>
      </c>
      <c r="T342" s="1426" t="b">
        <v>1</v>
      </c>
      <c r="U342" s="1426" t="b">
        <v>1</v>
      </c>
      <c r="V342" s="1426" t="s">
        <v>3170</v>
      </c>
      <c r="W342" s="1426" t="s">
        <v>2270</v>
      </c>
      <c r="X342" s="1437" t="s">
        <v>3171</v>
      </c>
      <c r="Y342" s="1426" t="s">
        <v>113</v>
      </c>
    </row>
    <row r="343">
      <c r="A343" s="1419"/>
      <c r="B343" s="1428" t="b">
        <v>0</v>
      </c>
      <c r="C343" s="1429" t="b">
        <v>0</v>
      </c>
      <c r="D343" s="1428" t="b">
        <v>1</v>
      </c>
      <c r="E343" s="1428" t="b">
        <v>1</v>
      </c>
      <c r="F343" s="1429" t="b">
        <v>0</v>
      </c>
      <c r="G343" s="1429" t="b">
        <v>0</v>
      </c>
      <c r="H343" s="1428" t="b">
        <v>1</v>
      </c>
      <c r="I343" s="1429" t="b">
        <v>0</v>
      </c>
      <c r="J343" s="1428" t="b">
        <v>1</v>
      </c>
      <c r="K343" s="1430" t="s">
        <v>2113</v>
      </c>
      <c r="L343" s="1431" t="s">
        <v>3172</v>
      </c>
      <c r="M343" s="1432">
        <v>6.0</v>
      </c>
      <c r="N343" s="1432" t="s">
        <v>2252</v>
      </c>
      <c r="O343" s="1438" t="b">
        <v>1</v>
      </c>
      <c r="P343" s="1433" t="b">
        <v>0</v>
      </c>
      <c r="Q343" s="1434" t="s">
        <v>2253</v>
      </c>
      <c r="R343" s="1434" t="s">
        <v>2269</v>
      </c>
      <c r="S343" s="1434" t="b">
        <v>1</v>
      </c>
      <c r="T343" s="1434" t="b">
        <v>1</v>
      </c>
      <c r="U343" s="1434" t="b">
        <v>1</v>
      </c>
      <c r="V343" s="1434" t="s">
        <v>3173</v>
      </c>
      <c r="W343" s="1434" t="s">
        <v>2288</v>
      </c>
      <c r="X343" s="1435" t="s">
        <v>3174</v>
      </c>
      <c r="Y343" s="1434" t="s">
        <v>113</v>
      </c>
    </row>
    <row r="344">
      <c r="A344" s="1419"/>
      <c r="B344" s="1420" t="b">
        <v>0</v>
      </c>
      <c r="C344" s="1421" t="b">
        <v>0</v>
      </c>
      <c r="D344" s="1420" t="b">
        <v>1</v>
      </c>
      <c r="E344" s="1420" t="b">
        <v>1</v>
      </c>
      <c r="F344" s="1421" t="b">
        <v>0</v>
      </c>
      <c r="G344" s="1421" t="b">
        <v>0</v>
      </c>
      <c r="H344" s="1420" t="b">
        <v>1</v>
      </c>
      <c r="I344" s="1421" t="b">
        <v>0</v>
      </c>
      <c r="J344" s="1420" t="b">
        <v>1</v>
      </c>
      <c r="K344" s="1422" t="s">
        <v>2034</v>
      </c>
      <c r="L344" s="1423" t="s">
        <v>3175</v>
      </c>
      <c r="M344" s="1424">
        <v>8.0</v>
      </c>
      <c r="N344" s="1424" t="s">
        <v>2252</v>
      </c>
      <c r="O344" s="1425" t="b">
        <v>0</v>
      </c>
      <c r="P344" s="1425" t="b">
        <v>0</v>
      </c>
      <c r="Q344" s="1426" t="s">
        <v>2253</v>
      </c>
      <c r="R344" s="1426" t="s">
        <v>2359</v>
      </c>
      <c r="S344" s="1426" t="b">
        <v>1</v>
      </c>
      <c r="T344" s="1426" t="b">
        <v>1</v>
      </c>
      <c r="U344" s="1426" t="b">
        <v>1</v>
      </c>
      <c r="V344" s="1426" t="s">
        <v>3176</v>
      </c>
      <c r="W344" s="1426" t="s">
        <v>2255</v>
      </c>
      <c r="X344" s="1437" t="s">
        <v>3177</v>
      </c>
      <c r="Y344" s="1426" t="s">
        <v>113</v>
      </c>
    </row>
    <row r="345">
      <c r="A345" s="1419"/>
      <c r="B345" s="1429" t="b">
        <v>0</v>
      </c>
      <c r="C345" s="1429" t="b">
        <v>0</v>
      </c>
      <c r="D345" s="1429" t="b">
        <v>0</v>
      </c>
      <c r="E345" s="1429" t="b">
        <v>0</v>
      </c>
      <c r="F345" s="1429" t="b">
        <v>0</v>
      </c>
      <c r="G345" s="1428" t="b">
        <v>1</v>
      </c>
      <c r="H345" s="1429" t="b">
        <v>0</v>
      </c>
      <c r="I345" s="1429" t="b">
        <v>0</v>
      </c>
      <c r="J345" s="1429" t="b">
        <v>0</v>
      </c>
      <c r="K345" s="1430" t="s">
        <v>2189</v>
      </c>
      <c r="L345" s="1431" t="s">
        <v>3178</v>
      </c>
      <c r="M345" s="1432">
        <v>5.0</v>
      </c>
      <c r="N345" s="1432" t="s">
        <v>2268</v>
      </c>
      <c r="O345" s="1438" t="b">
        <v>1</v>
      </c>
      <c r="P345" s="1433" t="b">
        <v>0</v>
      </c>
      <c r="Q345" s="1434" t="s">
        <v>2316</v>
      </c>
      <c r="R345" s="1434" t="s">
        <v>2269</v>
      </c>
      <c r="S345" s="1434" t="b">
        <v>1</v>
      </c>
      <c r="T345" s="1434" t="b">
        <v>1</v>
      </c>
      <c r="U345" s="1434" t="b">
        <v>1</v>
      </c>
      <c r="V345" s="1434" t="s">
        <v>3179</v>
      </c>
      <c r="W345" s="1434" t="s">
        <v>2288</v>
      </c>
      <c r="X345" s="1435" t="s">
        <v>3180</v>
      </c>
      <c r="Y345" s="1434" t="s">
        <v>113</v>
      </c>
    </row>
    <row r="346">
      <c r="A346" s="1419"/>
      <c r="B346" s="1420" t="b">
        <v>0</v>
      </c>
      <c r="C346" s="1420" t="b">
        <v>1</v>
      </c>
      <c r="D346" s="1420" t="b">
        <v>1</v>
      </c>
      <c r="E346" s="1420" t="b">
        <v>1</v>
      </c>
      <c r="F346" s="1421" t="b">
        <v>0</v>
      </c>
      <c r="G346" s="1421" t="b">
        <v>0</v>
      </c>
      <c r="H346" s="1421" t="b">
        <v>0</v>
      </c>
      <c r="I346" s="1421" t="b">
        <v>0</v>
      </c>
      <c r="J346" s="1420" t="b">
        <v>1</v>
      </c>
      <c r="K346" s="1422" t="s">
        <v>2067</v>
      </c>
      <c r="L346" s="1423" t="s">
        <v>3181</v>
      </c>
      <c r="M346" s="1424">
        <v>7.0</v>
      </c>
      <c r="N346" s="1424" t="s">
        <v>2258</v>
      </c>
      <c r="O346" s="1425" t="b">
        <v>0</v>
      </c>
      <c r="P346" s="1425" t="b">
        <v>0</v>
      </c>
      <c r="Q346" s="1426" t="s">
        <v>2253</v>
      </c>
      <c r="R346" s="1426" t="s">
        <v>2311</v>
      </c>
      <c r="S346" s="1426" t="b">
        <v>1</v>
      </c>
      <c r="T346" s="1426" t="b">
        <v>1</v>
      </c>
      <c r="U346" s="1426" t="b">
        <v>1</v>
      </c>
      <c r="V346" s="1426" t="s">
        <v>3182</v>
      </c>
      <c r="W346" s="1426" t="s">
        <v>2702</v>
      </c>
      <c r="X346" s="1437" t="s">
        <v>3183</v>
      </c>
      <c r="Y346" s="1426" t="s">
        <v>113</v>
      </c>
    </row>
    <row r="347">
      <c r="A347" s="1419"/>
      <c r="B347" s="1428" t="b">
        <v>0</v>
      </c>
      <c r="C347" s="1428" t="b">
        <v>1</v>
      </c>
      <c r="D347" s="1429" t="b">
        <v>0</v>
      </c>
      <c r="E347" s="1429" t="b">
        <v>0</v>
      </c>
      <c r="F347" s="1429" t="b">
        <v>0</v>
      </c>
      <c r="G347" s="1429" t="b">
        <v>0</v>
      </c>
      <c r="H347" s="1428" t="b">
        <v>1</v>
      </c>
      <c r="I347" s="1428" t="b">
        <v>1</v>
      </c>
      <c r="J347" s="1428" t="b">
        <v>1</v>
      </c>
      <c r="K347" s="1430" t="s">
        <v>2193</v>
      </c>
      <c r="L347" s="1431" t="s">
        <v>3184</v>
      </c>
      <c r="M347" s="1432">
        <v>5.0</v>
      </c>
      <c r="N347" s="1432" t="s">
        <v>2273</v>
      </c>
      <c r="O347" s="1433" t="b">
        <v>0</v>
      </c>
      <c r="P347" s="1433" t="b">
        <v>0</v>
      </c>
      <c r="Q347" s="1434" t="s">
        <v>2253</v>
      </c>
      <c r="R347" s="1434" t="s">
        <v>2287</v>
      </c>
      <c r="S347" s="1434" t="b">
        <v>1</v>
      </c>
      <c r="T347" s="1434" t="b">
        <v>1</v>
      </c>
      <c r="U347" s="1439" t="b">
        <v>0</v>
      </c>
      <c r="V347" s="1439"/>
      <c r="W347" s="1434" t="s">
        <v>2255</v>
      </c>
      <c r="X347" s="1435" t="s">
        <v>3185</v>
      </c>
      <c r="Y347" s="1434" t="s">
        <v>113</v>
      </c>
    </row>
    <row r="348">
      <c r="A348" s="1419"/>
      <c r="B348" s="1420" t="b">
        <v>0</v>
      </c>
      <c r="C348" s="1421" t="b">
        <v>0</v>
      </c>
      <c r="D348" s="1421" t="b">
        <v>0</v>
      </c>
      <c r="E348" s="1421" t="b">
        <v>0</v>
      </c>
      <c r="F348" s="1421" t="b">
        <v>0</v>
      </c>
      <c r="G348" s="1421" t="b">
        <v>0</v>
      </c>
      <c r="H348" s="1421" t="b">
        <v>0</v>
      </c>
      <c r="I348" s="1420" t="b">
        <v>1</v>
      </c>
      <c r="J348" s="1420" t="b">
        <v>1</v>
      </c>
      <c r="K348" s="1422" t="s">
        <v>2120</v>
      </c>
      <c r="L348" s="1423" t="s">
        <v>3186</v>
      </c>
      <c r="M348" s="1424">
        <v>6.0</v>
      </c>
      <c r="N348" s="1424" t="s">
        <v>2306</v>
      </c>
      <c r="O348" s="1425" t="b">
        <v>0</v>
      </c>
      <c r="P348" s="1425" t="b">
        <v>0</v>
      </c>
      <c r="Q348" s="1426" t="s">
        <v>2253</v>
      </c>
      <c r="R348" s="1426" t="s">
        <v>3187</v>
      </c>
      <c r="S348" s="1426" t="b">
        <v>1</v>
      </c>
      <c r="T348" s="1426" t="b">
        <v>1</v>
      </c>
      <c r="U348" s="1426" t="b">
        <v>1</v>
      </c>
      <c r="V348" s="1426" t="s">
        <v>3188</v>
      </c>
      <c r="W348" s="1426" t="s">
        <v>2308</v>
      </c>
      <c r="X348" s="1437" t="s">
        <v>3189</v>
      </c>
      <c r="Y348" s="1426" t="s">
        <v>113</v>
      </c>
    </row>
    <row r="349">
      <c r="A349" s="1419"/>
      <c r="B349" s="1428" t="b">
        <v>0</v>
      </c>
      <c r="C349" s="1428" t="b">
        <v>1</v>
      </c>
      <c r="D349" s="1429" t="b">
        <v>0</v>
      </c>
      <c r="E349" s="1429" t="b">
        <v>0</v>
      </c>
      <c r="F349" s="1429" t="b">
        <v>0</v>
      </c>
      <c r="G349" s="1429" t="b">
        <v>0</v>
      </c>
      <c r="H349" s="1429" t="b">
        <v>0</v>
      </c>
      <c r="I349" s="1428" t="b">
        <v>1</v>
      </c>
      <c r="J349" s="1428" t="b">
        <v>1</v>
      </c>
      <c r="K349" s="1430" t="s">
        <v>2234</v>
      </c>
      <c r="L349" s="1431" t="s">
        <v>3190</v>
      </c>
      <c r="M349" s="1432">
        <v>1.0</v>
      </c>
      <c r="N349" s="1432" t="s">
        <v>2273</v>
      </c>
      <c r="O349" s="1438" t="b">
        <v>1</v>
      </c>
      <c r="P349" s="1433" t="b">
        <v>0</v>
      </c>
      <c r="Q349" s="1434" t="s">
        <v>2253</v>
      </c>
      <c r="R349" s="1434" t="s">
        <v>2259</v>
      </c>
      <c r="S349" s="1434" t="b">
        <v>1</v>
      </c>
      <c r="T349" s="1434" t="b">
        <v>1</v>
      </c>
      <c r="U349" s="1434" t="b">
        <v>1</v>
      </c>
      <c r="V349" s="1434" t="s">
        <v>3191</v>
      </c>
      <c r="W349" s="1434" t="s">
        <v>2288</v>
      </c>
      <c r="X349" s="1435" t="s">
        <v>3192</v>
      </c>
      <c r="Y349" s="1434" t="s">
        <v>113</v>
      </c>
    </row>
    <row r="350">
      <c r="A350" s="1419"/>
      <c r="B350" s="1420" t="b">
        <v>0</v>
      </c>
      <c r="C350" s="1421" t="b">
        <v>0</v>
      </c>
      <c r="D350" s="1421" t="b">
        <v>0</v>
      </c>
      <c r="E350" s="1421" t="b">
        <v>0</v>
      </c>
      <c r="F350" s="1421" t="b">
        <v>0</v>
      </c>
      <c r="G350" s="1421" t="b">
        <v>0</v>
      </c>
      <c r="H350" s="1420" t="b">
        <v>1</v>
      </c>
      <c r="I350" s="1421" t="b">
        <v>0</v>
      </c>
      <c r="J350" s="1420" t="b">
        <v>1</v>
      </c>
      <c r="K350" s="1422" t="s">
        <v>2197</v>
      </c>
      <c r="L350" s="1423" t="s">
        <v>3193</v>
      </c>
      <c r="M350" s="1424">
        <v>5.0</v>
      </c>
      <c r="N350" s="1424" t="s">
        <v>2268</v>
      </c>
      <c r="O350" s="1436" t="b">
        <v>1</v>
      </c>
      <c r="P350" s="1425" t="b">
        <v>0</v>
      </c>
      <c r="Q350" s="1426" t="s">
        <v>2253</v>
      </c>
      <c r="R350" s="1426" t="s">
        <v>2254</v>
      </c>
      <c r="S350" s="1426" t="b">
        <v>1</v>
      </c>
      <c r="T350" s="1426" t="b">
        <v>1</v>
      </c>
      <c r="U350" s="1427" t="b">
        <v>0</v>
      </c>
      <c r="V350" s="1427"/>
      <c r="W350" s="1426" t="s">
        <v>2308</v>
      </c>
      <c r="X350" s="1437" t="s">
        <v>3194</v>
      </c>
      <c r="Y350" s="1426" t="s">
        <v>113</v>
      </c>
    </row>
    <row r="351">
      <c r="A351" s="1419"/>
      <c r="B351" s="1428" t="b">
        <v>0</v>
      </c>
      <c r="C351" s="1428" t="b">
        <v>0</v>
      </c>
      <c r="D351" s="1429" t="b">
        <v>0</v>
      </c>
      <c r="E351" s="1429" t="b">
        <v>0</v>
      </c>
      <c r="F351" s="1429" t="b">
        <v>0</v>
      </c>
      <c r="G351" s="1429" t="b">
        <v>0</v>
      </c>
      <c r="H351" s="1429" t="b">
        <v>0</v>
      </c>
      <c r="I351" s="1429" t="b">
        <v>0</v>
      </c>
      <c r="J351" s="1428" t="b">
        <v>1</v>
      </c>
      <c r="K351" s="1430" t="s">
        <v>2043</v>
      </c>
      <c r="L351" s="1431" t="s">
        <v>3195</v>
      </c>
      <c r="M351" s="1432">
        <v>8.0</v>
      </c>
      <c r="N351" s="1432" t="s">
        <v>2302</v>
      </c>
      <c r="O351" s="1433" t="b">
        <v>0</v>
      </c>
      <c r="P351" s="1433" t="b">
        <v>0</v>
      </c>
      <c r="Q351" s="1434" t="s">
        <v>2253</v>
      </c>
      <c r="R351" s="1434" t="s">
        <v>3058</v>
      </c>
      <c r="S351" s="1434" t="b">
        <v>1</v>
      </c>
      <c r="T351" s="1434" t="b">
        <v>1</v>
      </c>
      <c r="U351" s="1434" t="b">
        <v>1</v>
      </c>
      <c r="V351" s="1434" t="s">
        <v>3196</v>
      </c>
      <c r="W351" s="1434" t="s">
        <v>2275</v>
      </c>
      <c r="X351" s="1435" t="s">
        <v>3197</v>
      </c>
      <c r="Y351" s="1434" t="s">
        <v>113</v>
      </c>
    </row>
    <row r="352">
      <c r="A352" s="1419"/>
      <c r="B352" s="1420" t="b">
        <v>0</v>
      </c>
      <c r="C352" s="1420" t="b">
        <v>1</v>
      </c>
      <c r="D352" s="1421" t="b">
        <v>0</v>
      </c>
      <c r="E352" s="1421" t="b">
        <v>0</v>
      </c>
      <c r="F352" s="1421" t="b">
        <v>0</v>
      </c>
      <c r="G352" s="1421" t="b">
        <v>0</v>
      </c>
      <c r="H352" s="1420" t="b">
        <v>1</v>
      </c>
      <c r="I352" s="1421" t="b">
        <v>0</v>
      </c>
      <c r="J352" s="1420" t="b">
        <v>1</v>
      </c>
      <c r="K352" s="1422" t="s">
        <v>2074</v>
      </c>
      <c r="L352" s="1423" t="s">
        <v>3198</v>
      </c>
      <c r="M352" s="1424">
        <v>7.0</v>
      </c>
      <c r="N352" s="1424" t="s">
        <v>2306</v>
      </c>
      <c r="O352" s="1425" t="b">
        <v>0</v>
      </c>
      <c r="P352" s="1425" t="b">
        <v>0</v>
      </c>
      <c r="Q352" s="1426" t="s">
        <v>2253</v>
      </c>
      <c r="R352" s="1426" t="s">
        <v>2283</v>
      </c>
      <c r="S352" s="1426" t="b">
        <v>1</v>
      </c>
      <c r="T352" s="1427" t="b">
        <v>0</v>
      </c>
      <c r="U352" s="1427" t="b">
        <v>0</v>
      </c>
      <c r="V352" s="1427"/>
      <c r="W352" s="1426" t="s">
        <v>2255</v>
      </c>
      <c r="X352" s="1437" t="s">
        <v>3199</v>
      </c>
      <c r="Y352" s="1426" t="s">
        <v>113</v>
      </c>
    </row>
    <row r="353">
      <c r="A353" s="1419"/>
      <c r="B353" s="1428" t="b">
        <v>0</v>
      </c>
      <c r="C353" s="1428" t="b">
        <v>1</v>
      </c>
      <c r="D353" s="1429" t="b">
        <v>0</v>
      </c>
      <c r="E353" s="1429" t="b">
        <v>0</v>
      </c>
      <c r="F353" s="1429" t="b">
        <v>0</v>
      </c>
      <c r="G353" s="1429" t="b">
        <v>0</v>
      </c>
      <c r="H353" s="1428" t="b">
        <v>1</v>
      </c>
      <c r="I353" s="1428" t="b">
        <v>1</v>
      </c>
      <c r="J353" s="1428" t="b">
        <v>1</v>
      </c>
      <c r="K353" s="1430" t="s">
        <v>2200</v>
      </c>
      <c r="L353" s="1431" t="s">
        <v>3200</v>
      </c>
      <c r="M353" s="1432">
        <v>5.0</v>
      </c>
      <c r="N353" s="1432" t="s">
        <v>2306</v>
      </c>
      <c r="O353" s="1433" t="b">
        <v>0</v>
      </c>
      <c r="P353" s="1433" t="b">
        <v>0</v>
      </c>
      <c r="Q353" s="1434" t="s">
        <v>2264</v>
      </c>
      <c r="R353" s="1434" t="s">
        <v>2283</v>
      </c>
      <c r="S353" s="1434" t="b">
        <v>1</v>
      </c>
      <c r="T353" s="1434" t="b">
        <v>1</v>
      </c>
      <c r="U353" s="1434" t="b">
        <v>1</v>
      </c>
      <c r="V353" s="1434" t="s">
        <v>3201</v>
      </c>
      <c r="W353" s="1434" t="s">
        <v>2725</v>
      </c>
      <c r="X353" s="1435" t="s">
        <v>3202</v>
      </c>
      <c r="Y353" s="1434" t="s">
        <v>113</v>
      </c>
    </row>
    <row r="354">
      <c r="A354" s="1419"/>
      <c r="B354" s="1420" t="b">
        <v>0</v>
      </c>
      <c r="C354" s="1421" t="b">
        <v>0</v>
      </c>
      <c r="D354" s="1421" t="b">
        <v>0</v>
      </c>
      <c r="E354" s="1421" t="b">
        <v>0</v>
      </c>
      <c r="F354" s="1421" t="b">
        <v>0</v>
      </c>
      <c r="G354" s="1421" t="b">
        <v>0</v>
      </c>
      <c r="H354" s="1421" t="b">
        <v>0</v>
      </c>
      <c r="I354" s="1421" t="b">
        <v>0</v>
      </c>
      <c r="J354" s="1420" t="b">
        <v>1</v>
      </c>
      <c r="K354" s="1422" t="s">
        <v>2236</v>
      </c>
      <c r="L354" s="1423" t="s">
        <v>3203</v>
      </c>
      <c r="M354" s="1424">
        <v>1.0</v>
      </c>
      <c r="N354" s="1424" t="s">
        <v>2306</v>
      </c>
      <c r="O354" s="1436" t="b">
        <v>0</v>
      </c>
      <c r="P354" s="1436" t="b">
        <v>1</v>
      </c>
      <c r="Q354" s="1426" t="s">
        <v>2253</v>
      </c>
      <c r="R354" s="1426" t="s">
        <v>2259</v>
      </c>
      <c r="S354" s="1426" t="b">
        <v>1</v>
      </c>
      <c r="T354" s="1426" t="b">
        <v>1</v>
      </c>
      <c r="U354" s="1426" t="b">
        <v>1</v>
      </c>
      <c r="V354" s="1426" t="s">
        <v>3204</v>
      </c>
      <c r="W354" s="1426" t="s">
        <v>2297</v>
      </c>
      <c r="X354" s="1437" t="s">
        <v>3205</v>
      </c>
      <c r="Y354" s="1426" t="s">
        <v>113</v>
      </c>
    </row>
    <row r="355">
      <c r="A355" s="1419"/>
      <c r="B355" s="1429" t="b">
        <v>0</v>
      </c>
      <c r="C355" s="1429" t="b">
        <v>0</v>
      </c>
      <c r="D355" s="1428" t="b">
        <v>1</v>
      </c>
      <c r="E355" s="1429" t="b">
        <v>0</v>
      </c>
      <c r="F355" s="1429" t="b">
        <v>0</v>
      </c>
      <c r="G355" s="1429" t="b">
        <v>0</v>
      </c>
      <c r="H355" s="1429" t="b">
        <v>0</v>
      </c>
      <c r="I355" s="1429" t="b">
        <v>0</v>
      </c>
      <c r="J355" s="1429" t="b">
        <v>0</v>
      </c>
      <c r="K355" s="1430" t="s">
        <v>2114</v>
      </c>
      <c r="L355" s="1431" t="s">
        <v>3206</v>
      </c>
      <c r="M355" s="1432">
        <v>0.0</v>
      </c>
      <c r="N355" s="1432" t="s">
        <v>2268</v>
      </c>
      <c r="O355" s="1433" t="b">
        <v>0</v>
      </c>
      <c r="P355" s="1433" t="b">
        <v>0</v>
      </c>
      <c r="Q355" s="1434" t="s">
        <v>2253</v>
      </c>
      <c r="R355" s="1434" t="s">
        <v>2259</v>
      </c>
      <c r="S355" s="1434" t="b">
        <v>1</v>
      </c>
      <c r="T355" s="1439" t="b">
        <v>0</v>
      </c>
      <c r="U355" s="1439" t="b">
        <v>0</v>
      </c>
      <c r="V355" s="1439"/>
      <c r="W355" s="1434" t="s">
        <v>2288</v>
      </c>
      <c r="X355" s="1435" t="s">
        <v>3207</v>
      </c>
      <c r="Y355" s="1434" t="s">
        <v>113</v>
      </c>
    </row>
    <row r="356">
      <c r="A356" s="1419"/>
      <c r="B356" s="1420" t="b">
        <v>1</v>
      </c>
      <c r="C356" s="1421" t="b">
        <v>0</v>
      </c>
      <c r="D356" s="1421" t="b">
        <v>0</v>
      </c>
      <c r="E356" s="1420" t="b">
        <v>1</v>
      </c>
      <c r="F356" s="1421" t="b">
        <v>0</v>
      </c>
      <c r="G356" s="1421" t="b">
        <v>0</v>
      </c>
      <c r="H356" s="1421" t="b">
        <v>0</v>
      </c>
      <c r="I356" s="1421" t="b">
        <v>0</v>
      </c>
      <c r="J356" s="1421" t="b">
        <v>0</v>
      </c>
      <c r="K356" s="1422" t="s">
        <v>2121</v>
      </c>
      <c r="L356" s="1423" t="s">
        <v>3208</v>
      </c>
      <c r="M356" s="1424">
        <v>0.0</v>
      </c>
      <c r="N356" s="1424" t="s">
        <v>2268</v>
      </c>
      <c r="O356" s="1425" t="b">
        <v>0</v>
      </c>
      <c r="P356" s="1425" t="b">
        <v>0</v>
      </c>
      <c r="Q356" s="1426" t="s">
        <v>2253</v>
      </c>
      <c r="R356" s="1426" t="s">
        <v>2259</v>
      </c>
      <c r="S356" s="1426" t="b">
        <v>1</v>
      </c>
      <c r="T356" s="1426" t="b">
        <v>1</v>
      </c>
      <c r="U356" s="1426" t="b">
        <v>1</v>
      </c>
      <c r="V356" s="1426" t="s">
        <v>3209</v>
      </c>
      <c r="W356" s="1426" t="s">
        <v>2255</v>
      </c>
      <c r="X356" s="1437" t="s">
        <v>3210</v>
      </c>
      <c r="Y356" s="1426" t="s">
        <v>113</v>
      </c>
    </row>
    <row r="357">
      <c r="A357" s="1419"/>
      <c r="B357" s="1428" t="b">
        <v>1</v>
      </c>
      <c r="C357" s="1428" t="b">
        <v>1</v>
      </c>
      <c r="D357" s="1429" t="b">
        <v>0</v>
      </c>
      <c r="E357" s="1428" t="b">
        <v>1</v>
      </c>
      <c r="F357" s="1429" t="b">
        <v>0</v>
      </c>
      <c r="G357" s="1429" t="b">
        <v>0</v>
      </c>
      <c r="H357" s="1428" t="b">
        <v>1</v>
      </c>
      <c r="I357" s="1428" t="b">
        <v>1</v>
      </c>
      <c r="J357" s="1428" t="b">
        <v>1</v>
      </c>
      <c r="K357" s="1430" t="s">
        <v>2127</v>
      </c>
      <c r="L357" s="1431" t="s">
        <v>3211</v>
      </c>
      <c r="M357" s="1432">
        <v>0.0</v>
      </c>
      <c r="N357" s="1432" t="s">
        <v>2252</v>
      </c>
      <c r="O357" s="1433" t="b">
        <v>0</v>
      </c>
      <c r="P357" s="1433" t="b">
        <v>0</v>
      </c>
      <c r="Q357" s="1434" t="s">
        <v>2253</v>
      </c>
      <c r="R357" s="1434" t="s">
        <v>2269</v>
      </c>
      <c r="S357" s="1439" t="b">
        <v>0</v>
      </c>
      <c r="T357" s="1434" t="b">
        <v>1</v>
      </c>
      <c r="U357" s="1439" t="b">
        <v>0</v>
      </c>
      <c r="V357" s="1439"/>
      <c r="W357" s="1434" t="s">
        <v>2255</v>
      </c>
      <c r="X357" s="1435" t="s">
        <v>3212</v>
      </c>
      <c r="Y357" s="1434" t="s">
        <v>113</v>
      </c>
    </row>
    <row r="358">
      <c r="A358" s="1419"/>
      <c r="B358" s="1421" t="b">
        <v>0</v>
      </c>
      <c r="C358" s="1421" t="b">
        <v>0</v>
      </c>
      <c r="D358" s="1421" t="b">
        <v>0</v>
      </c>
      <c r="E358" s="1421" t="b">
        <v>0</v>
      </c>
      <c r="F358" s="1420" t="b">
        <v>1</v>
      </c>
      <c r="G358" s="1421" t="b">
        <v>0</v>
      </c>
      <c r="H358" s="1421" t="b">
        <v>0</v>
      </c>
      <c r="I358" s="1421" t="b">
        <v>0</v>
      </c>
      <c r="J358" s="1421" t="b">
        <v>0</v>
      </c>
      <c r="K358" s="1422" t="s">
        <v>2238</v>
      </c>
      <c r="L358" s="1423" t="s">
        <v>3213</v>
      </c>
      <c r="M358" s="1424">
        <v>1.0</v>
      </c>
      <c r="N358" s="1424" t="s">
        <v>2252</v>
      </c>
      <c r="O358" s="1425" t="b">
        <v>0</v>
      </c>
      <c r="P358" s="1425" t="b">
        <v>0</v>
      </c>
      <c r="Q358" s="1426" t="s">
        <v>2344</v>
      </c>
      <c r="R358" s="1426" t="s">
        <v>2269</v>
      </c>
      <c r="S358" s="1426" t="b">
        <v>1</v>
      </c>
      <c r="T358" s="1427" t="b">
        <v>0</v>
      </c>
      <c r="U358" s="1427" t="b">
        <v>0</v>
      </c>
      <c r="V358" s="1427"/>
      <c r="W358" s="1426" t="s">
        <v>2255</v>
      </c>
      <c r="X358" s="1437" t="s">
        <v>3214</v>
      </c>
      <c r="Y358" s="1426" t="s">
        <v>113</v>
      </c>
    </row>
    <row r="359">
      <c r="A359" s="1419"/>
      <c r="B359" s="1428" t="b">
        <v>0</v>
      </c>
      <c r="C359" s="1428" t="b">
        <v>1</v>
      </c>
      <c r="D359" s="1429" t="b">
        <v>0</v>
      </c>
      <c r="E359" s="1428" t="b">
        <v>1</v>
      </c>
      <c r="F359" s="1429" t="b">
        <v>0</v>
      </c>
      <c r="G359" s="1429" t="b">
        <v>0</v>
      </c>
      <c r="H359" s="1428" t="b">
        <v>1</v>
      </c>
      <c r="I359" s="1429" t="b">
        <v>0</v>
      </c>
      <c r="J359" s="1428" t="b">
        <v>1</v>
      </c>
      <c r="K359" s="1430" t="s">
        <v>2239</v>
      </c>
      <c r="L359" s="1431" t="s">
        <v>3215</v>
      </c>
      <c r="M359" s="1432">
        <v>1.0</v>
      </c>
      <c r="N359" s="1432" t="s">
        <v>2252</v>
      </c>
      <c r="O359" s="1433" t="b">
        <v>0</v>
      </c>
      <c r="P359" s="1433" t="b">
        <v>0</v>
      </c>
      <c r="Q359" s="1434" t="s">
        <v>2253</v>
      </c>
      <c r="R359" s="1434" t="s">
        <v>2269</v>
      </c>
      <c r="S359" s="1434" t="b">
        <v>1</v>
      </c>
      <c r="T359" s="1434" t="b">
        <v>1</v>
      </c>
      <c r="U359" s="1439" t="b">
        <v>0</v>
      </c>
      <c r="V359" s="1439"/>
      <c r="W359" s="1434" t="s">
        <v>2255</v>
      </c>
      <c r="X359" s="1435" t="s">
        <v>3216</v>
      </c>
      <c r="Y359" s="1434" t="s">
        <v>113</v>
      </c>
    </row>
    <row r="360">
      <c r="A360" s="1419"/>
      <c r="B360" s="1420" t="b">
        <v>0</v>
      </c>
      <c r="C360" s="1421" t="b">
        <v>0</v>
      </c>
      <c r="D360" s="1421" t="b">
        <v>0</v>
      </c>
      <c r="E360" s="1421" t="b">
        <v>0</v>
      </c>
      <c r="F360" s="1421" t="b">
        <v>0</v>
      </c>
      <c r="G360" s="1421" t="b">
        <v>0</v>
      </c>
      <c r="H360" s="1420" t="b">
        <v>1</v>
      </c>
      <c r="I360" s="1421" t="b">
        <v>0</v>
      </c>
      <c r="J360" s="1420" t="b">
        <v>1</v>
      </c>
      <c r="K360" s="1422" t="s">
        <v>1995</v>
      </c>
      <c r="L360" s="1423" t="s">
        <v>3217</v>
      </c>
      <c r="M360" s="1424">
        <v>9.0</v>
      </c>
      <c r="N360" s="1424" t="s">
        <v>2268</v>
      </c>
      <c r="O360" s="1425" t="b">
        <v>0</v>
      </c>
      <c r="P360" s="1425" t="b">
        <v>0</v>
      </c>
      <c r="Q360" s="1426" t="s">
        <v>2253</v>
      </c>
      <c r="R360" s="1426" t="s">
        <v>2269</v>
      </c>
      <c r="S360" s="1426" t="b">
        <v>1</v>
      </c>
      <c r="T360" s="1427" t="b">
        <v>0</v>
      </c>
      <c r="U360" s="1427" t="b">
        <v>0</v>
      </c>
      <c r="V360" s="1427"/>
      <c r="W360" s="1426" t="s">
        <v>2255</v>
      </c>
      <c r="X360" s="1437" t="s">
        <v>3218</v>
      </c>
      <c r="Y360" s="1426" t="s">
        <v>113</v>
      </c>
    </row>
    <row r="361">
      <c r="A361" s="1419"/>
      <c r="B361" s="1428" t="b">
        <v>0</v>
      </c>
      <c r="C361" s="1429" t="b">
        <v>0</v>
      </c>
      <c r="D361" s="1428" t="b">
        <v>1</v>
      </c>
      <c r="E361" s="1429" t="b">
        <v>0</v>
      </c>
      <c r="F361" s="1429" t="b">
        <v>0</v>
      </c>
      <c r="G361" s="1429" t="b">
        <v>0</v>
      </c>
      <c r="H361" s="1428" t="b">
        <v>1</v>
      </c>
      <c r="I361" s="1429" t="b">
        <v>0</v>
      </c>
      <c r="J361" s="1428" t="b">
        <v>1</v>
      </c>
      <c r="K361" s="1430" t="s">
        <v>2134</v>
      </c>
      <c r="L361" s="1431" t="s">
        <v>3219</v>
      </c>
      <c r="M361" s="1432">
        <v>0.0</v>
      </c>
      <c r="N361" s="1432" t="s">
        <v>2282</v>
      </c>
      <c r="O361" s="1433" t="b">
        <v>0</v>
      </c>
      <c r="P361" s="1433" t="b">
        <v>0</v>
      </c>
      <c r="Q361" s="1434" t="s">
        <v>2253</v>
      </c>
      <c r="R361" s="1434" t="s">
        <v>2254</v>
      </c>
      <c r="S361" s="1434" t="b">
        <v>1</v>
      </c>
      <c r="T361" s="1434" t="b">
        <v>1</v>
      </c>
      <c r="U361" s="1439" t="b">
        <v>0</v>
      </c>
      <c r="V361" s="1439"/>
      <c r="W361" s="1434" t="s">
        <v>2255</v>
      </c>
      <c r="X361" s="1435" t="s">
        <v>3220</v>
      </c>
      <c r="Y361" s="1434" t="s">
        <v>113</v>
      </c>
    </row>
    <row r="362">
      <c r="A362" s="1419"/>
      <c r="B362" s="1420" t="b">
        <v>0</v>
      </c>
      <c r="C362" s="1420" t="b">
        <v>1</v>
      </c>
      <c r="D362" s="1420" t="b">
        <v>1</v>
      </c>
      <c r="E362" s="1421" t="b">
        <v>0</v>
      </c>
      <c r="F362" s="1421" t="b">
        <v>0</v>
      </c>
      <c r="G362" s="1421" t="b">
        <v>0</v>
      </c>
      <c r="H362" s="1420" t="b">
        <v>1</v>
      </c>
      <c r="I362" s="1420" t="b">
        <v>1</v>
      </c>
      <c r="J362" s="1420" t="b">
        <v>1</v>
      </c>
      <c r="K362" s="1422" t="s">
        <v>2212</v>
      </c>
      <c r="L362" s="1423" t="s">
        <v>3221</v>
      </c>
      <c r="M362" s="1424">
        <v>3.0</v>
      </c>
      <c r="N362" s="1424" t="s">
        <v>2302</v>
      </c>
      <c r="O362" s="1425" t="b">
        <v>0</v>
      </c>
      <c r="P362" s="1425" t="b">
        <v>0</v>
      </c>
      <c r="Q362" s="1426" t="s">
        <v>2253</v>
      </c>
      <c r="R362" s="1426" t="s">
        <v>2311</v>
      </c>
      <c r="S362" s="1426" t="b">
        <v>1</v>
      </c>
      <c r="T362" s="1427" t="b">
        <v>0</v>
      </c>
      <c r="U362" s="1426" t="b">
        <v>1</v>
      </c>
      <c r="V362" s="1426" t="s">
        <v>3222</v>
      </c>
      <c r="W362" s="1426" t="s">
        <v>2297</v>
      </c>
      <c r="X362" s="1437" t="s">
        <v>3223</v>
      </c>
      <c r="Y362" s="1426" t="s">
        <v>113</v>
      </c>
    </row>
    <row r="363">
      <c r="A363" s="1419"/>
      <c r="B363" s="1429" t="b">
        <v>0</v>
      </c>
      <c r="C363" s="1429" t="b">
        <v>0</v>
      </c>
      <c r="D363" s="1429" t="b">
        <v>0</v>
      </c>
      <c r="E363" s="1428" t="b">
        <v>1</v>
      </c>
      <c r="F363" s="1429" t="b">
        <v>0</v>
      </c>
      <c r="G363" s="1429" t="b">
        <v>0</v>
      </c>
      <c r="H363" s="1429" t="b">
        <v>0</v>
      </c>
      <c r="I363" s="1429" t="b">
        <v>0</v>
      </c>
      <c r="J363" s="1429" t="b">
        <v>0</v>
      </c>
      <c r="K363" s="1430" t="s">
        <v>2126</v>
      </c>
      <c r="L363" s="1431" t="s">
        <v>3224</v>
      </c>
      <c r="M363" s="1432">
        <v>6.0</v>
      </c>
      <c r="N363" s="1432" t="s">
        <v>2306</v>
      </c>
      <c r="O363" s="1433" t="b">
        <v>0</v>
      </c>
      <c r="P363" s="1433" t="b">
        <v>0</v>
      </c>
      <c r="Q363" s="1434" t="s">
        <v>2253</v>
      </c>
      <c r="R363" s="1434" t="s">
        <v>2283</v>
      </c>
      <c r="S363" s="1434" t="b">
        <v>1</v>
      </c>
      <c r="T363" s="1434" t="b">
        <v>1</v>
      </c>
      <c r="U363" s="1439" t="b">
        <v>0</v>
      </c>
      <c r="V363" s="1439"/>
      <c r="W363" s="1434" t="s">
        <v>2264</v>
      </c>
      <c r="X363" s="1435" t="s">
        <v>3225</v>
      </c>
      <c r="Y363" s="1434" t="s">
        <v>113</v>
      </c>
    </row>
    <row r="364">
      <c r="A364" s="1419"/>
      <c r="B364" s="1421" t="b">
        <v>0</v>
      </c>
      <c r="C364" s="1421" t="b">
        <v>0</v>
      </c>
      <c r="D364" s="1421" t="b">
        <v>0</v>
      </c>
      <c r="E364" s="1420" t="b">
        <v>1</v>
      </c>
      <c r="F364" s="1421" t="b">
        <v>0</v>
      </c>
      <c r="G364" s="1420" t="b">
        <v>1</v>
      </c>
      <c r="H364" s="1421" t="b">
        <v>0</v>
      </c>
      <c r="I364" s="1421" t="b">
        <v>0</v>
      </c>
      <c r="J364" s="1421" t="b">
        <v>0</v>
      </c>
      <c r="K364" s="1422" t="s">
        <v>2204</v>
      </c>
      <c r="L364" s="1423" t="s">
        <v>3226</v>
      </c>
      <c r="M364" s="1424">
        <v>5.0</v>
      </c>
      <c r="N364" s="1424" t="s">
        <v>2306</v>
      </c>
      <c r="O364" s="1436" t="b">
        <v>1</v>
      </c>
      <c r="P364" s="1425" t="b">
        <v>0</v>
      </c>
      <c r="Q364" s="1426" t="s">
        <v>2253</v>
      </c>
      <c r="R364" s="1426" t="s">
        <v>2269</v>
      </c>
      <c r="S364" s="1426" t="b">
        <v>1</v>
      </c>
      <c r="T364" s="1426" t="b">
        <v>1</v>
      </c>
      <c r="U364" s="1427" t="b">
        <v>0</v>
      </c>
      <c r="V364" s="1427"/>
      <c r="W364" s="1426" t="s">
        <v>2288</v>
      </c>
      <c r="X364" s="1437" t="s">
        <v>3227</v>
      </c>
      <c r="Y364" s="1426" t="s">
        <v>113</v>
      </c>
    </row>
    <row r="365">
      <c r="A365" s="1419"/>
      <c r="B365" s="1428" t="b">
        <v>0</v>
      </c>
      <c r="C365" s="1429" t="b">
        <v>0</v>
      </c>
      <c r="D365" s="1428" t="b">
        <v>1</v>
      </c>
      <c r="E365" s="1429" t="b">
        <v>0</v>
      </c>
      <c r="F365" s="1429" t="b">
        <v>0</v>
      </c>
      <c r="G365" s="1429" t="b">
        <v>0</v>
      </c>
      <c r="H365" s="1429" t="b">
        <v>0</v>
      </c>
      <c r="I365" s="1428" t="b">
        <v>1</v>
      </c>
      <c r="J365" s="1428" t="b">
        <v>1</v>
      </c>
      <c r="K365" s="1430" t="s">
        <v>2005</v>
      </c>
      <c r="L365" s="1431" t="s">
        <v>3228</v>
      </c>
      <c r="M365" s="1432">
        <v>9.0</v>
      </c>
      <c r="N365" s="1432" t="s">
        <v>2268</v>
      </c>
      <c r="O365" s="1438" t="b">
        <v>1</v>
      </c>
      <c r="P365" s="1433" t="b">
        <v>0</v>
      </c>
      <c r="Q365" s="1434" t="s">
        <v>2253</v>
      </c>
      <c r="R365" s="1434" t="s">
        <v>2259</v>
      </c>
      <c r="S365" s="1434" t="b">
        <v>1</v>
      </c>
      <c r="T365" s="1434" t="b">
        <v>1</v>
      </c>
      <c r="U365" s="1434" t="b">
        <v>1</v>
      </c>
      <c r="V365" s="1434" t="s">
        <v>3229</v>
      </c>
      <c r="W365" s="1434" t="s">
        <v>2270</v>
      </c>
      <c r="X365" s="1435" t="s">
        <v>3230</v>
      </c>
      <c r="Y365" s="1434" t="s">
        <v>113</v>
      </c>
    </row>
    <row r="366">
      <c r="A366" s="1419"/>
      <c r="B366" s="1421" t="b">
        <v>0</v>
      </c>
      <c r="C366" s="1421" t="b">
        <v>0</v>
      </c>
      <c r="D366" s="1420" t="b">
        <v>1</v>
      </c>
      <c r="E366" s="1420" t="b">
        <v>1</v>
      </c>
      <c r="F366" s="1421" t="b">
        <v>0</v>
      </c>
      <c r="G366" s="1421" t="b">
        <v>0</v>
      </c>
      <c r="H366" s="1421" t="b">
        <v>0</v>
      </c>
      <c r="I366" s="1421" t="b">
        <v>0</v>
      </c>
      <c r="J366" s="1421" t="b">
        <v>0</v>
      </c>
      <c r="K366" s="1422" t="s">
        <v>2015</v>
      </c>
      <c r="L366" s="1423" t="s">
        <v>3231</v>
      </c>
      <c r="M366" s="1424">
        <v>9.0</v>
      </c>
      <c r="N366" s="1424" t="s">
        <v>2282</v>
      </c>
      <c r="O366" s="1425" t="b">
        <v>0</v>
      </c>
      <c r="P366" s="1425" t="b">
        <v>0</v>
      </c>
      <c r="Q366" s="1426" t="s">
        <v>2297</v>
      </c>
      <c r="R366" s="1426" t="s">
        <v>2311</v>
      </c>
      <c r="S366" s="1426" t="b">
        <v>1</v>
      </c>
      <c r="T366" s="1426" t="b">
        <v>1</v>
      </c>
      <c r="U366" s="1426" t="b">
        <v>1</v>
      </c>
      <c r="V366" s="1426" t="s">
        <v>3232</v>
      </c>
      <c r="W366" s="1426" t="s">
        <v>2255</v>
      </c>
      <c r="X366" s="1437" t="s">
        <v>3233</v>
      </c>
      <c r="Y366" s="1426" t="s">
        <v>113</v>
      </c>
    </row>
    <row r="367">
      <c r="A367" s="1419"/>
      <c r="B367" s="1428" t="b">
        <v>0</v>
      </c>
      <c r="C367" s="1428" t="b">
        <v>1</v>
      </c>
      <c r="D367" s="1428" t="b">
        <v>1</v>
      </c>
      <c r="E367" s="1429" t="b">
        <v>0</v>
      </c>
      <c r="F367" s="1429" t="b">
        <v>0</v>
      </c>
      <c r="G367" s="1429" t="b">
        <v>0</v>
      </c>
      <c r="H367" s="1428" t="b">
        <v>1</v>
      </c>
      <c r="I367" s="1428" t="b">
        <v>1</v>
      </c>
      <c r="J367" s="1428" t="b">
        <v>1</v>
      </c>
      <c r="K367" s="1430" t="s">
        <v>2133</v>
      </c>
      <c r="L367" s="1431" t="s">
        <v>3234</v>
      </c>
      <c r="M367" s="1432">
        <v>6.0</v>
      </c>
      <c r="N367" s="1432" t="s">
        <v>2302</v>
      </c>
      <c r="O367" s="1433" t="b">
        <v>0</v>
      </c>
      <c r="P367" s="1433" t="b">
        <v>0</v>
      </c>
      <c r="Q367" s="1434" t="s">
        <v>2253</v>
      </c>
      <c r="R367" s="1434" t="s">
        <v>2311</v>
      </c>
      <c r="S367" s="1434" t="b">
        <v>1</v>
      </c>
      <c r="T367" s="1434" t="b">
        <v>1</v>
      </c>
      <c r="U367" s="1434" t="b">
        <v>1</v>
      </c>
      <c r="V367" s="1434" t="s">
        <v>3235</v>
      </c>
      <c r="W367" s="1434" t="s">
        <v>2297</v>
      </c>
      <c r="X367" s="1435" t="s">
        <v>3236</v>
      </c>
      <c r="Y367" s="1434" t="s">
        <v>113</v>
      </c>
    </row>
    <row r="368">
      <c r="A368" s="1419"/>
      <c r="B368" s="1420" t="b">
        <v>1</v>
      </c>
      <c r="C368" s="1420" t="b">
        <v>1</v>
      </c>
      <c r="D368" s="1421" t="b">
        <v>0</v>
      </c>
      <c r="E368" s="1421" t="b">
        <v>0</v>
      </c>
      <c r="F368" s="1421" t="b">
        <v>0</v>
      </c>
      <c r="G368" s="1421" t="b">
        <v>0</v>
      </c>
      <c r="H368" s="1420" t="b">
        <v>1</v>
      </c>
      <c r="I368" s="1420" t="b">
        <v>1</v>
      </c>
      <c r="J368" s="1420" t="b">
        <v>1</v>
      </c>
      <c r="K368" s="1422" t="s">
        <v>2140</v>
      </c>
      <c r="L368" s="1423" t="s">
        <v>3237</v>
      </c>
      <c r="M368" s="1424">
        <v>0.0</v>
      </c>
      <c r="N368" s="1424" t="s">
        <v>2302</v>
      </c>
      <c r="O368" s="1425" t="b">
        <v>0</v>
      </c>
      <c r="P368" s="1425" t="b">
        <v>0</v>
      </c>
      <c r="Q368" s="1426" t="s">
        <v>2253</v>
      </c>
      <c r="R368" s="1426" t="s">
        <v>2269</v>
      </c>
      <c r="S368" s="1426" t="b">
        <v>0</v>
      </c>
      <c r="T368" s="1426" t="b">
        <v>1</v>
      </c>
      <c r="U368" s="1426" t="b">
        <v>1</v>
      </c>
      <c r="V368" s="1426" t="s">
        <v>3238</v>
      </c>
      <c r="W368" s="1426" t="s">
        <v>2255</v>
      </c>
      <c r="X368" s="1437" t="s">
        <v>3239</v>
      </c>
      <c r="Y368" s="1426" t="s">
        <v>113</v>
      </c>
    </row>
    <row r="369">
      <c r="A369" s="1419"/>
      <c r="B369" s="1429" t="b">
        <v>0</v>
      </c>
      <c r="C369" s="1429" t="b">
        <v>0</v>
      </c>
      <c r="D369" s="1429" t="b">
        <v>0</v>
      </c>
      <c r="E369" s="1428" t="b">
        <v>1</v>
      </c>
      <c r="F369" s="1429" t="b">
        <v>0</v>
      </c>
      <c r="G369" s="1429" t="b">
        <v>0</v>
      </c>
      <c r="H369" s="1429" t="b">
        <v>0</v>
      </c>
      <c r="I369" s="1429" t="b">
        <v>0</v>
      </c>
      <c r="J369" s="1429" t="b">
        <v>0</v>
      </c>
      <c r="K369" s="1430" t="s">
        <v>2052</v>
      </c>
      <c r="L369" s="1431" t="s">
        <v>3240</v>
      </c>
      <c r="M369" s="1432">
        <v>8.0</v>
      </c>
      <c r="N369" s="1432" t="s">
        <v>2306</v>
      </c>
      <c r="O369" s="1438" t="b">
        <v>1</v>
      </c>
      <c r="P369" s="1433" t="b">
        <v>0</v>
      </c>
      <c r="Q369" s="1434" t="s">
        <v>2264</v>
      </c>
      <c r="R369" s="1434" t="s">
        <v>2412</v>
      </c>
      <c r="S369" s="1434" t="b">
        <v>1</v>
      </c>
      <c r="T369" s="1434" t="b">
        <v>1</v>
      </c>
      <c r="U369" s="1439" t="b">
        <v>0</v>
      </c>
      <c r="V369" s="1439"/>
      <c r="W369" s="1434" t="s">
        <v>3241</v>
      </c>
      <c r="X369" s="1435" t="s">
        <v>3242</v>
      </c>
      <c r="Y369" s="1434" t="s">
        <v>113</v>
      </c>
    </row>
    <row r="370">
      <c r="A370" s="1419"/>
      <c r="B370" s="1420" t="b">
        <v>0</v>
      </c>
      <c r="C370" s="1420" t="b">
        <v>1</v>
      </c>
      <c r="D370" s="1421" t="b">
        <v>0</v>
      </c>
      <c r="E370" s="1420" t="b">
        <v>0</v>
      </c>
      <c r="F370" s="1421" t="b">
        <v>0</v>
      </c>
      <c r="G370" s="1421" t="b">
        <v>0</v>
      </c>
      <c r="H370" s="1420" t="b">
        <v>0</v>
      </c>
      <c r="I370" s="1420" t="b">
        <v>1</v>
      </c>
      <c r="J370" s="1420" t="b">
        <v>1</v>
      </c>
      <c r="K370" s="1422" t="s">
        <v>2241</v>
      </c>
      <c r="L370" s="1423" t="s">
        <v>3243</v>
      </c>
      <c r="M370" s="1424">
        <v>1.0</v>
      </c>
      <c r="N370" s="1424" t="s">
        <v>2306</v>
      </c>
      <c r="O370" s="1436" t="b">
        <v>1</v>
      </c>
      <c r="P370" s="1436" t="b">
        <v>1</v>
      </c>
      <c r="Q370" s="1426" t="s">
        <v>2253</v>
      </c>
      <c r="R370" s="1426" t="s">
        <v>2254</v>
      </c>
      <c r="S370" s="1426" t="b">
        <v>1</v>
      </c>
      <c r="T370" s="1426" t="b">
        <v>1</v>
      </c>
      <c r="U370" s="1426" t="b">
        <v>1</v>
      </c>
      <c r="V370" s="1426" t="s">
        <v>3244</v>
      </c>
      <c r="W370" s="1426" t="s">
        <v>2297</v>
      </c>
      <c r="X370" s="1437" t="s">
        <v>3245</v>
      </c>
      <c r="Y370" s="1426" t="s">
        <v>113</v>
      </c>
    </row>
    <row r="371">
      <c r="A371" s="1419"/>
      <c r="B371" s="1428" t="b">
        <v>0</v>
      </c>
      <c r="C371" s="1429" t="b">
        <v>0</v>
      </c>
      <c r="D371" s="1429" t="b">
        <v>0</v>
      </c>
      <c r="E371" s="1429" t="b">
        <v>0</v>
      </c>
      <c r="F371" s="1429" t="b">
        <v>0</v>
      </c>
      <c r="G371" s="1429" t="b">
        <v>0</v>
      </c>
      <c r="H371" s="1428" t="b">
        <v>1</v>
      </c>
      <c r="I371" s="1428" t="b">
        <v>1</v>
      </c>
      <c r="J371" s="1428" t="b">
        <v>1</v>
      </c>
      <c r="K371" s="1430" t="s">
        <v>2216</v>
      </c>
      <c r="L371" s="1431" t="s">
        <v>3246</v>
      </c>
      <c r="M371" s="1432">
        <v>3.0</v>
      </c>
      <c r="N371" s="1432" t="s">
        <v>2282</v>
      </c>
      <c r="O371" s="1438" t="b">
        <v>1</v>
      </c>
      <c r="P371" s="1433" t="b">
        <v>0</v>
      </c>
      <c r="Q371" s="1434" t="s">
        <v>2253</v>
      </c>
      <c r="R371" s="1434" t="s">
        <v>2269</v>
      </c>
      <c r="S371" s="1434" t="b">
        <v>1</v>
      </c>
      <c r="T371" s="1434" t="b">
        <v>1</v>
      </c>
      <c r="U371" s="1439" t="b">
        <v>0</v>
      </c>
      <c r="V371" s="1439"/>
      <c r="W371" s="1434" t="s">
        <v>2288</v>
      </c>
      <c r="X371" s="1435" t="s">
        <v>3247</v>
      </c>
      <c r="Y371" s="1434" t="s">
        <v>113</v>
      </c>
    </row>
    <row r="372">
      <c r="A372" s="1419"/>
      <c r="B372" s="1421" t="b">
        <v>0</v>
      </c>
      <c r="C372" s="1420" t="b">
        <v>1</v>
      </c>
      <c r="D372" s="1421" t="b">
        <v>0</v>
      </c>
      <c r="E372" s="1421" t="b">
        <v>0</v>
      </c>
      <c r="F372" s="1421" t="b">
        <v>0</v>
      </c>
      <c r="G372" s="1421" t="b">
        <v>0</v>
      </c>
      <c r="H372" s="1421" t="b">
        <v>0</v>
      </c>
      <c r="I372" s="1421" t="b">
        <v>0</v>
      </c>
      <c r="J372" s="1421" t="b">
        <v>0</v>
      </c>
      <c r="K372" s="1422" t="s">
        <v>2147</v>
      </c>
      <c r="L372" s="1423" t="s">
        <v>3248</v>
      </c>
      <c r="M372" s="1424">
        <v>0.0</v>
      </c>
      <c r="N372" s="1424" t="s">
        <v>2273</v>
      </c>
      <c r="O372" s="1425" t="b">
        <v>0</v>
      </c>
      <c r="P372" s="1425" t="b">
        <v>0</v>
      </c>
      <c r="Q372" s="1426" t="s">
        <v>2253</v>
      </c>
      <c r="R372" s="1426" t="s">
        <v>2254</v>
      </c>
      <c r="S372" s="1426" t="b">
        <v>1</v>
      </c>
      <c r="T372" s="1427" t="b">
        <v>0</v>
      </c>
      <c r="U372" s="1427" t="b">
        <v>0</v>
      </c>
      <c r="V372" s="1427"/>
      <c r="W372" s="1426" t="s">
        <v>2255</v>
      </c>
      <c r="X372" s="1437" t="s">
        <v>3249</v>
      </c>
      <c r="Y372" s="1426" t="s">
        <v>113</v>
      </c>
    </row>
    <row r="373">
      <c r="A373" s="1419"/>
      <c r="B373" s="1428" t="b">
        <v>0</v>
      </c>
      <c r="C373" s="1429" t="b">
        <v>0</v>
      </c>
      <c r="D373" s="1429" t="b">
        <v>0</v>
      </c>
      <c r="E373" s="1429" t="b">
        <v>0</v>
      </c>
      <c r="F373" s="1429" t="b">
        <v>0</v>
      </c>
      <c r="G373" s="1429" t="b">
        <v>0</v>
      </c>
      <c r="H373" s="1428" t="b">
        <v>1</v>
      </c>
      <c r="I373" s="1429" t="b">
        <v>0</v>
      </c>
      <c r="J373" s="1428" t="b">
        <v>1</v>
      </c>
      <c r="K373" s="1430" t="s">
        <v>2185</v>
      </c>
      <c r="L373" s="1431" t="s">
        <v>3250</v>
      </c>
      <c r="M373" s="1432">
        <v>4.0</v>
      </c>
      <c r="N373" s="1432" t="s">
        <v>2252</v>
      </c>
      <c r="O373" s="1433" t="b">
        <v>0</v>
      </c>
      <c r="P373" s="1433" t="b">
        <v>0</v>
      </c>
      <c r="Q373" s="1434" t="s">
        <v>2253</v>
      </c>
      <c r="R373" s="1434" t="s">
        <v>2359</v>
      </c>
      <c r="S373" s="1434" t="b">
        <v>1</v>
      </c>
      <c r="T373" s="1434" t="b">
        <v>1</v>
      </c>
      <c r="U373" s="1434" t="b">
        <v>1</v>
      </c>
      <c r="V373" s="1434" t="s">
        <v>3251</v>
      </c>
      <c r="W373" s="1434" t="s">
        <v>2255</v>
      </c>
      <c r="X373" s="1435" t="s">
        <v>3252</v>
      </c>
      <c r="Y373" s="1434" t="s">
        <v>113</v>
      </c>
    </row>
    <row r="374">
      <c r="A374" s="1419"/>
      <c r="B374" s="1420" t="b">
        <v>0</v>
      </c>
      <c r="C374" s="1421" t="b">
        <v>0</v>
      </c>
      <c r="D374" s="1421" t="b">
        <v>0</v>
      </c>
      <c r="E374" s="1420" t="b">
        <v>1</v>
      </c>
      <c r="F374" s="1421" t="b">
        <v>0</v>
      </c>
      <c r="G374" s="1421" t="b">
        <v>0</v>
      </c>
      <c r="H374" s="1420" t="b">
        <v>1</v>
      </c>
      <c r="I374" s="1421" t="b">
        <v>0</v>
      </c>
      <c r="J374" s="1420" t="b">
        <v>1</v>
      </c>
      <c r="K374" s="1422" t="s">
        <v>2188</v>
      </c>
      <c r="L374" s="1423" t="s">
        <v>3253</v>
      </c>
      <c r="M374" s="1424">
        <v>4.0</v>
      </c>
      <c r="N374" s="1424" t="s">
        <v>2252</v>
      </c>
      <c r="O374" s="1436" t="b">
        <v>1</v>
      </c>
      <c r="P374" s="1425" t="b">
        <v>0</v>
      </c>
      <c r="Q374" s="1426" t="s">
        <v>2253</v>
      </c>
      <c r="R374" s="1426" t="s">
        <v>2287</v>
      </c>
      <c r="S374" s="1426" t="b">
        <v>1</v>
      </c>
      <c r="T374" s="1426" t="b">
        <v>1</v>
      </c>
      <c r="U374" s="1426" t="b">
        <v>1</v>
      </c>
      <c r="V374" s="1426" t="s">
        <v>3254</v>
      </c>
      <c r="W374" s="1426" t="s">
        <v>2288</v>
      </c>
      <c r="X374" s="1437" t="s">
        <v>3255</v>
      </c>
      <c r="Y374" s="1426" t="s">
        <v>113</v>
      </c>
    </row>
    <row r="375">
      <c r="A375" s="1419"/>
      <c r="B375" s="1428" t="b">
        <v>0</v>
      </c>
      <c r="C375" s="1429" t="b">
        <v>0</v>
      </c>
      <c r="D375" s="1429" t="b">
        <v>0</v>
      </c>
      <c r="E375" s="1429" t="b">
        <v>0</v>
      </c>
      <c r="F375" s="1429" t="b">
        <v>0</v>
      </c>
      <c r="G375" s="1429" t="b">
        <v>0</v>
      </c>
      <c r="H375" s="1429" t="b">
        <v>0</v>
      </c>
      <c r="I375" s="1429" t="b">
        <v>0</v>
      </c>
      <c r="J375" s="1428" t="b">
        <v>1</v>
      </c>
      <c r="K375" s="1430" t="s">
        <v>2206</v>
      </c>
      <c r="L375" s="1431" t="s">
        <v>3256</v>
      </c>
      <c r="M375" s="1432">
        <v>5.0</v>
      </c>
      <c r="N375" s="1432" t="s">
        <v>2252</v>
      </c>
      <c r="O375" s="1438" t="b">
        <v>1</v>
      </c>
      <c r="P375" s="1433" t="b">
        <v>0</v>
      </c>
      <c r="Q375" s="1434" t="s">
        <v>2253</v>
      </c>
      <c r="R375" s="1434" t="s">
        <v>2287</v>
      </c>
      <c r="S375" s="1434" t="b">
        <v>1</v>
      </c>
      <c r="T375" s="1434" t="b">
        <v>1</v>
      </c>
      <c r="U375" s="1434" t="b">
        <v>1</v>
      </c>
      <c r="V375" s="1434" t="s">
        <v>3257</v>
      </c>
      <c r="W375" s="1434" t="s">
        <v>2308</v>
      </c>
      <c r="X375" s="1435" t="s">
        <v>3258</v>
      </c>
      <c r="Y375" s="1434" t="s">
        <v>113</v>
      </c>
    </row>
    <row r="376">
      <c r="A376" s="1419"/>
      <c r="B376" s="1420" t="b">
        <v>0</v>
      </c>
      <c r="C376" s="1421" t="b">
        <v>0</v>
      </c>
      <c r="D376" s="1421" t="b">
        <v>0</v>
      </c>
      <c r="E376" s="1421" t="b">
        <v>0</v>
      </c>
      <c r="F376" s="1421" t="b">
        <v>0</v>
      </c>
      <c r="G376" s="1421" t="b">
        <v>0</v>
      </c>
      <c r="H376" s="1421" t="b">
        <v>0</v>
      </c>
      <c r="I376" s="1421" t="b">
        <v>0</v>
      </c>
      <c r="J376" s="1420" t="b">
        <v>1</v>
      </c>
      <c r="K376" s="1422" t="s">
        <v>2139</v>
      </c>
      <c r="L376" s="1423" t="s">
        <v>3259</v>
      </c>
      <c r="M376" s="1424">
        <v>6.0</v>
      </c>
      <c r="N376" s="1424" t="s">
        <v>2252</v>
      </c>
      <c r="O376" s="1436" t="b">
        <v>1</v>
      </c>
      <c r="P376" s="1425" t="b">
        <v>0</v>
      </c>
      <c r="Q376" s="1426" t="s">
        <v>2253</v>
      </c>
      <c r="R376" s="1426" t="s">
        <v>2287</v>
      </c>
      <c r="S376" s="1426" t="b">
        <v>1</v>
      </c>
      <c r="T376" s="1426" t="b">
        <v>1</v>
      </c>
      <c r="U376" s="1426" t="b">
        <v>1</v>
      </c>
      <c r="V376" s="1426" t="s">
        <v>3260</v>
      </c>
      <c r="W376" s="1426" t="s">
        <v>2308</v>
      </c>
      <c r="X376" s="1437" t="s">
        <v>3261</v>
      </c>
      <c r="Y376" s="1426" t="s">
        <v>113</v>
      </c>
    </row>
    <row r="377">
      <c r="A377" s="1419"/>
      <c r="B377" s="1428" t="b">
        <v>1</v>
      </c>
      <c r="C377" s="1429" t="b">
        <v>0</v>
      </c>
      <c r="D377" s="1429" t="b">
        <v>0</v>
      </c>
      <c r="E377" s="1428" t="b">
        <v>1</v>
      </c>
      <c r="F377" s="1429" t="b">
        <v>0</v>
      </c>
      <c r="G377" s="1429" t="b">
        <v>0</v>
      </c>
      <c r="H377" s="1428" t="b">
        <v>1</v>
      </c>
      <c r="I377" s="1429" t="b">
        <v>0</v>
      </c>
      <c r="J377" s="1428" t="b">
        <v>1</v>
      </c>
      <c r="K377" s="1430" t="s">
        <v>2209</v>
      </c>
      <c r="L377" s="1431" t="s">
        <v>3262</v>
      </c>
      <c r="M377" s="1432">
        <v>5.0</v>
      </c>
      <c r="N377" s="1432" t="s">
        <v>2252</v>
      </c>
      <c r="O377" s="1438" t="b">
        <v>1</v>
      </c>
      <c r="P377" s="1433" t="b">
        <v>0</v>
      </c>
      <c r="Q377" s="1434" t="s">
        <v>2253</v>
      </c>
      <c r="R377" s="1434" t="s">
        <v>2287</v>
      </c>
      <c r="S377" s="1434" t="b">
        <v>1</v>
      </c>
      <c r="T377" s="1434" t="b">
        <v>1</v>
      </c>
      <c r="U377" s="1434" t="b">
        <v>1</v>
      </c>
      <c r="V377" s="1434" t="s">
        <v>3263</v>
      </c>
      <c r="W377" s="1434" t="s">
        <v>2308</v>
      </c>
      <c r="X377" s="1435" t="s">
        <v>3264</v>
      </c>
      <c r="Y377" s="1434" t="s">
        <v>113</v>
      </c>
    </row>
    <row r="378">
      <c r="A378" s="1419"/>
      <c r="B378" s="1420" t="b">
        <v>0</v>
      </c>
      <c r="C378" s="1421" t="b">
        <v>0</v>
      </c>
      <c r="D378" s="1421" t="b">
        <v>0</v>
      </c>
      <c r="E378" s="1420" t="b">
        <v>1</v>
      </c>
      <c r="F378" s="1421" t="b">
        <v>0</v>
      </c>
      <c r="G378" s="1421" t="b">
        <v>0</v>
      </c>
      <c r="H378" s="1420" t="b">
        <v>0</v>
      </c>
      <c r="I378" s="1421" t="b">
        <v>0</v>
      </c>
      <c r="J378" s="1420" t="b">
        <v>0</v>
      </c>
      <c r="K378" s="1422" t="s">
        <v>2146</v>
      </c>
      <c r="L378" s="1423" t="s">
        <v>3265</v>
      </c>
      <c r="M378" s="1424">
        <v>6.0</v>
      </c>
      <c r="N378" s="1424" t="s">
        <v>2306</v>
      </c>
      <c r="O378" s="1436" t="b">
        <v>1</v>
      </c>
      <c r="P378" s="1425" t="b">
        <v>0</v>
      </c>
      <c r="Q378" s="1426" t="s">
        <v>2253</v>
      </c>
      <c r="R378" s="1426" t="s">
        <v>2287</v>
      </c>
      <c r="S378" s="1426" t="b">
        <v>1</v>
      </c>
      <c r="T378" s="1426" t="b">
        <v>1</v>
      </c>
      <c r="U378" s="1426" t="b">
        <v>1</v>
      </c>
      <c r="V378" s="1426" t="s">
        <v>3266</v>
      </c>
      <c r="W378" s="1426" t="s">
        <v>2308</v>
      </c>
      <c r="X378" s="1437" t="s">
        <v>3267</v>
      </c>
      <c r="Y378" s="1426" t="s">
        <v>113</v>
      </c>
    </row>
    <row r="379">
      <c r="A379" s="1419"/>
      <c r="B379" s="1428" t="b">
        <v>1</v>
      </c>
      <c r="C379" s="1429" t="b">
        <v>0</v>
      </c>
      <c r="D379" s="1429" t="b">
        <v>0</v>
      </c>
      <c r="E379" s="1428" t="b">
        <v>1</v>
      </c>
      <c r="F379" s="1429" t="b">
        <v>0</v>
      </c>
      <c r="G379" s="1428" t="b">
        <v>1</v>
      </c>
      <c r="H379" s="1428" t="b">
        <v>1</v>
      </c>
      <c r="I379" s="1429" t="b">
        <v>0</v>
      </c>
      <c r="J379" s="1428" t="b">
        <v>1</v>
      </c>
      <c r="K379" s="1430" t="s">
        <v>2219</v>
      </c>
      <c r="L379" s="1431" t="s">
        <v>3268</v>
      </c>
      <c r="M379" s="1432">
        <v>3.0</v>
      </c>
      <c r="N379" s="1432" t="s">
        <v>2268</v>
      </c>
      <c r="O379" s="1433" t="b">
        <v>0</v>
      </c>
      <c r="P379" s="1438" t="b">
        <v>1</v>
      </c>
      <c r="Q379" s="1434" t="s">
        <v>2253</v>
      </c>
      <c r="R379" s="1434" t="s">
        <v>2259</v>
      </c>
      <c r="S379" s="1434" t="b">
        <v>1</v>
      </c>
      <c r="T379" s="1434" t="b">
        <v>1</v>
      </c>
      <c r="U379" s="1434" t="b">
        <v>1</v>
      </c>
      <c r="V379" s="1434" t="s">
        <v>3269</v>
      </c>
      <c r="W379" s="1434" t="s">
        <v>2275</v>
      </c>
      <c r="X379" s="1435" t="s">
        <v>3270</v>
      </c>
      <c r="Y379" s="1434" t="s">
        <v>113</v>
      </c>
    </row>
    <row r="380">
      <c r="A380" s="1419"/>
      <c r="B380" s="1421" t="b">
        <v>0</v>
      </c>
      <c r="C380" s="1421" t="b">
        <v>0</v>
      </c>
      <c r="D380" s="1420" t="b">
        <v>1</v>
      </c>
      <c r="E380" s="1421" t="b">
        <v>0</v>
      </c>
      <c r="F380" s="1420" t="b">
        <v>1</v>
      </c>
      <c r="G380" s="1421" t="b">
        <v>0</v>
      </c>
      <c r="H380" s="1421" t="b">
        <v>0</v>
      </c>
      <c r="I380" s="1421" t="b">
        <v>0</v>
      </c>
      <c r="J380" s="1421" t="b">
        <v>0</v>
      </c>
      <c r="K380" s="1422" t="s">
        <v>2240</v>
      </c>
      <c r="L380" s="1423" t="s">
        <v>3271</v>
      </c>
      <c r="M380" s="1424">
        <v>2.0</v>
      </c>
      <c r="N380" s="1424" t="s">
        <v>2258</v>
      </c>
      <c r="O380" s="1425" t="b">
        <v>0</v>
      </c>
      <c r="P380" s="1425" t="b">
        <v>0</v>
      </c>
      <c r="Q380" s="1426" t="s">
        <v>2253</v>
      </c>
      <c r="R380" s="1426" t="s">
        <v>2311</v>
      </c>
      <c r="S380" s="1426" t="b">
        <v>1</v>
      </c>
      <c r="T380" s="1426" t="b">
        <v>1</v>
      </c>
      <c r="U380" s="1426" t="b">
        <v>1</v>
      </c>
      <c r="V380" s="1426" t="s">
        <v>3272</v>
      </c>
      <c r="W380" s="1426" t="s">
        <v>2297</v>
      </c>
      <c r="X380" s="1437" t="s">
        <v>3273</v>
      </c>
      <c r="Y380" s="1426" t="s">
        <v>113</v>
      </c>
    </row>
    <row r="381">
      <c r="A381" s="1419"/>
      <c r="B381" s="1428" t="b">
        <v>1</v>
      </c>
      <c r="C381" s="1429" t="b">
        <v>0</v>
      </c>
      <c r="D381" s="1428" t="b">
        <v>1</v>
      </c>
      <c r="E381" s="1428" t="b">
        <v>1</v>
      </c>
      <c r="F381" s="1429" t="b">
        <v>0</v>
      </c>
      <c r="G381" s="1428" t="b">
        <v>1</v>
      </c>
      <c r="H381" s="1428" t="b">
        <v>1</v>
      </c>
      <c r="I381" s="1429" t="b">
        <v>0</v>
      </c>
      <c r="J381" s="1429" t="b">
        <v>0</v>
      </c>
      <c r="K381" s="1430" t="s">
        <v>2222</v>
      </c>
      <c r="L381" s="1431" t="s">
        <v>3274</v>
      </c>
      <c r="M381" s="1432">
        <v>3.0</v>
      </c>
      <c r="N381" s="1432" t="s">
        <v>2268</v>
      </c>
      <c r="O381" s="1433" t="b">
        <v>0</v>
      </c>
      <c r="P381" s="1438" t="b">
        <v>1</v>
      </c>
      <c r="Q381" s="1434" t="s">
        <v>2253</v>
      </c>
      <c r="R381" s="1434" t="s">
        <v>2259</v>
      </c>
      <c r="S381" s="1434" t="b">
        <v>1</v>
      </c>
      <c r="T381" s="1434" t="b">
        <v>1</v>
      </c>
      <c r="U381" s="1434" t="b">
        <v>1</v>
      </c>
      <c r="V381" s="1434" t="s">
        <v>3275</v>
      </c>
      <c r="W381" s="1434" t="s">
        <v>2297</v>
      </c>
      <c r="X381" s="1435" t="s">
        <v>3276</v>
      </c>
      <c r="Y381" s="1434" t="s">
        <v>113</v>
      </c>
    </row>
    <row r="382">
      <c r="A382" s="1440" t="s">
        <v>2461</v>
      </c>
      <c r="B382" s="1420" t="b">
        <v>1</v>
      </c>
      <c r="C382" s="1421" t="b">
        <v>0</v>
      </c>
      <c r="D382" s="1421" t="b">
        <v>0</v>
      </c>
      <c r="E382" s="1421" t="b">
        <v>0</v>
      </c>
      <c r="F382" s="1421" t="b">
        <v>0</v>
      </c>
      <c r="G382" s="1421" t="b">
        <v>0</v>
      </c>
      <c r="H382" s="1420" t="b">
        <v>1</v>
      </c>
      <c r="I382" s="1421" t="b">
        <v>0</v>
      </c>
      <c r="J382" s="1420" t="b">
        <v>1</v>
      </c>
      <c r="K382" s="1422" t="s">
        <v>2242</v>
      </c>
      <c r="L382" s="1423" t="s">
        <v>3277</v>
      </c>
      <c r="M382" s="1424">
        <v>2.0</v>
      </c>
      <c r="N382" s="1424" t="s">
        <v>2306</v>
      </c>
      <c r="O382" s="1436" t="b">
        <v>1</v>
      </c>
      <c r="P382" s="1425" t="b">
        <v>0</v>
      </c>
      <c r="Q382" s="1426" t="s">
        <v>2253</v>
      </c>
      <c r="R382" s="1426" t="s">
        <v>2254</v>
      </c>
      <c r="S382" s="1426" t="b">
        <v>1</v>
      </c>
      <c r="T382" s="1426" t="b">
        <v>1</v>
      </c>
      <c r="U382" s="1426" t="b">
        <v>1</v>
      </c>
      <c r="V382" s="1426" t="s">
        <v>3278</v>
      </c>
      <c r="W382" s="1426" t="s">
        <v>2270</v>
      </c>
      <c r="X382" s="1437" t="s">
        <v>3279</v>
      </c>
      <c r="Y382" s="1426" t="s">
        <v>113</v>
      </c>
    </row>
    <row r="383">
      <c r="A383" s="1419"/>
      <c r="B383" s="1428" t="b">
        <v>0</v>
      </c>
      <c r="C383" s="1429" t="b">
        <v>0</v>
      </c>
      <c r="D383" s="1429" t="b">
        <v>0</v>
      </c>
      <c r="E383" s="1429" t="b">
        <v>0</v>
      </c>
      <c r="F383" s="1429" t="b">
        <v>0</v>
      </c>
      <c r="G383" s="1429" t="b">
        <v>0</v>
      </c>
      <c r="H383" s="1429" t="b">
        <v>0</v>
      </c>
      <c r="I383" s="1428" t="b">
        <v>1</v>
      </c>
      <c r="J383" s="1428" t="b">
        <v>1</v>
      </c>
      <c r="K383" s="1430" t="s">
        <v>2025</v>
      </c>
      <c r="L383" s="1431" t="s">
        <v>3280</v>
      </c>
      <c r="M383" s="1432">
        <v>9.0</v>
      </c>
      <c r="N383" s="1432" t="s">
        <v>2385</v>
      </c>
      <c r="O383" s="1438" t="b">
        <v>1</v>
      </c>
      <c r="P383" s="1433" t="b">
        <v>0</v>
      </c>
      <c r="Q383" s="1434" t="s">
        <v>2253</v>
      </c>
      <c r="R383" s="1434" t="s">
        <v>2287</v>
      </c>
      <c r="S383" s="1434" t="b">
        <v>1</v>
      </c>
      <c r="T383" s="1434" t="b">
        <v>1</v>
      </c>
      <c r="U383" s="1439" t="b">
        <v>0</v>
      </c>
      <c r="V383" s="1439"/>
      <c r="W383" s="1434" t="s">
        <v>2288</v>
      </c>
      <c r="X383" s="1435" t="s">
        <v>3281</v>
      </c>
      <c r="Y383" s="1434" t="s">
        <v>113</v>
      </c>
    </row>
    <row r="384">
      <c r="A384" s="1419"/>
      <c r="B384" s="1421" t="b">
        <v>0</v>
      </c>
      <c r="C384" s="1421" t="b">
        <v>0</v>
      </c>
      <c r="D384" s="1421" t="b">
        <v>0</v>
      </c>
      <c r="E384" s="1420" t="b">
        <v>1</v>
      </c>
      <c r="F384" s="1421" t="b">
        <v>0</v>
      </c>
      <c r="G384" s="1421" t="b">
        <v>0</v>
      </c>
      <c r="H384" s="1421" t="b">
        <v>0</v>
      </c>
      <c r="I384" s="1421" t="b">
        <v>0</v>
      </c>
      <c r="J384" s="1421" t="b">
        <v>0</v>
      </c>
      <c r="K384" s="1422" t="s">
        <v>2153</v>
      </c>
      <c r="L384" s="1423" t="s">
        <v>3282</v>
      </c>
      <c r="M384" s="1424">
        <v>6.0</v>
      </c>
      <c r="N384" s="1424" t="s">
        <v>2268</v>
      </c>
      <c r="O384" s="1425" t="b">
        <v>0</v>
      </c>
      <c r="P384" s="1425" t="b">
        <v>0</v>
      </c>
      <c r="Q384" s="1426" t="s">
        <v>2264</v>
      </c>
      <c r="R384" s="1426" t="s">
        <v>2259</v>
      </c>
      <c r="S384" s="1426" t="b">
        <v>1</v>
      </c>
      <c r="T384" s="1426" t="b">
        <v>1</v>
      </c>
      <c r="U384" s="1426" t="b">
        <v>1</v>
      </c>
      <c r="V384" s="1426" t="s">
        <v>3283</v>
      </c>
      <c r="W384" s="1426" t="s">
        <v>2261</v>
      </c>
      <c r="X384" s="1437" t="s">
        <v>3284</v>
      </c>
      <c r="Y384" s="1426" t="s">
        <v>113</v>
      </c>
    </row>
    <row r="385">
      <c r="A385" s="1419"/>
      <c r="B385" s="1429" t="b">
        <v>0</v>
      </c>
      <c r="C385" s="1429" t="b">
        <v>0</v>
      </c>
      <c r="D385" s="1429" t="b">
        <v>0</v>
      </c>
      <c r="E385" s="1428" t="b">
        <v>1</v>
      </c>
      <c r="F385" s="1429" t="b">
        <v>0</v>
      </c>
      <c r="G385" s="1428" t="b">
        <v>1</v>
      </c>
      <c r="H385" s="1429" t="b">
        <v>0</v>
      </c>
      <c r="I385" s="1429" t="b">
        <v>0</v>
      </c>
      <c r="J385" s="1429" t="b">
        <v>0</v>
      </c>
      <c r="K385" s="1430" t="s">
        <v>2225</v>
      </c>
      <c r="L385" s="1431" t="s">
        <v>3285</v>
      </c>
      <c r="M385" s="1432">
        <v>3.0</v>
      </c>
      <c r="N385" s="1432" t="s">
        <v>2252</v>
      </c>
      <c r="O385" s="1438" t="b">
        <v>1</v>
      </c>
      <c r="P385" s="1433" t="b">
        <v>0</v>
      </c>
      <c r="Q385" s="1434" t="s">
        <v>2253</v>
      </c>
      <c r="R385" s="1434" t="s">
        <v>2287</v>
      </c>
      <c r="S385" s="1434" t="b">
        <v>1</v>
      </c>
      <c r="T385" s="1434" t="b">
        <v>1</v>
      </c>
      <c r="U385" s="1434" t="b">
        <v>1</v>
      </c>
      <c r="V385" s="1434" t="s">
        <v>3286</v>
      </c>
      <c r="W385" s="1434" t="s">
        <v>2288</v>
      </c>
      <c r="X385" s="1435" t="s">
        <v>3287</v>
      </c>
      <c r="Y385" s="1434" t="s">
        <v>113</v>
      </c>
    </row>
    <row r="386">
      <c r="A386" s="1419"/>
      <c r="B386" s="1420" t="b">
        <v>0</v>
      </c>
      <c r="C386" s="1421" t="b">
        <v>0</v>
      </c>
      <c r="D386" s="1421" t="b">
        <v>0</v>
      </c>
      <c r="E386" s="1421" t="b">
        <v>0</v>
      </c>
      <c r="F386" s="1421" t="b">
        <v>0</v>
      </c>
      <c r="G386" s="1421" t="b">
        <v>0</v>
      </c>
      <c r="H386" s="1420" t="b">
        <v>1</v>
      </c>
      <c r="I386" s="1421" t="b">
        <v>0</v>
      </c>
      <c r="J386" s="1420" t="b">
        <v>1</v>
      </c>
      <c r="K386" s="1422" t="s">
        <v>2035</v>
      </c>
      <c r="L386" s="1423" t="s">
        <v>3288</v>
      </c>
      <c r="M386" s="1424">
        <v>9.0</v>
      </c>
      <c r="N386" s="1424" t="s">
        <v>2306</v>
      </c>
      <c r="O386" s="1425" t="b">
        <v>0</v>
      </c>
      <c r="P386" s="1425" t="b">
        <v>0</v>
      </c>
      <c r="Q386" s="1426" t="s">
        <v>2253</v>
      </c>
      <c r="R386" s="1426" t="s">
        <v>2269</v>
      </c>
      <c r="S386" s="1426" t="b">
        <v>1</v>
      </c>
      <c r="T386" s="1427" t="b">
        <v>0</v>
      </c>
      <c r="U386" s="1427" t="b">
        <v>0</v>
      </c>
      <c r="V386" s="1427"/>
      <c r="W386" s="1426" t="s">
        <v>2255</v>
      </c>
      <c r="X386" s="1437" t="s">
        <v>3289</v>
      </c>
      <c r="Y386" s="1426" t="s">
        <v>113</v>
      </c>
    </row>
    <row r="387">
      <c r="A387" s="1419"/>
      <c r="B387" s="1428" t="b">
        <v>0</v>
      </c>
      <c r="C387" s="1429" t="b">
        <v>0</v>
      </c>
      <c r="D387" s="1429" t="b">
        <v>0</v>
      </c>
      <c r="E387" s="1429" t="b">
        <v>0</v>
      </c>
      <c r="F387" s="1429" t="b">
        <v>0</v>
      </c>
      <c r="G387" s="1429" t="b">
        <v>0</v>
      </c>
      <c r="H387" s="1428" t="b">
        <v>1</v>
      </c>
      <c r="I387" s="1428" t="b">
        <v>1</v>
      </c>
      <c r="J387" s="1428" t="b">
        <v>1</v>
      </c>
      <c r="K387" s="1430" t="s">
        <v>1858</v>
      </c>
      <c r="L387" s="1431" t="s">
        <v>3290</v>
      </c>
      <c r="M387" s="1432">
        <v>1.0</v>
      </c>
      <c r="N387" s="1432" t="s">
        <v>2252</v>
      </c>
      <c r="O387" s="1438" t="b">
        <v>1</v>
      </c>
      <c r="P387" s="1433" t="b">
        <v>0</v>
      </c>
      <c r="Q387" s="1434" t="s">
        <v>2253</v>
      </c>
      <c r="R387" s="1434" t="s">
        <v>2254</v>
      </c>
      <c r="S387" s="1434" t="b">
        <v>1</v>
      </c>
      <c r="T387" s="1434" t="b">
        <v>1</v>
      </c>
      <c r="U387" s="1434" t="b">
        <v>1</v>
      </c>
      <c r="V387" s="1434" t="s">
        <v>3291</v>
      </c>
      <c r="W387" s="1434" t="s">
        <v>2288</v>
      </c>
      <c r="X387" s="1435" t="s">
        <v>3292</v>
      </c>
      <c r="Y387" s="1434" t="s">
        <v>113</v>
      </c>
    </row>
    <row r="388">
      <c r="A388" s="1419"/>
      <c r="B388" s="1421" t="b">
        <v>0</v>
      </c>
      <c r="C388" s="1421" t="b">
        <v>0</v>
      </c>
      <c r="D388" s="1420" t="b">
        <v>1</v>
      </c>
      <c r="E388" s="1421" t="b">
        <v>0</v>
      </c>
      <c r="F388" s="1421" t="b">
        <v>0</v>
      </c>
      <c r="G388" s="1421" t="b">
        <v>0</v>
      </c>
      <c r="H388" s="1421" t="b">
        <v>0</v>
      </c>
      <c r="I388" s="1421" t="b">
        <v>0</v>
      </c>
      <c r="J388" s="1421" t="b">
        <v>0</v>
      </c>
      <c r="K388" s="1422" t="s">
        <v>2154</v>
      </c>
      <c r="L388" s="1423" t="s">
        <v>3293</v>
      </c>
      <c r="M388" s="1424">
        <v>0.0</v>
      </c>
      <c r="N388" s="1424" t="s">
        <v>2252</v>
      </c>
      <c r="O388" s="1425" t="b">
        <v>0</v>
      </c>
      <c r="P388" s="1425" t="b">
        <v>0</v>
      </c>
      <c r="Q388" s="1426" t="s">
        <v>2253</v>
      </c>
      <c r="R388" s="1426" t="s">
        <v>2269</v>
      </c>
      <c r="S388" s="1426" t="b">
        <v>1</v>
      </c>
      <c r="T388" s="1427" t="b">
        <v>0</v>
      </c>
      <c r="U388" s="1426" t="b">
        <v>1</v>
      </c>
      <c r="V388" s="1426" t="s">
        <v>3294</v>
      </c>
      <c r="W388" s="1426" t="s">
        <v>2255</v>
      </c>
      <c r="X388" s="1437" t="s">
        <v>3295</v>
      </c>
      <c r="Y388" s="1426" t="s">
        <v>113</v>
      </c>
    </row>
    <row r="389">
      <c r="A389" s="1419"/>
      <c r="B389" s="1429" t="b">
        <v>0</v>
      </c>
      <c r="C389" s="1429" t="b">
        <v>0</v>
      </c>
      <c r="D389" s="1428" t="b">
        <v>1</v>
      </c>
      <c r="E389" s="1429" t="b">
        <v>0</v>
      </c>
      <c r="F389" s="1429" t="b">
        <v>0</v>
      </c>
      <c r="G389" s="1429" t="b">
        <v>0</v>
      </c>
      <c r="H389" s="1429" t="b">
        <v>0</v>
      </c>
      <c r="I389" s="1429" t="b">
        <v>0</v>
      </c>
      <c r="J389" s="1429" t="b">
        <v>0</v>
      </c>
      <c r="K389" s="1430" t="s">
        <v>2160</v>
      </c>
      <c r="L389" s="1431" t="s">
        <v>3296</v>
      </c>
      <c r="M389" s="1432">
        <v>6.0</v>
      </c>
      <c r="N389" s="1432" t="s">
        <v>2306</v>
      </c>
      <c r="O389" s="1433" t="b">
        <v>0</v>
      </c>
      <c r="P389" s="1433" t="b">
        <v>0</v>
      </c>
      <c r="Q389" s="1434" t="s">
        <v>2253</v>
      </c>
      <c r="R389" s="1434" t="s">
        <v>3187</v>
      </c>
      <c r="S389" s="1434" t="b">
        <v>1</v>
      </c>
      <c r="T389" s="1439" t="b">
        <v>0</v>
      </c>
      <c r="U389" s="1439" t="b">
        <v>0</v>
      </c>
      <c r="V389" s="1439"/>
      <c r="W389" s="1434" t="s">
        <v>2255</v>
      </c>
      <c r="X389" s="1435" t="s">
        <v>3297</v>
      </c>
      <c r="Y389" s="1434" t="s">
        <v>113</v>
      </c>
    </row>
    <row r="390" ht="36.0" customHeight="1">
      <c r="A390" s="1419"/>
      <c r="B390" s="1421" t="b">
        <v>0</v>
      </c>
      <c r="C390" s="1421" t="b">
        <v>0</v>
      </c>
      <c r="D390" s="1421" t="b">
        <v>0</v>
      </c>
      <c r="E390" s="1421" t="b">
        <v>0</v>
      </c>
      <c r="F390" s="1420" t="b">
        <v>1</v>
      </c>
      <c r="G390" s="1421" t="b">
        <v>0</v>
      </c>
      <c r="H390" s="1421" t="b">
        <v>0</v>
      </c>
      <c r="I390" s="1421" t="b">
        <v>0</v>
      </c>
      <c r="J390" s="1421" t="b">
        <v>0</v>
      </c>
      <c r="K390" s="1422" t="s">
        <v>2244</v>
      </c>
      <c r="L390" s="1423" t="s">
        <v>3298</v>
      </c>
      <c r="M390" s="1424">
        <v>1.0</v>
      </c>
      <c r="N390" s="1424" t="s">
        <v>2282</v>
      </c>
      <c r="O390" s="1425" t="b">
        <v>0</v>
      </c>
      <c r="P390" s="1425" t="b">
        <v>0</v>
      </c>
      <c r="Q390" s="1426" t="s">
        <v>2344</v>
      </c>
      <c r="R390" s="1426" t="s">
        <v>2269</v>
      </c>
      <c r="S390" s="1426" t="b">
        <v>1</v>
      </c>
      <c r="T390" s="1427" t="b">
        <v>0</v>
      </c>
      <c r="U390" s="1427" t="b">
        <v>0</v>
      </c>
      <c r="V390" s="1427"/>
      <c r="W390" s="1426" t="s">
        <v>2264</v>
      </c>
      <c r="X390" s="1437" t="s">
        <v>3299</v>
      </c>
      <c r="Y390" s="1426" t="s">
        <v>113</v>
      </c>
    </row>
    <row r="391">
      <c r="A391" s="1419"/>
      <c r="B391" s="1428" t="b">
        <v>0</v>
      </c>
      <c r="C391" s="1428" t="b">
        <v>1</v>
      </c>
      <c r="D391" s="1429" t="b">
        <v>0</v>
      </c>
      <c r="E391" s="1429" t="b">
        <v>0</v>
      </c>
      <c r="F391" s="1429" t="b">
        <v>0</v>
      </c>
      <c r="G391" s="1429" t="b">
        <v>0</v>
      </c>
      <c r="H391" s="1429" t="b">
        <v>0</v>
      </c>
      <c r="I391" s="1429" t="b">
        <v>0</v>
      </c>
      <c r="J391" s="1428" t="b">
        <v>1</v>
      </c>
      <c r="K391" s="1430" t="s">
        <v>2213</v>
      </c>
      <c r="L391" s="1431" t="s">
        <v>3300</v>
      </c>
      <c r="M391" s="1432">
        <v>5.0</v>
      </c>
      <c r="N391" s="1432" t="s">
        <v>2273</v>
      </c>
      <c r="O391" s="1438" t="b">
        <v>1</v>
      </c>
      <c r="P391" s="1433" t="b">
        <v>0</v>
      </c>
      <c r="Q391" s="1434" t="s">
        <v>2253</v>
      </c>
      <c r="R391" s="1434" t="s">
        <v>2269</v>
      </c>
      <c r="S391" s="1434" t="b">
        <v>1</v>
      </c>
      <c r="T391" s="1434" t="b">
        <v>1</v>
      </c>
      <c r="U391" s="1434" t="b">
        <v>1</v>
      </c>
      <c r="V391" s="1434" t="s">
        <v>3301</v>
      </c>
      <c r="W391" s="1434" t="s">
        <v>2288</v>
      </c>
      <c r="X391" s="1435" t="s">
        <v>3302</v>
      </c>
      <c r="Y391" s="1434" t="s">
        <v>113</v>
      </c>
    </row>
    <row r="392">
      <c r="A392" s="1419"/>
      <c r="B392" s="1421" t="b">
        <v>0</v>
      </c>
      <c r="C392" s="1420" t="b">
        <v>1</v>
      </c>
      <c r="D392" s="1420" t="b">
        <v>1</v>
      </c>
      <c r="E392" s="1421" t="b">
        <v>0</v>
      </c>
      <c r="F392" s="1420" t="b">
        <v>1</v>
      </c>
      <c r="G392" s="1421" t="b">
        <v>0</v>
      </c>
      <c r="H392" s="1421" t="b">
        <v>0</v>
      </c>
      <c r="I392" s="1421" t="b">
        <v>0</v>
      </c>
      <c r="J392" s="1421" t="b">
        <v>0</v>
      </c>
      <c r="K392" s="1422" t="s">
        <v>2243</v>
      </c>
      <c r="L392" s="1423" t="s">
        <v>3303</v>
      </c>
      <c r="M392" s="1424">
        <v>2.0</v>
      </c>
      <c r="N392" s="1424" t="s">
        <v>2273</v>
      </c>
      <c r="O392" s="1425" t="b">
        <v>0</v>
      </c>
      <c r="P392" s="1425" t="b">
        <v>0</v>
      </c>
      <c r="Q392" s="1426" t="s">
        <v>2253</v>
      </c>
      <c r="R392" s="1426" t="s">
        <v>2254</v>
      </c>
      <c r="S392" s="1426" t="b">
        <v>1</v>
      </c>
      <c r="T392" s="1426" t="b">
        <v>1</v>
      </c>
      <c r="U392" s="1427" t="b">
        <v>0</v>
      </c>
      <c r="V392" s="1427"/>
      <c r="W392" s="1426" t="s">
        <v>2411</v>
      </c>
      <c r="X392" s="1437" t="s">
        <v>3304</v>
      </c>
      <c r="Y392" s="1426" t="s">
        <v>113</v>
      </c>
    </row>
    <row r="393">
      <c r="A393" s="1419"/>
      <c r="B393" s="1428" t="b">
        <v>0</v>
      </c>
      <c r="C393" s="1428" t="b">
        <v>1</v>
      </c>
      <c r="D393" s="1429" t="b">
        <v>0</v>
      </c>
      <c r="E393" s="1428" t="b">
        <v>1</v>
      </c>
      <c r="F393" s="1429" t="b">
        <v>0</v>
      </c>
      <c r="G393" s="1428" t="b">
        <v>1</v>
      </c>
      <c r="H393" s="1429" t="b">
        <v>0</v>
      </c>
      <c r="I393" s="1429" t="b">
        <v>0</v>
      </c>
      <c r="J393" s="1428" t="b">
        <v>1</v>
      </c>
      <c r="K393" s="1430" t="s">
        <v>3305</v>
      </c>
      <c r="L393" s="1431" t="s">
        <v>3306</v>
      </c>
      <c r="M393" s="1432">
        <v>5.0</v>
      </c>
      <c r="N393" s="1432" t="s">
        <v>2252</v>
      </c>
      <c r="O393" s="1438" t="b">
        <v>1</v>
      </c>
      <c r="P393" s="1433" t="b">
        <v>0</v>
      </c>
      <c r="Q393" s="1434" t="s">
        <v>2253</v>
      </c>
      <c r="R393" s="1434" t="s">
        <v>2269</v>
      </c>
      <c r="S393" s="1434" t="b">
        <v>1</v>
      </c>
      <c r="T393" s="1434" t="b">
        <v>1</v>
      </c>
      <c r="U393" s="1434" t="b">
        <v>1</v>
      </c>
      <c r="V393" s="1434" t="s">
        <v>3307</v>
      </c>
      <c r="W393" s="1434" t="s">
        <v>2288</v>
      </c>
      <c r="X393" s="1435" t="s">
        <v>3308</v>
      </c>
      <c r="Y393" s="1434" t="s">
        <v>1096</v>
      </c>
    </row>
    <row r="394">
      <c r="A394" s="1419"/>
      <c r="B394" s="1420" t="b">
        <v>0</v>
      </c>
      <c r="C394" s="1420" t="b">
        <v>1</v>
      </c>
      <c r="D394" s="1421" t="b">
        <v>0</v>
      </c>
      <c r="E394" s="1420" t="b">
        <v>0</v>
      </c>
      <c r="F394" s="1421" t="b">
        <v>0</v>
      </c>
      <c r="G394" s="1420" t="b">
        <v>0</v>
      </c>
      <c r="H394" s="1420" t="b">
        <v>1</v>
      </c>
      <c r="I394" s="1420" t="b">
        <v>1</v>
      </c>
      <c r="J394" s="1420" t="b">
        <v>1</v>
      </c>
      <c r="K394" s="1422" t="s">
        <v>3309</v>
      </c>
      <c r="L394" s="1423" t="s">
        <v>3310</v>
      </c>
      <c r="M394" s="1424">
        <v>4.0</v>
      </c>
      <c r="N394" s="1424" t="s">
        <v>2258</v>
      </c>
      <c r="O394" s="1425" t="b">
        <v>0</v>
      </c>
      <c r="P394" s="1425" t="b">
        <v>0</v>
      </c>
      <c r="Q394" s="1426" t="s">
        <v>3311</v>
      </c>
      <c r="R394" s="1426" t="s">
        <v>2254</v>
      </c>
      <c r="S394" s="1426" t="b">
        <v>1</v>
      </c>
      <c r="T394" s="1427" t="b">
        <v>0</v>
      </c>
      <c r="U394" s="1427" t="b">
        <v>0</v>
      </c>
      <c r="V394" s="1427"/>
      <c r="W394" s="1426" t="s">
        <v>2255</v>
      </c>
      <c r="X394" s="1437" t="s">
        <v>3312</v>
      </c>
      <c r="Y394" s="1426" t="s">
        <v>1096</v>
      </c>
    </row>
    <row r="395">
      <c r="A395" s="1419"/>
      <c r="B395" s="1428" t="b">
        <v>0</v>
      </c>
      <c r="C395" s="1429" t="b">
        <v>0</v>
      </c>
      <c r="D395" s="1429" t="b">
        <v>0</v>
      </c>
      <c r="E395" s="1429" t="b">
        <v>0</v>
      </c>
      <c r="F395" s="1429" t="b">
        <v>0</v>
      </c>
      <c r="G395" s="1429" t="b">
        <v>0</v>
      </c>
      <c r="H395" s="1428" t="b">
        <v>1</v>
      </c>
      <c r="I395" s="1428" t="b">
        <v>1</v>
      </c>
      <c r="J395" s="1428" t="b">
        <v>1</v>
      </c>
      <c r="K395" s="1430" t="s">
        <v>3313</v>
      </c>
      <c r="L395" s="1431" t="s">
        <v>3314</v>
      </c>
      <c r="M395" s="1432">
        <v>9.0</v>
      </c>
      <c r="N395" s="1432" t="s">
        <v>2306</v>
      </c>
      <c r="O395" s="1438" t="b">
        <v>1</v>
      </c>
      <c r="P395" s="1433" t="b">
        <v>0</v>
      </c>
      <c r="Q395" s="1434" t="s">
        <v>2316</v>
      </c>
      <c r="R395" s="1434" t="s">
        <v>2254</v>
      </c>
      <c r="S395" s="1434" t="b">
        <v>1</v>
      </c>
      <c r="T395" s="1434" t="b">
        <v>1</v>
      </c>
      <c r="U395" s="1439" t="b">
        <v>0</v>
      </c>
      <c r="V395" s="1439"/>
      <c r="W395" s="1434" t="s">
        <v>2288</v>
      </c>
      <c r="X395" s="1435" t="s">
        <v>3315</v>
      </c>
      <c r="Y395" s="1434" t="s">
        <v>1096</v>
      </c>
    </row>
    <row r="396">
      <c r="A396" s="1419"/>
      <c r="B396" s="1420" t="b">
        <v>0</v>
      </c>
      <c r="C396" s="1420" t="b">
        <v>1</v>
      </c>
      <c r="D396" s="1421" t="b">
        <v>0</v>
      </c>
      <c r="E396" s="1421" t="b">
        <v>0</v>
      </c>
      <c r="F396" s="1421" t="b">
        <v>0</v>
      </c>
      <c r="G396" s="1421" t="b">
        <v>0</v>
      </c>
      <c r="H396" s="1420" t="b">
        <v>1</v>
      </c>
      <c r="I396" s="1421" t="b">
        <v>0</v>
      </c>
      <c r="J396" s="1420" t="b">
        <v>1</v>
      </c>
      <c r="K396" s="1422" t="s">
        <v>3316</v>
      </c>
      <c r="L396" s="1423" t="s">
        <v>3317</v>
      </c>
      <c r="M396" s="1424">
        <v>3.0</v>
      </c>
      <c r="N396" s="1424" t="s">
        <v>2252</v>
      </c>
      <c r="O396" s="1436" t="b">
        <v>1</v>
      </c>
      <c r="P396" s="1425" t="b">
        <v>0</v>
      </c>
      <c r="Q396" s="1426" t="s">
        <v>2253</v>
      </c>
      <c r="R396" s="1426" t="s">
        <v>2269</v>
      </c>
      <c r="S396" s="1426" t="b">
        <v>1</v>
      </c>
      <c r="T396" s="1426" t="b">
        <v>1</v>
      </c>
      <c r="U396" s="1427" t="b">
        <v>0</v>
      </c>
      <c r="V396" s="1427"/>
      <c r="W396" s="1426" t="s">
        <v>2308</v>
      </c>
      <c r="X396" s="1437" t="s">
        <v>3318</v>
      </c>
      <c r="Y396" s="1426" t="s">
        <v>1096</v>
      </c>
    </row>
    <row r="397">
      <c r="A397" s="1419"/>
      <c r="B397" s="1428" t="b">
        <v>0</v>
      </c>
      <c r="C397" s="1429" t="b">
        <v>0</v>
      </c>
      <c r="D397" s="1429" t="b">
        <v>0</v>
      </c>
      <c r="E397" s="1429" t="b">
        <v>0</v>
      </c>
      <c r="F397" s="1429" t="b">
        <v>0</v>
      </c>
      <c r="G397" s="1429" t="b">
        <v>0</v>
      </c>
      <c r="H397" s="1429" t="b">
        <v>0</v>
      </c>
      <c r="I397" s="1429" t="b">
        <v>0</v>
      </c>
      <c r="J397" s="1428" t="b">
        <v>1</v>
      </c>
      <c r="K397" s="1430" t="s">
        <v>3319</v>
      </c>
      <c r="L397" s="1431" t="s">
        <v>3320</v>
      </c>
      <c r="M397" s="1432">
        <v>3.0</v>
      </c>
      <c r="N397" s="1432" t="s">
        <v>2306</v>
      </c>
      <c r="O397" s="1438" t="b">
        <v>1</v>
      </c>
      <c r="P397" s="1433" t="b">
        <v>0</v>
      </c>
      <c r="Q397" s="1434" t="s">
        <v>2253</v>
      </c>
      <c r="R397" s="1434" t="s">
        <v>2254</v>
      </c>
      <c r="S397" s="1434" t="b">
        <v>1</v>
      </c>
      <c r="T397" s="1434" t="b">
        <v>1</v>
      </c>
      <c r="U397" s="1434" t="b">
        <v>1</v>
      </c>
      <c r="V397" s="1434" t="s">
        <v>3321</v>
      </c>
      <c r="W397" s="1434" t="s">
        <v>2308</v>
      </c>
      <c r="X397" s="1435" t="s">
        <v>3322</v>
      </c>
      <c r="Y397" s="1434" t="s">
        <v>1096</v>
      </c>
    </row>
    <row r="398">
      <c r="A398" s="1419"/>
      <c r="B398" s="1420" t="b">
        <v>0</v>
      </c>
      <c r="C398" s="1421" t="b">
        <v>0</v>
      </c>
      <c r="D398" s="1421" t="b">
        <v>0</v>
      </c>
      <c r="E398" s="1421" t="b">
        <v>0</v>
      </c>
      <c r="F398" s="1421" t="b">
        <v>0</v>
      </c>
      <c r="G398" s="1421" t="b">
        <v>0</v>
      </c>
      <c r="H398" s="1421" t="b">
        <v>0</v>
      </c>
      <c r="I398" s="1420" t="b">
        <v>1</v>
      </c>
      <c r="J398" s="1420" t="b">
        <v>1</v>
      </c>
      <c r="K398" s="1422" t="s">
        <v>3323</v>
      </c>
      <c r="L398" s="1423" t="s">
        <v>3324</v>
      </c>
      <c r="M398" s="1424">
        <v>2.0</v>
      </c>
      <c r="N398" s="1424" t="s">
        <v>2282</v>
      </c>
      <c r="O398" s="1425" t="b">
        <v>0</v>
      </c>
      <c r="P398" s="1425" t="b">
        <v>0</v>
      </c>
      <c r="Q398" s="1426" t="s">
        <v>2253</v>
      </c>
      <c r="R398" s="1426" t="s">
        <v>2311</v>
      </c>
      <c r="S398" s="1426" t="b">
        <v>1</v>
      </c>
      <c r="T398" s="1426" t="b">
        <v>1</v>
      </c>
      <c r="U398" s="1426" t="b">
        <v>1</v>
      </c>
      <c r="V398" s="1426" t="s">
        <v>3325</v>
      </c>
      <c r="W398" s="1426" t="s">
        <v>2297</v>
      </c>
      <c r="X398" s="1437" t="s">
        <v>3326</v>
      </c>
      <c r="Y398" s="1426" t="s">
        <v>1096</v>
      </c>
    </row>
    <row r="399">
      <c r="A399" s="1419"/>
      <c r="B399" s="1428" t="b">
        <v>0</v>
      </c>
      <c r="C399" s="1429" t="b">
        <v>0</v>
      </c>
      <c r="D399" s="1428" t="b">
        <v>1</v>
      </c>
      <c r="E399" s="1429" t="b">
        <v>0</v>
      </c>
      <c r="F399" s="1429" t="b">
        <v>0</v>
      </c>
      <c r="G399" s="1429" t="b">
        <v>0</v>
      </c>
      <c r="H399" s="1429" t="b">
        <v>0</v>
      </c>
      <c r="I399" s="1429" t="b">
        <v>0</v>
      </c>
      <c r="J399" s="1428" t="b">
        <v>1</v>
      </c>
      <c r="K399" s="1430" t="s">
        <v>3327</v>
      </c>
      <c r="L399" s="1431" t="s">
        <v>3328</v>
      </c>
      <c r="M399" s="1432">
        <v>2.0</v>
      </c>
      <c r="N399" s="1432" t="s">
        <v>2306</v>
      </c>
      <c r="O399" s="1433" t="b">
        <v>0</v>
      </c>
      <c r="P399" s="1438" t="b">
        <v>1</v>
      </c>
      <c r="Q399" s="1434" t="s">
        <v>2253</v>
      </c>
      <c r="R399" s="1434" t="s">
        <v>2269</v>
      </c>
      <c r="S399" s="1434" t="b">
        <v>1</v>
      </c>
      <c r="T399" s="1434" t="b">
        <v>1</v>
      </c>
      <c r="U399" s="1434" t="b">
        <v>1</v>
      </c>
      <c r="V399" s="1434" t="s">
        <v>3329</v>
      </c>
      <c r="W399" s="1434" t="s">
        <v>2261</v>
      </c>
      <c r="X399" s="1435" t="s">
        <v>3330</v>
      </c>
      <c r="Y399" s="1434" t="s">
        <v>1096</v>
      </c>
    </row>
    <row r="400">
      <c r="A400" s="1419"/>
      <c r="B400" s="1421" t="b">
        <v>0</v>
      </c>
      <c r="C400" s="1420" t="b">
        <v>1</v>
      </c>
      <c r="D400" s="1420" t="b">
        <v>1</v>
      </c>
      <c r="E400" s="1421" t="b">
        <v>0</v>
      </c>
      <c r="F400" s="1421" t="b">
        <v>0</v>
      </c>
      <c r="G400" s="1421" t="b">
        <v>0</v>
      </c>
      <c r="H400" s="1421" t="b">
        <v>0</v>
      </c>
      <c r="I400" s="1421" t="b">
        <v>0</v>
      </c>
      <c r="J400" s="1421" t="b">
        <v>0</v>
      </c>
      <c r="K400" s="1422" t="s">
        <v>3331</v>
      </c>
      <c r="L400" s="1423" t="s">
        <v>3332</v>
      </c>
      <c r="M400" s="1424">
        <v>6.0</v>
      </c>
      <c r="N400" s="1424" t="s">
        <v>2273</v>
      </c>
      <c r="O400" s="1436" t="b">
        <v>1</v>
      </c>
      <c r="P400" s="1425" t="b">
        <v>0</v>
      </c>
      <c r="Q400" s="1426" t="s">
        <v>2253</v>
      </c>
      <c r="R400" s="1426" t="s">
        <v>2269</v>
      </c>
      <c r="S400" s="1426" t="b">
        <v>1</v>
      </c>
      <c r="T400" s="1427" t="b">
        <v>0</v>
      </c>
      <c r="U400" s="1427" t="b">
        <v>0</v>
      </c>
      <c r="V400" s="1427"/>
      <c r="W400" s="1426" t="s">
        <v>2288</v>
      </c>
      <c r="X400" s="1437" t="s">
        <v>3333</v>
      </c>
      <c r="Y400" s="1426" t="s">
        <v>1096</v>
      </c>
    </row>
    <row r="401">
      <c r="A401" s="1419"/>
      <c r="B401" s="1429" t="b">
        <v>0</v>
      </c>
      <c r="C401" s="1428" t="b">
        <v>1</v>
      </c>
      <c r="D401" s="1428" t="b">
        <v>1</v>
      </c>
      <c r="E401" s="1429" t="b">
        <v>0</v>
      </c>
      <c r="F401" s="1429" t="b">
        <v>0</v>
      </c>
      <c r="G401" s="1429" t="b">
        <v>0</v>
      </c>
      <c r="H401" s="1428" t="b">
        <v>1</v>
      </c>
      <c r="I401" s="1429" t="b">
        <v>0</v>
      </c>
      <c r="J401" s="1429" t="b">
        <v>0</v>
      </c>
      <c r="K401" s="1430" t="s">
        <v>3334</v>
      </c>
      <c r="L401" s="1431" t="s">
        <v>3335</v>
      </c>
      <c r="M401" s="1432">
        <v>4.0</v>
      </c>
      <c r="N401" s="1432" t="s">
        <v>2306</v>
      </c>
      <c r="O401" s="1438" t="b">
        <v>1</v>
      </c>
      <c r="P401" s="1433" t="b">
        <v>0</v>
      </c>
      <c r="Q401" s="1434" t="s">
        <v>2253</v>
      </c>
      <c r="R401" s="1434" t="s">
        <v>2287</v>
      </c>
      <c r="S401" s="1434" t="b">
        <v>1</v>
      </c>
      <c r="T401" s="1434" t="b">
        <v>1</v>
      </c>
      <c r="U401" s="1434" t="b">
        <v>1</v>
      </c>
      <c r="V401" s="1434" t="s">
        <v>3336</v>
      </c>
      <c r="W401" s="1434" t="s">
        <v>2288</v>
      </c>
      <c r="X401" s="1435" t="s">
        <v>3337</v>
      </c>
      <c r="Y401" s="1434" t="s">
        <v>1096</v>
      </c>
    </row>
    <row r="402">
      <c r="A402" s="1419"/>
      <c r="B402" s="1420" t="b">
        <v>0</v>
      </c>
      <c r="C402" s="1421" t="b">
        <v>0</v>
      </c>
      <c r="D402" s="1421" t="b">
        <v>0</v>
      </c>
      <c r="E402" s="1420" t="b">
        <v>1</v>
      </c>
      <c r="F402" s="1421" t="b">
        <v>0</v>
      </c>
      <c r="G402" s="1421" t="b">
        <v>0</v>
      </c>
      <c r="H402" s="1420" t="b">
        <v>1</v>
      </c>
      <c r="I402" s="1421" t="b">
        <v>0</v>
      </c>
      <c r="J402" s="1420" t="b">
        <v>1</v>
      </c>
      <c r="K402" s="1422" t="s">
        <v>3338</v>
      </c>
      <c r="L402" s="1423" t="s">
        <v>3339</v>
      </c>
      <c r="M402" s="1424">
        <v>6.0</v>
      </c>
      <c r="N402" s="1424" t="s">
        <v>2252</v>
      </c>
      <c r="O402" s="1425" t="b">
        <v>0</v>
      </c>
      <c r="P402" s="1425" t="b">
        <v>0</v>
      </c>
      <c r="Q402" s="1426" t="s">
        <v>2253</v>
      </c>
      <c r="R402" s="1426" t="s">
        <v>2269</v>
      </c>
      <c r="S402" s="1426" t="b">
        <v>1</v>
      </c>
      <c r="T402" s="1426" t="b">
        <v>1</v>
      </c>
      <c r="U402" s="1426" t="b">
        <v>1</v>
      </c>
      <c r="V402" s="1426" t="s">
        <v>3340</v>
      </c>
      <c r="W402" s="1426" t="s">
        <v>2297</v>
      </c>
      <c r="X402" s="1437" t="s">
        <v>3341</v>
      </c>
      <c r="Y402" s="1426" t="s">
        <v>1096</v>
      </c>
    </row>
    <row r="403">
      <c r="A403" s="1419"/>
      <c r="B403" s="1428" t="b">
        <v>0</v>
      </c>
      <c r="C403" s="1429" t="b">
        <v>0</v>
      </c>
      <c r="D403" s="1429" t="b">
        <v>0</v>
      </c>
      <c r="E403" s="1429" t="b">
        <v>0</v>
      </c>
      <c r="F403" s="1429" t="b">
        <v>0</v>
      </c>
      <c r="G403" s="1429" t="b">
        <v>0</v>
      </c>
      <c r="H403" s="1429" t="b">
        <v>0</v>
      </c>
      <c r="I403" s="1429" t="b">
        <v>0</v>
      </c>
      <c r="J403" s="1428" t="b">
        <v>1</v>
      </c>
      <c r="K403" s="1430" t="s">
        <v>3342</v>
      </c>
      <c r="L403" s="1431" t="s">
        <v>3343</v>
      </c>
      <c r="M403" s="1432">
        <v>2.0</v>
      </c>
      <c r="N403" s="1432" t="s">
        <v>2258</v>
      </c>
      <c r="O403" s="1438" t="b">
        <v>1</v>
      </c>
      <c r="P403" s="1433" t="b">
        <v>0</v>
      </c>
      <c r="Q403" s="1434" t="s">
        <v>2316</v>
      </c>
      <c r="R403" s="1434" t="s">
        <v>2269</v>
      </c>
      <c r="S403" s="1434" t="b">
        <v>1</v>
      </c>
      <c r="T403" s="1434" t="b">
        <v>1</v>
      </c>
      <c r="U403" s="1439" t="b">
        <v>0</v>
      </c>
      <c r="V403" s="1434"/>
      <c r="W403" s="1434" t="s">
        <v>2308</v>
      </c>
      <c r="X403" s="1435" t="s">
        <v>3344</v>
      </c>
      <c r="Y403" s="1434" t="s">
        <v>1096</v>
      </c>
    </row>
    <row r="404">
      <c r="A404" s="1419"/>
      <c r="B404" s="1420" t="b">
        <v>0</v>
      </c>
      <c r="C404" s="1421" t="b">
        <v>0</v>
      </c>
      <c r="D404" s="1420" t="b">
        <v>1</v>
      </c>
      <c r="E404" s="1421" t="b">
        <v>0</v>
      </c>
      <c r="F404" s="1421" t="b">
        <v>0</v>
      </c>
      <c r="G404" s="1421" t="b">
        <v>0</v>
      </c>
      <c r="H404" s="1421" t="b">
        <v>0</v>
      </c>
      <c r="I404" s="1421" t="b">
        <v>0</v>
      </c>
      <c r="J404" s="1420" t="b">
        <v>1</v>
      </c>
      <c r="K404" s="1422" t="s">
        <v>3345</v>
      </c>
      <c r="L404" s="1423" t="s">
        <v>3346</v>
      </c>
      <c r="M404" s="1424">
        <v>8.0</v>
      </c>
      <c r="N404" s="1424" t="s">
        <v>2252</v>
      </c>
      <c r="O404" s="1436" t="b">
        <v>1</v>
      </c>
      <c r="P404" s="1436" t="b">
        <v>0</v>
      </c>
      <c r="Q404" s="1426" t="s">
        <v>2316</v>
      </c>
      <c r="R404" s="1426" t="s">
        <v>2269</v>
      </c>
      <c r="S404" s="1426" t="b">
        <v>1</v>
      </c>
      <c r="T404" s="1426" t="b">
        <v>1</v>
      </c>
      <c r="U404" s="1427" t="b">
        <v>0</v>
      </c>
      <c r="V404" s="1427"/>
      <c r="W404" s="1426" t="s">
        <v>2288</v>
      </c>
      <c r="X404" s="1437" t="s">
        <v>3347</v>
      </c>
      <c r="Y404" s="1426" t="s">
        <v>1096</v>
      </c>
    </row>
    <row r="405">
      <c r="A405" s="1419"/>
      <c r="B405" s="1428" t="b">
        <v>0</v>
      </c>
      <c r="C405" s="1429" t="b">
        <v>0</v>
      </c>
      <c r="D405" s="1428" t="b">
        <v>1</v>
      </c>
      <c r="E405" s="1429" t="b">
        <v>0</v>
      </c>
      <c r="F405" s="1429" t="b">
        <v>0</v>
      </c>
      <c r="G405" s="1429" t="b">
        <v>0</v>
      </c>
      <c r="H405" s="1428" t="b">
        <v>1</v>
      </c>
      <c r="I405" s="1429" t="b">
        <v>0</v>
      </c>
      <c r="J405" s="1428" t="b">
        <v>1</v>
      </c>
      <c r="K405" s="1430" t="s">
        <v>3348</v>
      </c>
      <c r="L405" s="1431" t="s">
        <v>3349</v>
      </c>
      <c r="M405" s="1432">
        <v>3.0</v>
      </c>
      <c r="N405" s="1432" t="s">
        <v>2252</v>
      </c>
      <c r="O405" s="1433" t="b">
        <v>0</v>
      </c>
      <c r="P405" s="1433" t="b">
        <v>0</v>
      </c>
      <c r="Q405" s="1434" t="s">
        <v>2253</v>
      </c>
      <c r="R405" s="1434" t="s">
        <v>2269</v>
      </c>
      <c r="S405" s="1434" t="b">
        <v>1</v>
      </c>
      <c r="T405" s="1434" t="b">
        <v>1</v>
      </c>
      <c r="U405" s="1434" t="b">
        <v>1</v>
      </c>
      <c r="V405" s="1434" t="s">
        <v>3350</v>
      </c>
      <c r="W405" s="1434" t="s">
        <v>2255</v>
      </c>
      <c r="X405" s="1435" t="s">
        <v>3351</v>
      </c>
      <c r="Y405" s="1434" t="s">
        <v>1096</v>
      </c>
    </row>
    <row r="406">
      <c r="A406" s="1419"/>
      <c r="B406" s="1420" t="b">
        <v>0</v>
      </c>
      <c r="C406" s="1421" t="b">
        <v>0</v>
      </c>
      <c r="D406" s="1421" t="b">
        <v>0</v>
      </c>
      <c r="E406" s="1421" t="b">
        <v>0</v>
      </c>
      <c r="F406" s="1421" t="b">
        <v>0</v>
      </c>
      <c r="G406" s="1421" t="b">
        <v>0</v>
      </c>
      <c r="H406" s="1420" t="b">
        <v>1</v>
      </c>
      <c r="I406" s="1421" t="b">
        <v>0</v>
      </c>
      <c r="J406" s="1420" t="b">
        <v>1</v>
      </c>
      <c r="K406" s="1422" t="s">
        <v>3352</v>
      </c>
      <c r="L406" s="1423" t="s">
        <v>3353</v>
      </c>
      <c r="M406" s="1424">
        <v>7.0</v>
      </c>
      <c r="N406" s="1424" t="s">
        <v>2268</v>
      </c>
      <c r="O406" s="1425" t="b">
        <v>0</v>
      </c>
      <c r="P406" s="1425" t="b">
        <v>0</v>
      </c>
      <c r="Q406" s="1426" t="s">
        <v>2253</v>
      </c>
      <c r="R406" s="1426" t="s">
        <v>2311</v>
      </c>
      <c r="S406" s="1426" t="b">
        <v>1</v>
      </c>
      <c r="T406" s="1426" t="b">
        <v>1</v>
      </c>
      <c r="U406" s="1427" t="b">
        <v>0</v>
      </c>
      <c r="V406" s="1427"/>
      <c r="W406" s="1426" t="s">
        <v>2297</v>
      </c>
      <c r="X406" s="1437" t="s">
        <v>3354</v>
      </c>
      <c r="Y406" s="1426" t="s">
        <v>1096</v>
      </c>
    </row>
    <row r="407">
      <c r="A407" s="1419"/>
      <c r="B407" s="1428" t="b">
        <v>0</v>
      </c>
      <c r="C407" s="1429" t="b">
        <v>0</v>
      </c>
      <c r="D407" s="1429" t="b">
        <v>0</v>
      </c>
      <c r="E407" s="1428" t="b">
        <v>1</v>
      </c>
      <c r="F407" s="1429" t="b">
        <v>0</v>
      </c>
      <c r="G407" s="1429" t="b">
        <v>0</v>
      </c>
      <c r="H407" s="1428" t="b">
        <v>1</v>
      </c>
      <c r="I407" s="1429" t="b">
        <v>0</v>
      </c>
      <c r="J407" s="1428" t="b">
        <v>1</v>
      </c>
      <c r="K407" s="1430" t="s">
        <v>3355</v>
      </c>
      <c r="L407" s="1431" t="s">
        <v>3356</v>
      </c>
      <c r="M407" s="1432">
        <v>5.0</v>
      </c>
      <c r="N407" s="1432" t="s">
        <v>2268</v>
      </c>
      <c r="O407" s="1438" t="b">
        <v>1</v>
      </c>
      <c r="P407" s="1433" t="b">
        <v>0</v>
      </c>
      <c r="Q407" s="1434" t="s">
        <v>2253</v>
      </c>
      <c r="R407" s="1434" t="s">
        <v>2269</v>
      </c>
      <c r="S407" s="1434" t="b">
        <v>1</v>
      </c>
      <c r="T407" s="1434" t="b">
        <v>1</v>
      </c>
      <c r="U407" s="1434" t="b">
        <v>1</v>
      </c>
      <c r="V407" s="1434" t="s">
        <v>3357</v>
      </c>
      <c r="W407" s="1434" t="s">
        <v>2288</v>
      </c>
      <c r="X407" s="1435" t="s">
        <v>3358</v>
      </c>
      <c r="Y407" s="1434" t="s">
        <v>1096</v>
      </c>
    </row>
    <row r="408">
      <c r="A408" s="1419"/>
      <c r="B408" s="1420" t="b">
        <v>0</v>
      </c>
      <c r="C408" s="1421" t="b">
        <v>0</v>
      </c>
      <c r="D408" s="1421" t="b">
        <v>0</v>
      </c>
      <c r="E408" s="1421" t="b">
        <v>0</v>
      </c>
      <c r="F408" s="1421" t="b">
        <v>0</v>
      </c>
      <c r="G408" s="1421" t="b">
        <v>0</v>
      </c>
      <c r="H408" s="1420" t="b">
        <v>1</v>
      </c>
      <c r="I408" s="1421" t="b">
        <v>0</v>
      </c>
      <c r="J408" s="1420" t="b">
        <v>1</v>
      </c>
      <c r="K408" s="1422" t="s">
        <v>3359</v>
      </c>
      <c r="L408" s="1423" t="s">
        <v>3360</v>
      </c>
      <c r="M408" s="1424">
        <v>1.0</v>
      </c>
      <c r="N408" s="1424" t="s">
        <v>2252</v>
      </c>
      <c r="O408" s="1425" t="b">
        <v>0</v>
      </c>
      <c r="P408" s="1425" t="b">
        <v>0</v>
      </c>
      <c r="Q408" s="1426" t="s">
        <v>2253</v>
      </c>
      <c r="R408" s="1426" t="s">
        <v>2254</v>
      </c>
      <c r="S408" s="1426" t="b">
        <v>1</v>
      </c>
      <c r="T408" s="1426" t="b">
        <v>1</v>
      </c>
      <c r="U408" s="1427" t="b">
        <v>0</v>
      </c>
      <c r="V408" s="1427"/>
      <c r="W408" s="1426" t="s">
        <v>2255</v>
      </c>
      <c r="X408" s="1437" t="s">
        <v>3361</v>
      </c>
      <c r="Y408" s="1426" t="s">
        <v>1096</v>
      </c>
    </row>
    <row r="409">
      <c r="A409" s="1419"/>
      <c r="B409" s="1428" t="b">
        <v>0</v>
      </c>
      <c r="C409" s="1429" t="b">
        <v>0</v>
      </c>
      <c r="D409" s="1429" t="b">
        <v>0</v>
      </c>
      <c r="E409" s="1429" t="b">
        <v>0</v>
      </c>
      <c r="F409" s="1429" t="b">
        <v>0</v>
      </c>
      <c r="G409" s="1429" t="b">
        <v>0</v>
      </c>
      <c r="H409" s="1428" t="b">
        <v>1</v>
      </c>
      <c r="I409" s="1429" t="b">
        <v>0</v>
      </c>
      <c r="J409" s="1428" t="b">
        <v>1</v>
      </c>
      <c r="K409" s="1430" t="s">
        <v>3362</v>
      </c>
      <c r="L409" s="1431" t="s">
        <v>3363</v>
      </c>
      <c r="M409" s="1432">
        <v>4.0</v>
      </c>
      <c r="N409" s="1432" t="s">
        <v>2252</v>
      </c>
      <c r="O409" s="1438" t="b">
        <v>1</v>
      </c>
      <c r="P409" s="1433" t="b">
        <v>0</v>
      </c>
      <c r="Q409" s="1434" t="s">
        <v>2253</v>
      </c>
      <c r="R409" s="1434" t="s">
        <v>2254</v>
      </c>
      <c r="S409" s="1434" t="b">
        <v>1</v>
      </c>
      <c r="T409" s="1434" t="b">
        <v>1</v>
      </c>
      <c r="U409" s="1439" t="b">
        <v>0</v>
      </c>
      <c r="V409" s="1439"/>
      <c r="W409" s="1434" t="s">
        <v>2288</v>
      </c>
      <c r="X409" s="1435" t="s">
        <v>3364</v>
      </c>
      <c r="Y409" s="1434" t="s">
        <v>1096</v>
      </c>
    </row>
    <row r="410">
      <c r="A410" s="1419"/>
      <c r="B410" s="1420" t="b">
        <v>0</v>
      </c>
      <c r="C410" s="1421" t="b">
        <v>0</v>
      </c>
      <c r="D410" s="1421" t="b">
        <v>0</v>
      </c>
      <c r="E410" s="1420" t="b">
        <v>1</v>
      </c>
      <c r="F410" s="1421" t="b">
        <v>0</v>
      </c>
      <c r="G410" s="1421" t="b">
        <v>0</v>
      </c>
      <c r="H410" s="1421" t="b">
        <v>0</v>
      </c>
      <c r="I410" s="1421" t="b">
        <v>0</v>
      </c>
      <c r="J410" s="1420" t="b">
        <v>1</v>
      </c>
      <c r="K410" s="1422" t="s">
        <v>3365</v>
      </c>
      <c r="L410" s="1423" t="s">
        <v>3366</v>
      </c>
      <c r="M410" s="1424">
        <v>3.0</v>
      </c>
      <c r="N410" s="1424" t="s">
        <v>2306</v>
      </c>
      <c r="O410" s="1425" t="b">
        <v>0</v>
      </c>
      <c r="P410" s="1425" t="b">
        <v>0</v>
      </c>
      <c r="Q410" s="1426" t="s">
        <v>2316</v>
      </c>
      <c r="R410" s="1426" t="s">
        <v>2269</v>
      </c>
      <c r="S410" s="1426" t="b">
        <v>1</v>
      </c>
      <c r="T410" s="1426" t="b">
        <v>1</v>
      </c>
      <c r="U410" s="1426" t="b">
        <v>1</v>
      </c>
      <c r="V410" s="1426" t="s">
        <v>3367</v>
      </c>
      <c r="W410" s="1426" t="s">
        <v>2297</v>
      </c>
      <c r="X410" s="1437" t="s">
        <v>3368</v>
      </c>
      <c r="Y410" s="1426" t="s">
        <v>1096</v>
      </c>
    </row>
    <row r="411">
      <c r="A411" s="1419"/>
      <c r="B411" s="1428" t="b">
        <v>0</v>
      </c>
      <c r="C411" s="1428" t="b">
        <v>1</v>
      </c>
      <c r="D411" s="1428" t="b">
        <v>1</v>
      </c>
      <c r="E411" s="1429" t="b">
        <v>0</v>
      </c>
      <c r="F411" s="1428" t="b">
        <v>1</v>
      </c>
      <c r="G411" s="1429" t="b">
        <v>0</v>
      </c>
      <c r="H411" s="1429" t="b">
        <v>0</v>
      </c>
      <c r="I411" s="1429" t="b">
        <v>0</v>
      </c>
      <c r="J411" s="1428" t="b">
        <v>1</v>
      </c>
      <c r="K411" s="1430" t="s">
        <v>3369</v>
      </c>
      <c r="L411" s="1431" t="s">
        <v>3370</v>
      </c>
      <c r="M411" s="1432">
        <v>1.0</v>
      </c>
      <c r="N411" s="1432" t="s">
        <v>2258</v>
      </c>
      <c r="O411" s="1433" t="b">
        <v>0</v>
      </c>
      <c r="P411" s="1433" t="b">
        <v>0</v>
      </c>
      <c r="Q411" s="1434" t="s">
        <v>2253</v>
      </c>
      <c r="R411" s="1434" t="s">
        <v>2254</v>
      </c>
      <c r="S411" s="1434" t="b">
        <v>1</v>
      </c>
      <c r="T411" s="1434" t="b">
        <v>1</v>
      </c>
      <c r="U411" s="1434" t="b">
        <v>1</v>
      </c>
      <c r="V411" s="1439"/>
      <c r="W411" s="1434" t="s">
        <v>2255</v>
      </c>
      <c r="X411" s="1435" t="s">
        <v>3371</v>
      </c>
      <c r="Y411" s="1434" t="s">
        <v>1096</v>
      </c>
    </row>
    <row r="412">
      <c r="A412" s="1419"/>
      <c r="B412" s="1420" t="b">
        <v>1</v>
      </c>
      <c r="C412" s="1421" t="b">
        <v>0</v>
      </c>
      <c r="D412" s="1421" t="b">
        <v>0</v>
      </c>
      <c r="E412" s="1421" t="b">
        <v>0</v>
      </c>
      <c r="F412" s="1421" t="b">
        <v>0</v>
      </c>
      <c r="G412" s="1421" t="b">
        <v>0</v>
      </c>
      <c r="H412" s="1421" t="b">
        <v>0</v>
      </c>
      <c r="I412" s="1421" t="b">
        <v>0</v>
      </c>
      <c r="J412" s="1421" t="b">
        <v>0</v>
      </c>
      <c r="K412" s="1422" t="s">
        <v>3372</v>
      </c>
      <c r="L412" s="1423" t="s">
        <v>3373</v>
      </c>
      <c r="M412" s="1424">
        <v>2.0</v>
      </c>
      <c r="N412" s="1424" t="s">
        <v>2306</v>
      </c>
      <c r="O412" s="1425" t="b">
        <v>0</v>
      </c>
      <c r="P412" s="1436" t="b">
        <v>1</v>
      </c>
      <c r="Q412" s="1426" t="s">
        <v>2297</v>
      </c>
      <c r="R412" s="1426" t="s">
        <v>2283</v>
      </c>
      <c r="S412" s="1426" t="b">
        <v>1</v>
      </c>
      <c r="T412" s="1426" t="b">
        <v>1</v>
      </c>
      <c r="U412" s="1426" t="b">
        <v>1</v>
      </c>
      <c r="V412" s="1426" t="s">
        <v>3374</v>
      </c>
      <c r="W412" s="1426" t="s">
        <v>2255</v>
      </c>
      <c r="X412" s="1437" t="s">
        <v>3375</v>
      </c>
      <c r="Y412" s="1426" t="s">
        <v>151</v>
      </c>
    </row>
    <row r="413">
      <c r="A413" s="1419"/>
      <c r="B413" s="1429" t="b">
        <v>0</v>
      </c>
      <c r="C413" s="1428" t="b">
        <v>1</v>
      </c>
      <c r="D413" s="1428" t="b">
        <v>1</v>
      </c>
      <c r="E413" s="1429" t="b">
        <v>0</v>
      </c>
      <c r="F413" s="1429" t="b">
        <v>0</v>
      </c>
      <c r="G413" s="1429" t="b">
        <v>0</v>
      </c>
      <c r="H413" s="1428" t="b">
        <v>1</v>
      </c>
      <c r="I413" s="1429" t="b">
        <v>0</v>
      </c>
      <c r="J413" s="1428" t="b">
        <v>1</v>
      </c>
      <c r="K413" s="1430" t="s">
        <v>3376</v>
      </c>
      <c r="L413" s="1431" t="s">
        <v>3377</v>
      </c>
      <c r="M413" s="1432">
        <v>3.0</v>
      </c>
      <c r="N413" s="1432" t="s">
        <v>2252</v>
      </c>
      <c r="O413" s="1433" t="b">
        <v>0</v>
      </c>
      <c r="P413" s="1433" t="b">
        <v>0</v>
      </c>
      <c r="Q413" s="1434" t="s">
        <v>2253</v>
      </c>
      <c r="R413" s="1434" t="s">
        <v>3111</v>
      </c>
      <c r="S413" s="1434" t="b">
        <v>1</v>
      </c>
      <c r="T413" s="1434" t="b">
        <v>1</v>
      </c>
      <c r="U413" s="1434" t="b">
        <v>1</v>
      </c>
      <c r="V413" s="1434" t="s">
        <v>3378</v>
      </c>
      <c r="W413" s="1434" t="s">
        <v>2255</v>
      </c>
      <c r="X413" s="1435" t="s">
        <v>3379</v>
      </c>
      <c r="Y413" s="1434" t="s">
        <v>1125</v>
      </c>
    </row>
    <row r="414">
      <c r="A414" s="1419"/>
      <c r="B414" s="1421" t="b">
        <v>0</v>
      </c>
      <c r="C414" s="1420" t="b">
        <v>0</v>
      </c>
      <c r="D414" s="1420" t="b">
        <v>1</v>
      </c>
      <c r="E414" s="1420" t="b">
        <v>1</v>
      </c>
      <c r="F414" s="1421" t="b">
        <v>0</v>
      </c>
      <c r="G414" s="1420" t="b">
        <v>1</v>
      </c>
      <c r="H414" s="1420" t="b">
        <v>0</v>
      </c>
      <c r="I414" s="1421" t="b">
        <v>0</v>
      </c>
      <c r="J414" s="1420" t="b">
        <v>0</v>
      </c>
      <c r="K414" s="1422" t="s">
        <v>3380</v>
      </c>
      <c r="L414" s="1423" t="s">
        <v>3381</v>
      </c>
      <c r="M414" s="1424">
        <v>4.0</v>
      </c>
      <c r="N414" s="1424" t="s">
        <v>2268</v>
      </c>
      <c r="O414" s="1436" t="b">
        <v>1</v>
      </c>
      <c r="P414" s="1425" t="b">
        <v>0</v>
      </c>
      <c r="Q414" s="1426" t="s">
        <v>2253</v>
      </c>
      <c r="R414" s="1426" t="s">
        <v>2368</v>
      </c>
      <c r="S414" s="1426" t="b">
        <v>1</v>
      </c>
      <c r="T414" s="1426" t="b">
        <v>1</v>
      </c>
      <c r="U414" s="1426" t="b">
        <v>1</v>
      </c>
      <c r="V414" s="1426" t="s">
        <v>3382</v>
      </c>
      <c r="W414" s="1426" t="s">
        <v>2288</v>
      </c>
      <c r="X414" s="1437" t="s">
        <v>3383</v>
      </c>
      <c r="Y414" s="1426" t="s">
        <v>1125</v>
      </c>
    </row>
    <row r="415">
      <c r="A415" s="1419"/>
      <c r="B415" s="1429" t="b">
        <v>0</v>
      </c>
      <c r="C415" s="1428" t="b">
        <v>0</v>
      </c>
      <c r="D415" s="1429" t="b">
        <v>0</v>
      </c>
      <c r="E415" s="1428" t="b">
        <v>1</v>
      </c>
      <c r="F415" s="1429" t="b">
        <v>0</v>
      </c>
      <c r="G415" s="1428" t="b">
        <v>1</v>
      </c>
      <c r="H415" s="1428" t="b">
        <v>1</v>
      </c>
      <c r="I415" s="1428" t="b">
        <v>0</v>
      </c>
      <c r="J415" s="1428" t="b">
        <v>1</v>
      </c>
      <c r="K415" s="1430" t="s">
        <v>3384</v>
      </c>
      <c r="L415" s="1431" t="s">
        <v>3385</v>
      </c>
      <c r="M415" s="1432">
        <v>1.0</v>
      </c>
      <c r="N415" s="1432" t="s">
        <v>2306</v>
      </c>
      <c r="O415" s="1438" t="b">
        <v>1</v>
      </c>
      <c r="P415" s="1433" t="b">
        <v>0</v>
      </c>
      <c r="Q415" s="1434" t="s">
        <v>2253</v>
      </c>
      <c r="R415" s="1434" t="s">
        <v>2287</v>
      </c>
      <c r="S415" s="1434" t="b">
        <v>1</v>
      </c>
      <c r="T415" s="1434" t="b">
        <v>1</v>
      </c>
      <c r="U415" s="1434" t="b">
        <v>1</v>
      </c>
      <c r="V415" s="1434" t="s">
        <v>3386</v>
      </c>
      <c r="W415" s="1434" t="s">
        <v>2288</v>
      </c>
      <c r="X415" s="1435" t="s">
        <v>3387</v>
      </c>
      <c r="Y415" s="1434" t="s">
        <v>1125</v>
      </c>
    </row>
    <row r="416">
      <c r="A416" s="1419"/>
      <c r="B416" s="1421" t="b">
        <v>0</v>
      </c>
      <c r="C416" s="1420" t="b">
        <v>1</v>
      </c>
      <c r="D416" s="1421" t="b">
        <v>0</v>
      </c>
      <c r="E416" s="1421" t="b">
        <v>0</v>
      </c>
      <c r="F416" s="1421" t="b">
        <v>0</v>
      </c>
      <c r="G416" s="1421" t="b">
        <v>0</v>
      </c>
      <c r="H416" s="1420" t="b">
        <v>0</v>
      </c>
      <c r="I416" s="1421" t="b">
        <v>0</v>
      </c>
      <c r="J416" s="1420" t="b">
        <v>0</v>
      </c>
      <c r="K416" s="1422" t="s">
        <v>3388</v>
      </c>
      <c r="L416" s="1423" t="s">
        <v>3389</v>
      </c>
      <c r="M416" s="1424">
        <v>1.0</v>
      </c>
      <c r="N416" s="1424" t="s">
        <v>2273</v>
      </c>
      <c r="O416" s="1436" t="b">
        <v>1</v>
      </c>
      <c r="P416" s="1425" t="b">
        <v>0</v>
      </c>
      <c r="Q416" s="1426" t="s">
        <v>2253</v>
      </c>
      <c r="R416" s="1426" t="s">
        <v>2287</v>
      </c>
      <c r="S416" s="1426" t="b">
        <v>1</v>
      </c>
      <c r="T416" s="1426" t="b">
        <v>1</v>
      </c>
      <c r="U416" s="1427" t="b">
        <v>0</v>
      </c>
      <c r="V416" s="1427"/>
      <c r="W416" s="1426" t="s">
        <v>2288</v>
      </c>
      <c r="X416" s="1437" t="s">
        <v>3390</v>
      </c>
      <c r="Y416" s="1426" t="s">
        <v>1125</v>
      </c>
    </row>
    <row r="417">
      <c r="A417" s="1419"/>
      <c r="B417" s="1429" t="b">
        <v>0</v>
      </c>
      <c r="C417" s="1428" t="b">
        <v>1</v>
      </c>
      <c r="D417" s="1429" t="b">
        <v>0</v>
      </c>
      <c r="E417" s="1429" t="b">
        <v>0</v>
      </c>
      <c r="F417" s="1429" t="b">
        <v>0</v>
      </c>
      <c r="G417" s="1429" t="b">
        <v>0</v>
      </c>
      <c r="H417" s="1428" t="b">
        <v>1</v>
      </c>
      <c r="I417" s="1429" t="b">
        <v>0</v>
      </c>
      <c r="J417" s="1428" t="b">
        <v>1</v>
      </c>
      <c r="K417" s="1430" t="s">
        <v>3391</v>
      </c>
      <c r="L417" s="1431" t="s">
        <v>3392</v>
      </c>
      <c r="M417" s="1432">
        <v>6.0</v>
      </c>
      <c r="N417" s="1432" t="s">
        <v>2273</v>
      </c>
      <c r="O417" s="1433" t="b">
        <v>0</v>
      </c>
      <c r="P417" s="1433" t="b">
        <v>0</v>
      </c>
      <c r="Q417" s="1434" t="s">
        <v>2253</v>
      </c>
      <c r="R417" s="1434" t="s">
        <v>3393</v>
      </c>
      <c r="S417" s="1434" t="b">
        <v>1</v>
      </c>
      <c r="T417" s="1434" t="b">
        <v>0</v>
      </c>
      <c r="U417" s="1439" t="b">
        <v>0</v>
      </c>
      <c r="V417" s="1439"/>
      <c r="W417" s="1434" t="s">
        <v>2264</v>
      </c>
      <c r="X417" s="1435" t="s">
        <v>3394</v>
      </c>
      <c r="Y417" s="1434" t="s">
        <v>1125</v>
      </c>
    </row>
    <row r="418">
      <c r="A418" s="1419"/>
      <c r="B418" s="1421" t="b">
        <v>0</v>
      </c>
      <c r="C418" s="1420" t="b">
        <v>1</v>
      </c>
      <c r="D418" s="1421" t="b">
        <v>0</v>
      </c>
      <c r="E418" s="1421" t="b">
        <v>0</v>
      </c>
      <c r="F418" s="1421" t="b">
        <v>0</v>
      </c>
      <c r="G418" s="1421" t="b">
        <v>0</v>
      </c>
      <c r="H418" s="1420" t="b">
        <v>1</v>
      </c>
      <c r="I418" s="1421" t="b">
        <v>0</v>
      </c>
      <c r="J418" s="1420" t="b">
        <v>1</v>
      </c>
      <c r="K418" s="1422" t="s">
        <v>3395</v>
      </c>
      <c r="L418" s="1423" t="s">
        <v>3396</v>
      </c>
      <c r="M418" s="1424">
        <v>0.0</v>
      </c>
      <c r="N418" s="1424" t="s">
        <v>2252</v>
      </c>
      <c r="O418" s="1425" t="b">
        <v>0</v>
      </c>
      <c r="P418" s="1425" t="b">
        <v>0</v>
      </c>
      <c r="Q418" s="1426" t="s">
        <v>2316</v>
      </c>
      <c r="R418" s="1426" t="s">
        <v>2269</v>
      </c>
      <c r="S418" s="1426" t="b">
        <v>1</v>
      </c>
      <c r="T418" s="1426" t="b">
        <v>1</v>
      </c>
      <c r="U418" s="1427" t="b">
        <v>0</v>
      </c>
      <c r="V418" s="1427"/>
      <c r="W418" s="1426" t="s">
        <v>2264</v>
      </c>
      <c r="X418" s="1437" t="s">
        <v>3397</v>
      </c>
      <c r="Y418" s="1426" t="s">
        <v>128</v>
      </c>
    </row>
    <row r="419">
      <c r="A419" s="1419"/>
      <c r="B419" s="1429" t="b">
        <v>0</v>
      </c>
      <c r="C419" s="1428" t="b">
        <v>1</v>
      </c>
      <c r="D419" s="1429" t="b">
        <v>0</v>
      </c>
      <c r="E419" s="1428" t="b">
        <v>1</v>
      </c>
      <c r="F419" s="1429" t="b">
        <v>0</v>
      </c>
      <c r="G419" s="1429" t="b">
        <v>0</v>
      </c>
      <c r="H419" s="1428" t="b">
        <v>1</v>
      </c>
      <c r="I419" s="1428" t="b">
        <v>1</v>
      </c>
      <c r="J419" s="1428" t="b">
        <v>1</v>
      </c>
      <c r="K419" s="1430" t="s">
        <v>3398</v>
      </c>
      <c r="L419" s="1431" t="s">
        <v>3399</v>
      </c>
      <c r="M419" s="1432">
        <v>0.0</v>
      </c>
      <c r="N419" s="1432" t="s">
        <v>2385</v>
      </c>
      <c r="O419" s="1433" t="b">
        <v>0</v>
      </c>
      <c r="P419" s="1433" t="b">
        <v>0</v>
      </c>
      <c r="Q419" s="1434" t="s">
        <v>2253</v>
      </c>
      <c r="R419" s="1434" t="s">
        <v>2311</v>
      </c>
      <c r="S419" s="1434" t="b">
        <v>1</v>
      </c>
      <c r="T419" s="1439" t="b">
        <v>0</v>
      </c>
      <c r="U419" s="1434" t="b">
        <v>1</v>
      </c>
      <c r="V419" s="1434" t="s">
        <v>3400</v>
      </c>
      <c r="W419" s="1434" t="s">
        <v>2264</v>
      </c>
      <c r="X419" s="1435" t="s">
        <v>3401</v>
      </c>
      <c r="Y419" s="1434" t="s">
        <v>128</v>
      </c>
    </row>
    <row r="420">
      <c r="A420" s="1419"/>
      <c r="B420" s="1421" t="b">
        <v>0</v>
      </c>
      <c r="C420" s="1421" t="b">
        <v>0</v>
      </c>
      <c r="D420" s="1421" t="b">
        <v>0</v>
      </c>
      <c r="E420" s="1421" t="b">
        <v>0</v>
      </c>
      <c r="F420" s="1420" t="b">
        <v>1</v>
      </c>
      <c r="G420" s="1421" t="b">
        <v>0</v>
      </c>
      <c r="H420" s="1421" t="b">
        <v>0</v>
      </c>
      <c r="I420" s="1421" t="b">
        <v>0</v>
      </c>
      <c r="J420" s="1421" t="b">
        <v>0</v>
      </c>
      <c r="K420" s="1422" t="s">
        <v>3402</v>
      </c>
      <c r="L420" s="1423" t="s">
        <v>3403</v>
      </c>
      <c r="M420" s="1424">
        <v>1.0</v>
      </c>
      <c r="N420" s="1424" t="s">
        <v>2252</v>
      </c>
      <c r="O420" s="1425" t="b">
        <v>0</v>
      </c>
      <c r="P420" s="1425" t="b">
        <v>0</v>
      </c>
      <c r="Q420" s="1426" t="s">
        <v>2731</v>
      </c>
      <c r="R420" s="1426" t="s">
        <v>2269</v>
      </c>
      <c r="S420" s="1426" t="b">
        <v>1</v>
      </c>
      <c r="T420" s="1427" t="b">
        <v>0</v>
      </c>
      <c r="U420" s="1427" t="b">
        <v>0</v>
      </c>
      <c r="V420" s="1427"/>
      <c r="W420" s="1426" t="s">
        <v>2255</v>
      </c>
      <c r="X420" s="1437" t="s">
        <v>3404</v>
      </c>
      <c r="Y420" s="1426" t="s">
        <v>128</v>
      </c>
    </row>
    <row r="421">
      <c r="A421" s="1419"/>
      <c r="B421" s="1429" t="b">
        <v>0</v>
      </c>
      <c r="C421" s="1429" t="b">
        <v>0</v>
      </c>
      <c r="D421" s="1429" t="b">
        <v>0</v>
      </c>
      <c r="E421" s="1428" t="b">
        <v>1</v>
      </c>
      <c r="F421" s="1428" t="b">
        <v>1</v>
      </c>
      <c r="G421" s="1429" t="b">
        <v>0</v>
      </c>
      <c r="H421" s="1428" t="b">
        <v>1</v>
      </c>
      <c r="I421" s="1429" t="b">
        <v>0</v>
      </c>
      <c r="J421" s="1428" t="b">
        <v>1</v>
      </c>
      <c r="K421" s="1430" t="s">
        <v>3405</v>
      </c>
      <c r="L421" s="1431" t="s">
        <v>3406</v>
      </c>
      <c r="M421" s="1432">
        <v>1.0</v>
      </c>
      <c r="N421" s="1432" t="s">
        <v>2306</v>
      </c>
      <c r="O421" s="1438" t="b">
        <v>1</v>
      </c>
      <c r="P421" s="1433" t="b">
        <v>0</v>
      </c>
      <c r="Q421" s="1434" t="s">
        <v>2316</v>
      </c>
      <c r="R421" s="1434" t="s">
        <v>2283</v>
      </c>
      <c r="S421" s="1434" t="b">
        <v>1</v>
      </c>
      <c r="T421" s="1434" t="b">
        <v>1</v>
      </c>
      <c r="U421" s="1434" t="b">
        <v>1</v>
      </c>
      <c r="V421" s="1434" t="s">
        <v>3407</v>
      </c>
      <c r="W421" s="1434" t="s">
        <v>2270</v>
      </c>
      <c r="X421" s="1435" t="s">
        <v>3408</v>
      </c>
      <c r="Y421" s="1434" t="s">
        <v>128</v>
      </c>
    </row>
    <row r="422">
      <c r="A422" s="1419"/>
      <c r="B422" s="1421" t="b">
        <v>0</v>
      </c>
      <c r="C422" s="1421" t="b">
        <v>0</v>
      </c>
      <c r="D422" s="1421" t="b">
        <v>0</v>
      </c>
      <c r="E422" s="1421" t="b">
        <v>0</v>
      </c>
      <c r="F422" s="1420" t="b">
        <v>1</v>
      </c>
      <c r="G422" s="1420" t="b">
        <v>1</v>
      </c>
      <c r="H422" s="1421" t="b">
        <v>0</v>
      </c>
      <c r="I422" s="1421" t="b">
        <v>0</v>
      </c>
      <c r="J422" s="1421" t="b">
        <v>0</v>
      </c>
      <c r="K422" s="1422" t="s">
        <v>3409</v>
      </c>
      <c r="L422" s="1423" t="s">
        <v>3410</v>
      </c>
      <c r="M422" s="1424">
        <v>1.0</v>
      </c>
      <c r="N422" s="1424" t="s">
        <v>2252</v>
      </c>
      <c r="O422" s="1425" t="b">
        <v>0</v>
      </c>
      <c r="P422" s="1425" t="b">
        <v>0</v>
      </c>
      <c r="Q422" s="1426" t="s">
        <v>2831</v>
      </c>
      <c r="R422" s="1426" t="s">
        <v>2269</v>
      </c>
      <c r="S422" s="1426" t="b">
        <v>1</v>
      </c>
      <c r="T422" s="1427" t="b">
        <v>0</v>
      </c>
      <c r="U422" s="1427" t="b">
        <v>0</v>
      </c>
      <c r="V422" s="1427"/>
      <c r="W422" s="1426" t="s">
        <v>2255</v>
      </c>
      <c r="X422" s="1437" t="s">
        <v>3411</v>
      </c>
      <c r="Y422" s="1426" t="s">
        <v>128</v>
      </c>
    </row>
    <row r="423">
      <c r="A423" s="1419"/>
      <c r="B423" s="1429" t="b">
        <v>0</v>
      </c>
      <c r="C423" s="1428" t="b">
        <v>1</v>
      </c>
      <c r="D423" s="1429" t="b">
        <v>0</v>
      </c>
      <c r="E423" s="1429" t="b">
        <v>0</v>
      </c>
      <c r="F423" s="1429" t="b">
        <v>0</v>
      </c>
      <c r="G423" s="1429" t="b">
        <v>0</v>
      </c>
      <c r="H423" s="1429" t="b">
        <v>0</v>
      </c>
      <c r="I423" s="1429" t="b">
        <v>0</v>
      </c>
      <c r="J423" s="1428" t="b">
        <v>1</v>
      </c>
      <c r="K423" s="1430" t="s">
        <v>3412</v>
      </c>
      <c r="L423" s="1431" t="s">
        <v>3413</v>
      </c>
      <c r="M423" s="1432">
        <v>2.0</v>
      </c>
      <c r="N423" s="1432" t="s">
        <v>2268</v>
      </c>
      <c r="O423" s="1433" t="b">
        <v>0</v>
      </c>
      <c r="P423" s="1433" t="b">
        <v>0</v>
      </c>
      <c r="Q423" s="1434" t="s">
        <v>3414</v>
      </c>
      <c r="R423" s="1434" t="s">
        <v>2254</v>
      </c>
      <c r="S423" s="1434" t="b">
        <v>1</v>
      </c>
      <c r="T423" s="1434" t="b">
        <v>1</v>
      </c>
      <c r="U423" s="1434" t="b">
        <v>1</v>
      </c>
      <c r="V423" s="1434" t="s">
        <v>3415</v>
      </c>
      <c r="W423" s="1434" t="s">
        <v>2255</v>
      </c>
      <c r="X423" s="1435" t="s">
        <v>3416</v>
      </c>
      <c r="Y423" s="1434" t="s">
        <v>128</v>
      </c>
    </row>
    <row r="424">
      <c r="A424" s="1419"/>
      <c r="B424" s="1421" t="b">
        <v>0</v>
      </c>
      <c r="C424" s="1420" t="b">
        <v>1</v>
      </c>
      <c r="D424" s="1421" t="b">
        <v>0</v>
      </c>
      <c r="E424" s="1421" t="b">
        <v>0</v>
      </c>
      <c r="F424" s="1421" t="b">
        <v>0</v>
      </c>
      <c r="G424" s="1420" t="b">
        <v>1</v>
      </c>
      <c r="H424" s="1421" t="b">
        <v>0</v>
      </c>
      <c r="I424" s="1421" t="b">
        <v>0</v>
      </c>
      <c r="J424" s="1420" t="b">
        <v>1</v>
      </c>
      <c r="K424" s="1422" t="s">
        <v>3417</v>
      </c>
      <c r="L424" s="1423" t="s">
        <v>3418</v>
      </c>
      <c r="M424" s="1424">
        <v>2.0</v>
      </c>
      <c r="N424" s="1424" t="s">
        <v>2306</v>
      </c>
      <c r="O424" s="1425" t="b">
        <v>0</v>
      </c>
      <c r="P424" s="1425" t="b">
        <v>0</v>
      </c>
      <c r="Q424" s="1426" t="s">
        <v>2253</v>
      </c>
      <c r="R424" s="1426" t="s">
        <v>2311</v>
      </c>
      <c r="S424" s="1426" t="b">
        <v>1</v>
      </c>
      <c r="T424" s="1426" t="b">
        <v>1</v>
      </c>
      <c r="U424" s="1426" t="b">
        <v>1</v>
      </c>
      <c r="V424" s="1426" t="s">
        <v>3419</v>
      </c>
      <c r="W424" s="1426" t="s">
        <v>2261</v>
      </c>
      <c r="X424" s="1437" t="s">
        <v>3420</v>
      </c>
      <c r="Y424" s="1426" t="s">
        <v>128</v>
      </c>
    </row>
    <row r="425">
      <c r="A425" s="1419"/>
      <c r="B425" s="1429" t="b">
        <v>0</v>
      </c>
      <c r="C425" s="1429" t="b">
        <v>0</v>
      </c>
      <c r="D425" s="1429" t="b">
        <v>0</v>
      </c>
      <c r="E425" s="1429" t="b">
        <v>0</v>
      </c>
      <c r="F425" s="1429" t="b">
        <v>0</v>
      </c>
      <c r="G425" s="1429" t="b">
        <v>0</v>
      </c>
      <c r="H425" s="1428" t="b">
        <v>1</v>
      </c>
      <c r="I425" s="1429" t="b">
        <v>0</v>
      </c>
      <c r="J425" s="1428" t="b">
        <v>1</v>
      </c>
      <c r="K425" s="1430" t="s">
        <v>3421</v>
      </c>
      <c r="L425" s="1431" t="s">
        <v>3422</v>
      </c>
      <c r="M425" s="1432">
        <v>3.0</v>
      </c>
      <c r="N425" s="1432" t="s">
        <v>2306</v>
      </c>
      <c r="O425" s="1433" t="b">
        <v>0</v>
      </c>
      <c r="P425" s="1433" t="b">
        <v>0</v>
      </c>
      <c r="Q425" s="1434" t="s">
        <v>2253</v>
      </c>
      <c r="R425" s="1434" t="s">
        <v>2269</v>
      </c>
      <c r="S425" s="1439" t="b">
        <v>0</v>
      </c>
      <c r="T425" s="1439" t="b">
        <v>0</v>
      </c>
      <c r="U425" s="1439" t="b">
        <v>0</v>
      </c>
      <c r="V425" s="1434" t="s">
        <v>3423</v>
      </c>
      <c r="W425" s="1434" t="s">
        <v>2255</v>
      </c>
      <c r="X425" s="1435" t="s">
        <v>3424</v>
      </c>
      <c r="Y425" s="1434" t="s">
        <v>3425</v>
      </c>
    </row>
    <row r="426">
      <c r="A426" s="1419"/>
      <c r="B426" s="1421" t="b">
        <v>0</v>
      </c>
      <c r="C426" s="1421" t="b">
        <v>0</v>
      </c>
      <c r="D426" s="1420" t="b">
        <v>1</v>
      </c>
      <c r="E426" s="1421" t="b">
        <v>0</v>
      </c>
      <c r="F426" s="1421" t="b">
        <v>0</v>
      </c>
      <c r="G426" s="1421" t="b">
        <v>0</v>
      </c>
      <c r="H426" s="1421" t="b">
        <v>0</v>
      </c>
      <c r="I426" s="1421" t="b">
        <v>0</v>
      </c>
      <c r="J426" s="1420" t="b">
        <v>1</v>
      </c>
      <c r="K426" s="1422" t="s">
        <v>3426</v>
      </c>
      <c r="L426" s="1423" t="s">
        <v>3427</v>
      </c>
      <c r="M426" s="1424">
        <v>6.0</v>
      </c>
      <c r="N426" s="1424" t="s">
        <v>2258</v>
      </c>
      <c r="O426" s="1425" t="b">
        <v>0</v>
      </c>
      <c r="P426" s="1436" t="b">
        <v>1</v>
      </c>
      <c r="Q426" s="1426" t="s">
        <v>2253</v>
      </c>
      <c r="R426" s="1426" t="s">
        <v>2269</v>
      </c>
      <c r="S426" s="1427" t="b">
        <v>0</v>
      </c>
      <c r="T426" s="1427" t="b">
        <v>0</v>
      </c>
      <c r="U426" s="1427" t="b">
        <v>0</v>
      </c>
      <c r="V426" s="1426" t="s">
        <v>3415</v>
      </c>
      <c r="W426" s="1426" t="s">
        <v>2308</v>
      </c>
      <c r="X426" s="1437" t="s">
        <v>3428</v>
      </c>
      <c r="Y426" s="1426" t="s">
        <v>3425</v>
      </c>
    </row>
    <row r="427">
      <c r="A427" s="1419"/>
      <c r="B427" s="1429" t="b">
        <v>0</v>
      </c>
      <c r="C427" s="1428" t="b">
        <v>1</v>
      </c>
      <c r="D427" s="1428" t="b">
        <v>1</v>
      </c>
      <c r="E427" s="1429" t="b">
        <v>0</v>
      </c>
      <c r="F427" s="1429" t="b">
        <v>0</v>
      </c>
      <c r="G427" s="1429" t="b">
        <v>0</v>
      </c>
      <c r="H427" s="1428" t="b">
        <v>1</v>
      </c>
      <c r="I427" s="1429" t="b">
        <v>0</v>
      </c>
      <c r="J427" s="1428" t="b">
        <v>1</v>
      </c>
      <c r="K427" s="1430" t="s">
        <v>3429</v>
      </c>
      <c r="L427" s="1431" t="s">
        <v>3430</v>
      </c>
      <c r="M427" s="1432">
        <v>1.0</v>
      </c>
      <c r="N427" s="1432" t="s">
        <v>2268</v>
      </c>
      <c r="O427" s="1433" t="b">
        <v>0</v>
      </c>
      <c r="P427" s="1433" t="b">
        <v>0</v>
      </c>
      <c r="Q427" s="1434" t="s">
        <v>3431</v>
      </c>
      <c r="R427" s="1434" t="s">
        <v>2254</v>
      </c>
      <c r="S427" s="1434" t="b">
        <v>1</v>
      </c>
      <c r="T427" s="1434" t="b">
        <v>1</v>
      </c>
      <c r="U427" s="1434" t="b">
        <v>1</v>
      </c>
      <c r="V427" s="1434" t="s">
        <v>3432</v>
      </c>
      <c r="W427" s="1434" t="s">
        <v>2255</v>
      </c>
      <c r="X427" s="1435" t="s">
        <v>3433</v>
      </c>
      <c r="Y427" s="1434" t="s">
        <v>3425</v>
      </c>
    </row>
    <row r="428">
      <c r="A428" s="1419"/>
      <c r="B428" s="1421" t="b">
        <v>0</v>
      </c>
      <c r="C428" s="1420" t="b">
        <v>1</v>
      </c>
      <c r="D428" s="1420" t="b">
        <v>1</v>
      </c>
      <c r="E428" s="1420" t="b">
        <v>1</v>
      </c>
      <c r="F428" s="1420" t="b">
        <v>1</v>
      </c>
      <c r="G428" s="1420" t="b">
        <v>1</v>
      </c>
      <c r="H428" s="1421" t="b">
        <v>0</v>
      </c>
      <c r="I428" s="1421" t="b">
        <v>0</v>
      </c>
      <c r="J428" s="1420" t="b">
        <v>1</v>
      </c>
      <c r="K428" s="1422" t="s">
        <v>3434</v>
      </c>
      <c r="L428" s="1423" t="s">
        <v>3435</v>
      </c>
      <c r="M428" s="1424">
        <v>1.0</v>
      </c>
      <c r="N428" s="1424" t="s">
        <v>2302</v>
      </c>
      <c r="O428" s="1425" t="b">
        <v>0</v>
      </c>
      <c r="P428" s="1436" t="b">
        <v>1</v>
      </c>
      <c r="Q428" s="1426" t="s">
        <v>2253</v>
      </c>
      <c r="R428" s="1426" t="s">
        <v>2269</v>
      </c>
      <c r="S428" s="1426" t="b">
        <v>1</v>
      </c>
      <c r="T428" s="1426" t="b">
        <v>1</v>
      </c>
      <c r="U428" s="1426" t="b">
        <v>1</v>
      </c>
      <c r="V428" s="1426" t="s">
        <v>3436</v>
      </c>
      <c r="W428" s="1426" t="s">
        <v>2411</v>
      </c>
      <c r="X428" s="1437" t="s">
        <v>3437</v>
      </c>
      <c r="Y428" s="1426" t="s">
        <v>3425</v>
      </c>
    </row>
    <row r="429">
      <c r="A429" s="1419"/>
      <c r="B429" s="1429" t="b">
        <v>0</v>
      </c>
      <c r="C429" s="1428" t="b">
        <v>1</v>
      </c>
      <c r="D429" s="1429" t="b">
        <v>0</v>
      </c>
      <c r="E429" s="1429" t="b">
        <v>0</v>
      </c>
      <c r="F429" s="1429" t="b">
        <v>0</v>
      </c>
      <c r="G429" s="1429" t="b">
        <v>0</v>
      </c>
      <c r="H429" s="1428" t="b">
        <v>1</v>
      </c>
      <c r="I429" s="1429" t="b">
        <v>0</v>
      </c>
      <c r="J429" s="1428" t="b">
        <v>1</v>
      </c>
      <c r="K429" s="1430" t="s">
        <v>3438</v>
      </c>
      <c r="L429" s="1431" t="s">
        <v>3439</v>
      </c>
      <c r="M429" s="1432">
        <v>2.0</v>
      </c>
      <c r="N429" s="1432" t="s">
        <v>2252</v>
      </c>
      <c r="O429" s="1433" t="b">
        <v>0</v>
      </c>
      <c r="P429" s="1433" t="b">
        <v>0</v>
      </c>
      <c r="Q429" s="1434" t="s">
        <v>2253</v>
      </c>
      <c r="R429" s="1434" t="s">
        <v>2259</v>
      </c>
      <c r="S429" s="1434" t="b">
        <v>1</v>
      </c>
      <c r="T429" s="1434" t="b">
        <v>1</v>
      </c>
      <c r="U429" s="1439" t="b">
        <v>0</v>
      </c>
      <c r="V429" s="1439"/>
      <c r="W429" s="1434" t="s">
        <v>2255</v>
      </c>
      <c r="X429" s="1435" t="s">
        <v>3440</v>
      </c>
      <c r="Y429" s="1434" t="s">
        <v>3425</v>
      </c>
    </row>
    <row r="430">
      <c r="A430" s="1419"/>
      <c r="B430" s="1421" t="b">
        <v>0</v>
      </c>
      <c r="C430" s="1420" t="b">
        <v>1</v>
      </c>
      <c r="D430" s="1421" t="b">
        <v>0</v>
      </c>
      <c r="E430" s="1421" t="b">
        <v>0</v>
      </c>
      <c r="F430" s="1421" t="b">
        <v>0</v>
      </c>
      <c r="G430" s="1421" t="b">
        <v>0</v>
      </c>
      <c r="H430" s="1420" t="b">
        <v>1</v>
      </c>
      <c r="I430" s="1421" t="b">
        <v>0</v>
      </c>
      <c r="J430" s="1420" t="b">
        <v>1</v>
      </c>
      <c r="K430" s="1422" t="s">
        <v>3441</v>
      </c>
      <c r="L430" s="1423" t="s">
        <v>3442</v>
      </c>
      <c r="M430" s="1424">
        <v>1.0</v>
      </c>
      <c r="N430" s="1424" t="s">
        <v>2268</v>
      </c>
      <c r="O430" s="1425" t="b">
        <v>0</v>
      </c>
      <c r="P430" s="1425" t="b">
        <v>0</v>
      </c>
      <c r="Q430" s="1426" t="s">
        <v>2253</v>
      </c>
      <c r="R430" s="1426" t="s">
        <v>2254</v>
      </c>
      <c r="S430" s="1426" t="b">
        <v>1</v>
      </c>
      <c r="T430" s="1426" t="b">
        <v>1</v>
      </c>
      <c r="U430" s="1426" t="b">
        <v>1</v>
      </c>
      <c r="V430" s="1426" t="s">
        <v>3443</v>
      </c>
      <c r="W430" s="1426" t="s">
        <v>2255</v>
      </c>
      <c r="X430" s="1437" t="s">
        <v>3444</v>
      </c>
      <c r="Y430" s="1426" t="s">
        <v>3425</v>
      </c>
    </row>
    <row r="431">
      <c r="A431" s="1419"/>
      <c r="B431" s="1429" t="b">
        <v>0</v>
      </c>
      <c r="C431" s="1429" t="b">
        <v>0</v>
      </c>
      <c r="D431" s="1428" t="b">
        <v>1</v>
      </c>
      <c r="E431" s="1429" t="b">
        <v>0</v>
      </c>
      <c r="F431" s="1429" t="b">
        <v>0</v>
      </c>
      <c r="G431" s="1429" t="b">
        <v>0</v>
      </c>
      <c r="H431" s="1429" t="b">
        <v>0</v>
      </c>
      <c r="I431" s="1429" t="b">
        <v>0</v>
      </c>
      <c r="J431" s="1428" t="b">
        <v>1</v>
      </c>
      <c r="K431" s="1430" t="s">
        <v>3445</v>
      </c>
      <c r="L431" s="1431" t="s">
        <v>3446</v>
      </c>
      <c r="M431" s="1432">
        <v>4.0</v>
      </c>
      <c r="N431" s="1432" t="s">
        <v>2302</v>
      </c>
      <c r="O431" s="1433" t="b">
        <v>0</v>
      </c>
      <c r="P431" s="1433" t="b">
        <v>0</v>
      </c>
      <c r="Q431" s="1434" t="s">
        <v>2253</v>
      </c>
      <c r="R431" s="1434" t="s">
        <v>2269</v>
      </c>
      <c r="S431" s="1434" t="b">
        <v>1</v>
      </c>
      <c r="T431" s="1434" t="b">
        <v>1</v>
      </c>
      <c r="U431" s="1439" t="b">
        <v>0</v>
      </c>
      <c r="V431" s="1439"/>
      <c r="W431" s="1434" t="s">
        <v>2255</v>
      </c>
      <c r="X431" s="1435" t="s">
        <v>3447</v>
      </c>
      <c r="Y431" s="1434" t="s">
        <v>3425</v>
      </c>
    </row>
    <row r="432">
      <c r="A432" s="1419"/>
      <c r="B432" s="1421" t="b">
        <v>0</v>
      </c>
      <c r="C432" s="1420" t="b">
        <v>1</v>
      </c>
      <c r="D432" s="1420" t="b">
        <v>0</v>
      </c>
      <c r="E432" s="1421" t="b">
        <v>0</v>
      </c>
      <c r="F432" s="1421" t="b">
        <v>0</v>
      </c>
      <c r="G432" s="1421" t="b">
        <v>0</v>
      </c>
      <c r="H432" s="1421" t="b">
        <v>0</v>
      </c>
      <c r="I432" s="1421" t="b">
        <v>0</v>
      </c>
      <c r="J432" s="1420" t="b">
        <v>1</v>
      </c>
      <c r="K432" s="1422" t="s">
        <v>3448</v>
      </c>
      <c r="L432" s="1423" t="s">
        <v>3449</v>
      </c>
      <c r="M432" s="1424">
        <v>6.0</v>
      </c>
      <c r="N432" s="1424" t="s">
        <v>2273</v>
      </c>
      <c r="O432" s="1425" t="b">
        <v>0</v>
      </c>
      <c r="P432" s="1436" t="b">
        <v>1</v>
      </c>
      <c r="Q432" s="1426" t="s">
        <v>2253</v>
      </c>
      <c r="R432" s="1426" t="s">
        <v>2254</v>
      </c>
      <c r="S432" s="1426" t="b">
        <v>1</v>
      </c>
      <c r="T432" s="1426" t="b">
        <v>1</v>
      </c>
      <c r="U432" s="1426" t="b">
        <v>1</v>
      </c>
      <c r="V432" s="1426" t="s">
        <v>3450</v>
      </c>
      <c r="W432" s="1426" t="s">
        <v>2297</v>
      </c>
      <c r="X432" s="1437" t="s">
        <v>3451</v>
      </c>
      <c r="Y432" s="1426" t="s">
        <v>3425</v>
      </c>
    </row>
    <row r="433">
      <c r="A433" s="1419"/>
      <c r="B433" s="1429" t="b">
        <v>0</v>
      </c>
      <c r="C433" s="1428" t="b">
        <v>1</v>
      </c>
      <c r="D433" s="1429" t="b">
        <v>0</v>
      </c>
      <c r="E433" s="1429" t="b">
        <v>0</v>
      </c>
      <c r="F433" s="1429" t="b">
        <v>0</v>
      </c>
      <c r="G433" s="1429" t="b">
        <v>0</v>
      </c>
      <c r="H433" s="1428" t="b">
        <v>1</v>
      </c>
      <c r="I433" s="1429" t="b">
        <v>0</v>
      </c>
      <c r="J433" s="1428" t="b">
        <v>1</v>
      </c>
      <c r="K433" s="1430" t="s">
        <v>3452</v>
      </c>
      <c r="L433" s="1431" t="s">
        <v>3453</v>
      </c>
      <c r="M433" s="1432">
        <v>2.0</v>
      </c>
      <c r="N433" s="1432" t="s">
        <v>2273</v>
      </c>
      <c r="O433" s="1433" t="b">
        <v>0</v>
      </c>
      <c r="P433" s="1433" t="b">
        <v>0</v>
      </c>
      <c r="Q433" s="1434" t="s">
        <v>2253</v>
      </c>
      <c r="R433" s="1434" t="s">
        <v>2259</v>
      </c>
      <c r="S433" s="1434" t="b">
        <v>1</v>
      </c>
      <c r="T433" s="1434" t="b">
        <v>1</v>
      </c>
      <c r="U433" s="1434" t="b">
        <v>1</v>
      </c>
      <c r="V433" s="1434" t="s">
        <v>3454</v>
      </c>
      <c r="W433" s="1434" t="s">
        <v>2255</v>
      </c>
      <c r="X433" s="1435" t="s">
        <v>3455</v>
      </c>
      <c r="Y433" s="1434" t="s">
        <v>3425</v>
      </c>
    </row>
    <row r="434">
      <c r="A434" s="1419"/>
      <c r="B434" s="1421" t="b">
        <v>0</v>
      </c>
      <c r="C434" s="1421" t="b">
        <v>0</v>
      </c>
      <c r="D434" s="1421" t="b">
        <v>0</v>
      </c>
      <c r="E434" s="1421" t="b">
        <v>0</v>
      </c>
      <c r="F434" s="1421" t="b">
        <v>0</v>
      </c>
      <c r="G434" s="1421" t="b">
        <v>0</v>
      </c>
      <c r="H434" s="1421" t="b">
        <v>0</v>
      </c>
      <c r="I434" s="1421" t="b">
        <v>0</v>
      </c>
      <c r="J434" s="1420" t="b">
        <v>1</v>
      </c>
      <c r="K434" s="1422" t="s">
        <v>3456</v>
      </c>
      <c r="L434" s="1423" t="s">
        <v>3457</v>
      </c>
      <c r="M434" s="1424">
        <v>4.0</v>
      </c>
      <c r="N434" s="1424" t="s">
        <v>2268</v>
      </c>
      <c r="O434" s="1425" t="b">
        <v>0</v>
      </c>
      <c r="P434" s="1425" t="b">
        <v>0</v>
      </c>
      <c r="Q434" s="1426" t="s">
        <v>2253</v>
      </c>
      <c r="R434" s="1426" t="s">
        <v>2259</v>
      </c>
      <c r="S434" s="1426" t="b">
        <v>1</v>
      </c>
      <c r="T434" s="1426" t="b">
        <v>1</v>
      </c>
      <c r="U434" s="1426" t="b">
        <v>1</v>
      </c>
      <c r="V434" s="1426" t="s">
        <v>3458</v>
      </c>
      <c r="W434" s="1426" t="s">
        <v>2500</v>
      </c>
      <c r="X434" s="1437" t="s">
        <v>3459</v>
      </c>
      <c r="Y434" s="1426" t="s">
        <v>3425</v>
      </c>
    </row>
    <row r="435">
      <c r="A435" s="1419"/>
      <c r="B435" s="1429" t="b">
        <v>0</v>
      </c>
      <c r="C435" s="1428" t="b">
        <v>1</v>
      </c>
      <c r="D435" s="1428" t="b">
        <v>1</v>
      </c>
      <c r="E435" s="1429" t="b">
        <v>0</v>
      </c>
      <c r="F435" s="1429" t="b">
        <v>0</v>
      </c>
      <c r="G435" s="1429" t="b">
        <v>0</v>
      </c>
      <c r="H435" s="1429" t="b">
        <v>0</v>
      </c>
      <c r="I435" s="1429" t="b">
        <v>0</v>
      </c>
      <c r="J435" s="1428" t="b">
        <v>1</v>
      </c>
      <c r="K435" s="1430" t="s">
        <v>3460</v>
      </c>
      <c r="L435" s="1431" t="s">
        <v>3461</v>
      </c>
      <c r="M435" s="1432">
        <v>1.0</v>
      </c>
      <c r="N435" s="1432" t="s">
        <v>2273</v>
      </c>
      <c r="O435" s="1433" t="b">
        <v>0</v>
      </c>
      <c r="P435" s="1438" t="b">
        <v>1</v>
      </c>
      <c r="Q435" s="1434" t="s">
        <v>2253</v>
      </c>
      <c r="R435" s="1434" t="s">
        <v>2311</v>
      </c>
      <c r="S435" s="1434" t="b">
        <v>1</v>
      </c>
      <c r="T435" s="1434" t="b">
        <v>1</v>
      </c>
      <c r="U435" s="1434" t="b">
        <v>1</v>
      </c>
      <c r="V435" s="1434" t="s">
        <v>3462</v>
      </c>
      <c r="W435" s="1434" t="s">
        <v>2255</v>
      </c>
      <c r="X435" s="1435" t="s">
        <v>3463</v>
      </c>
      <c r="Y435" s="1434" t="s">
        <v>3425</v>
      </c>
    </row>
    <row r="436">
      <c r="A436" s="1419"/>
      <c r="B436" s="1421" t="b">
        <v>0</v>
      </c>
      <c r="C436" s="1421" t="b">
        <v>0</v>
      </c>
      <c r="D436" s="1420" t="b">
        <v>1</v>
      </c>
      <c r="E436" s="1421" t="b">
        <v>0</v>
      </c>
      <c r="F436" s="1421" t="b">
        <v>0</v>
      </c>
      <c r="G436" s="1421" t="b">
        <v>0</v>
      </c>
      <c r="H436" s="1420" t="b">
        <v>1</v>
      </c>
      <c r="I436" s="1421" t="b">
        <v>0</v>
      </c>
      <c r="J436" s="1420" t="b">
        <v>1</v>
      </c>
      <c r="K436" s="1422" t="s">
        <v>3464</v>
      </c>
      <c r="L436" s="1423" t="s">
        <v>3465</v>
      </c>
      <c r="M436" s="1424">
        <v>0.0</v>
      </c>
      <c r="N436" s="1424" t="s">
        <v>2268</v>
      </c>
      <c r="O436" s="1425" t="b">
        <v>0</v>
      </c>
      <c r="P436" s="1425" t="b">
        <v>0</v>
      </c>
      <c r="Q436" s="1426" t="s">
        <v>2316</v>
      </c>
      <c r="R436" s="1426" t="s">
        <v>2269</v>
      </c>
      <c r="S436" s="1426" t="b">
        <v>1</v>
      </c>
      <c r="T436" s="1426" t="b">
        <v>0</v>
      </c>
      <c r="U436" s="1427" t="b">
        <v>0</v>
      </c>
      <c r="V436" s="1427"/>
      <c r="W436" s="1426" t="s">
        <v>2255</v>
      </c>
      <c r="X436" s="1437" t="s">
        <v>3466</v>
      </c>
      <c r="Y436" s="1426" t="s">
        <v>3425</v>
      </c>
    </row>
    <row r="437">
      <c r="A437" s="1419"/>
      <c r="B437" s="1429" t="b">
        <v>0</v>
      </c>
      <c r="C437" s="1429" t="b">
        <v>0</v>
      </c>
      <c r="D437" s="1429" t="b">
        <v>0</v>
      </c>
      <c r="E437" s="1429" t="b">
        <v>0</v>
      </c>
      <c r="F437" s="1429" t="b">
        <v>0</v>
      </c>
      <c r="G437" s="1429" t="b">
        <v>0</v>
      </c>
      <c r="H437" s="1428" t="b">
        <v>1</v>
      </c>
      <c r="I437" s="1428" t="b">
        <v>1</v>
      </c>
      <c r="J437" s="1428" t="b">
        <v>1</v>
      </c>
      <c r="K437" s="1430" t="s">
        <v>3467</v>
      </c>
      <c r="L437" s="1431" t="s">
        <v>3468</v>
      </c>
      <c r="M437" s="1432">
        <v>9.0</v>
      </c>
      <c r="N437" s="1432" t="s">
        <v>2268</v>
      </c>
      <c r="O437" s="1433" t="b">
        <v>0</v>
      </c>
      <c r="P437" s="1433" t="b">
        <v>0</v>
      </c>
      <c r="Q437" s="1434" t="s">
        <v>2253</v>
      </c>
      <c r="R437" s="1434" t="s">
        <v>2254</v>
      </c>
      <c r="S437" s="1434" t="b">
        <v>1</v>
      </c>
      <c r="T437" s="1434" t="b">
        <v>1</v>
      </c>
      <c r="U437" s="1439" t="b">
        <v>0</v>
      </c>
      <c r="V437" s="1439"/>
      <c r="W437" s="1434" t="s">
        <v>2255</v>
      </c>
      <c r="X437" s="1435" t="s">
        <v>3469</v>
      </c>
      <c r="Y437" s="1434" t="s">
        <v>3425</v>
      </c>
    </row>
    <row r="438">
      <c r="A438" s="1419"/>
      <c r="B438" s="1421" t="b">
        <v>0</v>
      </c>
      <c r="C438" s="1421" t="b">
        <v>0</v>
      </c>
      <c r="D438" s="1421" t="b">
        <v>0</v>
      </c>
      <c r="E438" s="1420" t="b">
        <v>1</v>
      </c>
      <c r="F438" s="1420" t="b">
        <v>1</v>
      </c>
      <c r="G438" s="1420" t="b">
        <v>1</v>
      </c>
      <c r="H438" s="1421" t="b">
        <v>0</v>
      </c>
      <c r="I438" s="1420" t="b">
        <v>1</v>
      </c>
      <c r="J438" s="1421" t="b">
        <v>0</v>
      </c>
      <c r="K438" s="1422" t="s">
        <v>3470</v>
      </c>
      <c r="L438" s="1423" t="s">
        <v>3471</v>
      </c>
      <c r="M438" s="1424">
        <v>3.0</v>
      </c>
      <c r="N438" s="1424" t="s">
        <v>2306</v>
      </c>
      <c r="O438" s="1436" t="b">
        <v>1</v>
      </c>
      <c r="P438" s="1425" t="b">
        <v>0</v>
      </c>
      <c r="Q438" s="1426" t="s">
        <v>2253</v>
      </c>
      <c r="R438" s="1426" t="s">
        <v>2311</v>
      </c>
      <c r="S438" s="1426" t="b">
        <v>1</v>
      </c>
      <c r="T438" s="1426" t="b">
        <v>1</v>
      </c>
      <c r="U438" s="1426" t="b">
        <v>1</v>
      </c>
      <c r="V438" s="1426" t="s">
        <v>3472</v>
      </c>
      <c r="W438" s="1426" t="s">
        <v>2308</v>
      </c>
      <c r="X438" s="1437" t="s">
        <v>3473</v>
      </c>
      <c r="Y438" s="1426" t="s">
        <v>3425</v>
      </c>
    </row>
    <row r="439">
      <c r="A439" s="1419"/>
      <c r="B439" s="1429" t="b">
        <v>0</v>
      </c>
      <c r="C439" s="1429" t="b">
        <v>0</v>
      </c>
      <c r="D439" s="1429" t="b">
        <v>0</v>
      </c>
      <c r="E439" s="1429" t="b">
        <v>0</v>
      </c>
      <c r="F439" s="1429" t="b">
        <v>0</v>
      </c>
      <c r="G439" s="1429" t="b">
        <v>0</v>
      </c>
      <c r="H439" s="1428" t="b">
        <v>1</v>
      </c>
      <c r="I439" s="1429" t="b">
        <v>0</v>
      </c>
      <c r="J439" s="1428" t="b">
        <v>1</v>
      </c>
      <c r="K439" s="1430" t="s">
        <v>3474</v>
      </c>
      <c r="L439" s="1431" t="s">
        <v>3475</v>
      </c>
      <c r="M439" s="1432">
        <v>2.0</v>
      </c>
      <c r="N439" s="1432" t="s">
        <v>2306</v>
      </c>
      <c r="O439" s="1433" t="b">
        <v>0</v>
      </c>
      <c r="P439" s="1433" t="b">
        <v>0</v>
      </c>
      <c r="Q439" s="1434" t="s">
        <v>2316</v>
      </c>
      <c r="R439" s="1434" t="s">
        <v>2269</v>
      </c>
      <c r="S439" s="1434" t="b">
        <v>1</v>
      </c>
      <c r="T439" s="1434" t="b">
        <v>1</v>
      </c>
      <c r="U439" s="1439" t="b">
        <v>0</v>
      </c>
      <c r="V439" s="1439"/>
      <c r="W439" s="1434" t="s">
        <v>2725</v>
      </c>
      <c r="X439" s="1435" t="s">
        <v>3476</v>
      </c>
      <c r="Y439" s="1434" t="s">
        <v>3425</v>
      </c>
    </row>
    <row r="440">
      <c r="A440" s="1419"/>
      <c r="B440" s="1421" t="b">
        <v>0</v>
      </c>
      <c r="C440" s="1420" t="b">
        <v>1</v>
      </c>
      <c r="D440" s="1421" t="b">
        <v>0</v>
      </c>
      <c r="E440" s="1421" t="b">
        <v>0</v>
      </c>
      <c r="F440" s="1421" t="b">
        <v>0</v>
      </c>
      <c r="G440" s="1421" t="b">
        <v>0</v>
      </c>
      <c r="H440" s="1421" t="b">
        <v>0</v>
      </c>
      <c r="I440" s="1421" t="b">
        <v>0</v>
      </c>
      <c r="J440" s="1420" t="b">
        <v>1</v>
      </c>
      <c r="K440" s="1422" t="s">
        <v>3477</v>
      </c>
      <c r="L440" s="1423" t="s">
        <v>3478</v>
      </c>
      <c r="M440" s="1424">
        <v>1.0</v>
      </c>
      <c r="N440" s="1424" t="s">
        <v>2273</v>
      </c>
      <c r="O440" s="1425" t="b">
        <v>0</v>
      </c>
      <c r="P440" s="1425" t="b">
        <v>0</v>
      </c>
      <c r="Q440" s="1426" t="s">
        <v>2253</v>
      </c>
      <c r="R440" s="1426" t="s">
        <v>2269</v>
      </c>
      <c r="S440" s="1426" t="b">
        <v>1</v>
      </c>
      <c r="T440" s="1426" t="b">
        <v>1</v>
      </c>
      <c r="U440" s="1427" t="b">
        <v>0</v>
      </c>
      <c r="V440" s="1427"/>
      <c r="W440" s="1426" t="s">
        <v>2264</v>
      </c>
      <c r="X440" s="1437" t="s">
        <v>3479</v>
      </c>
      <c r="Y440" s="1426" t="s">
        <v>3425</v>
      </c>
    </row>
    <row r="441">
      <c r="A441" s="1419"/>
      <c r="B441" s="1429" t="b">
        <v>0</v>
      </c>
      <c r="C441" s="1428" t="b">
        <v>1</v>
      </c>
      <c r="D441" s="1429" t="b">
        <v>0</v>
      </c>
      <c r="E441" s="1429" t="b">
        <v>0</v>
      </c>
      <c r="F441" s="1429" t="b">
        <v>0</v>
      </c>
      <c r="G441" s="1429" t="b">
        <v>0</v>
      </c>
      <c r="H441" s="1428" t="b">
        <v>1</v>
      </c>
      <c r="I441" s="1428" t="b">
        <v>1</v>
      </c>
      <c r="J441" s="1428" t="b">
        <v>1</v>
      </c>
      <c r="K441" s="1430" t="s">
        <v>3480</v>
      </c>
      <c r="L441" s="1431" t="s">
        <v>3481</v>
      </c>
      <c r="M441" s="1432">
        <v>0.0</v>
      </c>
      <c r="N441" s="1432" t="s">
        <v>2385</v>
      </c>
      <c r="O441" s="1433" t="b">
        <v>0</v>
      </c>
      <c r="P441" s="1433" t="b">
        <v>0</v>
      </c>
      <c r="Q441" s="1434" t="s">
        <v>2253</v>
      </c>
      <c r="R441" s="1434" t="s">
        <v>2311</v>
      </c>
      <c r="S441" s="1434" t="b">
        <v>0</v>
      </c>
      <c r="T441" s="1434" t="b">
        <v>1</v>
      </c>
      <c r="U441" s="1434" t="b">
        <v>1</v>
      </c>
      <c r="V441" s="1434" t="s">
        <v>3482</v>
      </c>
      <c r="W441" s="1434" t="s">
        <v>2313</v>
      </c>
      <c r="X441" s="1435" t="s">
        <v>3483</v>
      </c>
      <c r="Y441" s="1441" t="s">
        <v>137</v>
      </c>
    </row>
    <row r="442">
      <c r="A442" s="1419"/>
      <c r="B442" s="1421" t="b">
        <v>0</v>
      </c>
      <c r="C442" s="1420" t="b">
        <v>1</v>
      </c>
      <c r="D442" s="1421" t="b">
        <v>0</v>
      </c>
      <c r="E442" s="1421" t="b">
        <v>0</v>
      </c>
      <c r="F442" s="1421" t="b">
        <v>0</v>
      </c>
      <c r="G442" s="1421" t="b">
        <v>0</v>
      </c>
      <c r="H442" s="1420" t="b">
        <v>1</v>
      </c>
      <c r="I442" s="1420" t="b">
        <v>1</v>
      </c>
      <c r="J442" s="1420" t="b">
        <v>1</v>
      </c>
      <c r="K442" s="1422" t="s">
        <v>3484</v>
      </c>
      <c r="L442" s="1423" t="s">
        <v>3485</v>
      </c>
      <c r="M442" s="1424">
        <v>0.0</v>
      </c>
      <c r="N442" s="1424" t="s">
        <v>2385</v>
      </c>
      <c r="O442" s="1425" t="b">
        <v>0</v>
      </c>
      <c r="P442" s="1425" t="b">
        <v>0</v>
      </c>
      <c r="Q442" s="1426" t="s">
        <v>2253</v>
      </c>
      <c r="R442" s="1426" t="s">
        <v>2259</v>
      </c>
      <c r="S442" s="1426" t="b">
        <v>1</v>
      </c>
      <c r="T442" s="1426" t="b">
        <v>1</v>
      </c>
      <c r="U442" s="1426" t="b">
        <v>1</v>
      </c>
      <c r="V442" s="1426" t="s">
        <v>3486</v>
      </c>
      <c r="W442" s="1426" t="s">
        <v>2725</v>
      </c>
      <c r="X442" s="1437" t="s">
        <v>3487</v>
      </c>
      <c r="Y442" s="1442" t="s">
        <v>137</v>
      </c>
    </row>
    <row r="443">
      <c r="A443" s="1419"/>
      <c r="B443" s="1429" t="b">
        <v>0</v>
      </c>
      <c r="C443" s="1429" t="b">
        <v>0</v>
      </c>
      <c r="D443" s="1428" t="b">
        <v>1</v>
      </c>
      <c r="E443" s="1429" t="b">
        <v>0</v>
      </c>
      <c r="F443" s="1429" t="b">
        <v>0</v>
      </c>
      <c r="G443" s="1429" t="b">
        <v>0</v>
      </c>
      <c r="H443" s="1429" t="b">
        <v>0</v>
      </c>
      <c r="I443" s="1429" t="b">
        <v>0</v>
      </c>
      <c r="J443" s="1429" t="b">
        <v>0</v>
      </c>
      <c r="K443" s="1430" t="s">
        <v>3488</v>
      </c>
      <c r="L443" s="1431" t="s">
        <v>3489</v>
      </c>
      <c r="M443" s="1432">
        <v>0.0</v>
      </c>
      <c r="N443" s="1432" t="s">
        <v>2252</v>
      </c>
      <c r="O443" s="1433" t="b">
        <v>0</v>
      </c>
      <c r="P443" s="1433" t="b">
        <v>0</v>
      </c>
      <c r="Q443" s="1434" t="s">
        <v>2253</v>
      </c>
      <c r="R443" s="1434" t="s">
        <v>2254</v>
      </c>
      <c r="S443" s="1434" t="b">
        <v>1</v>
      </c>
      <c r="T443" s="1434" t="b">
        <v>1</v>
      </c>
      <c r="U443" s="1439" t="b">
        <v>0</v>
      </c>
      <c r="V443" s="1439"/>
      <c r="W443" s="1434" t="s">
        <v>2255</v>
      </c>
      <c r="X443" s="1435" t="s">
        <v>3490</v>
      </c>
      <c r="Y443" s="1441" t="s">
        <v>137</v>
      </c>
    </row>
    <row r="444">
      <c r="A444" s="1419"/>
      <c r="B444" s="1421" t="b">
        <v>0</v>
      </c>
      <c r="C444" s="1421" t="b">
        <v>0</v>
      </c>
      <c r="D444" s="1421" t="b">
        <v>0</v>
      </c>
      <c r="E444" s="1421" t="b">
        <v>0</v>
      </c>
      <c r="F444" s="1420" t="b">
        <v>1</v>
      </c>
      <c r="G444" s="1421" t="b">
        <v>0</v>
      </c>
      <c r="H444" s="1421" t="b">
        <v>0</v>
      </c>
      <c r="I444" s="1421" t="b">
        <v>0</v>
      </c>
      <c r="J444" s="1421" t="b">
        <v>0</v>
      </c>
      <c r="K444" s="1422" t="s">
        <v>3491</v>
      </c>
      <c r="L444" s="1423" t="s">
        <v>3492</v>
      </c>
      <c r="M444" s="1424">
        <v>0.0</v>
      </c>
      <c r="N444" s="1424" t="s">
        <v>2302</v>
      </c>
      <c r="O444" s="1436" t="b">
        <v>1</v>
      </c>
      <c r="P444" s="1425" t="b">
        <v>0</v>
      </c>
      <c r="Q444" s="1426" t="s">
        <v>2253</v>
      </c>
      <c r="R444" s="1426" t="s">
        <v>2311</v>
      </c>
      <c r="S444" s="1426" t="b">
        <v>1</v>
      </c>
      <c r="T444" s="1426" t="b">
        <v>1</v>
      </c>
      <c r="U444" s="1427" t="b">
        <v>0</v>
      </c>
      <c r="V444" s="1427"/>
      <c r="W444" s="1426" t="s">
        <v>2264</v>
      </c>
      <c r="X444" s="1437" t="s">
        <v>3493</v>
      </c>
      <c r="Y444" s="1442" t="s">
        <v>137</v>
      </c>
    </row>
    <row r="445">
      <c r="A445" s="1419"/>
      <c r="B445" s="1429" t="b">
        <v>0</v>
      </c>
      <c r="C445" s="1428" t="b">
        <v>1</v>
      </c>
      <c r="D445" s="1429" t="b">
        <v>0</v>
      </c>
      <c r="E445" s="1429" t="b">
        <v>0</v>
      </c>
      <c r="F445" s="1429" t="b">
        <v>0</v>
      </c>
      <c r="G445" s="1429" t="b">
        <v>0</v>
      </c>
      <c r="H445" s="1429" t="b">
        <v>0</v>
      </c>
      <c r="I445" s="1428" t="b">
        <v>1</v>
      </c>
      <c r="J445" s="1429" t="b">
        <v>0</v>
      </c>
      <c r="K445" s="1430" t="s">
        <v>3494</v>
      </c>
      <c r="L445" s="1431" t="s">
        <v>3495</v>
      </c>
      <c r="M445" s="1432">
        <v>0.0</v>
      </c>
      <c r="N445" s="1432" t="s">
        <v>2385</v>
      </c>
      <c r="O445" s="1433" t="b">
        <v>0</v>
      </c>
      <c r="P445" s="1433" t="b">
        <v>0</v>
      </c>
      <c r="Q445" s="1434" t="s">
        <v>2253</v>
      </c>
      <c r="R445" s="1434" t="s">
        <v>2311</v>
      </c>
      <c r="S445" s="1434" t="b">
        <v>1</v>
      </c>
      <c r="T445" s="1434" t="b">
        <v>1</v>
      </c>
      <c r="U445" s="1439" t="b">
        <v>0</v>
      </c>
      <c r="V445" s="1439"/>
      <c r="W445" s="1434" t="s">
        <v>2411</v>
      </c>
      <c r="X445" s="1435" t="s">
        <v>3496</v>
      </c>
      <c r="Y445" s="1441" t="s">
        <v>137</v>
      </c>
    </row>
    <row r="446">
      <c r="A446" s="1419"/>
      <c r="B446" s="1421" t="b">
        <v>0</v>
      </c>
      <c r="C446" s="1420" t="b">
        <v>1</v>
      </c>
      <c r="D446" s="1420" t="b">
        <v>1</v>
      </c>
      <c r="E446" s="1420" t="b">
        <v>1</v>
      </c>
      <c r="F446" s="1421" t="b">
        <v>0</v>
      </c>
      <c r="G446" s="1421" t="b">
        <v>0</v>
      </c>
      <c r="H446" s="1420" t="b">
        <v>1</v>
      </c>
      <c r="I446" s="1421" t="b">
        <v>0</v>
      </c>
      <c r="J446" s="1420" t="b">
        <v>1</v>
      </c>
      <c r="K446" s="1422" t="s">
        <v>3497</v>
      </c>
      <c r="L446" s="1423" t="s">
        <v>3498</v>
      </c>
      <c r="M446" s="1424">
        <v>0.0</v>
      </c>
      <c r="N446" s="1424" t="s">
        <v>2268</v>
      </c>
      <c r="O446" s="1425" t="b">
        <v>0</v>
      </c>
      <c r="P446" s="1425" t="b">
        <v>0</v>
      </c>
      <c r="Q446" s="1426" t="s">
        <v>2253</v>
      </c>
      <c r="R446" s="1426" t="s">
        <v>2311</v>
      </c>
      <c r="S446" s="1426" t="b">
        <v>1</v>
      </c>
      <c r="T446" s="1426" t="b">
        <v>1</v>
      </c>
      <c r="U446" s="1426" t="b">
        <v>1</v>
      </c>
      <c r="V446" s="1426" t="s">
        <v>3499</v>
      </c>
      <c r="W446" s="1426" t="s">
        <v>3088</v>
      </c>
      <c r="X446" s="1437" t="s">
        <v>3500</v>
      </c>
      <c r="Y446" s="1442" t="s">
        <v>137</v>
      </c>
    </row>
    <row r="447">
      <c r="A447" s="1419"/>
      <c r="B447" s="1429" t="b">
        <v>0</v>
      </c>
      <c r="C447" s="1429" t="b">
        <v>0</v>
      </c>
      <c r="D447" s="1429" t="b">
        <v>0</v>
      </c>
      <c r="E447" s="1429" t="b">
        <v>0</v>
      </c>
      <c r="F447" s="1429" t="b">
        <v>0</v>
      </c>
      <c r="G447" s="1429" t="b">
        <v>0</v>
      </c>
      <c r="H447" s="1429" t="b">
        <v>0</v>
      </c>
      <c r="I447" s="1429" t="b">
        <v>0</v>
      </c>
      <c r="J447" s="1428" t="b">
        <v>1</v>
      </c>
      <c r="K447" s="1430" t="s">
        <v>3501</v>
      </c>
      <c r="L447" s="1431" t="s">
        <v>3502</v>
      </c>
      <c r="M447" s="1432">
        <v>1.0</v>
      </c>
      <c r="N447" s="1432" t="s">
        <v>2258</v>
      </c>
      <c r="O447" s="1433" t="b">
        <v>0</v>
      </c>
      <c r="P447" s="1433" t="b">
        <v>0</v>
      </c>
      <c r="Q447" s="1434" t="s">
        <v>2253</v>
      </c>
      <c r="R447" s="1434" t="s">
        <v>2269</v>
      </c>
      <c r="S447" s="1439" t="b">
        <v>0</v>
      </c>
      <c r="T447" s="1434" t="b">
        <v>1</v>
      </c>
      <c r="U447" s="1434" t="b">
        <v>1</v>
      </c>
      <c r="V447" s="1434" t="s">
        <v>3503</v>
      </c>
      <c r="W447" s="1434" t="s">
        <v>2264</v>
      </c>
      <c r="X447" s="1435" t="s">
        <v>3504</v>
      </c>
      <c r="Y447" s="1441" t="s">
        <v>137</v>
      </c>
    </row>
    <row r="448">
      <c r="A448" s="1419"/>
      <c r="B448" s="1421" t="b">
        <v>0</v>
      </c>
      <c r="C448" s="1420" t="b">
        <v>1</v>
      </c>
      <c r="D448" s="1420" t="b">
        <v>1</v>
      </c>
      <c r="E448" s="1420" t="b">
        <v>1</v>
      </c>
      <c r="F448" s="1420" t="b">
        <v>1</v>
      </c>
      <c r="G448" s="1420" t="b">
        <v>1</v>
      </c>
      <c r="H448" s="1421" t="b">
        <v>0</v>
      </c>
      <c r="I448" s="1421" t="b">
        <v>0</v>
      </c>
      <c r="J448" s="1421" t="b">
        <v>0</v>
      </c>
      <c r="K448" s="1422" t="s">
        <v>3505</v>
      </c>
      <c r="L448" s="1423" t="s">
        <v>3506</v>
      </c>
      <c r="M448" s="1424">
        <v>1.0</v>
      </c>
      <c r="N448" s="1424" t="s">
        <v>2273</v>
      </c>
      <c r="O448" s="1425" t="b">
        <v>0</v>
      </c>
      <c r="P448" s="1425" t="b">
        <v>0</v>
      </c>
      <c r="Q448" s="1426" t="s">
        <v>2253</v>
      </c>
      <c r="R448" s="1426" t="s">
        <v>2259</v>
      </c>
      <c r="S448" s="1426" t="b">
        <v>1</v>
      </c>
      <c r="T448" s="1426" t="b">
        <v>1</v>
      </c>
      <c r="U448" s="1427" t="b">
        <v>0</v>
      </c>
      <c r="V448" s="1427"/>
      <c r="W448" s="1426" t="s">
        <v>2264</v>
      </c>
      <c r="X448" s="1437" t="s">
        <v>3507</v>
      </c>
      <c r="Y448" s="1442" t="s">
        <v>137</v>
      </c>
    </row>
    <row r="449">
      <c r="A449" s="1419"/>
      <c r="B449" s="1429" t="b">
        <v>0</v>
      </c>
      <c r="C449" s="1428" t="b">
        <v>1</v>
      </c>
      <c r="D449" s="1428" t="b">
        <v>1</v>
      </c>
      <c r="E449" s="1429" t="b">
        <v>0</v>
      </c>
      <c r="F449" s="1429" t="b">
        <v>0</v>
      </c>
      <c r="G449" s="1429" t="b">
        <v>0</v>
      </c>
      <c r="H449" s="1429" t="b">
        <v>0</v>
      </c>
      <c r="I449" s="1429" t="b">
        <v>0</v>
      </c>
      <c r="J449" s="1428" t="b">
        <v>1</v>
      </c>
      <c r="K449" s="1430" t="s">
        <v>3508</v>
      </c>
      <c r="L449" s="1431" t="s">
        <v>3509</v>
      </c>
      <c r="M449" s="1432">
        <v>1.0</v>
      </c>
      <c r="N449" s="1432" t="s">
        <v>2302</v>
      </c>
      <c r="O449" s="1433" t="b">
        <v>0</v>
      </c>
      <c r="P449" s="1438" t="b">
        <v>1</v>
      </c>
      <c r="Q449" s="1434" t="s">
        <v>2264</v>
      </c>
      <c r="R449" s="1434" t="s">
        <v>2311</v>
      </c>
      <c r="S449" s="1434" t="b">
        <v>1</v>
      </c>
      <c r="T449" s="1434" t="b">
        <v>1</v>
      </c>
      <c r="U449" s="1434" t="b">
        <v>1</v>
      </c>
      <c r="V449" s="1434" t="s">
        <v>3510</v>
      </c>
      <c r="W449" s="1434" t="s">
        <v>2299</v>
      </c>
      <c r="X449" s="1435" t="s">
        <v>3511</v>
      </c>
      <c r="Y449" s="1441" t="s">
        <v>137</v>
      </c>
    </row>
    <row r="450">
      <c r="A450" s="1419"/>
      <c r="B450" s="1421" t="b">
        <v>0</v>
      </c>
      <c r="C450" s="1420" t="b">
        <v>0</v>
      </c>
      <c r="D450" s="1420" t="b">
        <v>0</v>
      </c>
      <c r="E450" s="1420" t="b">
        <v>1</v>
      </c>
      <c r="F450" s="1421" t="b">
        <v>0</v>
      </c>
      <c r="G450" s="1420" t="b">
        <v>1</v>
      </c>
      <c r="H450" s="1421" t="b">
        <v>0</v>
      </c>
      <c r="I450" s="1421" t="b">
        <v>0</v>
      </c>
      <c r="J450" s="1420" t="b">
        <v>0</v>
      </c>
      <c r="K450" s="1422" t="s">
        <v>3512</v>
      </c>
      <c r="L450" s="1423" t="s">
        <v>3513</v>
      </c>
      <c r="M450" s="1424">
        <v>1.0</v>
      </c>
      <c r="N450" s="1424" t="s">
        <v>3514</v>
      </c>
      <c r="O450" s="1425" t="b">
        <v>0</v>
      </c>
      <c r="P450" s="1425" t="b">
        <v>0</v>
      </c>
      <c r="Q450" s="1426" t="s">
        <v>2316</v>
      </c>
      <c r="R450" s="1426" t="s">
        <v>2269</v>
      </c>
      <c r="S450" s="1426" t="b">
        <v>0</v>
      </c>
      <c r="T450" s="1426" t="b">
        <v>1</v>
      </c>
      <c r="U450" s="1427" t="b">
        <v>0</v>
      </c>
      <c r="V450" s="1427"/>
      <c r="W450" s="1426" t="s">
        <v>2255</v>
      </c>
      <c r="X450" s="1437" t="s">
        <v>3515</v>
      </c>
      <c r="Y450" s="1442" t="s">
        <v>137</v>
      </c>
    </row>
    <row r="451">
      <c r="A451" s="1419"/>
      <c r="B451" s="1429" t="b">
        <v>0</v>
      </c>
      <c r="C451" s="1429" t="b">
        <v>0</v>
      </c>
      <c r="D451" s="1428" t="b">
        <v>1</v>
      </c>
      <c r="E451" s="1429" t="b">
        <v>0</v>
      </c>
      <c r="F451" s="1429" t="b">
        <v>0</v>
      </c>
      <c r="G451" s="1429" t="b">
        <v>0</v>
      </c>
      <c r="H451" s="1429" t="b">
        <v>0</v>
      </c>
      <c r="I451" s="1429" t="b">
        <v>0</v>
      </c>
      <c r="J451" s="1429" t="b">
        <v>0</v>
      </c>
      <c r="K451" s="1430" t="s">
        <v>3516</v>
      </c>
      <c r="L451" s="1431" t="s">
        <v>3517</v>
      </c>
      <c r="M451" s="1432">
        <v>1.0</v>
      </c>
      <c r="N451" s="1432" t="s">
        <v>3514</v>
      </c>
      <c r="O451" s="1438" t="b">
        <v>1</v>
      </c>
      <c r="P451" s="1433" t="b">
        <v>0</v>
      </c>
      <c r="Q451" s="1434" t="s">
        <v>2253</v>
      </c>
      <c r="R451" s="1434" t="s">
        <v>2311</v>
      </c>
      <c r="S451" s="1434" t="b">
        <v>0</v>
      </c>
      <c r="T451" s="1434" t="b">
        <v>1</v>
      </c>
      <c r="U451" s="1439" t="b">
        <v>0</v>
      </c>
      <c r="V451" s="1439"/>
      <c r="W451" s="1434" t="s">
        <v>2288</v>
      </c>
      <c r="X451" s="1435" t="s">
        <v>3518</v>
      </c>
      <c r="Y451" s="1441" t="s">
        <v>137</v>
      </c>
    </row>
    <row r="452">
      <c r="A452" s="1419"/>
      <c r="B452" s="1421" t="b">
        <v>0</v>
      </c>
      <c r="C452" s="1421" t="b">
        <v>0</v>
      </c>
      <c r="D452" s="1420" t="b">
        <v>1</v>
      </c>
      <c r="E452" s="1420" t="b">
        <v>1</v>
      </c>
      <c r="F452" s="1421" t="b">
        <v>0</v>
      </c>
      <c r="G452" s="1420" t="b">
        <v>1</v>
      </c>
      <c r="H452" s="1420" t="b">
        <v>1</v>
      </c>
      <c r="I452" s="1420" t="b">
        <v>1</v>
      </c>
      <c r="J452" s="1421" t="b">
        <v>0</v>
      </c>
      <c r="K452" s="1422" t="s">
        <v>3519</v>
      </c>
      <c r="L452" s="1423" t="s">
        <v>3520</v>
      </c>
      <c r="M452" s="1424">
        <v>1.0</v>
      </c>
      <c r="N452" s="1424" t="s">
        <v>3514</v>
      </c>
      <c r="O452" s="1436" t="b">
        <v>0</v>
      </c>
      <c r="P452" s="1425" t="b">
        <v>0</v>
      </c>
      <c r="Q452" s="1426" t="s">
        <v>2253</v>
      </c>
      <c r="R452" s="1426" t="s">
        <v>2311</v>
      </c>
      <c r="S452" s="1426" t="b">
        <v>1</v>
      </c>
      <c r="T452" s="1426" t="b">
        <v>1</v>
      </c>
      <c r="U452" s="1427" t="b">
        <v>0</v>
      </c>
      <c r="V452" s="1427"/>
      <c r="W452" s="1426" t="s">
        <v>2255</v>
      </c>
      <c r="X452" s="1437" t="s">
        <v>3521</v>
      </c>
      <c r="Y452" s="1442" t="s">
        <v>137</v>
      </c>
    </row>
    <row r="453">
      <c r="A453" s="1419"/>
      <c r="B453" s="1429" t="b">
        <v>0</v>
      </c>
      <c r="C453" s="1429" t="b">
        <v>0</v>
      </c>
      <c r="D453" s="1429" t="b">
        <v>0</v>
      </c>
      <c r="E453" s="1428" t="b">
        <v>1</v>
      </c>
      <c r="F453" s="1429" t="b">
        <v>0</v>
      </c>
      <c r="G453" s="1429" t="b">
        <v>0</v>
      </c>
      <c r="H453" s="1428" t="b">
        <v>1</v>
      </c>
      <c r="I453" s="1428" t="b">
        <v>0</v>
      </c>
      <c r="J453" s="1428" t="b">
        <v>1</v>
      </c>
      <c r="K453" s="1430" t="s">
        <v>3522</v>
      </c>
      <c r="L453" s="1431" t="s">
        <v>3523</v>
      </c>
      <c r="M453" s="1432">
        <v>1.0</v>
      </c>
      <c r="N453" s="1432" t="s">
        <v>3524</v>
      </c>
      <c r="O453" s="1438" t="b">
        <v>1</v>
      </c>
      <c r="P453" s="1433" t="b">
        <v>0</v>
      </c>
      <c r="Q453" s="1434" t="s">
        <v>2316</v>
      </c>
      <c r="R453" s="1434" t="s">
        <v>2254</v>
      </c>
      <c r="S453" s="1434" t="b">
        <v>1</v>
      </c>
      <c r="T453" s="1434" t="b">
        <v>1</v>
      </c>
      <c r="U453" s="1434" t="b">
        <v>1</v>
      </c>
      <c r="V453" s="1434" t="s">
        <v>3525</v>
      </c>
      <c r="W453" s="1434" t="s">
        <v>2288</v>
      </c>
      <c r="X453" s="1435" t="s">
        <v>3526</v>
      </c>
      <c r="Y453" s="1441" t="s">
        <v>137</v>
      </c>
    </row>
    <row r="454">
      <c r="A454" s="1419"/>
      <c r="B454" s="1421" t="b">
        <v>0</v>
      </c>
      <c r="C454" s="1420" t="b">
        <v>1</v>
      </c>
      <c r="D454" s="1421" t="b">
        <v>0</v>
      </c>
      <c r="E454" s="1421" t="b">
        <v>0</v>
      </c>
      <c r="F454" s="1421" t="b">
        <v>0</v>
      </c>
      <c r="G454" s="1421" t="b">
        <v>0</v>
      </c>
      <c r="H454" s="1420" t="b">
        <v>1</v>
      </c>
      <c r="I454" s="1420" t="b">
        <v>1</v>
      </c>
      <c r="J454" s="1420" t="b">
        <v>1</v>
      </c>
      <c r="K454" s="1422" t="s">
        <v>3527</v>
      </c>
      <c r="L454" s="1423" t="s">
        <v>3528</v>
      </c>
      <c r="M454" s="1424">
        <v>1.0</v>
      </c>
      <c r="N454" s="1424" t="s">
        <v>2268</v>
      </c>
      <c r="O454" s="1436" t="b">
        <v>1</v>
      </c>
      <c r="P454" s="1425" t="b">
        <v>0</v>
      </c>
      <c r="Q454" s="1426" t="s">
        <v>2253</v>
      </c>
      <c r="R454" s="1426" t="s">
        <v>2269</v>
      </c>
      <c r="S454" s="1426" t="b">
        <v>1</v>
      </c>
      <c r="T454" s="1426" t="b">
        <v>1</v>
      </c>
      <c r="U454" s="1427" t="b">
        <v>0</v>
      </c>
      <c r="V454" s="1427"/>
      <c r="W454" s="1426" t="s">
        <v>2308</v>
      </c>
      <c r="X454" s="1437" t="s">
        <v>3529</v>
      </c>
      <c r="Y454" s="1442" t="s">
        <v>137</v>
      </c>
    </row>
    <row r="455">
      <c r="A455" s="1419"/>
      <c r="B455" s="1429" t="b">
        <v>0</v>
      </c>
      <c r="C455" s="1429" t="b">
        <v>0</v>
      </c>
      <c r="D455" s="1429" t="b">
        <v>0</v>
      </c>
      <c r="E455" s="1429" t="b">
        <v>0</v>
      </c>
      <c r="F455" s="1429" t="b">
        <v>0</v>
      </c>
      <c r="G455" s="1429" t="b">
        <v>0</v>
      </c>
      <c r="H455" s="1429" t="b">
        <v>0</v>
      </c>
      <c r="I455" s="1428" t="b">
        <v>1</v>
      </c>
      <c r="J455" s="1428" t="b">
        <v>1</v>
      </c>
      <c r="K455" s="1430" t="s">
        <v>3530</v>
      </c>
      <c r="L455" s="1431" t="s">
        <v>3531</v>
      </c>
      <c r="M455" s="1432">
        <v>1.0</v>
      </c>
      <c r="N455" s="1432" t="s">
        <v>3532</v>
      </c>
      <c r="O455" s="1433" t="b">
        <v>0</v>
      </c>
      <c r="P455" s="1433" t="b">
        <v>0</v>
      </c>
      <c r="Q455" s="1434" t="s">
        <v>2316</v>
      </c>
      <c r="R455" s="1434" t="s">
        <v>2269</v>
      </c>
      <c r="S455" s="1434" t="b">
        <v>0</v>
      </c>
      <c r="T455" s="1434" t="b">
        <v>1</v>
      </c>
      <c r="U455" s="1439" t="b">
        <v>0</v>
      </c>
      <c r="V455" s="1439"/>
      <c r="W455" s="1434" t="s">
        <v>2264</v>
      </c>
      <c r="X455" s="1435" t="s">
        <v>3533</v>
      </c>
      <c r="Y455" s="1441" t="s">
        <v>137</v>
      </c>
    </row>
    <row r="456">
      <c r="A456" s="1440" t="s">
        <v>2461</v>
      </c>
      <c r="B456" s="1421" t="b">
        <v>0</v>
      </c>
      <c r="C456" s="1420" t="b">
        <v>1</v>
      </c>
      <c r="D456" s="1420" t="b">
        <v>1</v>
      </c>
      <c r="E456" s="1421" t="b">
        <v>0</v>
      </c>
      <c r="F456" s="1421" t="b">
        <v>0</v>
      </c>
      <c r="G456" s="1421" t="b">
        <v>0</v>
      </c>
      <c r="H456" s="1420" t="b">
        <v>1</v>
      </c>
      <c r="I456" s="1421" t="b">
        <v>0</v>
      </c>
      <c r="J456" s="1420" t="b">
        <v>1</v>
      </c>
      <c r="K456" s="1422" t="s">
        <v>3534</v>
      </c>
      <c r="L456" s="1423" t="s">
        <v>3535</v>
      </c>
      <c r="M456" s="1424">
        <v>1.0</v>
      </c>
      <c r="N456" s="1424" t="s">
        <v>2252</v>
      </c>
      <c r="O456" s="1425" t="b">
        <v>0</v>
      </c>
      <c r="P456" s="1425" t="b">
        <v>0</v>
      </c>
      <c r="Q456" s="1426" t="s">
        <v>2253</v>
      </c>
      <c r="R456" s="1426" t="s">
        <v>2311</v>
      </c>
      <c r="S456" s="1426" t="b">
        <v>1</v>
      </c>
      <c r="T456" s="1426" t="b">
        <v>1</v>
      </c>
      <c r="U456" s="1426" t="b">
        <v>1</v>
      </c>
      <c r="V456" s="1426" t="s">
        <v>3536</v>
      </c>
      <c r="W456" s="1426" t="s">
        <v>2297</v>
      </c>
      <c r="X456" s="1437" t="s">
        <v>3537</v>
      </c>
      <c r="Y456" s="1442" t="s">
        <v>137</v>
      </c>
    </row>
    <row r="457">
      <c r="A457" s="1419"/>
      <c r="B457" s="1429" t="b">
        <v>0</v>
      </c>
      <c r="C457" s="1428" t="b">
        <v>1</v>
      </c>
      <c r="D457" s="1428" t="b">
        <v>1</v>
      </c>
      <c r="E457" s="1429" t="b">
        <v>0</v>
      </c>
      <c r="F457" s="1428" t="b">
        <v>1</v>
      </c>
      <c r="G457" s="1429" t="b">
        <v>0</v>
      </c>
      <c r="H457" s="1429" t="b">
        <v>0</v>
      </c>
      <c r="I457" s="1429" t="b">
        <v>0</v>
      </c>
      <c r="J457" s="1428" t="b">
        <v>1</v>
      </c>
      <c r="K457" s="1430" t="s">
        <v>3538</v>
      </c>
      <c r="L457" s="1431" t="s">
        <v>3539</v>
      </c>
      <c r="M457" s="1432">
        <v>1.0</v>
      </c>
      <c r="N457" s="1432" t="s">
        <v>2268</v>
      </c>
      <c r="O457" s="1438" t="b">
        <v>1</v>
      </c>
      <c r="P457" s="1438" t="b">
        <v>1</v>
      </c>
      <c r="Q457" s="1434" t="s">
        <v>2253</v>
      </c>
      <c r="R457" s="1434" t="s">
        <v>2311</v>
      </c>
      <c r="S457" s="1434" t="b">
        <v>1</v>
      </c>
      <c r="T457" s="1434" t="b">
        <v>1</v>
      </c>
      <c r="U457" s="1434" t="b">
        <v>1</v>
      </c>
      <c r="V457" s="1434" t="s">
        <v>3540</v>
      </c>
      <c r="W457" s="1434" t="s">
        <v>2270</v>
      </c>
      <c r="X457" s="1435" t="s">
        <v>3541</v>
      </c>
      <c r="Y457" s="1441" t="s">
        <v>137</v>
      </c>
    </row>
    <row r="458">
      <c r="A458" s="1419"/>
      <c r="B458" s="1421" t="b">
        <v>0</v>
      </c>
      <c r="C458" s="1420" t="b">
        <v>1</v>
      </c>
      <c r="D458" s="1420" t="b">
        <v>1</v>
      </c>
      <c r="E458" s="1421" t="b">
        <v>0</v>
      </c>
      <c r="F458" s="1420" t="b">
        <v>1</v>
      </c>
      <c r="G458" s="1421" t="b">
        <v>0</v>
      </c>
      <c r="H458" s="1421" t="b">
        <v>0</v>
      </c>
      <c r="I458" s="1421" t="b">
        <v>0</v>
      </c>
      <c r="J458" s="1421" t="b">
        <v>0</v>
      </c>
      <c r="K458" s="1422" t="s">
        <v>3542</v>
      </c>
      <c r="L458" s="1423" t="s">
        <v>3543</v>
      </c>
      <c r="M458" s="1424">
        <v>1.0</v>
      </c>
      <c r="N458" s="1424" t="s">
        <v>2258</v>
      </c>
      <c r="O458" s="1436" t="b">
        <v>1</v>
      </c>
      <c r="P458" s="1425" t="b">
        <v>0</v>
      </c>
      <c r="Q458" s="1426" t="s">
        <v>2264</v>
      </c>
      <c r="R458" s="1426" t="s">
        <v>2311</v>
      </c>
      <c r="S458" s="1426" t="b">
        <v>1</v>
      </c>
      <c r="T458" s="1426" t="b">
        <v>1</v>
      </c>
      <c r="U458" s="1426" t="b">
        <v>1</v>
      </c>
      <c r="V458" s="1427"/>
      <c r="W458" s="1426" t="s">
        <v>2270</v>
      </c>
      <c r="X458" s="1437" t="s">
        <v>3544</v>
      </c>
      <c r="Y458" s="1442" t="s">
        <v>137</v>
      </c>
    </row>
    <row r="459">
      <c r="A459" s="1419"/>
      <c r="B459" s="1429" t="b">
        <v>0</v>
      </c>
      <c r="C459" s="1428" t="b">
        <v>1</v>
      </c>
      <c r="D459" s="1429" t="b">
        <v>0</v>
      </c>
      <c r="E459" s="1428" t="b">
        <v>1</v>
      </c>
      <c r="F459" s="1429" t="b">
        <v>0</v>
      </c>
      <c r="G459" s="1428" t="b">
        <v>1</v>
      </c>
      <c r="H459" s="1429" t="b">
        <v>0</v>
      </c>
      <c r="I459" s="1429" t="b">
        <v>0</v>
      </c>
      <c r="J459" s="1428" t="b">
        <v>1</v>
      </c>
      <c r="K459" s="1430" t="s">
        <v>3545</v>
      </c>
      <c r="L459" s="1431" t="s">
        <v>3546</v>
      </c>
      <c r="M459" s="1432">
        <v>1.0</v>
      </c>
      <c r="N459" s="1432" t="s">
        <v>3547</v>
      </c>
      <c r="O459" s="1438" t="b">
        <v>1</v>
      </c>
      <c r="P459" s="1433" t="b">
        <v>0</v>
      </c>
      <c r="Q459" s="1434" t="s">
        <v>2253</v>
      </c>
      <c r="R459" s="1434" t="s">
        <v>2259</v>
      </c>
      <c r="S459" s="1434" t="b">
        <v>1</v>
      </c>
      <c r="T459" s="1434" t="b">
        <v>1</v>
      </c>
      <c r="U459" s="1439" t="b">
        <v>0</v>
      </c>
      <c r="V459" s="1439"/>
      <c r="W459" s="1434" t="s">
        <v>2308</v>
      </c>
      <c r="X459" s="1435" t="s">
        <v>3548</v>
      </c>
      <c r="Y459" s="1441" t="s">
        <v>137</v>
      </c>
    </row>
    <row r="460">
      <c r="A460" s="1419"/>
      <c r="B460" s="1421" t="b">
        <v>0</v>
      </c>
      <c r="C460" s="1420" t="b">
        <v>1</v>
      </c>
      <c r="D460" s="1421" t="b">
        <v>0</v>
      </c>
      <c r="E460" s="1421" t="b">
        <v>0</v>
      </c>
      <c r="F460" s="1421" t="b">
        <v>0</v>
      </c>
      <c r="G460" s="1421" t="b">
        <v>0</v>
      </c>
      <c r="H460" s="1421" t="b">
        <v>0</v>
      </c>
      <c r="I460" s="1420" t="b">
        <v>1</v>
      </c>
      <c r="J460" s="1421" t="b">
        <v>0</v>
      </c>
      <c r="K460" s="1422" t="s">
        <v>3549</v>
      </c>
      <c r="L460" s="1423" t="s">
        <v>3550</v>
      </c>
      <c r="M460" s="1424">
        <v>1.0</v>
      </c>
      <c r="N460" s="1424" t="s">
        <v>3551</v>
      </c>
      <c r="O460" s="1425" t="b">
        <v>0</v>
      </c>
      <c r="P460" s="1425" t="b">
        <v>0</v>
      </c>
      <c r="Q460" s="1426" t="s">
        <v>2253</v>
      </c>
      <c r="R460" s="1426" t="s">
        <v>2259</v>
      </c>
      <c r="S460" s="1426" t="b">
        <v>1</v>
      </c>
      <c r="T460" s="1426" t="b">
        <v>1</v>
      </c>
      <c r="U460" s="1426" t="b">
        <v>1</v>
      </c>
      <c r="V460" s="1427"/>
      <c r="W460" s="1426" t="s">
        <v>2255</v>
      </c>
      <c r="X460" s="1437" t="s">
        <v>3552</v>
      </c>
      <c r="Y460" s="1442" t="s">
        <v>137</v>
      </c>
    </row>
    <row r="461">
      <c r="A461" s="1419"/>
      <c r="B461" s="1429" t="b">
        <v>0</v>
      </c>
      <c r="C461" s="1429" t="b">
        <v>0</v>
      </c>
      <c r="D461" s="1429" t="b">
        <v>0</v>
      </c>
      <c r="E461" s="1428" t="b">
        <v>1</v>
      </c>
      <c r="F461" s="1429" t="b">
        <v>0</v>
      </c>
      <c r="G461" s="1428" t="b">
        <v>1</v>
      </c>
      <c r="H461" s="1429" t="b">
        <v>0</v>
      </c>
      <c r="I461" s="1429" t="b">
        <v>0</v>
      </c>
      <c r="J461" s="1429" t="b">
        <v>0</v>
      </c>
      <c r="K461" s="1430" t="s">
        <v>3553</v>
      </c>
      <c r="L461" s="1431" t="s">
        <v>3554</v>
      </c>
      <c r="M461" s="1432">
        <v>1.0</v>
      </c>
      <c r="N461" s="1432" t="s">
        <v>2258</v>
      </c>
      <c r="O461" s="1433" t="b">
        <v>0</v>
      </c>
      <c r="P461" s="1433" t="b">
        <v>0</v>
      </c>
      <c r="Q461" s="1434" t="s">
        <v>2253</v>
      </c>
      <c r="R461" s="1434" t="s">
        <v>2311</v>
      </c>
      <c r="S461" s="1434" t="b">
        <v>1</v>
      </c>
      <c r="T461" s="1434" t="b">
        <v>1</v>
      </c>
      <c r="U461" s="1434" t="b">
        <v>1</v>
      </c>
      <c r="V461" s="1434" t="s">
        <v>3555</v>
      </c>
      <c r="W461" s="1434" t="s">
        <v>2411</v>
      </c>
      <c r="X461" s="1435" t="s">
        <v>3556</v>
      </c>
      <c r="Y461" s="1441" t="s">
        <v>137</v>
      </c>
    </row>
    <row r="462">
      <c r="A462" s="1419"/>
      <c r="B462" s="1421" t="b">
        <v>0</v>
      </c>
      <c r="C462" s="1420" t="b">
        <v>1</v>
      </c>
      <c r="D462" s="1421" t="b">
        <v>0</v>
      </c>
      <c r="E462" s="1420" t="b">
        <v>1</v>
      </c>
      <c r="F462" s="1421" t="b">
        <v>0</v>
      </c>
      <c r="G462" s="1420" t="b">
        <v>1</v>
      </c>
      <c r="H462" s="1420" t="b">
        <v>1</v>
      </c>
      <c r="I462" s="1421" t="b">
        <v>0</v>
      </c>
      <c r="J462" s="1420" t="b">
        <v>1</v>
      </c>
      <c r="K462" s="1422" t="s">
        <v>3557</v>
      </c>
      <c r="L462" s="1423" t="s">
        <v>3558</v>
      </c>
      <c r="M462" s="1424">
        <v>1.0</v>
      </c>
      <c r="N462" s="1424" t="s">
        <v>2252</v>
      </c>
      <c r="O462" s="1436" t="b">
        <v>1</v>
      </c>
      <c r="P462" s="1425" t="b">
        <v>0</v>
      </c>
      <c r="Q462" s="1426" t="s">
        <v>2253</v>
      </c>
      <c r="R462" s="1426" t="s">
        <v>2269</v>
      </c>
      <c r="S462" s="1426" t="b">
        <v>1</v>
      </c>
      <c r="T462" s="1426" t="b">
        <v>1</v>
      </c>
      <c r="U462" s="1426" t="b">
        <v>1</v>
      </c>
      <c r="V462" s="1426" t="s">
        <v>3559</v>
      </c>
      <c r="W462" s="1426" t="s">
        <v>2288</v>
      </c>
      <c r="X462" s="1437" t="s">
        <v>3560</v>
      </c>
      <c r="Y462" s="1442" t="s">
        <v>137</v>
      </c>
    </row>
    <row r="463">
      <c r="A463" s="1419"/>
      <c r="B463" s="1429" t="b">
        <v>0</v>
      </c>
      <c r="C463" s="1429" t="b">
        <v>0</v>
      </c>
      <c r="D463" s="1429" t="b">
        <v>0</v>
      </c>
      <c r="E463" s="1428" t="b">
        <v>1</v>
      </c>
      <c r="F463" s="1429" t="b">
        <v>0</v>
      </c>
      <c r="G463" s="1428" t="b">
        <v>1</v>
      </c>
      <c r="H463" s="1428" t="b">
        <v>1</v>
      </c>
      <c r="I463" s="1429" t="b">
        <v>0</v>
      </c>
      <c r="J463" s="1428" t="b">
        <v>1</v>
      </c>
      <c r="K463" s="1430" t="s">
        <v>3561</v>
      </c>
      <c r="L463" s="1431" t="s">
        <v>3562</v>
      </c>
      <c r="M463" s="1432">
        <v>1.0</v>
      </c>
      <c r="N463" s="1432" t="s">
        <v>2268</v>
      </c>
      <c r="O463" s="1438" t="b">
        <v>1</v>
      </c>
      <c r="P463" s="1433" t="b">
        <v>0</v>
      </c>
      <c r="Q463" s="1434" t="s">
        <v>2316</v>
      </c>
      <c r="R463" s="1434" t="s">
        <v>2269</v>
      </c>
      <c r="S463" s="1434" t="b">
        <v>1</v>
      </c>
      <c r="T463" s="1439" t="b">
        <v>0</v>
      </c>
      <c r="U463" s="1439" t="b">
        <v>0</v>
      </c>
      <c r="V463" s="1439"/>
      <c r="W463" s="1434" t="s">
        <v>2288</v>
      </c>
      <c r="X463" s="1435" t="s">
        <v>3563</v>
      </c>
      <c r="Y463" s="1441" t="s">
        <v>137</v>
      </c>
    </row>
    <row r="464">
      <c r="A464" s="1419"/>
      <c r="B464" s="1421" t="b">
        <v>0</v>
      </c>
      <c r="C464" s="1420" t="b">
        <v>1</v>
      </c>
      <c r="D464" s="1421" t="b">
        <v>0</v>
      </c>
      <c r="E464" s="1421" t="b">
        <v>0</v>
      </c>
      <c r="F464" s="1421" t="b">
        <v>0</v>
      </c>
      <c r="G464" s="1421" t="b">
        <v>0</v>
      </c>
      <c r="H464" s="1420" t="b">
        <v>1</v>
      </c>
      <c r="I464" s="1421" t="b">
        <v>0</v>
      </c>
      <c r="J464" s="1420" t="b">
        <v>1</v>
      </c>
      <c r="K464" s="1422" t="s">
        <v>3564</v>
      </c>
      <c r="L464" s="1423" t="s">
        <v>3565</v>
      </c>
      <c r="M464" s="1424">
        <v>1.0</v>
      </c>
      <c r="N464" s="1424" t="s">
        <v>3524</v>
      </c>
      <c r="O464" s="1436" t="b">
        <v>1</v>
      </c>
      <c r="P464" s="1425" t="b">
        <v>0</v>
      </c>
      <c r="Q464" s="1426" t="s">
        <v>2253</v>
      </c>
      <c r="R464" s="1426" t="s">
        <v>2259</v>
      </c>
      <c r="S464" s="1426" t="b">
        <v>1</v>
      </c>
      <c r="T464" s="1426" t="b">
        <v>1</v>
      </c>
      <c r="U464" s="1426" t="b">
        <v>1</v>
      </c>
      <c r="V464" s="1426" t="s">
        <v>3566</v>
      </c>
      <c r="W464" s="1426" t="s">
        <v>2288</v>
      </c>
      <c r="X464" s="1437" t="s">
        <v>3567</v>
      </c>
      <c r="Y464" s="1442" t="s">
        <v>137</v>
      </c>
    </row>
    <row r="465">
      <c r="A465" s="1419"/>
      <c r="B465" s="1429" t="b">
        <v>0</v>
      </c>
      <c r="C465" s="1428" t="b">
        <v>0</v>
      </c>
      <c r="D465" s="1428" t="b">
        <v>1</v>
      </c>
      <c r="E465" s="1428" t="b">
        <v>1</v>
      </c>
      <c r="F465" s="1429" t="b">
        <v>0</v>
      </c>
      <c r="G465" s="1429" t="b">
        <v>0</v>
      </c>
      <c r="H465" s="1429" t="b">
        <v>0</v>
      </c>
      <c r="I465" s="1428" t="b">
        <v>1</v>
      </c>
      <c r="J465" s="1428" t="b">
        <v>1</v>
      </c>
      <c r="K465" s="1430" t="s">
        <v>3568</v>
      </c>
      <c r="L465" s="1431" t="s">
        <v>3569</v>
      </c>
      <c r="M465" s="1432">
        <v>2.0</v>
      </c>
      <c r="N465" s="1432" t="s">
        <v>2282</v>
      </c>
      <c r="O465" s="1433" t="b">
        <v>0</v>
      </c>
      <c r="P465" s="1433" t="b">
        <v>0</v>
      </c>
      <c r="Q465" s="1434" t="s">
        <v>2253</v>
      </c>
      <c r="R465" s="1434" t="s">
        <v>2259</v>
      </c>
      <c r="S465" s="1439" t="b">
        <v>0</v>
      </c>
      <c r="T465" s="1439" t="b">
        <v>0</v>
      </c>
      <c r="U465" s="1439" t="b">
        <v>0</v>
      </c>
      <c r="V465" s="1434" t="s">
        <v>3570</v>
      </c>
      <c r="W465" s="1434" t="s">
        <v>2725</v>
      </c>
      <c r="X465" s="1435" t="s">
        <v>3571</v>
      </c>
      <c r="Y465" s="1441" t="s">
        <v>137</v>
      </c>
    </row>
    <row r="466">
      <c r="A466" s="1419"/>
      <c r="B466" s="1421" t="b">
        <v>0</v>
      </c>
      <c r="C466" s="1420" t="b">
        <v>1</v>
      </c>
      <c r="D466" s="1421" t="b">
        <v>0</v>
      </c>
      <c r="E466" s="1421" t="b">
        <v>0</v>
      </c>
      <c r="F466" s="1421" t="b">
        <v>0</v>
      </c>
      <c r="G466" s="1421" t="b">
        <v>0</v>
      </c>
      <c r="H466" s="1420" t="b">
        <v>1</v>
      </c>
      <c r="I466" s="1421" t="b">
        <v>0</v>
      </c>
      <c r="J466" s="1420" t="b">
        <v>1</v>
      </c>
      <c r="K466" s="1422" t="s">
        <v>3572</v>
      </c>
      <c r="L466" s="1423" t="s">
        <v>3573</v>
      </c>
      <c r="M466" s="1424">
        <v>2.0</v>
      </c>
      <c r="N466" s="1424" t="s">
        <v>3524</v>
      </c>
      <c r="O466" s="1425" t="b">
        <v>0</v>
      </c>
      <c r="P466" s="1425" t="b">
        <v>0</v>
      </c>
      <c r="Q466" s="1426" t="s">
        <v>2253</v>
      </c>
      <c r="R466" s="1426" t="s">
        <v>2269</v>
      </c>
      <c r="S466" s="1427" t="b">
        <v>0</v>
      </c>
      <c r="T466" s="1427" t="b">
        <v>0</v>
      </c>
      <c r="U466" s="1427" t="b">
        <v>0</v>
      </c>
      <c r="V466" s="1426" t="s">
        <v>3574</v>
      </c>
      <c r="W466" s="1426" t="s">
        <v>2297</v>
      </c>
      <c r="X466" s="1437" t="s">
        <v>3575</v>
      </c>
      <c r="Y466" s="1442" t="s">
        <v>137</v>
      </c>
    </row>
    <row r="467">
      <c r="A467" s="1419"/>
      <c r="B467" s="1429" t="b">
        <v>0</v>
      </c>
      <c r="C467" s="1429" t="b">
        <v>0</v>
      </c>
      <c r="D467" s="1428" t="b">
        <v>1</v>
      </c>
      <c r="E467" s="1428" t="b">
        <v>0</v>
      </c>
      <c r="F467" s="1428" t="b">
        <v>1</v>
      </c>
      <c r="G467" s="1428" t="b">
        <v>1</v>
      </c>
      <c r="H467" s="1429" t="b">
        <v>0</v>
      </c>
      <c r="I467" s="1429" t="b">
        <v>0</v>
      </c>
      <c r="J467" s="1429" t="b">
        <v>0</v>
      </c>
      <c r="K467" s="1430" t="s">
        <v>3576</v>
      </c>
      <c r="L467" s="1431" t="s">
        <v>3577</v>
      </c>
      <c r="M467" s="1432">
        <v>2.0</v>
      </c>
      <c r="N467" s="1432" t="s">
        <v>2282</v>
      </c>
      <c r="O467" s="1438" t="b">
        <v>1</v>
      </c>
      <c r="P467" s="1433" t="b">
        <v>0</v>
      </c>
      <c r="Q467" s="1434" t="s">
        <v>2316</v>
      </c>
      <c r="R467" s="1434" t="s">
        <v>2311</v>
      </c>
      <c r="S467" s="1434" t="b">
        <v>1</v>
      </c>
      <c r="T467" s="1434" t="b">
        <v>1</v>
      </c>
      <c r="U467" s="1439" t="b">
        <v>0</v>
      </c>
      <c r="V467" s="1439"/>
      <c r="W467" s="1434" t="s">
        <v>2288</v>
      </c>
      <c r="X467" s="1435" t="s">
        <v>3578</v>
      </c>
      <c r="Y467" s="1441" t="s">
        <v>137</v>
      </c>
    </row>
    <row r="468">
      <c r="A468" s="1419"/>
      <c r="B468" s="1421" t="b">
        <v>0</v>
      </c>
      <c r="C468" s="1421" t="b">
        <v>0</v>
      </c>
      <c r="D468" s="1421" t="b">
        <v>0</v>
      </c>
      <c r="E468" s="1421" t="b">
        <v>0</v>
      </c>
      <c r="F468" s="1421" t="b">
        <v>0</v>
      </c>
      <c r="G468" s="1421" t="b">
        <v>0</v>
      </c>
      <c r="H468" s="1420" t="b">
        <v>1</v>
      </c>
      <c r="I468" s="1420" t="b">
        <v>1</v>
      </c>
      <c r="J468" s="1420" t="b">
        <v>1</v>
      </c>
      <c r="K468" s="1422" t="s">
        <v>3579</v>
      </c>
      <c r="L468" s="1423" t="s">
        <v>3580</v>
      </c>
      <c r="M468" s="1424">
        <v>2.0</v>
      </c>
      <c r="N468" s="1424" t="s">
        <v>2252</v>
      </c>
      <c r="O468" s="1425" t="b">
        <v>0</v>
      </c>
      <c r="P468" s="1425" t="b">
        <v>0</v>
      </c>
      <c r="Q468" s="1426" t="s">
        <v>2253</v>
      </c>
      <c r="R468" s="1426" t="s">
        <v>2254</v>
      </c>
      <c r="S468" s="1426" t="b">
        <v>1</v>
      </c>
      <c r="T468" s="1426" t="b">
        <v>1</v>
      </c>
      <c r="U468" s="1427" t="b">
        <v>0</v>
      </c>
      <c r="V468" s="1427"/>
      <c r="W468" s="1426" t="s">
        <v>2255</v>
      </c>
      <c r="X468" s="1437" t="s">
        <v>3581</v>
      </c>
      <c r="Y468" s="1442" t="s">
        <v>137</v>
      </c>
    </row>
    <row r="469">
      <c r="A469" s="1419"/>
      <c r="B469" s="1429" t="b">
        <v>0</v>
      </c>
      <c r="C469" s="1429" t="b">
        <v>0</v>
      </c>
      <c r="D469" s="1429" t="b">
        <v>0</v>
      </c>
      <c r="E469" s="1429" t="b">
        <v>0</v>
      </c>
      <c r="F469" s="1429" t="b">
        <v>0</v>
      </c>
      <c r="G469" s="1429" t="b">
        <v>0</v>
      </c>
      <c r="H469" s="1428" t="b">
        <v>1</v>
      </c>
      <c r="I469" s="1429" t="b">
        <v>0</v>
      </c>
      <c r="J469" s="1429" t="b">
        <v>0</v>
      </c>
      <c r="K469" s="1430" t="s">
        <v>3582</v>
      </c>
      <c r="L469" s="1431" t="s">
        <v>3583</v>
      </c>
      <c r="M469" s="1432">
        <v>2.0</v>
      </c>
      <c r="N469" s="1432" t="s">
        <v>2306</v>
      </c>
      <c r="O469" s="1433" t="b">
        <v>0</v>
      </c>
      <c r="P469" s="1433" t="b">
        <v>0</v>
      </c>
      <c r="Q469" s="1434" t="s">
        <v>2253</v>
      </c>
      <c r="R469" s="1434" t="s">
        <v>2269</v>
      </c>
      <c r="S469" s="1439" t="b">
        <v>0</v>
      </c>
      <c r="T469" s="1439" t="b">
        <v>0</v>
      </c>
      <c r="U469" s="1434" t="b">
        <v>1</v>
      </c>
      <c r="V469" s="1434" t="s">
        <v>3584</v>
      </c>
      <c r="W469" s="1434" t="s">
        <v>2297</v>
      </c>
      <c r="X469" s="1435" t="s">
        <v>3585</v>
      </c>
      <c r="Y469" s="1441" t="s">
        <v>137</v>
      </c>
    </row>
    <row r="470">
      <c r="A470" s="1419"/>
      <c r="B470" s="1421" t="b">
        <v>0</v>
      </c>
      <c r="C470" s="1420" t="b">
        <v>1</v>
      </c>
      <c r="D470" s="1420" t="b">
        <v>1</v>
      </c>
      <c r="E470" s="1421" t="b">
        <v>0</v>
      </c>
      <c r="F470" s="1421" t="b">
        <v>0</v>
      </c>
      <c r="G470" s="1421" t="b">
        <v>0</v>
      </c>
      <c r="H470" s="1420" t="b">
        <v>1</v>
      </c>
      <c r="I470" s="1420" t="b">
        <v>1</v>
      </c>
      <c r="J470" s="1420" t="b">
        <v>1</v>
      </c>
      <c r="K470" s="1422" t="s">
        <v>3586</v>
      </c>
      <c r="L470" s="1423" t="s">
        <v>3587</v>
      </c>
      <c r="M470" s="1424">
        <v>2.0</v>
      </c>
      <c r="N470" s="1424" t="s">
        <v>2268</v>
      </c>
      <c r="O470" s="1436" t="b">
        <v>1</v>
      </c>
      <c r="P470" s="1425" t="b">
        <v>0</v>
      </c>
      <c r="Q470" s="1426" t="s">
        <v>2253</v>
      </c>
      <c r="R470" s="1426" t="s">
        <v>2311</v>
      </c>
      <c r="S470" s="1426" t="b">
        <v>1</v>
      </c>
      <c r="T470" s="1426" t="b">
        <v>1</v>
      </c>
      <c r="U470" s="1426" t="b">
        <v>1</v>
      </c>
      <c r="V470" s="1426" t="s">
        <v>3588</v>
      </c>
      <c r="W470" s="1426" t="s">
        <v>2270</v>
      </c>
      <c r="X470" s="1437" t="s">
        <v>3589</v>
      </c>
      <c r="Y470" s="1442" t="s">
        <v>137</v>
      </c>
    </row>
    <row r="471">
      <c r="A471" s="1419"/>
      <c r="B471" s="1429" t="b">
        <v>0</v>
      </c>
      <c r="C471" s="1429" t="b">
        <v>0</v>
      </c>
      <c r="D471" s="1428" t="b">
        <v>1</v>
      </c>
      <c r="E471" s="1429" t="b">
        <v>0</v>
      </c>
      <c r="F471" s="1429" t="b">
        <v>0</v>
      </c>
      <c r="G471" s="1429" t="b">
        <v>0</v>
      </c>
      <c r="H471" s="1428" t="b">
        <v>1</v>
      </c>
      <c r="I471" s="1428" t="b">
        <v>1</v>
      </c>
      <c r="J471" s="1428" t="b">
        <v>1</v>
      </c>
      <c r="K471" s="1430" t="s">
        <v>3590</v>
      </c>
      <c r="L471" s="1431" t="s">
        <v>3591</v>
      </c>
      <c r="M471" s="1432">
        <v>2.0</v>
      </c>
      <c r="N471" s="1432" t="s">
        <v>2282</v>
      </c>
      <c r="O471" s="1438" t="b">
        <v>1</v>
      </c>
      <c r="P471" s="1433" t="b">
        <v>0</v>
      </c>
      <c r="Q471" s="1434" t="s">
        <v>2253</v>
      </c>
      <c r="R471" s="1434" t="s">
        <v>2287</v>
      </c>
      <c r="S471" s="1434" t="b">
        <v>1</v>
      </c>
      <c r="T471" s="1434" t="b">
        <v>1</v>
      </c>
      <c r="U471" s="1439" t="b">
        <v>0</v>
      </c>
      <c r="V471" s="1439"/>
      <c r="W471" s="1434" t="s">
        <v>2288</v>
      </c>
      <c r="X471" s="1435" t="s">
        <v>3592</v>
      </c>
      <c r="Y471" s="1441" t="s">
        <v>137</v>
      </c>
    </row>
    <row r="472">
      <c r="A472" s="1419"/>
      <c r="B472" s="1421" t="b">
        <v>0</v>
      </c>
      <c r="C472" s="1421" t="b">
        <v>0</v>
      </c>
      <c r="D472" s="1421" t="b">
        <v>0</v>
      </c>
      <c r="E472" s="1420" t="b">
        <v>1</v>
      </c>
      <c r="F472" s="1421" t="b">
        <v>0</v>
      </c>
      <c r="G472" s="1420" t="b">
        <v>1</v>
      </c>
      <c r="H472" s="1420" t="b">
        <v>1</v>
      </c>
      <c r="I472" s="1421" t="b">
        <v>0</v>
      </c>
      <c r="J472" s="1421" t="b">
        <v>0</v>
      </c>
      <c r="K472" s="1422" t="s">
        <v>3593</v>
      </c>
      <c r="L472" s="1423" t="s">
        <v>3594</v>
      </c>
      <c r="M472" s="1424">
        <v>2.0</v>
      </c>
      <c r="N472" s="1424" t="s">
        <v>2268</v>
      </c>
      <c r="O472" s="1436" t="b">
        <v>1</v>
      </c>
      <c r="P472" s="1425" t="b">
        <v>0</v>
      </c>
      <c r="Q472" s="1426" t="s">
        <v>2253</v>
      </c>
      <c r="R472" s="1426" t="s">
        <v>2254</v>
      </c>
      <c r="S472" s="1426" t="b">
        <v>1</v>
      </c>
      <c r="T472" s="1426" t="b">
        <v>1</v>
      </c>
      <c r="U472" s="1426" t="b">
        <v>1</v>
      </c>
      <c r="V472" s="1426" t="s">
        <v>3595</v>
      </c>
      <c r="W472" s="1426" t="s">
        <v>2288</v>
      </c>
      <c r="X472" s="1437" t="s">
        <v>3596</v>
      </c>
      <c r="Y472" s="1442" t="s">
        <v>137</v>
      </c>
    </row>
    <row r="473">
      <c r="A473" s="1419"/>
      <c r="B473" s="1429" t="b">
        <v>0</v>
      </c>
      <c r="C473" s="1429" t="b">
        <v>0</v>
      </c>
      <c r="D473" s="1429" t="b">
        <v>0</v>
      </c>
      <c r="E473" s="1429" t="b">
        <v>0</v>
      </c>
      <c r="F473" s="1429" t="b">
        <v>0</v>
      </c>
      <c r="G473" s="1429" t="b">
        <v>0</v>
      </c>
      <c r="H473" s="1428" t="b">
        <v>1</v>
      </c>
      <c r="I473" s="1429" t="b">
        <v>0</v>
      </c>
      <c r="J473" s="1428" t="b">
        <v>1</v>
      </c>
      <c r="K473" s="1430" t="s">
        <v>3597</v>
      </c>
      <c r="L473" s="1431" t="s">
        <v>3598</v>
      </c>
      <c r="M473" s="1432">
        <v>2.0</v>
      </c>
      <c r="N473" s="1432" t="s">
        <v>3599</v>
      </c>
      <c r="O473" s="1438" t="b">
        <v>1</v>
      </c>
      <c r="P473" s="1433" t="b">
        <v>0</v>
      </c>
      <c r="Q473" s="1434" t="s">
        <v>2253</v>
      </c>
      <c r="R473" s="1434" t="s">
        <v>2269</v>
      </c>
      <c r="S473" s="1434" t="b">
        <v>1</v>
      </c>
      <c r="T473" s="1434" t="b">
        <v>1</v>
      </c>
      <c r="U473" s="1439" t="b">
        <v>0</v>
      </c>
      <c r="V473" s="1439"/>
      <c r="W473" s="1434" t="s">
        <v>2288</v>
      </c>
      <c r="X473" s="1435" t="s">
        <v>3600</v>
      </c>
      <c r="Y473" s="1441" t="s">
        <v>137</v>
      </c>
    </row>
    <row r="474">
      <c r="A474" s="1419"/>
      <c r="B474" s="1421" t="b">
        <v>0</v>
      </c>
      <c r="C474" s="1421" t="b">
        <v>0</v>
      </c>
      <c r="D474" s="1421" t="b">
        <v>0</v>
      </c>
      <c r="E474" s="1421" t="b">
        <v>0</v>
      </c>
      <c r="F474" s="1421" t="b">
        <v>0</v>
      </c>
      <c r="G474" s="1421" t="b">
        <v>0</v>
      </c>
      <c r="H474" s="1420" t="b">
        <v>1</v>
      </c>
      <c r="I474" s="1421" t="b">
        <v>0</v>
      </c>
      <c r="J474" s="1421" t="b">
        <v>0</v>
      </c>
      <c r="K474" s="1422" t="s">
        <v>3601</v>
      </c>
      <c r="L474" s="1423" t="s">
        <v>3602</v>
      </c>
      <c r="M474" s="1424">
        <v>2.0</v>
      </c>
      <c r="N474" s="1424" t="s">
        <v>2258</v>
      </c>
      <c r="O474" s="1436" t="b">
        <v>1</v>
      </c>
      <c r="P474" s="1425" t="b">
        <v>0</v>
      </c>
      <c r="Q474" s="1426" t="s">
        <v>2253</v>
      </c>
      <c r="R474" s="1426" t="s">
        <v>2254</v>
      </c>
      <c r="S474" s="1426" t="b">
        <v>1</v>
      </c>
      <c r="T474" s="1426" t="b">
        <v>1</v>
      </c>
      <c r="U474" s="1426" t="b">
        <v>1</v>
      </c>
      <c r="V474" s="1426" t="s">
        <v>3603</v>
      </c>
      <c r="W474" s="1426" t="s">
        <v>2308</v>
      </c>
      <c r="X474" s="1437" t="s">
        <v>3604</v>
      </c>
      <c r="Y474" s="1442" t="s">
        <v>137</v>
      </c>
    </row>
    <row r="475">
      <c r="A475" s="1419"/>
      <c r="B475" s="1429" t="b">
        <v>0</v>
      </c>
      <c r="C475" s="1429" t="b">
        <v>0</v>
      </c>
      <c r="D475" s="1429" t="b">
        <v>0</v>
      </c>
      <c r="E475" s="1428" t="b">
        <v>1</v>
      </c>
      <c r="F475" s="1429" t="b">
        <v>0</v>
      </c>
      <c r="G475" s="1428" t="b">
        <v>1</v>
      </c>
      <c r="H475" s="1428" t="b">
        <v>1</v>
      </c>
      <c r="I475" s="1429" t="b">
        <v>0</v>
      </c>
      <c r="J475" s="1429" t="b">
        <v>0</v>
      </c>
      <c r="K475" s="1430" t="s">
        <v>3605</v>
      </c>
      <c r="L475" s="1431" t="s">
        <v>3606</v>
      </c>
      <c r="M475" s="1432">
        <v>2.0</v>
      </c>
      <c r="N475" s="1432" t="s">
        <v>3607</v>
      </c>
      <c r="O475" s="1438" t="b">
        <v>1</v>
      </c>
      <c r="P475" s="1433" t="b">
        <v>0</v>
      </c>
      <c r="Q475" s="1434" t="s">
        <v>2316</v>
      </c>
      <c r="R475" s="1434" t="s">
        <v>2269</v>
      </c>
      <c r="S475" s="1439" t="b">
        <v>0</v>
      </c>
      <c r="T475" s="1434" t="b">
        <v>1</v>
      </c>
      <c r="U475" s="1439" t="b">
        <v>0</v>
      </c>
      <c r="V475" s="1439"/>
      <c r="W475" s="1434" t="s">
        <v>2288</v>
      </c>
      <c r="X475" s="1435" t="s">
        <v>3608</v>
      </c>
      <c r="Y475" s="1441" t="s">
        <v>137</v>
      </c>
    </row>
    <row r="476">
      <c r="A476" s="1419"/>
      <c r="B476" s="1421" t="b">
        <v>0</v>
      </c>
      <c r="C476" s="1421" t="b">
        <v>0</v>
      </c>
      <c r="D476" s="1421" t="b">
        <v>0</v>
      </c>
      <c r="E476" s="1420" t="b">
        <v>1</v>
      </c>
      <c r="F476" s="1421" t="b">
        <v>0</v>
      </c>
      <c r="G476" s="1420" t="b">
        <v>1</v>
      </c>
      <c r="H476" s="1421" t="b">
        <v>0</v>
      </c>
      <c r="I476" s="1421" t="b">
        <v>0</v>
      </c>
      <c r="J476" s="1421" t="b">
        <v>0</v>
      </c>
      <c r="K476" s="1422" t="s">
        <v>3609</v>
      </c>
      <c r="L476" s="1423" t="s">
        <v>3610</v>
      </c>
      <c r="M476" s="1424">
        <v>2.0</v>
      </c>
      <c r="N476" s="1424" t="s">
        <v>2306</v>
      </c>
      <c r="O476" s="1436" t="b">
        <v>1</v>
      </c>
      <c r="P476" s="1425" t="b">
        <v>0</v>
      </c>
      <c r="Q476" s="1426" t="s">
        <v>2253</v>
      </c>
      <c r="R476" s="1426" t="s">
        <v>2368</v>
      </c>
      <c r="S476" s="1426" t="b">
        <v>1</v>
      </c>
      <c r="T476" s="1426" t="b">
        <v>1</v>
      </c>
      <c r="U476" s="1426" t="b">
        <v>1</v>
      </c>
      <c r="V476" s="1426" t="s">
        <v>3611</v>
      </c>
      <c r="W476" s="1426" t="s">
        <v>2270</v>
      </c>
      <c r="X476" s="1437" t="s">
        <v>3612</v>
      </c>
      <c r="Y476" s="1442" t="s">
        <v>137</v>
      </c>
    </row>
    <row r="477">
      <c r="A477" s="1419"/>
      <c r="B477" s="1429" t="b">
        <v>0</v>
      </c>
      <c r="C477" s="1429" t="b">
        <v>0</v>
      </c>
      <c r="D477" s="1429" t="b">
        <v>0</v>
      </c>
      <c r="E477" s="1428" t="b">
        <v>1</v>
      </c>
      <c r="F477" s="1429" t="b">
        <v>0</v>
      </c>
      <c r="G477" s="1429" t="b">
        <v>0</v>
      </c>
      <c r="H477" s="1429" t="b">
        <v>0</v>
      </c>
      <c r="I477" s="1429" t="b">
        <v>0</v>
      </c>
      <c r="J477" s="1428" t="b">
        <v>1</v>
      </c>
      <c r="K477" s="1430" t="s">
        <v>3613</v>
      </c>
      <c r="L477" s="1431" t="s">
        <v>3614</v>
      </c>
      <c r="M477" s="1432">
        <v>2.0</v>
      </c>
      <c r="N477" s="1432" t="s">
        <v>3514</v>
      </c>
      <c r="O477" s="1433" t="b">
        <v>0</v>
      </c>
      <c r="P477" s="1433" t="b">
        <v>0</v>
      </c>
      <c r="Q477" s="1434" t="s">
        <v>3615</v>
      </c>
      <c r="R477" s="1434" t="s">
        <v>2269</v>
      </c>
      <c r="S477" s="1434" t="b">
        <v>1</v>
      </c>
      <c r="T477" s="1434" t="b">
        <v>1</v>
      </c>
      <c r="U477" s="1439" t="b">
        <v>0</v>
      </c>
      <c r="V477" s="1439"/>
      <c r="W477" s="1434" t="s">
        <v>2255</v>
      </c>
      <c r="X477" s="1435" t="s">
        <v>3616</v>
      </c>
      <c r="Y477" s="1441" t="s">
        <v>137</v>
      </c>
    </row>
    <row r="478">
      <c r="A478" s="1419"/>
      <c r="B478" s="1421" t="b">
        <v>0</v>
      </c>
      <c r="C478" s="1421" t="b">
        <v>0</v>
      </c>
      <c r="D478" s="1421" t="b">
        <v>0</v>
      </c>
      <c r="E478" s="1421" t="b">
        <v>0</v>
      </c>
      <c r="F478" s="1420" t="b">
        <v>1</v>
      </c>
      <c r="G478" s="1421" t="b">
        <v>0</v>
      </c>
      <c r="H478" s="1421" t="b">
        <v>0</v>
      </c>
      <c r="I478" s="1421" t="b">
        <v>0</v>
      </c>
      <c r="J478" s="1421" t="b">
        <v>0</v>
      </c>
      <c r="K478" s="1422" t="s">
        <v>3617</v>
      </c>
      <c r="L478" s="1423" t="s">
        <v>3618</v>
      </c>
      <c r="M478" s="1424">
        <v>2.0</v>
      </c>
      <c r="N478" s="1424" t="s">
        <v>3514</v>
      </c>
      <c r="O478" s="1425" t="b">
        <v>0</v>
      </c>
      <c r="P478" s="1425" t="b">
        <v>0</v>
      </c>
      <c r="Q478" s="1426" t="s">
        <v>2344</v>
      </c>
      <c r="R478" s="1426" t="s">
        <v>2269</v>
      </c>
      <c r="S478" s="1426" t="b">
        <v>1</v>
      </c>
      <c r="T478" s="1427" t="b">
        <v>0</v>
      </c>
      <c r="U478" s="1427" t="b">
        <v>0</v>
      </c>
      <c r="V478" s="1427"/>
      <c r="W478" s="1426" t="s">
        <v>2255</v>
      </c>
      <c r="X478" s="1437" t="s">
        <v>3619</v>
      </c>
      <c r="Y478" s="1442" t="s">
        <v>137</v>
      </c>
    </row>
    <row r="479">
      <c r="A479" s="1419"/>
      <c r="B479" s="1429" t="b">
        <v>0</v>
      </c>
      <c r="C479" s="1429" t="b">
        <v>0</v>
      </c>
      <c r="D479" s="1428" t="b">
        <v>1</v>
      </c>
      <c r="E479" s="1429" t="b">
        <v>0</v>
      </c>
      <c r="F479" s="1429" t="b">
        <v>0</v>
      </c>
      <c r="G479" s="1429" t="b">
        <v>0</v>
      </c>
      <c r="H479" s="1429" t="b">
        <v>0</v>
      </c>
      <c r="I479" s="1429" t="b">
        <v>0</v>
      </c>
      <c r="J479" s="1429" t="b">
        <v>0</v>
      </c>
      <c r="K479" s="1430" t="s">
        <v>3620</v>
      </c>
      <c r="L479" s="1431" t="s">
        <v>3621</v>
      </c>
      <c r="M479" s="1432">
        <v>2.0</v>
      </c>
      <c r="N479" s="1432" t="s">
        <v>2282</v>
      </c>
      <c r="O479" s="1438" t="b">
        <v>1</v>
      </c>
      <c r="P479" s="1433" t="b">
        <v>0</v>
      </c>
      <c r="Q479" s="1434" t="s">
        <v>2253</v>
      </c>
      <c r="R479" s="1434" t="s">
        <v>2259</v>
      </c>
      <c r="S479" s="1434" t="b">
        <v>1</v>
      </c>
      <c r="T479" s="1434" t="b">
        <v>1</v>
      </c>
      <c r="U479" s="1434" t="b">
        <v>1</v>
      </c>
      <c r="V479" s="1439"/>
      <c r="W479" s="1434" t="s">
        <v>2264</v>
      </c>
      <c r="X479" s="1435" t="s">
        <v>3622</v>
      </c>
      <c r="Y479" s="1441" t="s">
        <v>137</v>
      </c>
    </row>
    <row r="480">
      <c r="A480" s="1419"/>
      <c r="B480" s="1421" t="b">
        <v>0</v>
      </c>
      <c r="C480" s="1421" t="b">
        <v>0</v>
      </c>
      <c r="D480" s="1420" t="b">
        <v>0</v>
      </c>
      <c r="E480" s="1420" t="b">
        <v>1</v>
      </c>
      <c r="F480" s="1421" t="b">
        <v>0</v>
      </c>
      <c r="G480" s="1421" t="b">
        <v>0</v>
      </c>
      <c r="H480" s="1421" t="b">
        <v>0</v>
      </c>
      <c r="I480" s="1421" t="b">
        <v>0</v>
      </c>
      <c r="J480" s="1421" t="b">
        <v>0</v>
      </c>
      <c r="K480" s="1422" t="s">
        <v>3623</v>
      </c>
      <c r="L480" s="1423" t="s">
        <v>3624</v>
      </c>
      <c r="M480" s="1424">
        <v>3.0</v>
      </c>
      <c r="N480" s="1424" t="s">
        <v>3551</v>
      </c>
      <c r="O480" s="1425" t="b">
        <v>0</v>
      </c>
      <c r="P480" s="1425" t="b">
        <v>0</v>
      </c>
      <c r="Q480" s="1426" t="s">
        <v>2253</v>
      </c>
      <c r="R480" s="1426" t="s">
        <v>2311</v>
      </c>
      <c r="S480" s="1426" t="b">
        <v>1</v>
      </c>
      <c r="T480" s="1426" t="b">
        <v>1</v>
      </c>
      <c r="U480" s="1426" t="b">
        <v>1</v>
      </c>
      <c r="V480" s="1426" t="s">
        <v>3625</v>
      </c>
      <c r="W480" s="1426" t="s">
        <v>2297</v>
      </c>
      <c r="X480" s="1437" t="s">
        <v>3626</v>
      </c>
      <c r="Y480" s="1442" t="s">
        <v>137</v>
      </c>
    </row>
    <row r="481">
      <c r="A481" s="1419"/>
      <c r="B481" s="1429" t="b">
        <v>0</v>
      </c>
      <c r="C481" s="1428" t="b">
        <v>1</v>
      </c>
      <c r="D481" s="1428" t="b">
        <v>1</v>
      </c>
      <c r="E481" s="1428" t="b">
        <v>1</v>
      </c>
      <c r="F481" s="1429" t="b">
        <v>0</v>
      </c>
      <c r="G481" s="1428" t="b">
        <v>1</v>
      </c>
      <c r="H481" s="1428" t="b">
        <v>0</v>
      </c>
      <c r="I481" s="1428" t="b">
        <v>1</v>
      </c>
      <c r="J481" s="1428" t="b">
        <v>1</v>
      </c>
      <c r="K481" s="1430" t="s">
        <v>3627</v>
      </c>
      <c r="L481" s="1431" t="s">
        <v>3628</v>
      </c>
      <c r="M481" s="1432">
        <v>3.0</v>
      </c>
      <c r="N481" s="1432" t="s">
        <v>2268</v>
      </c>
      <c r="O481" s="1438" t="b">
        <v>1</v>
      </c>
      <c r="P481" s="1433" t="b">
        <v>0</v>
      </c>
      <c r="Q481" s="1434" t="s">
        <v>2253</v>
      </c>
      <c r="R481" s="1434" t="s">
        <v>2311</v>
      </c>
      <c r="S481" s="1434" t="b">
        <v>1</v>
      </c>
      <c r="T481" s="1434" t="b">
        <v>1</v>
      </c>
      <c r="U481" s="1434" t="b">
        <v>1</v>
      </c>
      <c r="V481" s="1439"/>
      <c r="W481" s="1434" t="s">
        <v>2288</v>
      </c>
      <c r="X481" s="1435" t="s">
        <v>3629</v>
      </c>
      <c r="Y481" s="1441" t="s">
        <v>137</v>
      </c>
    </row>
    <row r="482">
      <c r="A482" s="1419"/>
      <c r="B482" s="1421" t="b">
        <v>0</v>
      </c>
      <c r="C482" s="1421" t="b">
        <v>0</v>
      </c>
      <c r="D482" s="1421" t="b">
        <v>0</v>
      </c>
      <c r="E482" s="1420" t="b">
        <v>1</v>
      </c>
      <c r="F482" s="1421" t="b">
        <v>0</v>
      </c>
      <c r="G482" s="1420" t="b">
        <v>1</v>
      </c>
      <c r="H482" s="1421" t="b">
        <v>0</v>
      </c>
      <c r="I482" s="1420" t="b">
        <v>1</v>
      </c>
      <c r="J482" s="1421" t="b">
        <v>0</v>
      </c>
      <c r="K482" s="1422" t="s">
        <v>3630</v>
      </c>
      <c r="L482" s="1423" t="s">
        <v>3631</v>
      </c>
      <c r="M482" s="1424">
        <v>3.0</v>
      </c>
      <c r="N482" s="1424" t="s">
        <v>2306</v>
      </c>
      <c r="O482" s="1436" t="b">
        <v>1</v>
      </c>
      <c r="P482" s="1425" t="b">
        <v>0</v>
      </c>
      <c r="Q482" s="1426" t="s">
        <v>2253</v>
      </c>
      <c r="R482" s="1426" t="s">
        <v>2254</v>
      </c>
      <c r="S482" s="1426" t="b">
        <v>1</v>
      </c>
      <c r="T482" s="1426" t="b">
        <v>1</v>
      </c>
      <c r="U482" s="1427" t="b">
        <v>0</v>
      </c>
      <c r="V482" s="1427"/>
      <c r="W482" s="1426" t="s">
        <v>2308</v>
      </c>
      <c r="X482" s="1437" t="s">
        <v>3632</v>
      </c>
      <c r="Y482" s="1442" t="s">
        <v>137</v>
      </c>
    </row>
    <row r="483">
      <c r="A483" s="1419"/>
      <c r="B483" s="1429" t="b">
        <v>0</v>
      </c>
      <c r="C483" s="1429" t="b">
        <v>0</v>
      </c>
      <c r="D483" s="1429" t="b">
        <v>0</v>
      </c>
      <c r="E483" s="1429" t="b">
        <v>0</v>
      </c>
      <c r="F483" s="1429" t="b">
        <v>0</v>
      </c>
      <c r="G483" s="1429" t="b">
        <v>0</v>
      </c>
      <c r="H483" s="1429" t="b">
        <v>0</v>
      </c>
      <c r="I483" s="1429" t="b">
        <v>0</v>
      </c>
      <c r="J483" s="1429" t="b">
        <v>0</v>
      </c>
      <c r="K483" s="1430" t="s">
        <v>3633</v>
      </c>
      <c r="L483" s="1431" t="s">
        <v>3634</v>
      </c>
      <c r="M483" s="1432">
        <v>3.0</v>
      </c>
      <c r="N483" s="1432" t="s">
        <v>3635</v>
      </c>
      <c r="O483" s="1433" t="b">
        <v>0</v>
      </c>
      <c r="P483" s="1433" t="b">
        <v>0</v>
      </c>
      <c r="Q483" s="1434" t="s">
        <v>2297</v>
      </c>
      <c r="R483" s="1434" t="s">
        <v>2500</v>
      </c>
      <c r="S483" s="1434" t="b">
        <v>1</v>
      </c>
      <c r="T483" s="1434" t="b">
        <v>1</v>
      </c>
      <c r="U483" s="1434" t="b">
        <v>1</v>
      </c>
      <c r="V483" s="1434" t="s">
        <v>3636</v>
      </c>
      <c r="W483" s="1434" t="s">
        <v>3637</v>
      </c>
      <c r="X483" s="1435" t="s">
        <v>3638</v>
      </c>
      <c r="Y483" s="1441" t="s">
        <v>137</v>
      </c>
    </row>
    <row r="484">
      <c r="A484" s="1419"/>
      <c r="B484" s="1421" t="b">
        <v>0</v>
      </c>
      <c r="C484" s="1421" t="b">
        <v>0</v>
      </c>
      <c r="D484" s="1421" t="b">
        <v>0</v>
      </c>
      <c r="E484" s="1421" t="b">
        <v>0</v>
      </c>
      <c r="F484" s="1421" t="b">
        <v>0</v>
      </c>
      <c r="G484" s="1421" t="b">
        <v>0</v>
      </c>
      <c r="H484" s="1421" t="b">
        <v>0</v>
      </c>
      <c r="I484" s="1421" t="b">
        <v>0</v>
      </c>
      <c r="J484" s="1421" t="b">
        <v>0</v>
      </c>
      <c r="K484" s="1422" t="s">
        <v>3639</v>
      </c>
      <c r="L484" s="1423" t="s">
        <v>3640</v>
      </c>
      <c r="M484" s="1424">
        <v>3.0</v>
      </c>
      <c r="N484" s="1424" t="s">
        <v>3635</v>
      </c>
      <c r="O484" s="1425" t="b">
        <v>0</v>
      </c>
      <c r="P484" s="1425" t="b">
        <v>0</v>
      </c>
      <c r="Q484" s="1426" t="s">
        <v>2297</v>
      </c>
      <c r="R484" s="1426" t="s">
        <v>2500</v>
      </c>
      <c r="S484" s="1427" t="b">
        <v>0</v>
      </c>
      <c r="T484" s="1427" t="b">
        <v>0</v>
      </c>
      <c r="U484" s="1427" t="b">
        <v>0</v>
      </c>
      <c r="V484" s="1426" t="s">
        <v>3641</v>
      </c>
      <c r="W484" s="1426" t="s">
        <v>3637</v>
      </c>
      <c r="X484" s="1437" t="s">
        <v>3642</v>
      </c>
      <c r="Y484" s="1442" t="s">
        <v>137</v>
      </c>
    </row>
    <row r="485">
      <c r="A485" s="1419"/>
      <c r="B485" s="1429" t="b">
        <v>0</v>
      </c>
      <c r="C485" s="1429" t="b">
        <v>0</v>
      </c>
      <c r="D485" s="1429" t="b">
        <v>0</v>
      </c>
      <c r="E485" s="1428" t="b">
        <v>1</v>
      </c>
      <c r="F485" s="1429" t="b">
        <v>0</v>
      </c>
      <c r="G485" s="1429" t="b">
        <v>0</v>
      </c>
      <c r="H485" s="1428" t="b">
        <v>1</v>
      </c>
      <c r="I485" s="1429" t="b">
        <v>0</v>
      </c>
      <c r="J485" s="1429" t="b">
        <v>0</v>
      </c>
      <c r="K485" s="1430" t="s">
        <v>3643</v>
      </c>
      <c r="L485" s="1431" t="s">
        <v>3644</v>
      </c>
      <c r="M485" s="1432">
        <v>3.0</v>
      </c>
      <c r="N485" s="1432" t="s">
        <v>2252</v>
      </c>
      <c r="O485" s="1433" t="b">
        <v>0</v>
      </c>
      <c r="P485" s="1433" t="b">
        <v>0</v>
      </c>
      <c r="Q485" s="1434" t="s">
        <v>2253</v>
      </c>
      <c r="R485" s="1434" t="s">
        <v>2269</v>
      </c>
      <c r="S485" s="1439" t="b">
        <v>0</v>
      </c>
      <c r="T485" s="1434" t="b">
        <v>1</v>
      </c>
      <c r="U485" s="1439" t="b">
        <v>0</v>
      </c>
      <c r="V485" s="1439"/>
      <c r="W485" s="1434" t="s">
        <v>2255</v>
      </c>
      <c r="X485" s="1435" t="s">
        <v>3645</v>
      </c>
      <c r="Y485" s="1441" t="s">
        <v>137</v>
      </c>
    </row>
    <row r="486">
      <c r="A486" s="1419"/>
      <c r="B486" s="1421" t="b">
        <v>0</v>
      </c>
      <c r="C486" s="1421" t="b">
        <v>0</v>
      </c>
      <c r="D486" s="1421" t="b">
        <v>0</v>
      </c>
      <c r="E486" s="1421" t="b">
        <v>0</v>
      </c>
      <c r="F486" s="1421" t="b">
        <v>0</v>
      </c>
      <c r="G486" s="1421" t="b">
        <v>0</v>
      </c>
      <c r="H486" s="1421" t="b">
        <v>0</v>
      </c>
      <c r="I486" s="1421" t="b">
        <v>0</v>
      </c>
      <c r="J486" s="1420" t="b">
        <v>1</v>
      </c>
      <c r="K486" s="1422" t="s">
        <v>3646</v>
      </c>
      <c r="L486" s="1423" t="s">
        <v>3647</v>
      </c>
      <c r="M486" s="1424">
        <v>3.0</v>
      </c>
      <c r="N486" s="1424" t="s">
        <v>2268</v>
      </c>
      <c r="O486" s="1425" t="b">
        <v>0</v>
      </c>
      <c r="P486" s="1425" t="b">
        <v>0</v>
      </c>
      <c r="Q486" s="1426" t="s">
        <v>2261</v>
      </c>
      <c r="R486" s="1426" t="s">
        <v>2311</v>
      </c>
      <c r="S486" s="1426" t="b">
        <v>1</v>
      </c>
      <c r="T486" s="1426" t="b">
        <v>1</v>
      </c>
      <c r="U486" s="1426" t="b">
        <v>1</v>
      </c>
      <c r="V486" s="1426" t="s">
        <v>3648</v>
      </c>
      <c r="W486" s="1426" t="s">
        <v>2500</v>
      </c>
      <c r="X486" s="1437" t="s">
        <v>3649</v>
      </c>
      <c r="Y486" s="1442" t="s">
        <v>137</v>
      </c>
    </row>
    <row r="487">
      <c r="A487" s="1419"/>
      <c r="B487" s="1429" t="b">
        <v>0</v>
      </c>
      <c r="C487" s="1428" t="b">
        <v>1</v>
      </c>
      <c r="D487" s="1428" t="b">
        <v>1</v>
      </c>
      <c r="E487" s="1428" t="b">
        <v>1</v>
      </c>
      <c r="F487" s="1429" t="b">
        <v>0</v>
      </c>
      <c r="G487" s="1429" t="b">
        <v>0</v>
      </c>
      <c r="H487" s="1429" t="b">
        <v>0</v>
      </c>
      <c r="I487" s="1429" t="b">
        <v>0</v>
      </c>
      <c r="J487" s="1428" t="b">
        <v>1</v>
      </c>
      <c r="K487" s="1430" t="s">
        <v>3650</v>
      </c>
      <c r="L487" s="1431" t="s">
        <v>3651</v>
      </c>
      <c r="M487" s="1432">
        <v>3.0</v>
      </c>
      <c r="N487" s="1432" t="s">
        <v>3514</v>
      </c>
      <c r="O487" s="1433" t="b">
        <v>0</v>
      </c>
      <c r="P487" s="1433" t="b">
        <v>0</v>
      </c>
      <c r="Q487" s="1434" t="s">
        <v>2264</v>
      </c>
      <c r="R487" s="1434" t="s">
        <v>2269</v>
      </c>
      <c r="S487" s="1434" t="b">
        <v>1</v>
      </c>
      <c r="T487" s="1434" t="b">
        <v>1</v>
      </c>
      <c r="U487" s="1434" t="b">
        <v>1</v>
      </c>
      <c r="V487" s="1434" t="s">
        <v>3652</v>
      </c>
      <c r="W487" s="1434" t="s">
        <v>2255</v>
      </c>
      <c r="X487" s="1435" t="s">
        <v>3653</v>
      </c>
      <c r="Y487" s="1441" t="s">
        <v>137</v>
      </c>
    </row>
    <row r="488">
      <c r="A488" s="1419"/>
      <c r="B488" s="1421" t="b">
        <v>0</v>
      </c>
      <c r="C488" s="1421" t="b">
        <v>0</v>
      </c>
      <c r="D488" s="1421" t="b">
        <v>0</v>
      </c>
      <c r="E488" s="1420" t="b">
        <v>1</v>
      </c>
      <c r="F488" s="1421" t="b">
        <v>0</v>
      </c>
      <c r="G488" s="1421" t="b">
        <v>0</v>
      </c>
      <c r="H488" s="1421" t="b">
        <v>0</v>
      </c>
      <c r="I488" s="1421" t="b">
        <v>0</v>
      </c>
      <c r="J488" s="1420" t="b">
        <v>1</v>
      </c>
      <c r="K488" s="1422" t="s">
        <v>3654</v>
      </c>
      <c r="L488" s="1423" t="s">
        <v>3655</v>
      </c>
      <c r="M488" s="1424">
        <v>3.0</v>
      </c>
      <c r="N488" s="1424" t="s">
        <v>2282</v>
      </c>
      <c r="O488" s="1436" t="b">
        <v>1</v>
      </c>
      <c r="P488" s="1425" t="b">
        <v>0</v>
      </c>
      <c r="Q488" s="1426" t="s">
        <v>2253</v>
      </c>
      <c r="R488" s="1426" t="s">
        <v>2254</v>
      </c>
      <c r="S488" s="1426" t="b">
        <v>1</v>
      </c>
      <c r="T488" s="1426" t="b">
        <v>1</v>
      </c>
      <c r="U488" s="1426" t="b">
        <v>1</v>
      </c>
      <c r="V488" s="1426" t="s">
        <v>3656</v>
      </c>
      <c r="W488" s="1426" t="s">
        <v>2288</v>
      </c>
      <c r="X488" s="1437" t="s">
        <v>3657</v>
      </c>
      <c r="Y488" s="1442" t="s">
        <v>137</v>
      </c>
    </row>
    <row r="489">
      <c r="A489" s="1419"/>
      <c r="B489" s="1429" t="b">
        <v>0</v>
      </c>
      <c r="C489" s="1429" t="b">
        <v>0</v>
      </c>
      <c r="D489" s="1429" t="b">
        <v>0</v>
      </c>
      <c r="E489" s="1429" t="b">
        <v>0</v>
      </c>
      <c r="F489" s="1429" t="b">
        <v>0</v>
      </c>
      <c r="G489" s="1429" t="b">
        <v>0</v>
      </c>
      <c r="H489" s="1429" t="b">
        <v>0</v>
      </c>
      <c r="I489" s="1429" t="b">
        <v>0</v>
      </c>
      <c r="J489" s="1428" t="b">
        <v>1</v>
      </c>
      <c r="K489" s="1430" t="s">
        <v>3658</v>
      </c>
      <c r="L489" s="1431" t="s">
        <v>3659</v>
      </c>
      <c r="M489" s="1432">
        <v>3.0</v>
      </c>
      <c r="N489" s="1432" t="s">
        <v>2273</v>
      </c>
      <c r="O489" s="1433" t="b">
        <v>0</v>
      </c>
      <c r="P489" s="1433" t="b">
        <v>0</v>
      </c>
      <c r="Q489" s="1434" t="s">
        <v>2411</v>
      </c>
      <c r="R489" s="1434" t="s">
        <v>2259</v>
      </c>
      <c r="S489" s="1434" t="b">
        <v>1</v>
      </c>
      <c r="T489" s="1434" t="b">
        <v>1</v>
      </c>
      <c r="U489" s="1439" t="b">
        <v>0</v>
      </c>
      <c r="V489" s="1439"/>
      <c r="W489" s="1434" t="s">
        <v>2275</v>
      </c>
      <c r="X489" s="1435" t="s">
        <v>3660</v>
      </c>
      <c r="Y489" s="1441" t="s">
        <v>137</v>
      </c>
    </row>
    <row r="490">
      <c r="A490" s="1419"/>
      <c r="B490" s="1421" t="b">
        <v>0</v>
      </c>
      <c r="C490" s="1421" t="b">
        <v>0</v>
      </c>
      <c r="D490" s="1421" t="b">
        <v>0</v>
      </c>
      <c r="E490" s="1421" t="b">
        <v>0</v>
      </c>
      <c r="F490" s="1421" t="b">
        <v>0</v>
      </c>
      <c r="G490" s="1421" t="b">
        <v>0</v>
      </c>
      <c r="H490" s="1420" t="b">
        <v>1</v>
      </c>
      <c r="I490" s="1420" t="b">
        <v>1</v>
      </c>
      <c r="J490" s="1420" t="b">
        <v>1</v>
      </c>
      <c r="K490" s="1422" t="s">
        <v>3661</v>
      </c>
      <c r="L490" s="1423" t="s">
        <v>3662</v>
      </c>
      <c r="M490" s="1424">
        <v>3.0</v>
      </c>
      <c r="N490" s="1424" t="s">
        <v>2306</v>
      </c>
      <c r="O490" s="1425" t="b">
        <v>0</v>
      </c>
      <c r="P490" s="1425" t="b">
        <v>0</v>
      </c>
      <c r="Q490" s="1426" t="s">
        <v>3663</v>
      </c>
      <c r="R490" s="1426" t="s">
        <v>2254</v>
      </c>
      <c r="S490" s="1426" t="b">
        <v>1</v>
      </c>
      <c r="T490" s="1426" t="b">
        <v>1</v>
      </c>
      <c r="U490" s="1427" t="b">
        <v>0</v>
      </c>
      <c r="V490" s="1427"/>
      <c r="W490" s="1426" t="s">
        <v>2255</v>
      </c>
      <c r="X490" s="1437" t="s">
        <v>3664</v>
      </c>
      <c r="Y490" s="1442" t="s">
        <v>137</v>
      </c>
    </row>
    <row r="491">
      <c r="A491" s="1419"/>
      <c r="B491" s="1429" t="b">
        <v>0</v>
      </c>
      <c r="C491" s="1429" t="b">
        <v>0</v>
      </c>
      <c r="D491" s="1429" t="b">
        <v>0</v>
      </c>
      <c r="E491" s="1428" t="b">
        <v>1</v>
      </c>
      <c r="F491" s="1429" t="b">
        <v>0</v>
      </c>
      <c r="G491" s="1429" t="b">
        <v>0</v>
      </c>
      <c r="H491" s="1429" t="b">
        <v>0</v>
      </c>
      <c r="I491" s="1429" t="b">
        <v>0</v>
      </c>
      <c r="J491" s="1429" t="b">
        <v>0</v>
      </c>
      <c r="K491" s="1430" t="s">
        <v>3665</v>
      </c>
      <c r="L491" s="1431" t="s">
        <v>3666</v>
      </c>
      <c r="M491" s="1432">
        <v>3.0</v>
      </c>
      <c r="N491" s="1432" t="s">
        <v>3551</v>
      </c>
      <c r="O491" s="1433" t="b">
        <v>0</v>
      </c>
      <c r="P491" s="1433" t="b">
        <v>0</v>
      </c>
      <c r="Q491" s="1434" t="s">
        <v>2253</v>
      </c>
      <c r="R491" s="1434" t="s">
        <v>2311</v>
      </c>
      <c r="S491" s="1434" t="b">
        <v>1</v>
      </c>
      <c r="T491" s="1434" t="b">
        <v>1</v>
      </c>
      <c r="U491" s="1434" t="b">
        <v>1</v>
      </c>
      <c r="V491" s="1434" t="s">
        <v>3667</v>
      </c>
      <c r="W491" s="1434" t="s">
        <v>2255</v>
      </c>
      <c r="X491" s="1435" t="s">
        <v>3668</v>
      </c>
      <c r="Y491" s="1441" t="s">
        <v>137</v>
      </c>
    </row>
    <row r="492">
      <c r="A492" s="1419"/>
      <c r="B492" s="1421" t="b">
        <v>0</v>
      </c>
      <c r="C492" s="1420" t="b">
        <v>1</v>
      </c>
      <c r="D492" s="1421" t="b">
        <v>0</v>
      </c>
      <c r="E492" s="1421" t="b">
        <v>0</v>
      </c>
      <c r="F492" s="1421" t="b">
        <v>0</v>
      </c>
      <c r="G492" s="1421" t="b">
        <v>0</v>
      </c>
      <c r="H492" s="1421" t="b">
        <v>0</v>
      </c>
      <c r="I492" s="1420" t="b">
        <v>1</v>
      </c>
      <c r="J492" s="1421" t="b">
        <v>0</v>
      </c>
      <c r="K492" s="1422" t="s">
        <v>3669</v>
      </c>
      <c r="L492" s="1423" t="s">
        <v>3670</v>
      </c>
      <c r="M492" s="1424">
        <v>3.0</v>
      </c>
      <c r="N492" s="1424" t="s">
        <v>3514</v>
      </c>
      <c r="O492" s="1425" t="b">
        <v>0</v>
      </c>
      <c r="P492" s="1425" t="b">
        <v>0</v>
      </c>
      <c r="Q492" s="1426" t="s">
        <v>2264</v>
      </c>
      <c r="R492" s="1426" t="s">
        <v>2311</v>
      </c>
      <c r="S492" s="1426" t="b">
        <v>1</v>
      </c>
      <c r="T492" s="1426" t="b">
        <v>1</v>
      </c>
      <c r="U492" s="1426" t="b">
        <v>1</v>
      </c>
      <c r="V492" s="1426" t="s">
        <v>3671</v>
      </c>
      <c r="W492" s="1426" t="s">
        <v>2270</v>
      </c>
      <c r="X492" s="1437" t="s">
        <v>3672</v>
      </c>
      <c r="Y492" s="1442" t="s">
        <v>137</v>
      </c>
    </row>
    <row r="493">
      <c r="A493" s="1419"/>
      <c r="B493" s="1429" t="b">
        <v>0</v>
      </c>
      <c r="C493" s="1429" t="b">
        <v>0</v>
      </c>
      <c r="D493" s="1429" t="b">
        <v>0</v>
      </c>
      <c r="E493" s="1429" t="b">
        <v>0</v>
      </c>
      <c r="F493" s="1429" t="b">
        <v>0</v>
      </c>
      <c r="G493" s="1429" t="b">
        <v>0</v>
      </c>
      <c r="H493" s="1429" t="b">
        <v>0</v>
      </c>
      <c r="I493" s="1428" t="b">
        <v>1</v>
      </c>
      <c r="J493" s="1428" t="b">
        <v>1</v>
      </c>
      <c r="K493" s="1430" t="s">
        <v>3673</v>
      </c>
      <c r="L493" s="1431" t="s">
        <v>3674</v>
      </c>
      <c r="M493" s="1432">
        <v>3.0</v>
      </c>
      <c r="N493" s="1432" t="s">
        <v>2268</v>
      </c>
      <c r="O493" s="1433" t="b">
        <v>0</v>
      </c>
      <c r="P493" s="1433" t="b">
        <v>0</v>
      </c>
      <c r="Q493" s="1434" t="s">
        <v>2316</v>
      </c>
      <c r="R493" s="1434" t="s">
        <v>2269</v>
      </c>
      <c r="S493" s="1434" t="b">
        <v>1</v>
      </c>
      <c r="T493" s="1434" t="b">
        <v>1</v>
      </c>
      <c r="U493" s="1439" t="b">
        <v>0</v>
      </c>
      <c r="V493" s="1439"/>
      <c r="W493" s="1434" t="s">
        <v>2264</v>
      </c>
      <c r="X493" s="1435" t="s">
        <v>3675</v>
      </c>
      <c r="Y493" s="1441" t="s">
        <v>137</v>
      </c>
    </row>
    <row r="494">
      <c r="A494" s="1419"/>
      <c r="B494" s="1421" t="b">
        <v>0</v>
      </c>
      <c r="C494" s="1420" t="b">
        <v>1</v>
      </c>
      <c r="D494" s="1421" t="b">
        <v>0</v>
      </c>
      <c r="E494" s="1421" t="b">
        <v>0</v>
      </c>
      <c r="F494" s="1421" t="b">
        <v>0</v>
      </c>
      <c r="G494" s="1421" t="b">
        <v>0</v>
      </c>
      <c r="H494" s="1420" t="b">
        <v>1</v>
      </c>
      <c r="I494" s="1420" t="b">
        <v>1</v>
      </c>
      <c r="J494" s="1420" t="b">
        <v>1</v>
      </c>
      <c r="K494" s="1422" t="s">
        <v>3676</v>
      </c>
      <c r="L494" s="1423" t="s">
        <v>3677</v>
      </c>
      <c r="M494" s="1424">
        <v>3.0</v>
      </c>
      <c r="N494" s="1424" t="s">
        <v>2306</v>
      </c>
      <c r="O494" s="1436" t="b">
        <v>1</v>
      </c>
      <c r="P494" s="1425" t="b">
        <v>0</v>
      </c>
      <c r="Q494" s="1426" t="s">
        <v>2253</v>
      </c>
      <c r="R494" s="1426" t="s">
        <v>2254</v>
      </c>
      <c r="S494" s="1426" t="b">
        <v>1</v>
      </c>
      <c r="T494" s="1426" t="b">
        <v>1</v>
      </c>
      <c r="U494" s="1426" t="b">
        <v>1</v>
      </c>
      <c r="V494" s="1426" t="s">
        <v>3678</v>
      </c>
      <c r="W494" s="1426" t="s">
        <v>2288</v>
      </c>
      <c r="X494" s="1437" t="s">
        <v>3679</v>
      </c>
      <c r="Y494" s="1442" t="s">
        <v>137</v>
      </c>
    </row>
    <row r="495">
      <c r="A495" s="1419"/>
      <c r="B495" s="1429" t="b">
        <v>0</v>
      </c>
      <c r="C495" s="1429" t="b">
        <v>0</v>
      </c>
      <c r="D495" s="1429" t="b">
        <v>0</v>
      </c>
      <c r="E495" s="1428" t="b">
        <v>1</v>
      </c>
      <c r="F495" s="1429" t="b">
        <v>0</v>
      </c>
      <c r="G495" s="1429" t="b">
        <v>0</v>
      </c>
      <c r="H495" s="1429" t="b">
        <v>0</v>
      </c>
      <c r="I495" s="1428" t="b">
        <v>1</v>
      </c>
      <c r="J495" s="1429" t="b">
        <v>0</v>
      </c>
      <c r="K495" s="1430" t="s">
        <v>3680</v>
      </c>
      <c r="L495" s="1431" t="s">
        <v>3681</v>
      </c>
      <c r="M495" s="1432">
        <v>3.0</v>
      </c>
      <c r="N495" s="1432" t="s">
        <v>2306</v>
      </c>
      <c r="O495" s="1438" t="b">
        <v>1</v>
      </c>
      <c r="P495" s="1433" t="b">
        <v>0</v>
      </c>
      <c r="Q495" s="1434" t="s">
        <v>2253</v>
      </c>
      <c r="R495" s="1434" t="s">
        <v>2368</v>
      </c>
      <c r="S495" s="1434" t="b">
        <v>1</v>
      </c>
      <c r="T495" s="1434" t="b">
        <v>1</v>
      </c>
      <c r="U495" s="1434" t="b">
        <v>1</v>
      </c>
      <c r="V495" s="1434" t="s">
        <v>3682</v>
      </c>
      <c r="W495" s="1434" t="s">
        <v>2270</v>
      </c>
      <c r="X495" s="1435" t="s">
        <v>3683</v>
      </c>
      <c r="Y495" s="1441" t="s">
        <v>137</v>
      </c>
    </row>
    <row r="496">
      <c r="A496" s="1419"/>
      <c r="B496" s="1421" t="b">
        <v>0</v>
      </c>
      <c r="C496" s="1421" t="b">
        <v>0</v>
      </c>
      <c r="D496" s="1421" t="b">
        <v>0</v>
      </c>
      <c r="E496" s="1421" t="b">
        <v>0</v>
      </c>
      <c r="F496" s="1421" t="b">
        <v>0</v>
      </c>
      <c r="G496" s="1421" t="b">
        <v>0</v>
      </c>
      <c r="H496" s="1420" t="b">
        <v>1</v>
      </c>
      <c r="I496" s="1420" t="b">
        <v>1</v>
      </c>
      <c r="J496" s="1421" t="b">
        <v>0</v>
      </c>
      <c r="K496" s="1422" t="s">
        <v>3684</v>
      </c>
      <c r="L496" s="1423" t="s">
        <v>3685</v>
      </c>
      <c r="M496" s="1424">
        <v>4.0</v>
      </c>
      <c r="N496" s="1424" t="s">
        <v>3524</v>
      </c>
      <c r="O496" s="1425" t="b">
        <v>0</v>
      </c>
      <c r="P496" s="1425" t="b">
        <v>0</v>
      </c>
      <c r="Q496" s="1426" t="s">
        <v>2253</v>
      </c>
      <c r="R496" s="1426" t="s">
        <v>2287</v>
      </c>
      <c r="S496" s="1426" t="b">
        <v>1</v>
      </c>
      <c r="T496" s="1426" t="b">
        <v>1</v>
      </c>
      <c r="U496" s="1426" t="b">
        <v>1</v>
      </c>
      <c r="V496" s="1426" t="s">
        <v>3686</v>
      </c>
      <c r="W496" s="1426" t="s">
        <v>2255</v>
      </c>
      <c r="X496" s="1437" t="s">
        <v>3687</v>
      </c>
      <c r="Y496" s="1442" t="s">
        <v>137</v>
      </c>
    </row>
    <row r="497">
      <c r="A497" s="1419"/>
      <c r="B497" s="1429" t="b">
        <v>0</v>
      </c>
      <c r="C497" s="1429" t="b">
        <v>0</v>
      </c>
      <c r="D497" s="1428" t="b">
        <v>1</v>
      </c>
      <c r="E497" s="1429" t="b">
        <v>0</v>
      </c>
      <c r="F497" s="1429" t="b">
        <v>0</v>
      </c>
      <c r="G497" s="1429" t="b">
        <v>0</v>
      </c>
      <c r="H497" s="1429" t="b">
        <v>0</v>
      </c>
      <c r="I497" s="1428" t="b">
        <v>1</v>
      </c>
      <c r="J497" s="1428" t="b">
        <v>1</v>
      </c>
      <c r="K497" s="1430" t="s">
        <v>3688</v>
      </c>
      <c r="L497" s="1431" t="s">
        <v>3689</v>
      </c>
      <c r="M497" s="1432">
        <v>4.0</v>
      </c>
      <c r="N497" s="1432" t="s">
        <v>2282</v>
      </c>
      <c r="O497" s="1433" t="b">
        <v>0</v>
      </c>
      <c r="P497" s="1433" t="b">
        <v>0</v>
      </c>
      <c r="Q497" s="1434" t="s">
        <v>2253</v>
      </c>
      <c r="R497" s="1434" t="s">
        <v>2269</v>
      </c>
      <c r="S497" s="1434" t="b">
        <v>1</v>
      </c>
      <c r="T497" s="1434" t="b">
        <v>1</v>
      </c>
      <c r="U497" s="1434" t="b">
        <v>1</v>
      </c>
      <c r="V497" s="1434" t="s">
        <v>3690</v>
      </c>
      <c r="W497" s="1434" t="s">
        <v>2297</v>
      </c>
      <c r="X497" s="1435" t="s">
        <v>3691</v>
      </c>
      <c r="Y497" s="1441" t="s">
        <v>137</v>
      </c>
    </row>
    <row r="498">
      <c r="A498" s="1419"/>
      <c r="B498" s="1421" t="b">
        <v>0</v>
      </c>
      <c r="C498" s="1421" t="b">
        <v>0</v>
      </c>
      <c r="D498" s="1421" t="b">
        <v>0</v>
      </c>
      <c r="E498" s="1421" t="b">
        <v>0</v>
      </c>
      <c r="F498" s="1421" t="b">
        <v>0</v>
      </c>
      <c r="G498" s="1421" t="b">
        <v>0</v>
      </c>
      <c r="H498" s="1421" t="b">
        <v>0</v>
      </c>
      <c r="I498" s="1421" t="b">
        <v>0</v>
      </c>
      <c r="J498" s="1421" t="b">
        <v>0</v>
      </c>
      <c r="K498" s="1422" t="s">
        <v>3692</v>
      </c>
      <c r="L498" s="1423" t="s">
        <v>3693</v>
      </c>
      <c r="M498" s="1424">
        <v>4.0</v>
      </c>
      <c r="N498" s="1424" t="s">
        <v>3694</v>
      </c>
      <c r="O498" s="1425" t="b">
        <v>0</v>
      </c>
      <c r="P498" s="1425" t="b">
        <v>0</v>
      </c>
      <c r="Q498" s="1426" t="s">
        <v>2297</v>
      </c>
      <c r="R498" s="1426" t="s">
        <v>2500</v>
      </c>
      <c r="S498" s="1426" t="b">
        <v>1</v>
      </c>
      <c r="T498" s="1426" t="b">
        <v>1</v>
      </c>
      <c r="U498" s="1426" t="b">
        <v>1</v>
      </c>
      <c r="V498" s="1426" t="s">
        <v>3695</v>
      </c>
      <c r="W498" s="1426" t="s">
        <v>3637</v>
      </c>
      <c r="X498" s="1437" t="s">
        <v>3696</v>
      </c>
      <c r="Y498" s="1442" t="s">
        <v>137</v>
      </c>
    </row>
    <row r="499">
      <c r="A499" s="1419"/>
      <c r="B499" s="1429" t="b">
        <v>0</v>
      </c>
      <c r="C499" s="1429" t="b">
        <v>0</v>
      </c>
      <c r="D499" s="1429" t="b">
        <v>0</v>
      </c>
      <c r="E499" s="1429" t="b">
        <v>0</v>
      </c>
      <c r="F499" s="1429" t="b">
        <v>0</v>
      </c>
      <c r="G499" s="1429" t="b">
        <v>0</v>
      </c>
      <c r="H499" s="1429" t="b">
        <v>0</v>
      </c>
      <c r="I499" s="1429" t="b">
        <v>0</v>
      </c>
      <c r="J499" s="1429" t="b">
        <v>0</v>
      </c>
      <c r="K499" s="1430" t="s">
        <v>3697</v>
      </c>
      <c r="L499" s="1431" t="s">
        <v>3698</v>
      </c>
      <c r="M499" s="1432">
        <v>4.0</v>
      </c>
      <c r="N499" s="1432" t="s">
        <v>3694</v>
      </c>
      <c r="O499" s="1433" t="b">
        <v>0</v>
      </c>
      <c r="P499" s="1433" t="b">
        <v>0</v>
      </c>
      <c r="Q499" s="1434" t="s">
        <v>2297</v>
      </c>
      <c r="R499" s="1434" t="s">
        <v>2500</v>
      </c>
      <c r="S499" s="1434" t="b">
        <v>1</v>
      </c>
      <c r="T499" s="1434" t="b">
        <v>1</v>
      </c>
      <c r="U499" s="1434" t="b">
        <v>1</v>
      </c>
      <c r="V499" s="1434" t="s">
        <v>3699</v>
      </c>
      <c r="W499" s="1434" t="s">
        <v>3637</v>
      </c>
      <c r="X499" s="1435" t="s">
        <v>3700</v>
      </c>
      <c r="Y499" s="1441" t="s">
        <v>137</v>
      </c>
    </row>
    <row r="500">
      <c r="A500" s="1419"/>
      <c r="B500" s="1421" t="b">
        <v>0</v>
      </c>
      <c r="C500" s="1421" t="b">
        <v>0</v>
      </c>
      <c r="D500" s="1421" t="b">
        <v>0</v>
      </c>
      <c r="E500" s="1421" t="b">
        <v>0</v>
      </c>
      <c r="F500" s="1421" t="b">
        <v>0</v>
      </c>
      <c r="G500" s="1421" t="b">
        <v>0</v>
      </c>
      <c r="H500" s="1421" t="b">
        <v>0</v>
      </c>
      <c r="I500" s="1421" t="b">
        <v>0</v>
      </c>
      <c r="J500" s="1421" t="b">
        <v>0</v>
      </c>
      <c r="K500" s="1422" t="s">
        <v>3701</v>
      </c>
      <c r="L500" s="1423" t="s">
        <v>3702</v>
      </c>
      <c r="M500" s="1424">
        <v>4.0</v>
      </c>
      <c r="N500" s="1424" t="s">
        <v>3635</v>
      </c>
      <c r="O500" s="1425" t="b">
        <v>0</v>
      </c>
      <c r="P500" s="1425" t="b">
        <v>0</v>
      </c>
      <c r="Q500" s="1426" t="s">
        <v>2297</v>
      </c>
      <c r="R500" s="1426" t="s">
        <v>2500</v>
      </c>
      <c r="S500" s="1426" t="b">
        <v>1</v>
      </c>
      <c r="T500" s="1426" t="b">
        <v>1</v>
      </c>
      <c r="U500" s="1426" t="b">
        <v>1</v>
      </c>
      <c r="V500" s="1426" t="s">
        <v>3703</v>
      </c>
      <c r="W500" s="1426" t="s">
        <v>3637</v>
      </c>
      <c r="X500" s="1437" t="s">
        <v>3704</v>
      </c>
      <c r="Y500" s="1442" t="s">
        <v>137</v>
      </c>
    </row>
    <row r="501">
      <c r="A501" s="1419"/>
      <c r="B501" s="1429" t="b">
        <v>0</v>
      </c>
      <c r="C501" s="1429" t="b">
        <v>0</v>
      </c>
      <c r="D501" s="1429" t="b">
        <v>0</v>
      </c>
      <c r="E501" s="1429" t="b">
        <v>0</v>
      </c>
      <c r="F501" s="1429" t="b">
        <v>0</v>
      </c>
      <c r="G501" s="1429" t="b">
        <v>0</v>
      </c>
      <c r="H501" s="1429" t="b">
        <v>0</v>
      </c>
      <c r="I501" s="1428" t="b">
        <v>1</v>
      </c>
      <c r="J501" s="1428" t="b">
        <v>1</v>
      </c>
      <c r="K501" s="1430" t="s">
        <v>3705</v>
      </c>
      <c r="L501" s="1431" t="s">
        <v>3706</v>
      </c>
      <c r="M501" s="1432">
        <v>4.0</v>
      </c>
      <c r="N501" s="1432" t="s">
        <v>3524</v>
      </c>
      <c r="O501" s="1433" t="b">
        <v>0</v>
      </c>
      <c r="P501" s="1433" t="b">
        <v>0</v>
      </c>
      <c r="Q501" s="1434" t="s">
        <v>2253</v>
      </c>
      <c r="R501" s="1434" t="s">
        <v>2269</v>
      </c>
      <c r="S501" s="1434" t="b">
        <v>1</v>
      </c>
      <c r="T501" s="1434" t="b">
        <v>1</v>
      </c>
      <c r="U501" s="1434" t="b">
        <v>1</v>
      </c>
      <c r="V501" s="1434" t="s">
        <v>3707</v>
      </c>
      <c r="W501" s="1434" t="s">
        <v>2255</v>
      </c>
      <c r="X501" s="1435" t="s">
        <v>3708</v>
      </c>
      <c r="Y501" s="1441" t="s">
        <v>137</v>
      </c>
    </row>
    <row r="502">
      <c r="A502" s="1419"/>
      <c r="B502" s="1421" t="b">
        <v>0</v>
      </c>
      <c r="C502" s="1421" t="b">
        <v>0</v>
      </c>
      <c r="D502" s="1421" t="b">
        <v>0</v>
      </c>
      <c r="E502" s="1420" t="b">
        <v>1</v>
      </c>
      <c r="F502" s="1421" t="b">
        <v>0</v>
      </c>
      <c r="G502" s="1421" t="b">
        <v>0</v>
      </c>
      <c r="H502" s="1421" t="b">
        <v>0</v>
      </c>
      <c r="I502" s="1421" t="b">
        <v>0</v>
      </c>
      <c r="J502" s="1421" t="b">
        <v>0</v>
      </c>
      <c r="K502" s="1422" t="s">
        <v>3709</v>
      </c>
      <c r="L502" s="1423" t="s">
        <v>3710</v>
      </c>
      <c r="M502" s="1424">
        <v>4.0</v>
      </c>
      <c r="N502" s="1424" t="s">
        <v>2268</v>
      </c>
      <c r="O502" s="1436" t="b">
        <v>1</v>
      </c>
      <c r="P502" s="1425" t="b">
        <v>0</v>
      </c>
      <c r="Q502" s="1426" t="s">
        <v>2253</v>
      </c>
      <c r="R502" s="1426" t="s">
        <v>2311</v>
      </c>
      <c r="S502" s="1426" t="b">
        <v>1</v>
      </c>
      <c r="T502" s="1426" t="b">
        <v>1</v>
      </c>
      <c r="U502" s="1426" t="b">
        <v>1</v>
      </c>
      <c r="V502" s="1427"/>
      <c r="W502" s="1426" t="s">
        <v>2270</v>
      </c>
      <c r="X502" s="1437" t="s">
        <v>3711</v>
      </c>
      <c r="Y502" s="1442" t="s">
        <v>137</v>
      </c>
    </row>
    <row r="503">
      <c r="A503" s="1419"/>
      <c r="B503" s="1429" t="b">
        <v>0</v>
      </c>
      <c r="C503" s="1429" t="b">
        <v>0</v>
      </c>
      <c r="D503" s="1428" t="b">
        <v>0</v>
      </c>
      <c r="E503" s="1428" t="b">
        <v>1</v>
      </c>
      <c r="F503" s="1429" t="b">
        <v>0</v>
      </c>
      <c r="G503" s="1429" t="b">
        <v>0</v>
      </c>
      <c r="H503" s="1428" t="b">
        <v>1</v>
      </c>
      <c r="I503" s="1429" t="b">
        <v>0</v>
      </c>
      <c r="J503" s="1428" t="b">
        <v>1</v>
      </c>
      <c r="K503" s="1430" t="s">
        <v>3712</v>
      </c>
      <c r="L503" s="1431" t="s">
        <v>3713</v>
      </c>
      <c r="M503" s="1432">
        <v>4.0</v>
      </c>
      <c r="N503" s="1432" t="s">
        <v>2306</v>
      </c>
      <c r="O503" s="1433" t="b">
        <v>0</v>
      </c>
      <c r="P503" s="1433" t="b">
        <v>0</v>
      </c>
      <c r="Q503" s="1434" t="s">
        <v>2253</v>
      </c>
      <c r="R503" s="1434" t="s">
        <v>2269</v>
      </c>
      <c r="S503" s="1434" t="b">
        <v>1</v>
      </c>
      <c r="T503" s="1434" t="b">
        <v>1</v>
      </c>
      <c r="U503" s="1434" t="b">
        <v>1</v>
      </c>
      <c r="V503" s="1434" t="s">
        <v>2888</v>
      </c>
      <c r="W503" s="1434" t="s">
        <v>2255</v>
      </c>
      <c r="X503" s="1435" t="s">
        <v>3714</v>
      </c>
      <c r="Y503" s="1441" t="s">
        <v>137</v>
      </c>
    </row>
    <row r="504">
      <c r="A504" s="1419"/>
      <c r="B504" s="1421" t="b">
        <v>0</v>
      </c>
      <c r="C504" s="1421" t="b">
        <v>0</v>
      </c>
      <c r="D504" s="1420" t="b">
        <v>1</v>
      </c>
      <c r="E504" s="1421" t="b">
        <v>0</v>
      </c>
      <c r="F504" s="1421" t="b">
        <v>0</v>
      </c>
      <c r="G504" s="1421" t="b">
        <v>0</v>
      </c>
      <c r="H504" s="1421" t="b">
        <v>0</v>
      </c>
      <c r="I504" s="1421" t="b">
        <v>0</v>
      </c>
      <c r="J504" s="1421" t="b">
        <v>0</v>
      </c>
      <c r="K504" s="1422" t="s">
        <v>3715</v>
      </c>
      <c r="L504" s="1423" t="s">
        <v>3716</v>
      </c>
      <c r="M504" s="1424">
        <v>4.0</v>
      </c>
      <c r="N504" s="1424" t="s">
        <v>2252</v>
      </c>
      <c r="O504" s="1436" t="b">
        <v>1</v>
      </c>
      <c r="P504" s="1425" t="b">
        <v>0</v>
      </c>
      <c r="Q504" s="1426" t="s">
        <v>2316</v>
      </c>
      <c r="R504" s="1426" t="s">
        <v>2269</v>
      </c>
      <c r="S504" s="1426" t="b">
        <v>1</v>
      </c>
      <c r="T504" s="1427" t="b">
        <v>0</v>
      </c>
      <c r="U504" s="1427" t="b">
        <v>0</v>
      </c>
      <c r="V504" s="1427"/>
      <c r="W504" s="1426" t="s">
        <v>2288</v>
      </c>
      <c r="X504" s="1437" t="s">
        <v>3717</v>
      </c>
      <c r="Y504" s="1442" t="s">
        <v>137</v>
      </c>
    </row>
    <row r="505">
      <c r="A505" s="1419"/>
      <c r="B505" s="1429" t="b">
        <v>0</v>
      </c>
      <c r="C505" s="1429" t="b">
        <v>0</v>
      </c>
      <c r="D505" s="1429" t="b">
        <v>0</v>
      </c>
      <c r="E505" s="1429" t="b">
        <v>0</v>
      </c>
      <c r="F505" s="1428" t="b">
        <v>1</v>
      </c>
      <c r="G505" s="1429" t="b">
        <v>0</v>
      </c>
      <c r="H505" s="1429" t="b">
        <v>0</v>
      </c>
      <c r="I505" s="1429" t="b">
        <v>0</v>
      </c>
      <c r="J505" s="1429" t="b">
        <v>0</v>
      </c>
      <c r="K505" s="1430" t="s">
        <v>3718</v>
      </c>
      <c r="L505" s="1431" t="s">
        <v>3719</v>
      </c>
      <c r="M505" s="1432">
        <v>4.0</v>
      </c>
      <c r="N505" s="1432" t="s">
        <v>2252</v>
      </c>
      <c r="O505" s="1433" t="b">
        <v>0</v>
      </c>
      <c r="P505" s="1433" t="b">
        <v>0</v>
      </c>
      <c r="Q505" s="1434" t="s">
        <v>3720</v>
      </c>
      <c r="R505" s="1434" t="s">
        <v>2269</v>
      </c>
      <c r="S505" s="1434" t="b">
        <v>1</v>
      </c>
      <c r="T505" s="1439" t="b">
        <v>0</v>
      </c>
      <c r="U505" s="1439" t="b">
        <v>0</v>
      </c>
      <c r="V505" s="1439"/>
      <c r="W505" s="1434" t="s">
        <v>2255</v>
      </c>
      <c r="X505" s="1435" t="s">
        <v>3721</v>
      </c>
      <c r="Y505" s="1441" t="s">
        <v>137</v>
      </c>
    </row>
    <row r="506">
      <c r="A506" s="1419"/>
      <c r="B506" s="1421" t="b">
        <v>0</v>
      </c>
      <c r="C506" s="1421" t="b">
        <v>0</v>
      </c>
      <c r="D506" s="1421" t="b">
        <v>0</v>
      </c>
      <c r="E506" s="1421" t="b">
        <v>0</v>
      </c>
      <c r="F506" s="1421" t="b">
        <v>0</v>
      </c>
      <c r="G506" s="1421" t="b">
        <v>0</v>
      </c>
      <c r="H506" s="1420" t="b">
        <v>1</v>
      </c>
      <c r="I506" s="1420" t="b">
        <v>1</v>
      </c>
      <c r="J506" s="1420" t="b">
        <v>1</v>
      </c>
      <c r="K506" s="1422" t="s">
        <v>3722</v>
      </c>
      <c r="L506" s="1423" t="s">
        <v>3723</v>
      </c>
      <c r="M506" s="1424">
        <v>4.0</v>
      </c>
      <c r="N506" s="1424" t="s">
        <v>3724</v>
      </c>
      <c r="O506" s="1425" t="b">
        <v>0</v>
      </c>
      <c r="P506" s="1425" t="b">
        <v>0</v>
      </c>
      <c r="Q506" s="1426" t="s">
        <v>2253</v>
      </c>
      <c r="R506" s="1426" t="s">
        <v>2269</v>
      </c>
      <c r="S506" s="1426" t="b">
        <v>1</v>
      </c>
      <c r="T506" s="1426" t="b">
        <v>1</v>
      </c>
      <c r="U506" s="1426" t="b">
        <v>1</v>
      </c>
      <c r="V506" s="1427"/>
      <c r="W506" s="1426" t="s">
        <v>2411</v>
      </c>
      <c r="X506" s="1437" t="s">
        <v>3725</v>
      </c>
      <c r="Y506" s="1442" t="s">
        <v>137</v>
      </c>
    </row>
    <row r="507">
      <c r="A507" s="1419"/>
      <c r="B507" s="1443" t="b">
        <v>0</v>
      </c>
      <c r="C507" s="1429" t="b">
        <v>0</v>
      </c>
      <c r="D507" s="1429" t="b">
        <v>0</v>
      </c>
      <c r="E507" s="1429" t="b">
        <v>0</v>
      </c>
      <c r="F507" s="1429" t="b">
        <v>0</v>
      </c>
      <c r="G507" s="1429" t="b">
        <v>0</v>
      </c>
      <c r="H507" s="1429" t="b">
        <v>0</v>
      </c>
      <c r="I507" s="1429" t="b">
        <v>0</v>
      </c>
      <c r="J507" s="1429" t="b">
        <v>0</v>
      </c>
      <c r="K507" s="1444" t="s">
        <v>3726</v>
      </c>
      <c r="L507" s="1445" t="s">
        <v>3727</v>
      </c>
      <c r="M507" s="1446">
        <v>5.0</v>
      </c>
      <c r="N507" s="1446" t="s">
        <v>3728</v>
      </c>
      <c r="O507" s="1447" t="b">
        <v>0</v>
      </c>
      <c r="P507" s="1447" t="b">
        <v>0</v>
      </c>
      <c r="Q507" s="1435" t="s">
        <v>2297</v>
      </c>
      <c r="R507" s="1435" t="s">
        <v>2500</v>
      </c>
      <c r="S507" s="1435" t="b">
        <v>1</v>
      </c>
      <c r="T507" s="1435" t="b">
        <v>1</v>
      </c>
      <c r="U507" s="1435" t="b">
        <v>1</v>
      </c>
      <c r="V507" s="1435" t="s">
        <v>3729</v>
      </c>
      <c r="W507" s="1435" t="s">
        <v>3637</v>
      </c>
      <c r="X507" s="1435" t="s">
        <v>3730</v>
      </c>
      <c r="Y507" s="1441" t="s">
        <v>137</v>
      </c>
    </row>
    <row r="508">
      <c r="A508" s="1419"/>
      <c r="B508" s="1448" t="b">
        <v>0</v>
      </c>
      <c r="C508" s="1421" t="b">
        <v>0</v>
      </c>
      <c r="D508" s="1421" t="b">
        <v>0</v>
      </c>
      <c r="E508" s="1421" t="b">
        <v>0</v>
      </c>
      <c r="F508" s="1421" t="b">
        <v>0</v>
      </c>
      <c r="G508" s="1421" t="b">
        <v>0</v>
      </c>
      <c r="H508" s="1421" t="b">
        <v>0</v>
      </c>
      <c r="I508" s="1421" t="b">
        <v>0</v>
      </c>
      <c r="J508" s="1421" t="b">
        <v>0</v>
      </c>
      <c r="K508" s="1449" t="s">
        <v>3731</v>
      </c>
      <c r="L508" s="1450" t="s">
        <v>3732</v>
      </c>
      <c r="M508" s="1451">
        <v>5.0</v>
      </c>
      <c r="N508" s="1451" t="s">
        <v>3635</v>
      </c>
      <c r="O508" s="1452" t="b">
        <v>0</v>
      </c>
      <c r="P508" s="1452" t="b">
        <v>0</v>
      </c>
      <c r="Q508" s="1437" t="s">
        <v>2297</v>
      </c>
      <c r="R508" s="1437" t="s">
        <v>2500</v>
      </c>
      <c r="S508" s="1437" t="b">
        <v>1</v>
      </c>
      <c r="T508" s="1437" t="b">
        <v>1</v>
      </c>
      <c r="U508" s="1437" t="b">
        <v>1</v>
      </c>
      <c r="V508" s="1437" t="s">
        <v>3733</v>
      </c>
      <c r="W508" s="1437" t="s">
        <v>3637</v>
      </c>
      <c r="X508" s="1437" t="s">
        <v>3734</v>
      </c>
      <c r="Y508" s="1442" t="s">
        <v>137</v>
      </c>
    </row>
    <row r="509">
      <c r="A509" s="1419"/>
      <c r="B509" s="1443" t="b">
        <v>0</v>
      </c>
      <c r="C509" s="1429" t="b">
        <v>0</v>
      </c>
      <c r="D509" s="1428" t="b">
        <v>1</v>
      </c>
      <c r="E509" s="1429" t="b">
        <v>0</v>
      </c>
      <c r="F509" s="1429" t="b">
        <v>0</v>
      </c>
      <c r="G509" s="1429" t="b">
        <v>0</v>
      </c>
      <c r="H509" s="1429" t="b">
        <v>0</v>
      </c>
      <c r="I509" s="1429" t="b">
        <v>0</v>
      </c>
      <c r="J509" s="1428" t="b">
        <v>1</v>
      </c>
      <c r="K509" s="1453" t="s">
        <v>3735</v>
      </c>
      <c r="L509" s="1445" t="s">
        <v>3736</v>
      </c>
      <c r="M509" s="1446">
        <v>5.0</v>
      </c>
      <c r="N509" s="1446" t="s">
        <v>2282</v>
      </c>
      <c r="O509" s="1447" t="b">
        <v>0</v>
      </c>
      <c r="P509" s="1447" t="b">
        <v>0</v>
      </c>
      <c r="Q509" s="1435" t="s">
        <v>2264</v>
      </c>
      <c r="R509" s="1435" t="s">
        <v>2283</v>
      </c>
      <c r="S509" s="1435" t="b">
        <v>1</v>
      </c>
      <c r="T509" s="1435" t="b">
        <v>1</v>
      </c>
      <c r="U509" s="1435" t="b">
        <v>1</v>
      </c>
      <c r="V509" s="1435" t="s">
        <v>3737</v>
      </c>
      <c r="W509" s="1435" t="s">
        <v>2255</v>
      </c>
      <c r="X509" s="1435" t="s">
        <v>3738</v>
      </c>
      <c r="Y509" s="1441" t="s">
        <v>137</v>
      </c>
    </row>
    <row r="510">
      <c r="A510" s="1419"/>
      <c r="B510" s="1448" t="b">
        <v>0</v>
      </c>
      <c r="C510" s="1420" t="b">
        <v>1</v>
      </c>
      <c r="D510" s="1421" t="b">
        <v>0</v>
      </c>
      <c r="E510" s="1421" t="b">
        <v>0</v>
      </c>
      <c r="F510" s="1421" t="b">
        <v>0</v>
      </c>
      <c r="G510" s="1421" t="b">
        <v>0</v>
      </c>
      <c r="H510" s="1420" t="b">
        <v>1</v>
      </c>
      <c r="I510" s="1420" t="b">
        <v>1</v>
      </c>
      <c r="J510" s="1420" t="b">
        <v>1</v>
      </c>
      <c r="K510" s="1449" t="s">
        <v>3739</v>
      </c>
      <c r="L510" s="1450" t="s">
        <v>3740</v>
      </c>
      <c r="M510" s="1451">
        <v>5.0</v>
      </c>
      <c r="N510" s="1451" t="s">
        <v>2273</v>
      </c>
      <c r="O510" s="1454" t="b">
        <v>1</v>
      </c>
      <c r="P510" s="1452" t="b">
        <v>0</v>
      </c>
      <c r="Q510" s="1437" t="s">
        <v>2253</v>
      </c>
      <c r="R510" s="1437" t="s">
        <v>2259</v>
      </c>
      <c r="S510" s="1437" t="b">
        <v>1</v>
      </c>
      <c r="T510" s="1437" t="b">
        <v>1</v>
      </c>
      <c r="U510" s="1437" t="b">
        <v>1</v>
      </c>
      <c r="V510" s="1437" t="s">
        <v>3741</v>
      </c>
      <c r="W510" s="1437" t="s">
        <v>2288</v>
      </c>
      <c r="X510" s="1437" t="s">
        <v>3742</v>
      </c>
      <c r="Y510" s="1442" t="s">
        <v>137</v>
      </c>
    </row>
    <row r="511">
      <c r="A511" s="1419"/>
      <c r="B511" s="1443" t="b">
        <v>0</v>
      </c>
      <c r="C511" s="1429" t="b">
        <v>0</v>
      </c>
      <c r="D511" s="1429" t="b">
        <v>0</v>
      </c>
      <c r="E511" s="1428" t="b">
        <v>1</v>
      </c>
      <c r="F511" s="1429" t="b">
        <v>0</v>
      </c>
      <c r="G511" s="1428" t="b">
        <v>1</v>
      </c>
      <c r="H511" s="1429" t="b">
        <v>0</v>
      </c>
      <c r="I511" s="1429" t="b">
        <v>0</v>
      </c>
      <c r="J511" s="1429" t="b">
        <v>0</v>
      </c>
      <c r="K511" s="1453" t="s">
        <v>3743</v>
      </c>
      <c r="L511" s="1445" t="s">
        <v>3744</v>
      </c>
      <c r="M511" s="1446">
        <v>5.0</v>
      </c>
      <c r="N511" s="1446" t="s">
        <v>2268</v>
      </c>
      <c r="O511" s="1455" t="b">
        <v>1</v>
      </c>
      <c r="P511" s="1447" t="b">
        <v>0</v>
      </c>
      <c r="Q511" s="1435" t="s">
        <v>2253</v>
      </c>
      <c r="R511" s="1435" t="s">
        <v>2269</v>
      </c>
      <c r="S511" s="1435" t="b">
        <v>1</v>
      </c>
      <c r="T511" s="1435" t="b">
        <v>1</v>
      </c>
      <c r="U511" s="1456" t="b">
        <v>0</v>
      </c>
      <c r="V511" s="1456"/>
      <c r="W511" s="1435" t="s">
        <v>2308</v>
      </c>
      <c r="X511" s="1435" t="s">
        <v>3745</v>
      </c>
      <c r="Y511" s="1441" t="s">
        <v>137</v>
      </c>
    </row>
    <row r="512">
      <c r="A512" s="1419"/>
      <c r="B512" s="1448" t="b">
        <v>0</v>
      </c>
      <c r="C512" s="1421" t="b">
        <v>0</v>
      </c>
      <c r="D512" s="1421" t="b">
        <v>0</v>
      </c>
      <c r="E512" s="1421" t="b">
        <v>0</v>
      </c>
      <c r="F512" s="1421" t="b">
        <v>0</v>
      </c>
      <c r="G512" s="1421" t="b">
        <v>0</v>
      </c>
      <c r="H512" s="1421" t="b">
        <v>0</v>
      </c>
      <c r="I512" s="1420" t="b">
        <v>1</v>
      </c>
      <c r="J512" s="1421" t="b">
        <v>0</v>
      </c>
      <c r="K512" s="1449" t="s">
        <v>3746</v>
      </c>
      <c r="L512" s="1450" t="s">
        <v>3747</v>
      </c>
      <c r="M512" s="1451">
        <v>5.0</v>
      </c>
      <c r="N512" s="1451" t="s">
        <v>2282</v>
      </c>
      <c r="O512" s="1454" t="b">
        <v>0</v>
      </c>
      <c r="P512" s="1452" t="b">
        <v>0</v>
      </c>
      <c r="Q512" s="1437" t="s">
        <v>2253</v>
      </c>
      <c r="R512" s="1437" t="s">
        <v>2269</v>
      </c>
      <c r="S512" s="1457" t="b">
        <v>0</v>
      </c>
      <c r="T512" s="1437" t="b">
        <v>1</v>
      </c>
      <c r="U512" s="1437" t="b">
        <v>1</v>
      </c>
      <c r="V512" s="1437" t="s">
        <v>3748</v>
      </c>
      <c r="W512" s="1437" t="s">
        <v>2481</v>
      </c>
      <c r="X512" s="1437" t="s">
        <v>3749</v>
      </c>
      <c r="Y512" s="1442" t="s">
        <v>137</v>
      </c>
    </row>
    <row r="513">
      <c r="A513" s="1419"/>
      <c r="B513" s="1443" t="b">
        <v>0</v>
      </c>
      <c r="C513" s="1429" t="b">
        <v>0</v>
      </c>
      <c r="D513" s="1429" t="b">
        <v>0</v>
      </c>
      <c r="E513" s="1429" t="b">
        <v>0</v>
      </c>
      <c r="F513" s="1429" t="b">
        <v>0</v>
      </c>
      <c r="G513" s="1429" t="b">
        <v>0</v>
      </c>
      <c r="H513" s="1428" t="b">
        <v>1</v>
      </c>
      <c r="I513" s="1429" t="b">
        <v>0</v>
      </c>
      <c r="J513" s="1429" t="b">
        <v>0</v>
      </c>
      <c r="K513" s="1453" t="s">
        <v>3750</v>
      </c>
      <c r="L513" s="1445" t="s">
        <v>3751</v>
      </c>
      <c r="M513" s="1446">
        <v>5.0</v>
      </c>
      <c r="N513" s="1446" t="s">
        <v>2258</v>
      </c>
      <c r="O513" s="1447" t="b">
        <v>0</v>
      </c>
      <c r="P513" s="1447" t="b">
        <v>0</v>
      </c>
      <c r="Q513" s="1435" t="s">
        <v>3752</v>
      </c>
      <c r="R513" s="1435" t="s">
        <v>2269</v>
      </c>
      <c r="S513" s="1435" t="b">
        <v>1</v>
      </c>
      <c r="T513" s="1435" t="b">
        <v>1</v>
      </c>
      <c r="U513" s="1435" t="b">
        <v>1</v>
      </c>
      <c r="V513" s="1435" t="s">
        <v>3753</v>
      </c>
      <c r="W513" s="1435" t="s">
        <v>2255</v>
      </c>
      <c r="X513" s="1435" t="s">
        <v>3754</v>
      </c>
      <c r="Y513" s="1441" t="s">
        <v>137</v>
      </c>
    </row>
    <row r="514">
      <c r="A514" s="1419"/>
      <c r="B514" s="1448" t="b">
        <v>0</v>
      </c>
      <c r="C514" s="1421" t="b">
        <v>0</v>
      </c>
      <c r="D514" s="1421" t="b">
        <v>0</v>
      </c>
      <c r="E514" s="1421" t="b">
        <v>0</v>
      </c>
      <c r="F514" s="1421" t="b">
        <v>0</v>
      </c>
      <c r="G514" s="1421" t="b">
        <v>0</v>
      </c>
      <c r="H514" s="1420" t="b">
        <v>1</v>
      </c>
      <c r="I514" s="1421" t="b">
        <v>0</v>
      </c>
      <c r="J514" s="1421" t="b">
        <v>0</v>
      </c>
      <c r="K514" s="1458" t="s">
        <v>3755</v>
      </c>
      <c r="L514" s="1450" t="s">
        <v>3756</v>
      </c>
      <c r="M514" s="1451">
        <v>5.0</v>
      </c>
      <c r="N514" s="1451" t="s">
        <v>3514</v>
      </c>
      <c r="O514" s="1454" t="b">
        <v>1</v>
      </c>
      <c r="P514" s="1452" t="b">
        <v>0</v>
      </c>
      <c r="Q514" s="1437" t="s">
        <v>2253</v>
      </c>
      <c r="R514" s="1437" t="s">
        <v>2287</v>
      </c>
      <c r="S514" s="1437" t="b">
        <v>1</v>
      </c>
      <c r="T514" s="1437" t="b">
        <v>1</v>
      </c>
      <c r="U514" s="1437" t="b">
        <v>1</v>
      </c>
      <c r="V514" s="1437" t="s">
        <v>3757</v>
      </c>
      <c r="W514" s="1437" t="s">
        <v>2288</v>
      </c>
      <c r="X514" s="1437" t="s">
        <v>3758</v>
      </c>
      <c r="Y514" s="1442" t="s">
        <v>137</v>
      </c>
    </row>
    <row r="515">
      <c r="A515" s="1419"/>
      <c r="B515" s="1443" t="b">
        <v>0</v>
      </c>
      <c r="C515" s="1429" t="b">
        <v>0</v>
      </c>
      <c r="D515" s="1428" t="b">
        <v>1</v>
      </c>
      <c r="E515" s="1429" t="b">
        <v>0</v>
      </c>
      <c r="F515" s="1429" t="b">
        <v>0</v>
      </c>
      <c r="G515" s="1429" t="b">
        <v>0</v>
      </c>
      <c r="H515" s="1429" t="b">
        <v>0</v>
      </c>
      <c r="I515" s="1429" t="b">
        <v>0</v>
      </c>
      <c r="J515" s="1428" t="b">
        <v>1</v>
      </c>
      <c r="K515" s="1444" t="s">
        <v>3759</v>
      </c>
      <c r="L515" s="1445" t="s">
        <v>3760</v>
      </c>
      <c r="M515" s="1446">
        <v>5.0</v>
      </c>
      <c r="N515" s="1446" t="s">
        <v>2282</v>
      </c>
      <c r="O515" s="1455" t="b">
        <v>1</v>
      </c>
      <c r="P515" s="1447" t="b">
        <v>0</v>
      </c>
      <c r="Q515" s="1435" t="s">
        <v>2253</v>
      </c>
      <c r="R515" s="1435" t="s">
        <v>2287</v>
      </c>
      <c r="S515" s="1435" t="b">
        <v>1</v>
      </c>
      <c r="T515" s="1435" t="b">
        <v>1</v>
      </c>
      <c r="U515" s="1456" t="b">
        <v>0</v>
      </c>
      <c r="V515" s="1456"/>
      <c r="W515" s="1435" t="s">
        <v>2288</v>
      </c>
      <c r="X515" s="1435" t="s">
        <v>3761</v>
      </c>
      <c r="Y515" s="1441" t="s">
        <v>137</v>
      </c>
    </row>
    <row r="516">
      <c r="A516" s="1419"/>
      <c r="B516" s="1448" t="b">
        <v>0</v>
      </c>
      <c r="C516" s="1421" t="b">
        <v>0</v>
      </c>
      <c r="D516" s="1421" t="b">
        <v>0</v>
      </c>
      <c r="E516" s="1421" t="b">
        <v>0</v>
      </c>
      <c r="F516" s="1420" t="b">
        <v>1</v>
      </c>
      <c r="G516" s="1421" t="b">
        <v>0</v>
      </c>
      <c r="H516" s="1421" t="b">
        <v>0</v>
      </c>
      <c r="I516" s="1421" t="b">
        <v>0</v>
      </c>
      <c r="J516" s="1421" t="b">
        <v>0</v>
      </c>
      <c r="K516" s="1458" t="s">
        <v>3762</v>
      </c>
      <c r="L516" s="1450" t="s">
        <v>3763</v>
      </c>
      <c r="M516" s="1451">
        <v>5.0</v>
      </c>
      <c r="N516" s="1451" t="s">
        <v>2258</v>
      </c>
      <c r="O516" s="1454" t="b">
        <v>1</v>
      </c>
      <c r="P516" s="1452" t="b">
        <v>0</v>
      </c>
      <c r="Q516" s="1437" t="s">
        <v>3764</v>
      </c>
      <c r="R516" s="1437" t="s">
        <v>2269</v>
      </c>
      <c r="S516" s="1437" t="b">
        <v>1</v>
      </c>
      <c r="T516" s="1457" t="b">
        <v>0</v>
      </c>
      <c r="U516" s="1457" t="b">
        <v>0</v>
      </c>
      <c r="V516" s="1457"/>
      <c r="W516" s="1437" t="s">
        <v>2288</v>
      </c>
      <c r="X516" s="1437" t="s">
        <v>3765</v>
      </c>
      <c r="Y516" s="1442" t="s">
        <v>137</v>
      </c>
    </row>
    <row r="517">
      <c r="A517" s="1440" t="s">
        <v>2461</v>
      </c>
      <c r="B517" s="1443"/>
      <c r="C517" s="1429" t="b">
        <v>0</v>
      </c>
      <c r="D517" s="1429" t="b">
        <v>0</v>
      </c>
      <c r="E517" s="1428" t="b">
        <v>1</v>
      </c>
      <c r="F517" s="1429" t="b">
        <v>0</v>
      </c>
      <c r="G517" s="1429" t="b">
        <v>0</v>
      </c>
      <c r="H517" s="1428" t="b">
        <v>1</v>
      </c>
      <c r="I517" s="1429" t="b">
        <v>0</v>
      </c>
      <c r="J517" s="1428" t="b">
        <v>1</v>
      </c>
      <c r="K517" s="1444" t="s">
        <v>3766</v>
      </c>
      <c r="L517" s="1445" t="s">
        <v>3767</v>
      </c>
      <c r="M517" s="1446">
        <v>6.0</v>
      </c>
      <c r="N517" s="1446" t="s">
        <v>3532</v>
      </c>
      <c r="O517" s="1459" t="b">
        <v>0</v>
      </c>
      <c r="P517" s="1459" t="b">
        <v>0</v>
      </c>
      <c r="Q517" s="1435" t="s">
        <v>2253</v>
      </c>
      <c r="R517" s="1435" t="s">
        <v>2269</v>
      </c>
      <c r="S517" s="1460" t="b">
        <v>1</v>
      </c>
      <c r="T517" s="1460" t="b">
        <v>1</v>
      </c>
      <c r="U517" s="1460" t="b">
        <v>1</v>
      </c>
      <c r="V517" s="1435" t="s">
        <v>3768</v>
      </c>
      <c r="W517" s="1435" t="s">
        <v>2255</v>
      </c>
      <c r="X517" s="1435" t="s">
        <v>3769</v>
      </c>
      <c r="Y517" s="1441" t="s">
        <v>137</v>
      </c>
    </row>
    <row r="518">
      <c r="A518" s="1461" t="s">
        <v>2461</v>
      </c>
      <c r="B518" s="1462" t="b">
        <v>0</v>
      </c>
      <c r="C518" s="1421" t="b">
        <v>0</v>
      </c>
      <c r="D518" s="1420" t="b">
        <v>1</v>
      </c>
      <c r="E518" s="1421" t="b">
        <v>0</v>
      </c>
      <c r="F518" s="1421" t="b">
        <v>0</v>
      </c>
      <c r="G518" s="1421" t="b">
        <v>0</v>
      </c>
      <c r="H518" s="1420" t="b">
        <v>1</v>
      </c>
      <c r="I518" s="1420" t="b">
        <v>1</v>
      </c>
      <c r="J518" s="1420" t="b">
        <v>1</v>
      </c>
      <c r="K518" s="1463" t="s">
        <v>3770</v>
      </c>
      <c r="L518" s="1464" t="s">
        <v>3771</v>
      </c>
      <c r="M518" s="1451">
        <v>6.0</v>
      </c>
      <c r="N518" s="1465" t="s">
        <v>2306</v>
      </c>
      <c r="O518" s="1466" t="b">
        <v>1</v>
      </c>
      <c r="P518" s="1466" t="b">
        <v>0</v>
      </c>
      <c r="Q518" s="1467" t="s">
        <v>2253</v>
      </c>
      <c r="R518" s="1467" t="s">
        <v>2667</v>
      </c>
      <c r="S518" s="1467" t="b">
        <v>1</v>
      </c>
      <c r="T518" s="1467" t="b">
        <v>1</v>
      </c>
      <c r="U518" s="1467" t="b">
        <v>1</v>
      </c>
      <c r="V518" s="1467" t="s">
        <v>3772</v>
      </c>
      <c r="W518" s="1467" t="s">
        <v>2288</v>
      </c>
      <c r="X518" s="1467" t="s">
        <v>3773</v>
      </c>
      <c r="Y518" s="1442" t="s">
        <v>137</v>
      </c>
    </row>
    <row r="519">
      <c r="A519" s="1461" t="s">
        <v>2461</v>
      </c>
      <c r="B519" s="1468" t="b">
        <v>0</v>
      </c>
      <c r="C519" s="1428" t="b">
        <v>1</v>
      </c>
      <c r="D519" s="1428" t="b">
        <v>1</v>
      </c>
      <c r="E519" s="1428" t="b">
        <v>1</v>
      </c>
      <c r="F519" s="1429" t="b">
        <v>0</v>
      </c>
      <c r="G519" s="1429" t="b">
        <v>0</v>
      </c>
      <c r="H519" s="1429" t="b">
        <v>0</v>
      </c>
      <c r="I519" s="1429" t="b">
        <v>0</v>
      </c>
      <c r="J519" s="1429" t="b">
        <v>0</v>
      </c>
      <c r="K519" s="1469" t="s">
        <v>3774</v>
      </c>
      <c r="L519" s="1470" t="s">
        <v>3775</v>
      </c>
      <c r="M519" s="1446">
        <v>6.0</v>
      </c>
      <c r="N519" s="1471" t="s">
        <v>2252</v>
      </c>
      <c r="O519" s="1459" t="b">
        <v>0</v>
      </c>
      <c r="P519" s="1459" t="b">
        <v>0</v>
      </c>
      <c r="Q519" s="1460" t="s">
        <v>2253</v>
      </c>
      <c r="R519" s="1460" t="s">
        <v>2269</v>
      </c>
      <c r="S519" s="1460" t="b">
        <v>1</v>
      </c>
      <c r="T519" s="1460" t="b">
        <v>1</v>
      </c>
      <c r="U519" s="1460" t="b">
        <v>0</v>
      </c>
      <c r="V519" s="1460"/>
      <c r="W519" s="1460" t="s">
        <v>2411</v>
      </c>
      <c r="X519" s="1460" t="s">
        <v>3776</v>
      </c>
      <c r="Y519" s="1441" t="s">
        <v>137</v>
      </c>
    </row>
    <row r="520">
      <c r="A520" s="1461" t="s">
        <v>2461</v>
      </c>
      <c r="B520" s="1462" t="b">
        <v>0</v>
      </c>
      <c r="C520" s="1421" t="b">
        <v>0</v>
      </c>
      <c r="D520" s="1421" t="b">
        <v>0</v>
      </c>
      <c r="E520" s="1421" t="b">
        <v>0</v>
      </c>
      <c r="F520" s="1421" t="b">
        <v>0</v>
      </c>
      <c r="G520" s="1421" t="b">
        <v>0</v>
      </c>
      <c r="H520" s="1421" t="b">
        <v>0</v>
      </c>
      <c r="I520" s="1421" t="b">
        <v>0</v>
      </c>
      <c r="J520" s="1421" t="b">
        <v>0</v>
      </c>
      <c r="K520" s="1463" t="s">
        <v>3777</v>
      </c>
      <c r="L520" s="1464" t="s">
        <v>3778</v>
      </c>
      <c r="M520" s="1451">
        <v>6.0</v>
      </c>
      <c r="N520" s="1465" t="s">
        <v>3635</v>
      </c>
      <c r="O520" s="1466" t="b">
        <v>0</v>
      </c>
      <c r="P520" s="1466" t="b">
        <v>0</v>
      </c>
      <c r="Q520" s="1467" t="s">
        <v>2297</v>
      </c>
      <c r="R520" s="1467" t="s">
        <v>2500</v>
      </c>
      <c r="S520" s="1467" t="b">
        <v>1</v>
      </c>
      <c r="T520" s="1467" t="b">
        <v>1</v>
      </c>
      <c r="U520" s="1467" t="b">
        <v>1</v>
      </c>
      <c r="V520" s="1467" t="s">
        <v>3779</v>
      </c>
      <c r="W520" s="1467" t="s">
        <v>3637</v>
      </c>
      <c r="X520" s="1467" t="s">
        <v>3780</v>
      </c>
      <c r="Y520" s="1442" t="s">
        <v>137</v>
      </c>
    </row>
    <row r="521">
      <c r="A521" s="1461" t="s">
        <v>2461</v>
      </c>
      <c r="B521" s="1468" t="b">
        <v>0</v>
      </c>
      <c r="C521" s="1429" t="b">
        <v>0</v>
      </c>
      <c r="D521" s="1429" t="b">
        <v>0</v>
      </c>
      <c r="E521" s="1429" t="b">
        <v>0</v>
      </c>
      <c r="F521" s="1429" t="b">
        <v>0</v>
      </c>
      <c r="G521" s="1429" t="b">
        <v>0</v>
      </c>
      <c r="H521" s="1429" t="b">
        <v>0</v>
      </c>
      <c r="I521" s="1429" t="b">
        <v>0</v>
      </c>
      <c r="J521" s="1429" t="b">
        <v>0</v>
      </c>
      <c r="K521" s="1469" t="s">
        <v>3781</v>
      </c>
      <c r="L521" s="1470" t="s">
        <v>3782</v>
      </c>
      <c r="M521" s="1446">
        <v>6.0</v>
      </c>
      <c r="N521" s="1471" t="s">
        <v>3635</v>
      </c>
      <c r="O521" s="1459" t="b">
        <v>0</v>
      </c>
      <c r="P521" s="1459" t="b">
        <v>0</v>
      </c>
      <c r="Q521" s="1460" t="s">
        <v>2297</v>
      </c>
      <c r="R521" s="1460" t="s">
        <v>2500</v>
      </c>
      <c r="S521" s="1460" t="b">
        <v>1</v>
      </c>
      <c r="T521" s="1460" t="b">
        <v>1</v>
      </c>
      <c r="U521" s="1460" t="b">
        <v>1</v>
      </c>
      <c r="V521" s="1460" t="s">
        <v>3783</v>
      </c>
      <c r="W521" s="1460" t="s">
        <v>3637</v>
      </c>
      <c r="X521" s="1460" t="s">
        <v>3784</v>
      </c>
      <c r="Y521" s="1441" t="s">
        <v>137</v>
      </c>
    </row>
    <row r="522">
      <c r="A522" s="1461" t="s">
        <v>2461</v>
      </c>
      <c r="B522" s="1462" t="b">
        <v>0</v>
      </c>
      <c r="C522" s="1421" t="b">
        <v>0</v>
      </c>
      <c r="D522" s="1421" t="b">
        <v>0</v>
      </c>
      <c r="E522" s="1421" t="b">
        <v>0</v>
      </c>
      <c r="F522" s="1421" t="b">
        <v>0</v>
      </c>
      <c r="G522" s="1421" t="b">
        <v>0</v>
      </c>
      <c r="H522" s="1421" t="b">
        <v>0</v>
      </c>
      <c r="I522" s="1421" t="b">
        <v>0</v>
      </c>
      <c r="J522" s="1421" t="b">
        <v>0</v>
      </c>
      <c r="K522" s="1463" t="s">
        <v>3785</v>
      </c>
      <c r="L522" s="1464" t="s">
        <v>3786</v>
      </c>
      <c r="M522" s="1451">
        <v>6.0</v>
      </c>
      <c r="N522" s="1465" t="s">
        <v>3635</v>
      </c>
      <c r="O522" s="1466" t="b">
        <v>0</v>
      </c>
      <c r="P522" s="1466" t="b">
        <v>0</v>
      </c>
      <c r="Q522" s="1467" t="s">
        <v>2297</v>
      </c>
      <c r="R522" s="1467" t="s">
        <v>2500</v>
      </c>
      <c r="S522" s="1467" t="b">
        <v>1</v>
      </c>
      <c r="T522" s="1467" t="b">
        <v>1</v>
      </c>
      <c r="U522" s="1467" t="b">
        <v>1</v>
      </c>
      <c r="V522" s="1467" t="s">
        <v>3787</v>
      </c>
      <c r="W522" s="1467" t="s">
        <v>3637</v>
      </c>
      <c r="X522" s="1467" t="s">
        <v>3788</v>
      </c>
      <c r="Y522" s="1442" t="s">
        <v>137</v>
      </c>
    </row>
    <row r="523">
      <c r="A523" s="1461" t="s">
        <v>2461</v>
      </c>
      <c r="B523" s="1468" t="b">
        <v>0</v>
      </c>
      <c r="C523" s="1429" t="b">
        <v>0</v>
      </c>
      <c r="D523" s="1428" t="b">
        <v>0</v>
      </c>
      <c r="E523" s="1428" t="b">
        <v>1</v>
      </c>
      <c r="F523" s="1429" t="b">
        <v>0</v>
      </c>
      <c r="G523" s="1429" t="b">
        <v>0</v>
      </c>
      <c r="H523" s="1429" t="b">
        <v>0</v>
      </c>
      <c r="I523" s="1429" t="b">
        <v>0</v>
      </c>
      <c r="J523" s="1428" t="b">
        <v>1</v>
      </c>
      <c r="K523" s="1469" t="s">
        <v>3789</v>
      </c>
      <c r="L523" s="1470" t="s">
        <v>3790</v>
      </c>
      <c r="M523" s="1446">
        <v>6.0</v>
      </c>
      <c r="N523" s="1471" t="s">
        <v>2268</v>
      </c>
      <c r="O523" s="1459" t="b">
        <v>1</v>
      </c>
      <c r="P523" s="1459" t="b">
        <v>0</v>
      </c>
      <c r="Q523" s="1460" t="s">
        <v>2253</v>
      </c>
      <c r="R523" s="1460" t="s">
        <v>2254</v>
      </c>
      <c r="S523" s="1460" t="b">
        <v>1</v>
      </c>
      <c r="T523" s="1460" t="b">
        <v>1</v>
      </c>
      <c r="U523" s="1460" t="b">
        <v>0</v>
      </c>
      <c r="V523" s="1460"/>
      <c r="W523" s="1460" t="s">
        <v>2288</v>
      </c>
      <c r="X523" s="1460" t="s">
        <v>3791</v>
      </c>
      <c r="Y523" s="1441" t="s">
        <v>137</v>
      </c>
    </row>
    <row r="524">
      <c r="A524" s="1461" t="s">
        <v>2461</v>
      </c>
      <c r="B524" s="1462" t="b">
        <v>0</v>
      </c>
      <c r="C524" s="1421" t="b">
        <v>0</v>
      </c>
      <c r="D524" s="1421" t="b">
        <v>0</v>
      </c>
      <c r="E524" s="1421" t="b">
        <v>0</v>
      </c>
      <c r="F524" s="1421" t="b">
        <v>0</v>
      </c>
      <c r="G524" s="1421" t="b">
        <v>0</v>
      </c>
      <c r="H524" s="1420" t="b">
        <v>1</v>
      </c>
      <c r="I524" s="1421" t="b">
        <v>0</v>
      </c>
      <c r="J524" s="1420" t="b">
        <v>1</v>
      </c>
      <c r="K524" s="1463" t="s">
        <v>3792</v>
      </c>
      <c r="L524" s="1464" t="s">
        <v>3793</v>
      </c>
      <c r="M524" s="1451">
        <v>6.0</v>
      </c>
      <c r="N524" s="1465" t="s">
        <v>3524</v>
      </c>
      <c r="O524" s="1466" t="b">
        <v>1</v>
      </c>
      <c r="P524" s="1466" t="b">
        <v>0</v>
      </c>
      <c r="Q524" s="1467" t="s">
        <v>2253</v>
      </c>
      <c r="R524" s="1467" t="s">
        <v>2476</v>
      </c>
      <c r="S524" s="1467" t="b">
        <v>1</v>
      </c>
      <c r="T524" s="1467" t="b">
        <v>1</v>
      </c>
      <c r="U524" s="1467" t="b">
        <v>1</v>
      </c>
      <c r="V524" s="1467" t="s">
        <v>3794</v>
      </c>
      <c r="W524" s="1467" t="s">
        <v>2288</v>
      </c>
      <c r="X524" s="1467" t="s">
        <v>3795</v>
      </c>
      <c r="Y524" s="1442" t="s">
        <v>137</v>
      </c>
    </row>
    <row r="525">
      <c r="A525" s="1461" t="s">
        <v>2461</v>
      </c>
      <c r="B525" s="1468" t="b">
        <v>0</v>
      </c>
      <c r="C525" s="1429" t="b">
        <v>0</v>
      </c>
      <c r="D525" s="1428" t="b">
        <v>1</v>
      </c>
      <c r="E525" s="1428" t="b">
        <v>1</v>
      </c>
      <c r="F525" s="1429" t="b">
        <v>0</v>
      </c>
      <c r="G525" s="1429" t="b">
        <v>0</v>
      </c>
      <c r="H525" s="1428" t="b">
        <v>1</v>
      </c>
      <c r="I525" s="1428" t="b">
        <v>1</v>
      </c>
      <c r="J525" s="1428" t="b">
        <v>1</v>
      </c>
      <c r="K525" s="1469" t="s">
        <v>3796</v>
      </c>
      <c r="L525" s="1470" t="s">
        <v>3797</v>
      </c>
      <c r="M525" s="1446">
        <v>6.0</v>
      </c>
      <c r="N525" s="1471" t="s">
        <v>2268</v>
      </c>
      <c r="O525" s="1459" t="b">
        <v>0</v>
      </c>
      <c r="P525" s="1459" t="b">
        <v>0</v>
      </c>
      <c r="Q525" s="1460" t="s">
        <v>2253</v>
      </c>
      <c r="R525" s="1460" t="s">
        <v>2667</v>
      </c>
      <c r="S525" s="1460" t="b">
        <v>1</v>
      </c>
      <c r="T525" s="1460" t="b">
        <v>1</v>
      </c>
      <c r="U525" s="1460" t="b">
        <v>1</v>
      </c>
      <c r="V525" s="1460"/>
      <c r="W525" s="1460" t="s">
        <v>2264</v>
      </c>
      <c r="X525" s="1460" t="s">
        <v>3798</v>
      </c>
      <c r="Y525" s="1441" t="s">
        <v>137</v>
      </c>
    </row>
    <row r="526">
      <c r="A526" s="1461" t="s">
        <v>2461</v>
      </c>
      <c r="B526" s="1448" t="b">
        <v>0</v>
      </c>
      <c r="C526" s="1420" t="b">
        <v>1</v>
      </c>
      <c r="D526" s="1421" t="b">
        <v>0</v>
      </c>
      <c r="E526" s="1421" t="b">
        <v>0</v>
      </c>
      <c r="F526" s="1421" t="b">
        <v>0</v>
      </c>
      <c r="G526" s="1421" t="b">
        <v>0</v>
      </c>
      <c r="H526" s="1420" t="b">
        <v>1</v>
      </c>
      <c r="I526" s="1420" t="b">
        <v>1</v>
      </c>
      <c r="J526" s="1420" t="b">
        <v>1</v>
      </c>
      <c r="K526" s="1458" t="s">
        <v>3799</v>
      </c>
      <c r="L526" s="1450" t="s">
        <v>3800</v>
      </c>
      <c r="M526" s="1451">
        <v>6.0</v>
      </c>
      <c r="N526" s="1451" t="s">
        <v>2302</v>
      </c>
      <c r="O526" s="1454" t="b">
        <v>1</v>
      </c>
      <c r="P526" s="1452" t="b">
        <v>0</v>
      </c>
      <c r="Q526" s="1437" t="s">
        <v>2253</v>
      </c>
      <c r="R526" s="1437" t="s">
        <v>2269</v>
      </c>
      <c r="S526" s="1437" t="b">
        <v>1</v>
      </c>
      <c r="T526" s="1437" t="b">
        <v>1</v>
      </c>
      <c r="U526" s="1437" t="b">
        <v>1</v>
      </c>
      <c r="V526" s="1437" t="s">
        <v>3801</v>
      </c>
      <c r="W526" s="1437" t="s">
        <v>2308</v>
      </c>
      <c r="X526" s="1437" t="s">
        <v>3802</v>
      </c>
      <c r="Y526" s="1442" t="s">
        <v>137</v>
      </c>
    </row>
    <row r="527">
      <c r="A527" s="1461" t="s">
        <v>2461</v>
      </c>
      <c r="B527" s="1468" t="b">
        <v>0</v>
      </c>
      <c r="C527" s="1429" t="b">
        <v>0</v>
      </c>
      <c r="D527" s="1428" t="b">
        <v>0</v>
      </c>
      <c r="E527" s="1428" t="b">
        <v>1</v>
      </c>
      <c r="F527" s="1429" t="b">
        <v>0</v>
      </c>
      <c r="G527" s="1429" t="b">
        <v>0</v>
      </c>
      <c r="H527" s="1428" t="b">
        <v>0</v>
      </c>
      <c r="I527" s="1428" t="b">
        <v>0</v>
      </c>
      <c r="J527" s="1428" t="b">
        <v>0</v>
      </c>
      <c r="K527" s="1469" t="s">
        <v>3803</v>
      </c>
      <c r="L527" s="1470" t="s">
        <v>3804</v>
      </c>
      <c r="M527" s="1472">
        <v>7.0</v>
      </c>
      <c r="N527" s="1471" t="s">
        <v>2268</v>
      </c>
      <c r="O527" s="1459" t="b">
        <v>0</v>
      </c>
      <c r="P527" s="1459" t="b">
        <v>0</v>
      </c>
      <c r="Q527" s="1460" t="s">
        <v>2253</v>
      </c>
      <c r="R527" s="1460" t="s">
        <v>2254</v>
      </c>
      <c r="S527" s="1460" t="b">
        <v>1</v>
      </c>
      <c r="T527" s="1460" t="b">
        <v>1</v>
      </c>
      <c r="U527" s="1460" t="b">
        <v>1</v>
      </c>
      <c r="V527" s="1460" t="s">
        <v>3805</v>
      </c>
      <c r="W527" s="1460" t="s">
        <v>2313</v>
      </c>
      <c r="X527" s="1460" t="s">
        <v>3806</v>
      </c>
      <c r="Y527" s="1441" t="s">
        <v>137</v>
      </c>
    </row>
    <row r="528">
      <c r="A528" s="1461" t="s">
        <v>2461</v>
      </c>
      <c r="B528" s="1462" t="b">
        <v>0</v>
      </c>
      <c r="C528" s="1420" t="b">
        <v>1</v>
      </c>
      <c r="D528" s="1421" t="b">
        <v>0</v>
      </c>
      <c r="E528" s="1421" t="b">
        <v>0</v>
      </c>
      <c r="F528" s="1421" t="b">
        <v>0</v>
      </c>
      <c r="G528" s="1421" t="b">
        <v>0</v>
      </c>
      <c r="H528" s="1421" t="b">
        <v>0</v>
      </c>
      <c r="I528" s="1420" t="b">
        <v>1</v>
      </c>
      <c r="J528" s="1420" t="b">
        <v>1</v>
      </c>
      <c r="K528" s="1463" t="s">
        <v>3807</v>
      </c>
      <c r="L528" s="1464" t="s">
        <v>3808</v>
      </c>
      <c r="M528" s="1473">
        <v>7.0</v>
      </c>
      <c r="N528" s="1465" t="s">
        <v>3532</v>
      </c>
      <c r="O528" s="1466" t="b">
        <v>0</v>
      </c>
      <c r="P528" s="1466" t="b">
        <v>0</v>
      </c>
      <c r="Q528" s="1467" t="s">
        <v>2253</v>
      </c>
      <c r="R528" s="1467" t="s">
        <v>3809</v>
      </c>
      <c r="S528" s="1467" t="b">
        <v>1</v>
      </c>
      <c r="T528" s="1467" t="b">
        <v>0</v>
      </c>
      <c r="U528" s="1467" t="b">
        <v>0</v>
      </c>
      <c r="V528" s="1467"/>
      <c r="W528" s="1467" t="s">
        <v>2255</v>
      </c>
      <c r="X528" s="1467" t="s">
        <v>3810</v>
      </c>
      <c r="Y528" s="1442" t="s">
        <v>137</v>
      </c>
    </row>
    <row r="529">
      <c r="A529" s="1461" t="s">
        <v>2461</v>
      </c>
      <c r="B529" s="1468" t="b">
        <v>0</v>
      </c>
      <c r="C529" s="1429" t="b">
        <v>0</v>
      </c>
      <c r="D529" s="1429" t="b">
        <v>0</v>
      </c>
      <c r="E529" s="1429" t="b">
        <v>0</v>
      </c>
      <c r="F529" s="1429" t="b">
        <v>0</v>
      </c>
      <c r="G529" s="1429" t="b">
        <v>0</v>
      </c>
      <c r="H529" s="1429" t="b">
        <v>0</v>
      </c>
      <c r="I529" s="1428" t="b">
        <v>1</v>
      </c>
      <c r="J529" s="1428" t="b">
        <v>1</v>
      </c>
      <c r="K529" s="1469" t="s">
        <v>3811</v>
      </c>
      <c r="L529" s="1470" t="s">
        <v>3812</v>
      </c>
      <c r="M529" s="1472">
        <v>7.0</v>
      </c>
      <c r="N529" s="1471" t="s">
        <v>2282</v>
      </c>
      <c r="O529" s="1459" t="b">
        <v>1</v>
      </c>
      <c r="P529" s="1459" t="b">
        <v>0</v>
      </c>
      <c r="Q529" s="1460" t="s">
        <v>2253</v>
      </c>
      <c r="R529" s="1460" t="s">
        <v>2667</v>
      </c>
      <c r="S529" s="1460" t="b">
        <v>1</v>
      </c>
      <c r="T529" s="1460" t="b">
        <v>1</v>
      </c>
      <c r="U529" s="1460" t="b">
        <v>0</v>
      </c>
      <c r="V529" s="1460"/>
      <c r="W529" s="1460" t="s">
        <v>2288</v>
      </c>
      <c r="X529" s="1460" t="s">
        <v>3813</v>
      </c>
      <c r="Y529" s="1441" t="s">
        <v>137</v>
      </c>
    </row>
    <row r="530">
      <c r="A530" s="1461" t="s">
        <v>2461</v>
      </c>
      <c r="B530" s="1462" t="b">
        <v>0</v>
      </c>
      <c r="C530" s="1420" t="b">
        <v>1</v>
      </c>
      <c r="D530" s="1421" t="b">
        <v>0</v>
      </c>
      <c r="E530" s="1421" t="b">
        <v>0</v>
      </c>
      <c r="F530" s="1421" t="b">
        <v>0</v>
      </c>
      <c r="G530" s="1421" t="b">
        <v>0</v>
      </c>
      <c r="H530" s="1420" t="b">
        <v>1</v>
      </c>
      <c r="I530" s="1420" t="b">
        <v>1</v>
      </c>
      <c r="J530" s="1420" t="b">
        <v>1</v>
      </c>
      <c r="K530" s="1463" t="s">
        <v>3814</v>
      </c>
      <c r="L530" s="1464" t="s">
        <v>3815</v>
      </c>
      <c r="M530" s="1473">
        <v>7.0</v>
      </c>
      <c r="N530" s="1465" t="s">
        <v>2273</v>
      </c>
      <c r="O530" s="1466" t="b">
        <v>0</v>
      </c>
      <c r="P530" s="1466" t="b">
        <v>0</v>
      </c>
      <c r="Q530" s="1467" t="s">
        <v>2253</v>
      </c>
      <c r="R530" s="1467" t="s">
        <v>2254</v>
      </c>
      <c r="S530" s="1467" t="b">
        <v>1</v>
      </c>
      <c r="T530" s="1467" t="b">
        <v>0</v>
      </c>
      <c r="U530" s="1467" t="b">
        <v>0</v>
      </c>
      <c r="V530" s="1467"/>
      <c r="W530" s="1467" t="s">
        <v>2255</v>
      </c>
      <c r="X530" s="1467" t="s">
        <v>3816</v>
      </c>
      <c r="Y530" s="1442" t="s">
        <v>137</v>
      </c>
    </row>
    <row r="531">
      <c r="A531" s="1461" t="s">
        <v>2461</v>
      </c>
      <c r="B531" s="1468" t="b">
        <v>0</v>
      </c>
      <c r="C531" s="1429" t="b">
        <v>0</v>
      </c>
      <c r="D531" s="1429" t="b">
        <v>0</v>
      </c>
      <c r="E531" s="1429" t="b">
        <v>0</v>
      </c>
      <c r="F531" s="1429" t="b">
        <v>0</v>
      </c>
      <c r="G531" s="1429" t="b">
        <v>0</v>
      </c>
      <c r="H531" s="1428" t="b">
        <v>1</v>
      </c>
      <c r="I531" s="1428" t="b">
        <v>1</v>
      </c>
      <c r="J531" s="1428" t="b">
        <v>1</v>
      </c>
      <c r="K531" s="1469" t="s">
        <v>3817</v>
      </c>
      <c r="L531" s="1470" t="s">
        <v>3818</v>
      </c>
      <c r="M531" s="1472">
        <v>7.0</v>
      </c>
      <c r="N531" s="1471" t="s">
        <v>3524</v>
      </c>
      <c r="O531" s="1459" t="b">
        <v>0</v>
      </c>
      <c r="P531" s="1459" t="b">
        <v>0</v>
      </c>
      <c r="Q531" s="1460" t="s">
        <v>2253</v>
      </c>
      <c r="R531" s="1460" t="s">
        <v>2254</v>
      </c>
      <c r="S531" s="1460" t="b">
        <v>1</v>
      </c>
      <c r="T531" s="1460" t="b">
        <v>1</v>
      </c>
      <c r="U531" s="1460" t="b">
        <v>1</v>
      </c>
      <c r="V531" s="1460" t="s">
        <v>3819</v>
      </c>
      <c r="W531" s="1460" t="s">
        <v>2255</v>
      </c>
      <c r="X531" s="1460" t="s">
        <v>3820</v>
      </c>
      <c r="Y531" s="1441" t="s">
        <v>137</v>
      </c>
    </row>
    <row r="532">
      <c r="A532" s="1461" t="s">
        <v>2461</v>
      </c>
      <c r="B532" s="1462" t="b">
        <v>0</v>
      </c>
      <c r="C532" s="1421" t="b">
        <v>0</v>
      </c>
      <c r="D532" s="1421" t="b">
        <v>0</v>
      </c>
      <c r="E532" s="1421" t="b">
        <v>0</v>
      </c>
      <c r="F532" s="1421" t="b">
        <v>0</v>
      </c>
      <c r="G532" s="1421" t="b">
        <v>0</v>
      </c>
      <c r="H532" s="1421" t="b">
        <v>0</v>
      </c>
      <c r="I532" s="1420" t="b">
        <v>1</v>
      </c>
      <c r="J532" s="1420" t="b">
        <v>1</v>
      </c>
      <c r="K532" s="1463" t="s">
        <v>3821</v>
      </c>
      <c r="L532" s="1464" t="s">
        <v>3822</v>
      </c>
      <c r="M532" s="1473">
        <v>8.0</v>
      </c>
      <c r="N532" s="1465" t="s">
        <v>3724</v>
      </c>
      <c r="O532" s="1466" t="b">
        <v>1</v>
      </c>
      <c r="P532" s="1466" t="b">
        <v>0</v>
      </c>
      <c r="Q532" s="1467" t="s">
        <v>2253</v>
      </c>
      <c r="R532" s="1467" t="s">
        <v>2254</v>
      </c>
      <c r="S532" s="1467" t="b">
        <v>0</v>
      </c>
      <c r="T532" s="1467" t="b">
        <v>1</v>
      </c>
      <c r="U532" s="1467" t="b">
        <v>0</v>
      </c>
      <c r="V532" s="1467"/>
      <c r="W532" s="1467" t="s">
        <v>2288</v>
      </c>
      <c r="X532" s="1467" t="s">
        <v>3823</v>
      </c>
      <c r="Y532" s="1442" t="s">
        <v>137</v>
      </c>
    </row>
    <row r="533">
      <c r="A533" s="1461" t="s">
        <v>2461</v>
      </c>
      <c r="B533" s="1468" t="b">
        <v>0</v>
      </c>
      <c r="C533" s="1429" t="b">
        <v>0</v>
      </c>
      <c r="D533" s="1428" t="b">
        <v>1</v>
      </c>
      <c r="E533" s="1428" t="b">
        <v>1</v>
      </c>
      <c r="F533" s="1429" t="b">
        <v>0</v>
      </c>
      <c r="G533" s="1429" t="b">
        <v>0</v>
      </c>
      <c r="H533" s="1429" t="b">
        <v>0</v>
      </c>
      <c r="I533" s="1429" t="b">
        <v>0</v>
      </c>
      <c r="J533" s="1429" t="b">
        <v>0</v>
      </c>
      <c r="K533" s="1469" t="s">
        <v>3824</v>
      </c>
      <c r="L533" s="1470" t="s">
        <v>3825</v>
      </c>
      <c r="M533" s="1472">
        <v>8.0</v>
      </c>
      <c r="N533" s="1471" t="s">
        <v>2282</v>
      </c>
      <c r="O533" s="1459" t="b">
        <v>1</v>
      </c>
      <c r="P533" s="1459" t="b">
        <v>0</v>
      </c>
      <c r="Q533" s="1460" t="s">
        <v>2253</v>
      </c>
      <c r="R533" s="1460" t="s">
        <v>2254</v>
      </c>
      <c r="S533" s="1460" t="b">
        <v>1</v>
      </c>
      <c r="T533" s="1460" t="b">
        <v>1</v>
      </c>
      <c r="U533" s="1460" t="b">
        <v>1</v>
      </c>
      <c r="V533" s="1460" t="s">
        <v>3826</v>
      </c>
      <c r="W533" s="1460" t="s">
        <v>2288</v>
      </c>
      <c r="X533" s="1460" t="s">
        <v>3827</v>
      </c>
      <c r="Y533" s="1441" t="s">
        <v>137</v>
      </c>
    </row>
    <row r="534">
      <c r="A534" s="1461" t="s">
        <v>2461</v>
      </c>
      <c r="B534" s="1462" t="b">
        <v>0</v>
      </c>
      <c r="C534" s="1421" t="b">
        <v>0</v>
      </c>
      <c r="D534" s="1420" t="b">
        <v>1</v>
      </c>
      <c r="E534" s="1420" t="b">
        <v>1</v>
      </c>
      <c r="F534" s="1421" t="b">
        <v>0</v>
      </c>
      <c r="G534" s="1421" t="b">
        <v>0</v>
      </c>
      <c r="H534" s="1420" t="b">
        <v>1</v>
      </c>
      <c r="I534" s="1421" t="b">
        <v>0</v>
      </c>
      <c r="J534" s="1420" t="b">
        <v>1</v>
      </c>
      <c r="K534" s="1463" t="s">
        <v>3828</v>
      </c>
      <c r="L534" s="1464" t="s">
        <v>3829</v>
      </c>
      <c r="M534" s="1473">
        <v>8.0</v>
      </c>
      <c r="N534" s="1465" t="s">
        <v>2282</v>
      </c>
      <c r="O534" s="1466" t="b">
        <v>1</v>
      </c>
      <c r="P534" s="1466" t="b">
        <v>0</v>
      </c>
      <c r="Q534" s="1467" t="s">
        <v>2253</v>
      </c>
      <c r="R534" s="1467" t="s">
        <v>2269</v>
      </c>
      <c r="S534" s="1467" t="b">
        <v>1</v>
      </c>
      <c r="T534" s="1467" t="b">
        <v>1</v>
      </c>
      <c r="U534" s="1467" t="b">
        <v>0</v>
      </c>
      <c r="V534" s="1467"/>
      <c r="W534" s="1467" t="s">
        <v>2288</v>
      </c>
      <c r="X534" s="1467" t="s">
        <v>3830</v>
      </c>
      <c r="Y534" s="1442" t="s">
        <v>137</v>
      </c>
    </row>
    <row r="535">
      <c r="A535" s="1461" t="s">
        <v>2461</v>
      </c>
      <c r="B535" s="1468" t="b">
        <v>0</v>
      </c>
      <c r="C535" s="1429" t="b">
        <v>0</v>
      </c>
      <c r="D535" s="1428" t="b">
        <v>1</v>
      </c>
      <c r="E535" s="1429" t="b">
        <v>0</v>
      </c>
      <c r="F535" s="1429" t="b">
        <v>0</v>
      </c>
      <c r="G535" s="1429" t="b">
        <v>0</v>
      </c>
      <c r="H535" s="1429" t="b">
        <v>0</v>
      </c>
      <c r="I535" s="1428" t="b">
        <v>1</v>
      </c>
      <c r="J535" s="1429" t="b">
        <v>0</v>
      </c>
      <c r="K535" s="1469" t="s">
        <v>3831</v>
      </c>
      <c r="L535" s="1470" t="s">
        <v>3832</v>
      </c>
      <c r="M535" s="1472">
        <v>8.0</v>
      </c>
      <c r="N535" s="1471" t="s">
        <v>3532</v>
      </c>
      <c r="O535" s="1459" t="b">
        <v>1</v>
      </c>
      <c r="P535" s="1459" t="b">
        <v>0</v>
      </c>
      <c r="Q535" s="1460" t="s">
        <v>2411</v>
      </c>
      <c r="R535" s="1460" t="s">
        <v>2269</v>
      </c>
      <c r="S535" s="1460" t="b">
        <v>1</v>
      </c>
      <c r="T535" s="1460" t="b">
        <v>1</v>
      </c>
      <c r="U535" s="1460" t="b">
        <v>1</v>
      </c>
      <c r="V535" s="1460"/>
      <c r="W535" s="1460" t="s">
        <v>2481</v>
      </c>
      <c r="X535" s="1460" t="s">
        <v>3833</v>
      </c>
      <c r="Y535" s="1441" t="s">
        <v>137</v>
      </c>
    </row>
    <row r="536">
      <c r="A536" s="1461" t="s">
        <v>2461</v>
      </c>
      <c r="B536" s="1462" t="b">
        <v>0</v>
      </c>
      <c r="C536" s="1421" t="b">
        <v>0</v>
      </c>
      <c r="D536" s="1420" t="b">
        <v>1</v>
      </c>
      <c r="E536" s="1421" t="b">
        <v>0</v>
      </c>
      <c r="F536" s="1421" t="b">
        <v>0</v>
      </c>
      <c r="G536" s="1421" t="b">
        <v>0</v>
      </c>
      <c r="H536" s="1421" t="b">
        <v>0</v>
      </c>
      <c r="I536" s="1420" t="b">
        <v>1</v>
      </c>
      <c r="J536" s="1420" t="b">
        <v>1</v>
      </c>
      <c r="K536" s="1463" t="s">
        <v>3834</v>
      </c>
      <c r="L536" s="1464" t="s">
        <v>3835</v>
      </c>
      <c r="M536" s="1473">
        <v>8.0</v>
      </c>
      <c r="N536" s="1465" t="s">
        <v>2282</v>
      </c>
      <c r="O536" s="1466" t="b">
        <v>0</v>
      </c>
      <c r="P536" s="1466" t="b">
        <v>0</v>
      </c>
      <c r="Q536" s="1467" t="s">
        <v>2297</v>
      </c>
      <c r="R536" s="1467" t="s">
        <v>2283</v>
      </c>
      <c r="S536" s="1467" t="b">
        <v>1</v>
      </c>
      <c r="T536" s="1467" t="b">
        <v>1</v>
      </c>
      <c r="U536" s="1467" t="b">
        <v>1</v>
      </c>
      <c r="V536" s="1467" t="s">
        <v>3836</v>
      </c>
      <c r="W536" s="1467" t="s">
        <v>2255</v>
      </c>
      <c r="X536" s="1467" t="s">
        <v>3837</v>
      </c>
      <c r="Y536" s="1442" t="s">
        <v>137</v>
      </c>
    </row>
    <row r="537">
      <c r="A537" s="1461" t="s">
        <v>2461</v>
      </c>
      <c r="B537" s="1468" t="b">
        <v>0</v>
      </c>
      <c r="C537" s="1428" t="b">
        <v>1</v>
      </c>
      <c r="D537" s="1429" t="b">
        <v>0</v>
      </c>
      <c r="E537" s="1429" t="b">
        <v>0</v>
      </c>
      <c r="F537" s="1429" t="b">
        <v>0</v>
      </c>
      <c r="G537" s="1429" t="b">
        <v>0</v>
      </c>
      <c r="H537" s="1429" t="b">
        <v>0</v>
      </c>
      <c r="I537" s="1429" t="b">
        <v>0</v>
      </c>
      <c r="J537" s="1428" t="b">
        <v>1</v>
      </c>
      <c r="K537" s="1469" t="s">
        <v>3838</v>
      </c>
      <c r="L537" s="1470" t="s">
        <v>3839</v>
      </c>
      <c r="M537" s="1472">
        <v>8.0</v>
      </c>
      <c r="N537" s="1471" t="s">
        <v>2306</v>
      </c>
      <c r="O537" s="1459" t="b">
        <v>0</v>
      </c>
      <c r="P537" s="1459" t="b">
        <v>0</v>
      </c>
      <c r="Q537" s="1460" t="s">
        <v>2253</v>
      </c>
      <c r="R537" s="1460" t="s">
        <v>2287</v>
      </c>
      <c r="S537" s="1460" t="b">
        <v>1</v>
      </c>
      <c r="T537" s="1460" t="b">
        <v>1</v>
      </c>
      <c r="U537" s="1460" t="b">
        <v>1</v>
      </c>
      <c r="V537" s="1460" t="s">
        <v>3840</v>
      </c>
      <c r="W537" s="1460" t="s">
        <v>2411</v>
      </c>
      <c r="X537" s="1460" t="s">
        <v>3841</v>
      </c>
      <c r="Y537" s="1441" t="s">
        <v>137</v>
      </c>
    </row>
    <row r="538">
      <c r="A538" s="1461" t="s">
        <v>2461</v>
      </c>
      <c r="B538" s="1462" t="b">
        <v>0</v>
      </c>
      <c r="C538" s="1420" t="b">
        <v>1</v>
      </c>
      <c r="D538" s="1420" t="b">
        <v>1</v>
      </c>
      <c r="E538" s="1421" t="b">
        <v>0</v>
      </c>
      <c r="F538" s="1421" t="b">
        <v>0</v>
      </c>
      <c r="G538" s="1421" t="b">
        <v>0</v>
      </c>
      <c r="H538" s="1421" t="b">
        <v>0</v>
      </c>
      <c r="I538" s="1421" t="b">
        <v>0</v>
      </c>
      <c r="J538" s="1421" t="b">
        <v>0</v>
      </c>
      <c r="K538" s="1463" t="s">
        <v>3842</v>
      </c>
      <c r="L538" s="1464" t="s">
        <v>3843</v>
      </c>
      <c r="M538" s="1473">
        <v>9.0</v>
      </c>
      <c r="N538" s="1465" t="s">
        <v>2258</v>
      </c>
      <c r="O538" s="1466" t="b">
        <v>0</v>
      </c>
      <c r="P538" s="1466" t="b">
        <v>0</v>
      </c>
      <c r="Q538" s="1467" t="s">
        <v>2253</v>
      </c>
      <c r="R538" s="1467" t="s">
        <v>2254</v>
      </c>
      <c r="S538" s="1467" t="b">
        <v>1</v>
      </c>
      <c r="T538" s="1467" t="b">
        <v>0</v>
      </c>
      <c r="U538" s="1467" t="b">
        <v>0</v>
      </c>
      <c r="V538" s="1467"/>
      <c r="W538" s="1467" t="s">
        <v>2264</v>
      </c>
      <c r="X538" s="1467" t="s">
        <v>3844</v>
      </c>
      <c r="Y538" s="1442" t="s">
        <v>137</v>
      </c>
    </row>
    <row r="539">
      <c r="A539" s="1461" t="s">
        <v>2461</v>
      </c>
      <c r="B539" s="1468" t="b">
        <v>0</v>
      </c>
      <c r="C539" s="1429" t="b">
        <v>0</v>
      </c>
      <c r="D539" s="1428" t="b">
        <v>1</v>
      </c>
      <c r="E539" s="1428" t="b">
        <v>1</v>
      </c>
      <c r="F539" s="1429" t="b">
        <v>0</v>
      </c>
      <c r="G539" s="1429" t="b">
        <v>0</v>
      </c>
      <c r="H539" s="1428" t="b">
        <v>1</v>
      </c>
      <c r="I539" s="1429" t="b">
        <v>0</v>
      </c>
      <c r="J539" s="1429" t="b">
        <v>0</v>
      </c>
      <c r="K539" s="1469" t="s">
        <v>3845</v>
      </c>
      <c r="L539" s="1470" t="s">
        <v>3846</v>
      </c>
      <c r="M539" s="1472">
        <v>9.0</v>
      </c>
      <c r="N539" s="1471" t="s">
        <v>2252</v>
      </c>
      <c r="O539" s="1459" t="b">
        <v>0</v>
      </c>
      <c r="P539" s="1459" t="b">
        <v>0</v>
      </c>
      <c r="Q539" s="1460" t="s">
        <v>2253</v>
      </c>
      <c r="R539" s="1460" t="s">
        <v>2269</v>
      </c>
      <c r="S539" s="1460" t="b">
        <v>1</v>
      </c>
      <c r="T539" s="1460" t="b">
        <v>1</v>
      </c>
      <c r="U539" s="1460" t="b">
        <v>0</v>
      </c>
      <c r="V539" s="1460"/>
      <c r="W539" s="1460" t="s">
        <v>2255</v>
      </c>
      <c r="X539" s="1460" t="s">
        <v>3847</v>
      </c>
      <c r="Y539" s="1441" t="s">
        <v>137</v>
      </c>
    </row>
    <row r="540">
      <c r="A540" s="1474" t="s">
        <v>2461</v>
      </c>
      <c r="B540" s="1462" t="b">
        <v>0</v>
      </c>
      <c r="C540" s="1421" t="b">
        <v>0</v>
      </c>
      <c r="D540" s="1421" t="b">
        <v>0</v>
      </c>
      <c r="E540" s="1421" t="b">
        <v>0</v>
      </c>
      <c r="F540" s="1421" t="b">
        <v>0</v>
      </c>
      <c r="G540" s="1421" t="b">
        <v>0</v>
      </c>
      <c r="H540" s="1421" t="b">
        <v>0</v>
      </c>
      <c r="I540" s="1420" t="b">
        <v>1</v>
      </c>
      <c r="J540" s="1421" t="b">
        <v>0</v>
      </c>
      <c r="K540" s="1463" t="s">
        <v>3848</v>
      </c>
      <c r="L540" s="1464" t="s">
        <v>3849</v>
      </c>
      <c r="M540" s="1473">
        <v>9.0</v>
      </c>
      <c r="N540" s="1465" t="s">
        <v>3514</v>
      </c>
      <c r="O540" s="1466" t="b">
        <v>0</v>
      </c>
      <c r="P540" s="1466" t="b">
        <v>0</v>
      </c>
      <c r="Q540" s="1467" t="s">
        <v>3850</v>
      </c>
      <c r="R540" s="1467" t="s">
        <v>2476</v>
      </c>
      <c r="S540" s="1467" t="b">
        <v>1</v>
      </c>
      <c r="T540" s="1467" t="b">
        <v>1</v>
      </c>
      <c r="U540" s="1467" t="b">
        <v>1</v>
      </c>
      <c r="V540" s="1467" t="s">
        <v>3851</v>
      </c>
      <c r="W540" s="1467" t="s">
        <v>2255</v>
      </c>
      <c r="X540" s="1467" t="s">
        <v>3852</v>
      </c>
      <c r="Y540" s="1442" t="s">
        <v>137</v>
      </c>
    </row>
    <row r="541">
      <c r="A541" s="1474" t="s">
        <v>2461</v>
      </c>
      <c r="B541" s="1468" t="b">
        <v>0</v>
      </c>
      <c r="C541" s="1429" t="b">
        <v>0</v>
      </c>
      <c r="D541" s="1428" t="b">
        <v>1</v>
      </c>
      <c r="E541" s="1429" t="b">
        <v>0</v>
      </c>
      <c r="F541" s="1429" t="b">
        <v>0</v>
      </c>
      <c r="G541" s="1429" t="b">
        <v>0</v>
      </c>
      <c r="H541" s="1429" t="b">
        <v>0</v>
      </c>
      <c r="I541" s="1429" t="b">
        <v>0</v>
      </c>
      <c r="J541" s="1428" t="b">
        <v>1</v>
      </c>
      <c r="K541" s="1469" t="s">
        <v>3853</v>
      </c>
      <c r="L541" s="1470" t="s">
        <v>3854</v>
      </c>
      <c r="M541" s="1472">
        <v>9.0</v>
      </c>
      <c r="N541" s="1471" t="s">
        <v>2282</v>
      </c>
      <c r="O541" s="1459" t="b">
        <v>1</v>
      </c>
      <c r="P541" s="1459" t="b">
        <v>0</v>
      </c>
      <c r="Q541" s="1460" t="s">
        <v>2253</v>
      </c>
      <c r="R541" s="1460" t="s">
        <v>2254</v>
      </c>
      <c r="S541" s="1460" t="b">
        <v>1</v>
      </c>
      <c r="T541" s="1460" t="b">
        <v>1</v>
      </c>
      <c r="U541" s="1460" t="b">
        <v>0</v>
      </c>
      <c r="V541" s="1460"/>
      <c r="W541" s="1460" t="s">
        <v>2308</v>
      </c>
      <c r="X541" s="1460" t="s">
        <v>3855</v>
      </c>
      <c r="Y541" s="1441" t="s">
        <v>137</v>
      </c>
    </row>
    <row r="542">
      <c r="A542" s="1474" t="s">
        <v>2461</v>
      </c>
      <c r="B542" s="1462" t="b">
        <v>0</v>
      </c>
      <c r="C542" s="1421" t="b">
        <v>0</v>
      </c>
      <c r="D542" s="1421" t="b">
        <v>0</v>
      </c>
      <c r="E542" s="1421" t="b">
        <v>0</v>
      </c>
      <c r="F542" s="1421" t="b">
        <v>0</v>
      </c>
      <c r="G542" s="1421" t="b">
        <v>0</v>
      </c>
      <c r="H542" s="1420" t="b">
        <v>1</v>
      </c>
      <c r="I542" s="1420" t="b">
        <v>1</v>
      </c>
      <c r="J542" s="1420" t="b">
        <v>1</v>
      </c>
      <c r="K542" s="1463" t="s">
        <v>3856</v>
      </c>
      <c r="L542" s="1464" t="s">
        <v>3857</v>
      </c>
      <c r="M542" s="1473">
        <v>0.0</v>
      </c>
      <c r="N542" s="1465" t="s">
        <v>2282</v>
      </c>
      <c r="O542" s="1466" t="b">
        <v>0</v>
      </c>
      <c r="P542" s="1466" t="b">
        <v>0</v>
      </c>
      <c r="Q542" s="1467" t="s">
        <v>2253</v>
      </c>
      <c r="R542" s="1467" t="s">
        <v>2368</v>
      </c>
      <c r="S542" s="1467" t="b">
        <v>1</v>
      </c>
      <c r="T542" s="1467" t="b">
        <v>1</v>
      </c>
      <c r="U542" s="1467" t="b">
        <v>0</v>
      </c>
      <c r="V542" s="1467"/>
      <c r="W542" s="1467" t="s">
        <v>2255</v>
      </c>
      <c r="X542" s="1467" t="s">
        <v>3858</v>
      </c>
      <c r="Y542" s="1442" t="s">
        <v>116</v>
      </c>
    </row>
    <row r="543">
      <c r="A543" s="1474" t="s">
        <v>2461</v>
      </c>
      <c r="B543" s="1468" t="b">
        <v>0</v>
      </c>
      <c r="C543" s="1429" t="b">
        <v>0</v>
      </c>
      <c r="D543" s="1429" t="b">
        <v>0</v>
      </c>
      <c r="E543" s="1429" t="b">
        <v>0</v>
      </c>
      <c r="F543" s="1429" t="b">
        <v>0</v>
      </c>
      <c r="G543" s="1429" t="b">
        <v>0</v>
      </c>
      <c r="H543" s="1429" t="b">
        <v>0</v>
      </c>
      <c r="I543" s="1429" t="b">
        <v>0</v>
      </c>
      <c r="J543" s="1428" t="b">
        <v>1</v>
      </c>
      <c r="K543" s="1469" t="s">
        <v>3859</v>
      </c>
      <c r="L543" s="1470" t="s">
        <v>3860</v>
      </c>
      <c r="M543" s="1472">
        <v>0.0</v>
      </c>
      <c r="N543" s="1471" t="s">
        <v>2268</v>
      </c>
      <c r="O543" s="1459" t="b">
        <v>0</v>
      </c>
      <c r="P543" s="1459" t="b">
        <v>0</v>
      </c>
      <c r="Q543" s="1460" t="s">
        <v>2253</v>
      </c>
      <c r="R543" s="1460" t="s">
        <v>2311</v>
      </c>
      <c r="S543" s="1460" t="b">
        <v>1</v>
      </c>
      <c r="T543" s="1460" t="b">
        <v>1</v>
      </c>
      <c r="U543" s="1460" t="b">
        <v>0</v>
      </c>
      <c r="V543" s="1460"/>
      <c r="W543" s="1460" t="s">
        <v>2255</v>
      </c>
      <c r="X543" s="1460" t="s">
        <v>3861</v>
      </c>
      <c r="Y543" s="1441" t="s">
        <v>116</v>
      </c>
    </row>
    <row r="544">
      <c r="A544" s="1474" t="s">
        <v>2461</v>
      </c>
      <c r="B544" s="1462" t="b">
        <v>0</v>
      </c>
      <c r="C544" s="1421" t="b">
        <v>0</v>
      </c>
      <c r="D544" s="1421" t="b">
        <v>0</v>
      </c>
      <c r="E544" s="1420" t="b">
        <v>1</v>
      </c>
      <c r="F544" s="1421" t="b">
        <v>0</v>
      </c>
      <c r="G544" s="1421" t="b">
        <v>0</v>
      </c>
      <c r="H544" s="1421" t="b">
        <v>0</v>
      </c>
      <c r="I544" s="1421" t="b">
        <v>0</v>
      </c>
      <c r="J544" s="1420" t="b">
        <v>1</v>
      </c>
      <c r="K544" s="1463" t="s">
        <v>3862</v>
      </c>
      <c r="L544" s="1464" t="s">
        <v>3863</v>
      </c>
      <c r="M544" s="1473">
        <v>0.0</v>
      </c>
      <c r="N544" s="1465" t="s">
        <v>2268</v>
      </c>
      <c r="O544" s="1466" t="b">
        <v>0</v>
      </c>
      <c r="P544" s="1466" t="b">
        <v>0</v>
      </c>
      <c r="Q544" s="1467" t="s">
        <v>3864</v>
      </c>
      <c r="R544" s="1467" t="s">
        <v>2259</v>
      </c>
      <c r="S544" s="1467" t="b">
        <v>1</v>
      </c>
      <c r="T544" s="1467" t="b">
        <v>1</v>
      </c>
      <c r="U544" s="1467" t="b">
        <v>1</v>
      </c>
      <c r="V544" s="1467" t="s">
        <v>3865</v>
      </c>
      <c r="W544" s="1467" t="s">
        <v>2725</v>
      </c>
      <c r="X544" s="1467" t="s">
        <v>3866</v>
      </c>
      <c r="Y544" s="1442" t="s">
        <v>116</v>
      </c>
    </row>
    <row r="545">
      <c r="A545" s="1474" t="s">
        <v>2461</v>
      </c>
      <c r="B545" s="1468" t="b">
        <v>0</v>
      </c>
      <c r="C545" s="1428" t="b">
        <v>1</v>
      </c>
      <c r="D545" s="1429" t="b">
        <v>0</v>
      </c>
      <c r="E545" s="1428" t="b">
        <v>1</v>
      </c>
      <c r="F545" s="1429" t="b">
        <v>0</v>
      </c>
      <c r="G545" s="1429" t="b">
        <v>0</v>
      </c>
      <c r="H545" s="1428" t="b">
        <v>1</v>
      </c>
      <c r="I545" s="1429" t="b">
        <v>0</v>
      </c>
      <c r="J545" s="1429" t="b">
        <v>0</v>
      </c>
      <c r="K545" s="1469" t="s">
        <v>3867</v>
      </c>
      <c r="L545" s="1470" t="s">
        <v>3868</v>
      </c>
      <c r="M545" s="1472">
        <v>0.0</v>
      </c>
      <c r="N545" s="1471" t="s">
        <v>2385</v>
      </c>
      <c r="O545" s="1459" t="b">
        <v>1</v>
      </c>
      <c r="P545" s="1459" t="b">
        <v>0</v>
      </c>
      <c r="Q545" s="1460" t="s">
        <v>2253</v>
      </c>
      <c r="R545" s="1460" t="s">
        <v>2311</v>
      </c>
      <c r="S545" s="1460" t="b">
        <v>1</v>
      </c>
      <c r="T545" s="1460" t="b">
        <v>1</v>
      </c>
      <c r="U545" s="1460" t="b">
        <v>0</v>
      </c>
      <c r="V545" s="1460"/>
      <c r="W545" s="1460" t="s">
        <v>2288</v>
      </c>
      <c r="X545" s="1460" t="s">
        <v>3869</v>
      </c>
      <c r="Y545" s="1441" t="s">
        <v>116</v>
      </c>
    </row>
    <row r="546">
      <c r="A546" s="1474" t="s">
        <v>2461</v>
      </c>
      <c r="B546" s="1462" t="b">
        <v>0</v>
      </c>
      <c r="C546" s="1421" t="b">
        <v>0</v>
      </c>
      <c r="D546" s="1420" t="b">
        <v>1</v>
      </c>
      <c r="E546" s="1420" t="b">
        <v>1</v>
      </c>
      <c r="F546" s="1421" t="b">
        <v>0</v>
      </c>
      <c r="G546" s="1420" t="b">
        <v>1</v>
      </c>
      <c r="H546" s="1420" t="b">
        <v>1</v>
      </c>
      <c r="I546" s="1421" t="b">
        <v>0</v>
      </c>
      <c r="J546" s="1421" t="b">
        <v>0</v>
      </c>
      <c r="K546" s="1463" t="s">
        <v>3870</v>
      </c>
      <c r="L546" s="1464" t="s">
        <v>3871</v>
      </c>
      <c r="M546" s="1473">
        <v>1.0</v>
      </c>
      <c r="N546" s="1465" t="s">
        <v>2302</v>
      </c>
      <c r="O546" s="1466" t="b">
        <v>1</v>
      </c>
      <c r="P546" s="1466" t="b">
        <v>0</v>
      </c>
      <c r="Q546" s="1467" t="s">
        <v>2253</v>
      </c>
      <c r="R546" s="1467" t="s">
        <v>2269</v>
      </c>
      <c r="S546" s="1467" t="b">
        <v>1</v>
      </c>
      <c r="T546" s="1467" t="b">
        <v>1</v>
      </c>
      <c r="U546" s="1467" t="b">
        <v>0</v>
      </c>
      <c r="V546" s="1467"/>
      <c r="W546" s="1467" t="s">
        <v>2288</v>
      </c>
      <c r="X546" s="1467" t="s">
        <v>3872</v>
      </c>
      <c r="Y546" s="1442" t="s">
        <v>116</v>
      </c>
    </row>
    <row r="547">
      <c r="A547" s="1474" t="s">
        <v>2461</v>
      </c>
      <c r="B547" s="1468" t="b">
        <v>0</v>
      </c>
      <c r="C547" s="1428" t="b">
        <v>1</v>
      </c>
      <c r="D547" s="1428" t="b">
        <v>1</v>
      </c>
      <c r="E547" s="1429" t="b">
        <v>0</v>
      </c>
      <c r="F547" s="1429" t="b">
        <v>0</v>
      </c>
      <c r="G547" s="1429" t="b">
        <v>0</v>
      </c>
      <c r="H547" s="1428" t="b">
        <v>1</v>
      </c>
      <c r="I547" s="1428" t="b">
        <v>1</v>
      </c>
      <c r="J547" s="1428" t="b">
        <v>1</v>
      </c>
      <c r="K547" s="1469" t="s">
        <v>3873</v>
      </c>
      <c r="L547" s="1470" t="s">
        <v>3874</v>
      </c>
      <c r="M547" s="1472">
        <v>1.0</v>
      </c>
      <c r="N547" s="1471" t="s">
        <v>2282</v>
      </c>
      <c r="O547" s="1459" t="b">
        <v>1</v>
      </c>
      <c r="P547" s="1459" t="b">
        <v>0</v>
      </c>
      <c r="Q547" s="1460" t="s">
        <v>2253</v>
      </c>
      <c r="R547" s="1460" t="s">
        <v>2254</v>
      </c>
      <c r="S547" s="1460" t="b">
        <v>1</v>
      </c>
      <c r="T547" s="1460" t="b">
        <v>1</v>
      </c>
      <c r="U547" s="1460" t="b">
        <v>1</v>
      </c>
      <c r="V547" s="1460" t="s">
        <v>3875</v>
      </c>
      <c r="W547" s="1460" t="s">
        <v>2270</v>
      </c>
      <c r="X547" s="1460" t="s">
        <v>3876</v>
      </c>
      <c r="Y547" s="1441" t="s">
        <v>116</v>
      </c>
    </row>
    <row r="548">
      <c r="A548" s="1474" t="s">
        <v>2461</v>
      </c>
      <c r="B548" s="1462" t="b">
        <v>0</v>
      </c>
      <c r="C548" s="1421" t="b">
        <v>0</v>
      </c>
      <c r="D548" s="1421" t="b">
        <v>0</v>
      </c>
      <c r="E548" s="1421" t="b">
        <v>0</v>
      </c>
      <c r="F548" s="1421" t="b">
        <v>0</v>
      </c>
      <c r="G548" s="1421" t="b">
        <v>0</v>
      </c>
      <c r="H548" s="1420" t="b">
        <v>1</v>
      </c>
      <c r="I548" s="1420" t="b">
        <v>1</v>
      </c>
      <c r="J548" s="1420" t="b">
        <v>1</v>
      </c>
      <c r="K548" s="1463" t="s">
        <v>3877</v>
      </c>
      <c r="L548" s="1464" t="s">
        <v>3878</v>
      </c>
      <c r="M548" s="1473">
        <v>1.0</v>
      </c>
      <c r="N548" s="1465" t="s">
        <v>2282</v>
      </c>
      <c r="O548" s="1466" t="b">
        <v>0</v>
      </c>
      <c r="P548" s="1466" t="b">
        <v>0</v>
      </c>
      <c r="Q548" s="1467" t="s">
        <v>3879</v>
      </c>
      <c r="R548" s="1467" t="s">
        <v>2259</v>
      </c>
      <c r="S548" s="1467" t="b">
        <v>0</v>
      </c>
      <c r="T548" s="1467" t="b">
        <v>1</v>
      </c>
      <c r="U548" s="1467" t="b">
        <v>1</v>
      </c>
      <c r="V548" s="1467" t="s">
        <v>3880</v>
      </c>
      <c r="W548" s="1467" t="s">
        <v>2255</v>
      </c>
      <c r="X548" s="1467" t="s">
        <v>3881</v>
      </c>
      <c r="Y548" s="1442" t="s">
        <v>116</v>
      </c>
    </row>
    <row r="549">
      <c r="A549" s="1474" t="s">
        <v>2461</v>
      </c>
      <c r="B549" s="1468" t="b">
        <v>0</v>
      </c>
      <c r="C549" s="1429" t="b">
        <v>0</v>
      </c>
      <c r="D549" s="1429" t="b">
        <v>0</v>
      </c>
      <c r="E549" s="1429" t="b">
        <v>0</v>
      </c>
      <c r="F549" s="1428" t="b">
        <v>1</v>
      </c>
      <c r="G549" s="1428" t="b">
        <v>1</v>
      </c>
      <c r="H549" s="1428" t="b">
        <v>0</v>
      </c>
      <c r="I549" s="1428" t="b">
        <v>1</v>
      </c>
      <c r="J549" s="1429" t="b">
        <v>0</v>
      </c>
      <c r="K549" s="1469" t="s">
        <v>3882</v>
      </c>
      <c r="L549" s="1470" t="s">
        <v>3883</v>
      </c>
      <c r="M549" s="1472">
        <v>1.0</v>
      </c>
      <c r="N549" s="1471" t="s">
        <v>2282</v>
      </c>
      <c r="O549" s="1459" t="b">
        <v>0</v>
      </c>
      <c r="P549" s="1459" t="b">
        <v>0</v>
      </c>
      <c r="Q549" s="1460" t="s">
        <v>2316</v>
      </c>
      <c r="R549" s="1460" t="s">
        <v>2269</v>
      </c>
      <c r="S549" s="1460" t="b">
        <v>1</v>
      </c>
      <c r="T549" s="1460" t="b">
        <v>1</v>
      </c>
      <c r="U549" s="1460" t="b">
        <v>0</v>
      </c>
      <c r="V549" s="1460"/>
      <c r="W549" s="1460" t="s">
        <v>2264</v>
      </c>
      <c r="X549" s="1460" t="s">
        <v>3884</v>
      </c>
      <c r="Y549" s="1441" t="s">
        <v>116</v>
      </c>
    </row>
    <row r="550">
      <c r="A550" s="1474" t="s">
        <v>2461</v>
      </c>
      <c r="B550" s="1462" t="b">
        <v>0</v>
      </c>
      <c r="C550" s="1421" t="b">
        <v>0</v>
      </c>
      <c r="D550" s="1421" t="b">
        <v>0</v>
      </c>
      <c r="E550" s="1421" t="b">
        <v>0</v>
      </c>
      <c r="F550" s="1421" t="b">
        <v>0</v>
      </c>
      <c r="G550" s="1421" t="b">
        <v>0</v>
      </c>
      <c r="H550" s="1420" t="b">
        <v>1</v>
      </c>
      <c r="I550" s="1420" t="b">
        <v>1</v>
      </c>
      <c r="J550" s="1420" t="b">
        <v>1</v>
      </c>
      <c r="K550" s="1463" t="s">
        <v>3885</v>
      </c>
      <c r="L550" s="1464" t="s">
        <v>3886</v>
      </c>
      <c r="M550" s="1473">
        <v>2.0</v>
      </c>
      <c r="N550" s="1465" t="s">
        <v>2282</v>
      </c>
      <c r="O550" s="1466" t="b">
        <v>0</v>
      </c>
      <c r="P550" s="1466" t="b">
        <v>0</v>
      </c>
      <c r="Q550" s="1467" t="s">
        <v>2316</v>
      </c>
      <c r="R550" s="1467" t="s">
        <v>2269</v>
      </c>
      <c r="S550" s="1467" t="b">
        <v>1</v>
      </c>
      <c r="T550" s="1467" t="b">
        <v>1</v>
      </c>
      <c r="U550" s="1467" t="b">
        <v>1</v>
      </c>
      <c r="V550" s="1467" t="s">
        <v>3887</v>
      </c>
      <c r="W550" s="1467" t="s">
        <v>2264</v>
      </c>
      <c r="X550" s="1467" t="s">
        <v>3888</v>
      </c>
      <c r="Y550" s="1442" t="s">
        <v>116</v>
      </c>
    </row>
    <row r="551">
      <c r="A551" s="1474" t="s">
        <v>2461</v>
      </c>
      <c r="B551" s="1468" t="b">
        <v>0</v>
      </c>
      <c r="C551" s="1429" t="b">
        <v>0</v>
      </c>
      <c r="D551" s="1429" t="b">
        <v>0</v>
      </c>
      <c r="E551" s="1429" t="b">
        <v>0</v>
      </c>
      <c r="F551" s="1428" t="b">
        <v>1</v>
      </c>
      <c r="G551" s="1429" t="b">
        <v>0</v>
      </c>
      <c r="H551" s="1429" t="b">
        <v>0</v>
      </c>
      <c r="I551" s="1428" t="b">
        <v>1</v>
      </c>
      <c r="J551" s="1429" t="b">
        <v>0</v>
      </c>
      <c r="K551" s="1469" t="s">
        <v>3889</v>
      </c>
      <c r="L551" s="1470" t="s">
        <v>3890</v>
      </c>
      <c r="M551" s="1472">
        <v>2.0</v>
      </c>
      <c r="N551" s="1471" t="s">
        <v>2306</v>
      </c>
      <c r="O551" s="1459" t="b">
        <v>0</v>
      </c>
      <c r="P551" s="1459" t="b">
        <v>0</v>
      </c>
      <c r="Q551" s="1460" t="s">
        <v>2316</v>
      </c>
      <c r="R551" s="1460" t="s">
        <v>2259</v>
      </c>
      <c r="S551" s="1460" t="b">
        <v>0</v>
      </c>
      <c r="T551" s="1460" t="b">
        <v>1</v>
      </c>
      <c r="U551" s="1460" t="b">
        <v>0</v>
      </c>
      <c r="V551" s="1460"/>
      <c r="W551" s="1460" t="s">
        <v>2264</v>
      </c>
      <c r="X551" s="1460" t="s">
        <v>3891</v>
      </c>
      <c r="Y551" s="1441" t="s">
        <v>116</v>
      </c>
    </row>
    <row r="552">
      <c r="A552" s="1474" t="s">
        <v>2461</v>
      </c>
      <c r="B552" s="1462" t="b">
        <v>0</v>
      </c>
      <c r="C552" s="1420" t="b">
        <v>1</v>
      </c>
      <c r="D552" s="1420" t="b">
        <v>1</v>
      </c>
      <c r="E552" s="1421" t="b">
        <v>0</v>
      </c>
      <c r="F552" s="1421" t="b">
        <v>0</v>
      </c>
      <c r="G552" s="1421" t="b">
        <v>0</v>
      </c>
      <c r="H552" s="1420" t="b">
        <v>1</v>
      </c>
      <c r="I552" s="1420" t="b">
        <v>1</v>
      </c>
      <c r="J552" s="1420" t="b">
        <v>1</v>
      </c>
      <c r="K552" s="1463" t="s">
        <v>3892</v>
      </c>
      <c r="L552" s="1464" t="s">
        <v>3893</v>
      </c>
      <c r="M552" s="1473">
        <v>2.0</v>
      </c>
      <c r="N552" s="1465" t="s">
        <v>2282</v>
      </c>
      <c r="O552" s="1466" t="b">
        <v>1</v>
      </c>
      <c r="P552" s="1466" t="b">
        <v>0</v>
      </c>
      <c r="Q552" s="1467" t="s">
        <v>2253</v>
      </c>
      <c r="R552" s="1467" t="s">
        <v>2254</v>
      </c>
      <c r="S552" s="1467" t="b">
        <v>1</v>
      </c>
      <c r="T552" s="1467" t="b">
        <v>1</v>
      </c>
      <c r="U552" s="1467" t="b">
        <v>1</v>
      </c>
      <c r="V552" s="1467" t="s">
        <v>3894</v>
      </c>
      <c r="W552" s="1467" t="s">
        <v>2288</v>
      </c>
      <c r="X552" s="1467" t="s">
        <v>3895</v>
      </c>
      <c r="Y552" s="1442" t="s">
        <v>116</v>
      </c>
    </row>
    <row r="553">
      <c r="A553" s="1474" t="s">
        <v>2461</v>
      </c>
      <c r="B553" s="1468" t="b">
        <v>0</v>
      </c>
      <c r="C553" s="1428" t="b">
        <v>1</v>
      </c>
      <c r="D553" s="1429" t="b">
        <v>0</v>
      </c>
      <c r="E553" s="1429" t="b">
        <v>0</v>
      </c>
      <c r="F553" s="1429" t="b">
        <v>0</v>
      </c>
      <c r="G553" s="1429" t="b">
        <v>0</v>
      </c>
      <c r="H553" s="1428" t="b">
        <v>1</v>
      </c>
      <c r="I553" s="1429" t="b">
        <v>0</v>
      </c>
      <c r="J553" s="1428" t="b">
        <v>1</v>
      </c>
      <c r="K553" s="1469" t="s">
        <v>3896</v>
      </c>
      <c r="L553" s="1470" t="s">
        <v>3897</v>
      </c>
      <c r="M553" s="1472">
        <v>2.0</v>
      </c>
      <c r="N553" s="1471" t="s">
        <v>2282</v>
      </c>
      <c r="O553" s="1459" t="b">
        <v>1</v>
      </c>
      <c r="P553" s="1459" t="b">
        <v>0</v>
      </c>
      <c r="Q553" s="1460" t="s">
        <v>2316</v>
      </c>
      <c r="R553" s="1460" t="s">
        <v>2287</v>
      </c>
      <c r="S553" s="1460" t="b">
        <v>1</v>
      </c>
      <c r="T553" s="1460" t="b">
        <v>1</v>
      </c>
      <c r="U553" s="1460" t="b">
        <v>0</v>
      </c>
      <c r="V553" s="1460"/>
      <c r="W553" s="1460" t="s">
        <v>2288</v>
      </c>
      <c r="X553" s="1460" t="s">
        <v>3898</v>
      </c>
      <c r="Y553" s="1441" t="s">
        <v>116</v>
      </c>
    </row>
    <row r="554">
      <c r="A554" s="1474" t="s">
        <v>2461</v>
      </c>
      <c r="B554" s="1462" t="b">
        <v>0</v>
      </c>
      <c r="C554" s="1421" t="b">
        <v>0</v>
      </c>
      <c r="D554" s="1421" t="b">
        <v>0</v>
      </c>
      <c r="E554" s="1421" t="b">
        <v>0</v>
      </c>
      <c r="F554" s="1421" t="b">
        <v>0</v>
      </c>
      <c r="G554" s="1420" t="b">
        <v>1</v>
      </c>
      <c r="H554" s="1420" t="b">
        <v>1</v>
      </c>
      <c r="I554" s="1420" t="b">
        <v>1</v>
      </c>
      <c r="J554" s="1420" t="b">
        <v>1</v>
      </c>
      <c r="K554" s="1463" t="s">
        <v>3899</v>
      </c>
      <c r="L554" s="1464" t="s">
        <v>3900</v>
      </c>
      <c r="M554" s="1473">
        <v>2.0</v>
      </c>
      <c r="N554" s="1465" t="s">
        <v>2302</v>
      </c>
      <c r="O554" s="1466" t="b">
        <v>0</v>
      </c>
      <c r="P554" s="1466" t="b">
        <v>0</v>
      </c>
      <c r="Q554" s="1467" t="s">
        <v>2316</v>
      </c>
      <c r="R554" s="1467" t="s">
        <v>2259</v>
      </c>
      <c r="S554" s="1467" t="b">
        <v>1</v>
      </c>
      <c r="T554" s="1467" t="b">
        <v>1</v>
      </c>
      <c r="U554" s="1467" t="b">
        <v>1</v>
      </c>
      <c r="V554" s="1467" t="s">
        <v>3901</v>
      </c>
      <c r="W554" s="1467" t="s">
        <v>2725</v>
      </c>
      <c r="X554" s="1467" t="s">
        <v>3902</v>
      </c>
      <c r="Y554" s="1442" t="s">
        <v>116</v>
      </c>
    </row>
    <row r="555">
      <c r="A555" s="1474" t="s">
        <v>2461</v>
      </c>
      <c r="B555" s="1468" t="b">
        <v>0</v>
      </c>
      <c r="C555" s="1429" t="b">
        <v>0</v>
      </c>
      <c r="D555" s="1428" t="b">
        <v>1</v>
      </c>
      <c r="E555" s="1428" t="b">
        <v>1</v>
      </c>
      <c r="F555" s="1428" t="b">
        <v>1</v>
      </c>
      <c r="G555" s="1428" t="b">
        <v>1</v>
      </c>
      <c r="H555" s="1429" t="b">
        <v>0</v>
      </c>
      <c r="I555" s="1429" t="b">
        <v>0</v>
      </c>
      <c r="J555" s="1429" t="b">
        <v>0</v>
      </c>
      <c r="K555" s="1469" t="s">
        <v>3903</v>
      </c>
      <c r="L555" s="1470" t="s">
        <v>3904</v>
      </c>
      <c r="M555" s="1472">
        <v>2.0</v>
      </c>
      <c r="N555" s="1471" t="s">
        <v>2252</v>
      </c>
      <c r="O555" s="1459" t="b">
        <v>0</v>
      </c>
      <c r="P555" s="1459" t="b">
        <v>0</v>
      </c>
      <c r="Q555" s="1460" t="s">
        <v>2253</v>
      </c>
      <c r="R555" s="1460" t="s">
        <v>2269</v>
      </c>
      <c r="S555" s="1460" t="b">
        <v>1</v>
      </c>
      <c r="T555" s="1460" t="b">
        <v>1</v>
      </c>
      <c r="U555" s="1460" t="b">
        <v>0</v>
      </c>
      <c r="V555" s="1460"/>
      <c r="W555" s="1460" t="s">
        <v>2255</v>
      </c>
      <c r="X555" s="1460" t="s">
        <v>3905</v>
      </c>
      <c r="Y555" s="1441" t="s">
        <v>116</v>
      </c>
    </row>
    <row r="556">
      <c r="A556" s="1474" t="s">
        <v>2461</v>
      </c>
      <c r="B556" s="1462" t="b">
        <v>0</v>
      </c>
      <c r="C556" s="1420" t="b">
        <v>1</v>
      </c>
      <c r="D556" s="1421" t="b">
        <v>0</v>
      </c>
      <c r="E556" s="1421" t="b">
        <v>0</v>
      </c>
      <c r="F556" s="1421" t="b">
        <v>0</v>
      </c>
      <c r="G556" s="1421" t="b">
        <v>0</v>
      </c>
      <c r="H556" s="1420" t="b">
        <v>1</v>
      </c>
      <c r="I556" s="1420" t="b">
        <v>1</v>
      </c>
      <c r="J556" s="1420" t="b">
        <v>1</v>
      </c>
      <c r="K556" s="1463" t="s">
        <v>3906</v>
      </c>
      <c r="L556" s="1464" t="s">
        <v>3907</v>
      </c>
      <c r="M556" s="1473">
        <v>2.0</v>
      </c>
      <c r="N556" s="1465" t="s">
        <v>2273</v>
      </c>
      <c r="O556" s="1466" t="b">
        <v>0</v>
      </c>
      <c r="P556" s="1466" t="b">
        <v>0</v>
      </c>
      <c r="Q556" s="1467" t="s">
        <v>2253</v>
      </c>
      <c r="R556" s="1467" t="s">
        <v>2259</v>
      </c>
      <c r="S556" s="1467" t="b">
        <v>1</v>
      </c>
      <c r="T556" s="1467" t="b">
        <v>1</v>
      </c>
      <c r="U556" s="1467" t="b">
        <v>0</v>
      </c>
      <c r="V556" s="1467"/>
      <c r="W556" s="1467" t="s">
        <v>2725</v>
      </c>
      <c r="X556" s="1467" t="s">
        <v>3908</v>
      </c>
      <c r="Y556" s="1442" t="s">
        <v>116</v>
      </c>
    </row>
    <row r="557">
      <c r="A557" s="1474" t="s">
        <v>2461</v>
      </c>
      <c r="B557" s="1468" t="b">
        <v>0</v>
      </c>
      <c r="C557" s="1429" t="b">
        <v>0</v>
      </c>
      <c r="D557" s="1429" t="b">
        <v>0</v>
      </c>
      <c r="E557" s="1429" t="b">
        <v>0</v>
      </c>
      <c r="F557" s="1429" t="b">
        <v>0</v>
      </c>
      <c r="G557" s="1428" t="b">
        <v>1</v>
      </c>
      <c r="H557" s="1428" t="b">
        <v>1</v>
      </c>
      <c r="I557" s="1428" t="b">
        <v>1</v>
      </c>
      <c r="J557" s="1428" t="b">
        <v>1</v>
      </c>
      <c r="K557" s="1469" t="s">
        <v>3909</v>
      </c>
      <c r="L557" s="1470" t="s">
        <v>3910</v>
      </c>
      <c r="M557" s="1472">
        <v>2.0</v>
      </c>
      <c r="N557" s="1471" t="s">
        <v>2385</v>
      </c>
      <c r="O557" s="1459" t="b">
        <v>1</v>
      </c>
      <c r="P557" s="1459" t="b">
        <v>0</v>
      </c>
      <c r="Q557" s="1460" t="s">
        <v>2316</v>
      </c>
      <c r="R557" s="1460" t="s">
        <v>2269</v>
      </c>
      <c r="S557" s="1460" t="b">
        <v>1</v>
      </c>
      <c r="T557" s="1460" t="b">
        <v>1</v>
      </c>
      <c r="U557" s="1460" t="b">
        <v>1</v>
      </c>
      <c r="V557" s="1460" t="s">
        <v>3911</v>
      </c>
      <c r="W557" s="1460" t="s">
        <v>2288</v>
      </c>
      <c r="X557" s="1460" t="s">
        <v>3912</v>
      </c>
      <c r="Y557" s="1441" t="s">
        <v>116</v>
      </c>
    </row>
    <row r="558">
      <c r="A558" s="1474" t="s">
        <v>2461</v>
      </c>
      <c r="B558" s="1462" t="b">
        <v>0</v>
      </c>
      <c r="C558" s="1421" t="b">
        <v>0</v>
      </c>
      <c r="D558" s="1421" t="b">
        <v>0</v>
      </c>
      <c r="E558" s="1420" t="b">
        <v>1</v>
      </c>
      <c r="F558" s="1421" t="b">
        <v>0</v>
      </c>
      <c r="G558" s="1420" t="b">
        <v>1</v>
      </c>
      <c r="H558" s="1420" t="b">
        <v>1</v>
      </c>
      <c r="I558" s="1420" t="b">
        <v>1</v>
      </c>
      <c r="J558" s="1420" t="b">
        <v>1</v>
      </c>
      <c r="K558" s="1463" t="s">
        <v>3913</v>
      </c>
      <c r="L558" s="1464" t="s">
        <v>3914</v>
      </c>
      <c r="M558" s="1473">
        <v>3.0</v>
      </c>
      <c r="N558" s="1465" t="s">
        <v>2282</v>
      </c>
      <c r="O558" s="1466" t="b">
        <v>0</v>
      </c>
      <c r="P558" s="1466" t="b">
        <v>0</v>
      </c>
      <c r="Q558" s="1467" t="s">
        <v>2253</v>
      </c>
      <c r="R558" s="1467" t="s">
        <v>2368</v>
      </c>
      <c r="S558" s="1467" t="b">
        <v>1</v>
      </c>
      <c r="T558" s="1467" t="b">
        <v>1</v>
      </c>
      <c r="U558" s="1467" t="b">
        <v>0</v>
      </c>
      <c r="V558" s="1467"/>
      <c r="W558" s="1467" t="s">
        <v>2264</v>
      </c>
      <c r="X558" s="1467" t="s">
        <v>3915</v>
      </c>
      <c r="Y558" s="1442" t="s">
        <v>116</v>
      </c>
    </row>
    <row r="559">
      <c r="A559" s="1474" t="s">
        <v>2461</v>
      </c>
      <c r="B559" s="1468" t="b">
        <v>0</v>
      </c>
      <c r="C559" s="1429" t="b">
        <v>0</v>
      </c>
      <c r="D559" s="1429" t="b">
        <v>0</v>
      </c>
      <c r="E559" s="1429" t="b">
        <v>0</v>
      </c>
      <c r="F559" s="1429" t="b">
        <v>0</v>
      </c>
      <c r="G559" s="1429" t="b">
        <v>0</v>
      </c>
      <c r="H559" s="1428" t="b">
        <v>1</v>
      </c>
      <c r="I559" s="1428" t="b">
        <v>1</v>
      </c>
      <c r="J559" s="1428" t="b">
        <v>1</v>
      </c>
      <c r="K559" s="1469" t="s">
        <v>3916</v>
      </c>
      <c r="L559" s="1470" t="s">
        <v>3917</v>
      </c>
      <c r="M559" s="1472">
        <v>3.0</v>
      </c>
      <c r="N559" s="1471" t="s">
        <v>2282</v>
      </c>
      <c r="O559" s="1459" t="b">
        <v>0</v>
      </c>
      <c r="P559" s="1459" t="b">
        <v>0</v>
      </c>
      <c r="Q559" s="1460" t="s">
        <v>2253</v>
      </c>
      <c r="R559" s="1460" t="s">
        <v>2269</v>
      </c>
      <c r="S559" s="1460" t="b">
        <v>1</v>
      </c>
      <c r="T559" s="1460" t="b">
        <v>1</v>
      </c>
      <c r="U559" s="1460" t="b">
        <v>1</v>
      </c>
      <c r="V559" s="1460" t="s">
        <v>3918</v>
      </c>
      <c r="W559" s="1460" t="s">
        <v>2255</v>
      </c>
      <c r="X559" s="1460" t="s">
        <v>3919</v>
      </c>
      <c r="Y559" s="1441" t="s">
        <v>116</v>
      </c>
    </row>
    <row r="560">
      <c r="A560" s="1474" t="s">
        <v>2461</v>
      </c>
      <c r="B560" s="1462" t="b">
        <v>0</v>
      </c>
      <c r="C560" s="1421" t="b">
        <v>0</v>
      </c>
      <c r="D560" s="1421" t="b">
        <v>0</v>
      </c>
      <c r="E560" s="1420" t="b">
        <v>1</v>
      </c>
      <c r="F560" s="1421" t="b">
        <v>0</v>
      </c>
      <c r="G560" s="1420" t="b">
        <v>1</v>
      </c>
      <c r="H560" s="1421" t="b">
        <v>0</v>
      </c>
      <c r="I560" s="1420" t="b">
        <v>1</v>
      </c>
      <c r="J560" s="1420" t="b">
        <v>1</v>
      </c>
      <c r="K560" s="1463" t="s">
        <v>3920</v>
      </c>
      <c r="L560" s="1464" t="s">
        <v>3921</v>
      </c>
      <c r="M560" s="1473">
        <v>3.0</v>
      </c>
      <c r="N560" s="1465" t="s">
        <v>2258</v>
      </c>
      <c r="O560" s="1466" t="b">
        <v>1</v>
      </c>
      <c r="P560" s="1466" t="b">
        <v>0</v>
      </c>
      <c r="Q560" s="1467" t="s">
        <v>2253</v>
      </c>
      <c r="R560" s="1467" t="s">
        <v>2311</v>
      </c>
      <c r="S560" s="1467" t="b">
        <v>1</v>
      </c>
      <c r="T560" s="1467" t="b">
        <v>1</v>
      </c>
      <c r="U560" s="1467" t="b">
        <v>1</v>
      </c>
      <c r="V560" s="1467" t="s">
        <v>3922</v>
      </c>
      <c r="W560" s="1467" t="s">
        <v>2308</v>
      </c>
      <c r="X560" s="1467" t="s">
        <v>3923</v>
      </c>
      <c r="Y560" s="1442" t="s">
        <v>116</v>
      </c>
    </row>
    <row r="561">
      <c r="A561" s="1474" t="s">
        <v>2461</v>
      </c>
      <c r="B561" s="1468" t="b">
        <v>0</v>
      </c>
      <c r="C561" s="1429" t="b">
        <v>0</v>
      </c>
      <c r="D561" s="1429" t="b">
        <v>0</v>
      </c>
      <c r="E561" s="1428" t="b">
        <v>1</v>
      </c>
      <c r="F561" s="1429" t="b">
        <v>0</v>
      </c>
      <c r="G561" s="1429" t="b">
        <v>0</v>
      </c>
      <c r="H561" s="1428" t="b">
        <v>1</v>
      </c>
      <c r="I561" s="1428" t="b">
        <v>1</v>
      </c>
      <c r="J561" s="1428" t="b">
        <v>1</v>
      </c>
      <c r="K561" s="1469" t="s">
        <v>3924</v>
      </c>
      <c r="L561" s="1470" t="s">
        <v>3925</v>
      </c>
      <c r="M561" s="1472">
        <v>3.0</v>
      </c>
      <c r="N561" s="1471" t="s">
        <v>2282</v>
      </c>
      <c r="O561" s="1459" t="b">
        <v>1</v>
      </c>
      <c r="P561" s="1459" t="b">
        <v>0</v>
      </c>
      <c r="Q561" s="1460" t="s">
        <v>2316</v>
      </c>
      <c r="R561" s="1460" t="s">
        <v>2269</v>
      </c>
      <c r="S561" s="1460" t="b">
        <v>1</v>
      </c>
      <c r="T561" s="1460" t="b">
        <v>1</v>
      </c>
      <c r="U561" s="1460" t="b">
        <v>0</v>
      </c>
      <c r="V561" s="1460"/>
      <c r="W561" s="1460" t="s">
        <v>2288</v>
      </c>
      <c r="X561" s="1460" t="s">
        <v>3926</v>
      </c>
      <c r="Y561" s="1441" t="s">
        <v>116</v>
      </c>
    </row>
    <row r="562">
      <c r="A562" s="1474" t="s">
        <v>2461</v>
      </c>
      <c r="B562" s="1462" t="b">
        <v>0</v>
      </c>
      <c r="C562" s="1421" t="b">
        <v>0</v>
      </c>
      <c r="D562" s="1421" t="b">
        <v>0</v>
      </c>
      <c r="E562" s="1421" t="b">
        <v>0</v>
      </c>
      <c r="F562" s="1421" t="b">
        <v>0</v>
      </c>
      <c r="G562" s="1420" t="b">
        <v>1</v>
      </c>
      <c r="H562" s="1420" t="b">
        <v>1</v>
      </c>
      <c r="I562" s="1420" t="b">
        <v>1</v>
      </c>
      <c r="J562" s="1421" t="b">
        <v>0</v>
      </c>
      <c r="K562" s="1463" t="s">
        <v>3927</v>
      </c>
      <c r="L562" s="1464" t="s">
        <v>3928</v>
      </c>
      <c r="M562" s="1473">
        <v>3.0</v>
      </c>
      <c r="N562" s="1465" t="s">
        <v>2282</v>
      </c>
      <c r="O562" s="1466" t="b">
        <v>1</v>
      </c>
      <c r="P562" s="1466" t="b">
        <v>1</v>
      </c>
      <c r="Q562" s="1467" t="s">
        <v>2253</v>
      </c>
      <c r="R562" s="1467" t="s">
        <v>2500</v>
      </c>
      <c r="S562" s="1467" t="b">
        <v>0</v>
      </c>
      <c r="T562" s="1467" t="b">
        <v>1</v>
      </c>
      <c r="U562" s="1467" t="b">
        <v>1</v>
      </c>
      <c r="V562" s="1467" t="s">
        <v>3929</v>
      </c>
      <c r="W562" s="1467" t="s">
        <v>2308</v>
      </c>
      <c r="X562" s="1467" t="s">
        <v>3930</v>
      </c>
      <c r="Y562" s="1442" t="s">
        <v>116</v>
      </c>
    </row>
    <row r="563">
      <c r="A563" s="1474" t="s">
        <v>2461</v>
      </c>
      <c r="B563" s="1468" t="b">
        <v>0</v>
      </c>
      <c r="C563" s="1429" t="b">
        <v>0</v>
      </c>
      <c r="D563" s="1428" t="b">
        <v>1</v>
      </c>
      <c r="E563" s="1428" t="b">
        <v>1</v>
      </c>
      <c r="F563" s="1429" t="b">
        <v>0</v>
      </c>
      <c r="G563" s="1428" t="b">
        <v>1</v>
      </c>
      <c r="H563" s="1429" t="b">
        <v>0</v>
      </c>
      <c r="I563" s="1429" t="b">
        <v>0</v>
      </c>
      <c r="J563" s="1429" t="b">
        <v>0</v>
      </c>
      <c r="K563" s="1469" t="s">
        <v>3931</v>
      </c>
      <c r="L563" s="1470" t="s">
        <v>3932</v>
      </c>
      <c r="M563" s="1472">
        <v>3.0</v>
      </c>
      <c r="N563" s="1471" t="s">
        <v>2252</v>
      </c>
      <c r="O563" s="1459" t="b">
        <v>0</v>
      </c>
      <c r="P563" s="1459" t="b">
        <v>0</v>
      </c>
      <c r="Q563" s="1460" t="s">
        <v>2253</v>
      </c>
      <c r="R563" s="1460" t="s">
        <v>2254</v>
      </c>
      <c r="S563" s="1460" t="b">
        <v>1</v>
      </c>
      <c r="T563" s="1460" t="b">
        <v>1</v>
      </c>
      <c r="U563" s="1460" t="b">
        <v>1</v>
      </c>
      <c r="V563" s="1460" t="s">
        <v>3933</v>
      </c>
      <c r="W563" s="1460" t="s">
        <v>2297</v>
      </c>
      <c r="X563" s="1460" t="s">
        <v>3934</v>
      </c>
      <c r="Y563" s="1441" t="s">
        <v>116</v>
      </c>
    </row>
    <row r="564">
      <c r="A564" s="1474" t="s">
        <v>2461</v>
      </c>
      <c r="B564" s="1462" t="b">
        <v>0</v>
      </c>
      <c r="C564" s="1421" t="b">
        <v>0</v>
      </c>
      <c r="D564" s="1421" t="b">
        <v>0</v>
      </c>
      <c r="E564" s="1421" t="b">
        <v>0</v>
      </c>
      <c r="F564" s="1421" t="b">
        <v>0</v>
      </c>
      <c r="G564" s="1421" t="b">
        <v>0</v>
      </c>
      <c r="H564" s="1421" t="b">
        <v>0</v>
      </c>
      <c r="I564" s="1420" t="b">
        <v>1</v>
      </c>
      <c r="J564" s="1420" t="b">
        <v>1</v>
      </c>
      <c r="K564" s="1463" t="s">
        <v>3935</v>
      </c>
      <c r="L564" s="1464" t="s">
        <v>3936</v>
      </c>
      <c r="M564" s="1473">
        <v>3.0</v>
      </c>
      <c r="N564" s="1465" t="s">
        <v>2273</v>
      </c>
      <c r="O564" s="1466" t="b">
        <v>1</v>
      </c>
      <c r="P564" s="1466" t="b">
        <v>0</v>
      </c>
      <c r="Q564" s="1467" t="s">
        <v>2253</v>
      </c>
      <c r="R564" s="1467" t="s">
        <v>2287</v>
      </c>
      <c r="S564" s="1467" t="b">
        <v>1</v>
      </c>
      <c r="T564" s="1467" t="b">
        <v>1</v>
      </c>
      <c r="U564" s="1467" t="b">
        <v>1</v>
      </c>
      <c r="V564" s="1467" t="s">
        <v>3937</v>
      </c>
      <c r="W564" s="1467" t="s">
        <v>2288</v>
      </c>
      <c r="X564" s="1467" t="s">
        <v>3938</v>
      </c>
      <c r="Y564" s="1442" t="s">
        <v>116</v>
      </c>
    </row>
    <row r="565">
      <c r="A565" s="1474" t="s">
        <v>2461</v>
      </c>
      <c r="B565" s="1468" t="b">
        <v>0</v>
      </c>
      <c r="C565" s="1429" t="b">
        <v>0</v>
      </c>
      <c r="D565" s="1428" t="b">
        <v>1</v>
      </c>
      <c r="E565" s="1429" t="b">
        <v>0</v>
      </c>
      <c r="F565" s="1428" t="b">
        <v>1</v>
      </c>
      <c r="G565" s="1429" t="b">
        <v>0</v>
      </c>
      <c r="H565" s="1429" t="b">
        <v>0</v>
      </c>
      <c r="I565" s="1429" t="b">
        <v>0</v>
      </c>
      <c r="J565" s="1428" t="b">
        <v>1</v>
      </c>
      <c r="K565" s="1469" t="s">
        <v>3939</v>
      </c>
      <c r="L565" s="1470" t="s">
        <v>3940</v>
      </c>
      <c r="M565" s="1472">
        <v>3.0</v>
      </c>
      <c r="N565" s="1471" t="s">
        <v>2282</v>
      </c>
      <c r="O565" s="1459" t="b">
        <v>0</v>
      </c>
      <c r="P565" s="1459" t="b">
        <v>0</v>
      </c>
      <c r="Q565" s="1460" t="s">
        <v>2253</v>
      </c>
      <c r="R565" s="1460" t="s">
        <v>2311</v>
      </c>
      <c r="S565" s="1460" t="b">
        <v>1</v>
      </c>
      <c r="T565" s="1460" t="b">
        <v>1</v>
      </c>
      <c r="U565" s="1460" t="b">
        <v>1</v>
      </c>
      <c r="V565" s="1460" t="s">
        <v>3941</v>
      </c>
      <c r="W565" s="1460" t="s">
        <v>2255</v>
      </c>
      <c r="X565" s="1460" t="s">
        <v>3942</v>
      </c>
      <c r="Y565" s="1441" t="s">
        <v>116</v>
      </c>
    </row>
    <row r="566">
      <c r="A566" s="1474" t="s">
        <v>2461</v>
      </c>
      <c r="B566" s="1462" t="b">
        <v>0</v>
      </c>
      <c r="C566" s="1421" t="b">
        <v>0</v>
      </c>
      <c r="D566" s="1421" t="b">
        <v>0</v>
      </c>
      <c r="E566" s="1421" t="b">
        <v>0</v>
      </c>
      <c r="F566" s="1421" t="b">
        <v>0</v>
      </c>
      <c r="G566" s="1421" t="b">
        <v>0</v>
      </c>
      <c r="H566" s="1420" t="b">
        <v>1</v>
      </c>
      <c r="I566" s="1420" t="b">
        <v>1</v>
      </c>
      <c r="J566" s="1420" t="b">
        <v>1</v>
      </c>
      <c r="K566" s="1463" t="s">
        <v>3943</v>
      </c>
      <c r="L566" s="1464" t="s">
        <v>3944</v>
      </c>
      <c r="M566" s="1473">
        <v>3.0</v>
      </c>
      <c r="N566" s="1465" t="s">
        <v>2273</v>
      </c>
      <c r="O566" s="1466" t="b">
        <v>1</v>
      </c>
      <c r="P566" s="1466" t="b">
        <v>0</v>
      </c>
      <c r="Q566" s="1467" t="s">
        <v>2253</v>
      </c>
      <c r="R566" s="1467" t="s">
        <v>2254</v>
      </c>
      <c r="S566" s="1467" t="b">
        <v>1</v>
      </c>
      <c r="T566" s="1467" t="b">
        <v>1</v>
      </c>
      <c r="U566" s="1467" t="b">
        <v>1</v>
      </c>
      <c r="V566" s="1467" t="s">
        <v>3840</v>
      </c>
      <c r="W566" s="1467" t="s">
        <v>2308</v>
      </c>
      <c r="X566" s="1467" t="s">
        <v>3945</v>
      </c>
      <c r="Y566" s="1442" t="s">
        <v>116</v>
      </c>
    </row>
    <row r="567">
      <c r="A567" s="1474" t="s">
        <v>2461</v>
      </c>
      <c r="B567" s="1468" t="b">
        <v>0</v>
      </c>
      <c r="C567" s="1428" t="b">
        <v>1</v>
      </c>
      <c r="D567" s="1428" t="b">
        <v>1</v>
      </c>
      <c r="E567" s="1429" t="b">
        <v>0</v>
      </c>
      <c r="F567" s="1428" t="b">
        <v>1</v>
      </c>
      <c r="G567" s="1429" t="b">
        <v>0</v>
      </c>
      <c r="H567" s="1429" t="b">
        <v>0</v>
      </c>
      <c r="I567" s="1429" t="b">
        <v>0</v>
      </c>
      <c r="J567" s="1429" t="b">
        <v>0</v>
      </c>
      <c r="K567" s="1469" t="s">
        <v>3946</v>
      </c>
      <c r="L567" s="1470" t="s">
        <v>3947</v>
      </c>
      <c r="M567" s="1472">
        <v>3.0</v>
      </c>
      <c r="N567" s="1471" t="s">
        <v>2268</v>
      </c>
      <c r="O567" s="1459" t="b">
        <v>0</v>
      </c>
      <c r="P567" s="1459" t="b">
        <v>0</v>
      </c>
      <c r="Q567" s="1460" t="s">
        <v>2264</v>
      </c>
      <c r="R567" s="1460" t="s">
        <v>3187</v>
      </c>
      <c r="S567" s="1460" t="b">
        <v>1</v>
      </c>
      <c r="T567" s="1460" t="b">
        <v>1</v>
      </c>
      <c r="U567" s="1460" t="b">
        <v>1</v>
      </c>
      <c r="V567" s="1460" t="s">
        <v>3948</v>
      </c>
      <c r="W567" s="1460" t="s">
        <v>3088</v>
      </c>
      <c r="X567" s="1460" t="s">
        <v>3949</v>
      </c>
      <c r="Y567" s="1441" t="s">
        <v>116</v>
      </c>
    </row>
    <row r="568">
      <c r="A568" s="1474" t="s">
        <v>2461</v>
      </c>
      <c r="B568" s="1462" t="b">
        <v>0</v>
      </c>
      <c r="C568" s="1421" t="b">
        <v>0</v>
      </c>
      <c r="D568" s="1420" t="b">
        <v>1</v>
      </c>
      <c r="E568" s="1420" t="b">
        <v>1</v>
      </c>
      <c r="F568" s="1420" t="b">
        <v>1</v>
      </c>
      <c r="G568" s="1420" t="b">
        <v>1</v>
      </c>
      <c r="H568" s="1421" t="b">
        <v>0</v>
      </c>
      <c r="I568" s="1420" t="b">
        <v>1</v>
      </c>
      <c r="J568" s="1420" t="b">
        <v>1</v>
      </c>
      <c r="K568" s="1463" t="s">
        <v>3950</v>
      </c>
      <c r="L568" s="1464" t="s">
        <v>3951</v>
      </c>
      <c r="M568" s="1473">
        <v>3.0</v>
      </c>
      <c r="N568" s="1465" t="s">
        <v>2252</v>
      </c>
      <c r="O568" s="1466" t="b">
        <v>0</v>
      </c>
      <c r="P568" s="1466" t="b">
        <v>0</v>
      </c>
      <c r="Q568" s="1467" t="s">
        <v>2253</v>
      </c>
      <c r="R568" s="1467" t="s">
        <v>2287</v>
      </c>
      <c r="S568" s="1467" t="b">
        <v>1</v>
      </c>
      <c r="T568" s="1467" t="b">
        <v>1</v>
      </c>
      <c r="U568" s="1467" t="b">
        <v>0</v>
      </c>
      <c r="V568" s="1467"/>
      <c r="W568" s="1467" t="s">
        <v>2255</v>
      </c>
      <c r="X568" s="1467" t="s">
        <v>3952</v>
      </c>
      <c r="Y568" s="1442" t="s">
        <v>116</v>
      </c>
    </row>
    <row r="569">
      <c r="A569" s="1474" t="s">
        <v>2461</v>
      </c>
      <c r="B569" s="1468" t="b">
        <v>0</v>
      </c>
      <c r="C569" s="1429" t="b">
        <v>0</v>
      </c>
      <c r="D569" s="1429" t="b">
        <v>0</v>
      </c>
      <c r="E569" s="1429" t="b">
        <v>0</v>
      </c>
      <c r="F569" s="1429" t="b">
        <v>0</v>
      </c>
      <c r="G569" s="1429" t="b">
        <v>0</v>
      </c>
      <c r="H569" s="1428" t="b">
        <v>1</v>
      </c>
      <c r="I569" s="1428" t="b">
        <v>1</v>
      </c>
      <c r="J569" s="1428" t="b">
        <v>1</v>
      </c>
      <c r="K569" s="1469" t="s">
        <v>3953</v>
      </c>
      <c r="L569" s="1470" t="s">
        <v>3954</v>
      </c>
      <c r="M569" s="1472">
        <v>3.0</v>
      </c>
      <c r="N569" s="1471" t="s">
        <v>2282</v>
      </c>
      <c r="O569" s="1459" t="b">
        <v>1</v>
      </c>
      <c r="P569" s="1459" t="b">
        <v>0</v>
      </c>
      <c r="Q569" s="1460" t="s">
        <v>2253</v>
      </c>
      <c r="R569" s="1460" t="s">
        <v>2269</v>
      </c>
      <c r="S569" s="1460" t="b">
        <v>1</v>
      </c>
      <c r="T569" s="1460" t="b">
        <v>1</v>
      </c>
      <c r="U569" s="1460" t="b">
        <v>0</v>
      </c>
      <c r="V569" s="1460"/>
      <c r="W569" s="1460" t="s">
        <v>2288</v>
      </c>
      <c r="X569" s="1460" t="s">
        <v>3955</v>
      </c>
      <c r="Y569" s="1441" t="s">
        <v>116</v>
      </c>
    </row>
    <row r="570">
      <c r="A570" s="1474" t="s">
        <v>2461</v>
      </c>
      <c r="B570" s="1462" t="b">
        <v>0</v>
      </c>
      <c r="C570" s="1421" t="b">
        <v>0</v>
      </c>
      <c r="D570" s="1421" t="b">
        <v>0</v>
      </c>
      <c r="E570" s="1420" t="b">
        <v>1</v>
      </c>
      <c r="F570" s="1421" t="b">
        <v>0</v>
      </c>
      <c r="G570" s="1421" t="b">
        <v>0</v>
      </c>
      <c r="H570" s="1420" t="b">
        <v>1</v>
      </c>
      <c r="I570" s="1420" t="b">
        <v>1</v>
      </c>
      <c r="J570" s="1420" t="b">
        <v>1</v>
      </c>
      <c r="K570" s="1463" t="s">
        <v>3956</v>
      </c>
      <c r="L570" s="1464" t="s">
        <v>3957</v>
      </c>
      <c r="M570" s="1473">
        <v>4.0</v>
      </c>
      <c r="N570" s="1465" t="s">
        <v>2268</v>
      </c>
      <c r="O570" s="1466" t="b">
        <v>0</v>
      </c>
      <c r="P570" s="1466" t="b">
        <v>0</v>
      </c>
      <c r="Q570" s="1467" t="s">
        <v>2253</v>
      </c>
      <c r="R570" s="1467" t="s">
        <v>2254</v>
      </c>
      <c r="S570" s="1467" t="b">
        <v>1</v>
      </c>
      <c r="T570" s="1467" t="b">
        <v>1</v>
      </c>
      <c r="U570" s="1467" t="b">
        <v>1</v>
      </c>
      <c r="V570" s="1467" t="s">
        <v>3958</v>
      </c>
      <c r="W570" s="1467" t="s">
        <v>2255</v>
      </c>
      <c r="X570" s="1467" t="s">
        <v>3959</v>
      </c>
      <c r="Y570" s="1442" t="s">
        <v>116</v>
      </c>
    </row>
    <row r="571">
      <c r="A571" s="1474" t="s">
        <v>2461</v>
      </c>
      <c r="B571" s="1468" t="b">
        <v>0</v>
      </c>
      <c r="C571" s="1428" t="b">
        <v>1</v>
      </c>
      <c r="D571" s="1429" t="b">
        <v>0</v>
      </c>
      <c r="E571" s="1428" t="b">
        <v>1</v>
      </c>
      <c r="F571" s="1429" t="b">
        <v>0</v>
      </c>
      <c r="G571" s="1428" t="b">
        <v>1</v>
      </c>
      <c r="H571" s="1429" t="b">
        <v>0</v>
      </c>
      <c r="I571" s="1428" t="b">
        <v>1</v>
      </c>
      <c r="J571" s="1429" t="b">
        <v>0</v>
      </c>
      <c r="K571" s="1469" t="s">
        <v>3960</v>
      </c>
      <c r="L571" s="1470" t="s">
        <v>3961</v>
      </c>
      <c r="M571" s="1472">
        <v>4.0</v>
      </c>
      <c r="N571" s="1471" t="s">
        <v>2273</v>
      </c>
      <c r="O571" s="1459" t="b">
        <v>1</v>
      </c>
      <c r="P571" s="1459" t="b">
        <v>0</v>
      </c>
      <c r="Q571" s="1460" t="s">
        <v>2253</v>
      </c>
      <c r="R571" s="1460" t="s">
        <v>2269</v>
      </c>
      <c r="S571" s="1460" t="b">
        <v>1</v>
      </c>
      <c r="T571" s="1460" t="b">
        <v>1</v>
      </c>
      <c r="U571" s="1460" t="b">
        <v>1</v>
      </c>
      <c r="V571" s="1460" t="s">
        <v>3962</v>
      </c>
      <c r="W571" s="1460" t="s">
        <v>2288</v>
      </c>
      <c r="X571" s="1460" t="s">
        <v>3963</v>
      </c>
      <c r="Y571" s="1441" t="s">
        <v>116</v>
      </c>
    </row>
    <row r="572">
      <c r="A572" s="1474" t="s">
        <v>2461</v>
      </c>
      <c r="B572" s="1462" t="b">
        <v>0</v>
      </c>
      <c r="C572" s="1421" t="b">
        <v>0</v>
      </c>
      <c r="D572" s="1421" t="b">
        <v>0</v>
      </c>
      <c r="E572" s="1420" t="b">
        <v>1</v>
      </c>
      <c r="F572" s="1420" t="b">
        <v>1</v>
      </c>
      <c r="G572" s="1421" t="b">
        <v>0</v>
      </c>
      <c r="H572" s="1421" t="b">
        <v>0</v>
      </c>
      <c r="I572" s="1420" t="b">
        <v>1</v>
      </c>
      <c r="J572" s="1421" t="b">
        <v>0</v>
      </c>
      <c r="K572" s="1463" t="s">
        <v>3964</v>
      </c>
      <c r="L572" s="1464" t="s">
        <v>3965</v>
      </c>
      <c r="M572" s="1473">
        <v>4.0</v>
      </c>
      <c r="N572" s="1465" t="s">
        <v>2252</v>
      </c>
      <c r="O572" s="1466" t="b">
        <v>1</v>
      </c>
      <c r="P572" s="1466" t="b">
        <v>0</v>
      </c>
      <c r="Q572" s="1467" t="s">
        <v>2253</v>
      </c>
      <c r="R572" s="1467" t="s">
        <v>2368</v>
      </c>
      <c r="S572" s="1467" t="b">
        <v>1</v>
      </c>
      <c r="T572" s="1467" t="b">
        <v>1</v>
      </c>
      <c r="U572" s="1467" t="b">
        <v>0</v>
      </c>
      <c r="V572" s="1467"/>
      <c r="W572" s="1467" t="s">
        <v>2288</v>
      </c>
      <c r="X572" s="1467" t="s">
        <v>3966</v>
      </c>
      <c r="Y572" s="1442" t="s">
        <v>116</v>
      </c>
    </row>
    <row r="573">
      <c r="A573" s="1474" t="s">
        <v>2461</v>
      </c>
      <c r="B573" s="1468" t="b">
        <v>0</v>
      </c>
      <c r="C573" s="1428" t="b">
        <v>1</v>
      </c>
      <c r="D573" s="1429" t="b">
        <v>0</v>
      </c>
      <c r="E573" s="1429" t="b">
        <v>0</v>
      </c>
      <c r="F573" s="1429" t="b">
        <v>0</v>
      </c>
      <c r="G573" s="1429" t="b">
        <v>0</v>
      </c>
      <c r="H573" s="1428" t="b">
        <v>1</v>
      </c>
      <c r="I573" s="1428" t="b">
        <v>1</v>
      </c>
      <c r="J573" s="1428" t="b">
        <v>1</v>
      </c>
      <c r="K573" s="1469" t="s">
        <v>3967</v>
      </c>
      <c r="L573" s="1470" t="s">
        <v>3968</v>
      </c>
      <c r="M573" s="1472">
        <v>4.0</v>
      </c>
      <c r="N573" s="1471" t="s">
        <v>2273</v>
      </c>
      <c r="O573" s="1459" t="b">
        <v>1</v>
      </c>
      <c r="P573" s="1459" t="b">
        <v>0</v>
      </c>
      <c r="Q573" s="1460" t="s">
        <v>2253</v>
      </c>
      <c r="R573" s="1460" t="s">
        <v>2368</v>
      </c>
      <c r="S573" s="1460" t="b">
        <v>1</v>
      </c>
      <c r="T573" s="1460" t="b">
        <v>1</v>
      </c>
      <c r="U573" s="1460" t="b">
        <v>1</v>
      </c>
      <c r="V573" s="1460" t="s">
        <v>3969</v>
      </c>
      <c r="W573" s="1460" t="s">
        <v>2288</v>
      </c>
      <c r="X573" s="1460" t="s">
        <v>3970</v>
      </c>
      <c r="Y573" s="1441" t="s">
        <v>116</v>
      </c>
    </row>
    <row r="574">
      <c r="A574" s="1474" t="s">
        <v>2461</v>
      </c>
      <c r="B574" s="1462" t="b">
        <v>0</v>
      </c>
      <c r="C574" s="1421" t="b">
        <v>0</v>
      </c>
      <c r="D574" s="1421" t="b">
        <v>0</v>
      </c>
      <c r="E574" s="1420" t="b">
        <v>1</v>
      </c>
      <c r="F574" s="1421" t="b">
        <v>0</v>
      </c>
      <c r="G574" s="1420" t="b">
        <v>1</v>
      </c>
      <c r="H574" s="1420" t="b">
        <v>1</v>
      </c>
      <c r="I574" s="1420" t="b">
        <v>1</v>
      </c>
      <c r="J574" s="1420" t="b">
        <v>1</v>
      </c>
      <c r="K574" s="1463" t="s">
        <v>3971</v>
      </c>
      <c r="L574" s="1464" t="s">
        <v>3972</v>
      </c>
      <c r="M574" s="1473">
        <v>4.0</v>
      </c>
      <c r="N574" s="1465" t="s">
        <v>2306</v>
      </c>
      <c r="O574" s="1466" t="b">
        <v>0</v>
      </c>
      <c r="P574" s="1466" t="b">
        <v>0</v>
      </c>
      <c r="Q574" s="1467" t="s">
        <v>2253</v>
      </c>
      <c r="R574" s="1467" t="s">
        <v>2269</v>
      </c>
      <c r="S574" s="1467" t="b">
        <v>1</v>
      </c>
      <c r="T574" s="1467" t="b">
        <v>1</v>
      </c>
      <c r="U574" s="1467" t="b">
        <v>1</v>
      </c>
      <c r="V574" s="1467" t="s">
        <v>3973</v>
      </c>
      <c r="W574" s="1467" t="s">
        <v>2255</v>
      </c>
      <c r="X574" s="1467" t="s">
        <v>3974</v>
      </c>
      <c r="Y574" s="1442" t="s">
        <v>116</v>
      </c>
    </row>
    <row r="575">
      <c r="A575" s="1474" t="s">
        <v>2461</v>
      </c>
      <c r="B575" s="1468" t="b">
        <v>0</v>
      </c>
      <c r="C575" s="1428" t="b">
        <v>1</v>
      </c>
      <c r="D575" s="1429" t="b">
        <v>0</v>
      </c>
      <c r="E575" s="1429" t="b">
        <v>0</v>
      </c>
      <c r="F575" s="1429" t="b">
        <v>0</v>
      </c>
      <c r="G575" s="1429" t="b">
        <v>0</v>
      </c>
      <c r="H575" s="1428" t="b">
        <v>1</v>
      </c>
      <c r="I575" s="1428" t="b">
        <v>1</v>
      </c>
      <c r="J575" s="1428" t="b">
        <v>1</v>
      </c>
      <c r="K575" s="1469" t="s">
        <v>3975</v>
      </c>
      <c r="L575" s="1470" t="s">
        <v>3976</v>
      </c>
      <c r="M575" s="1472">
        <v>4.0</v>
      </c>
      <c r="N575" s="1471" t="s">
        <v>2273</v>
      </c>
      <c r="O575" s="1459" t="b">
        <v>1</v>
      </c>
      <c r="P575" s="1459" t="b">
        <v>0</v>
      </c>
      <c r="Q575" s="1460" t="s">
        <v>2253</v>
      </c>
      <c r="R575" s="1460" t="s">
        <v>2254</v>
      </c>
      <c r="S575" s="1460" t="b">
        <v>1</v>
      </c>
      <c r="T575" s="1460" t="b">
        <v>1</v>
      </c>
      <c r="U575" s="1460" t="b">
        <v>1</v>
      </c>
      <c r="V575" s="1460" t="s">
        <v>3977</v>
      </c>
      <c r="W575" s="1460" t="s">
        <v>2288</v>
      </c>
      <c r="X575" s="1460" t="s">
        <v>3978</v>
      </c>
      <c r="Y575" s="1441" t="s">
        <v>116</v>
      </c>
    </row>
    <row r="576">
      <c r="A576" s="1474" t="s">
        <v>2461</v>
      </c>
      <c r="B576" s="1462" t="b">
        <v>0</v>
      </c>
      <c r="C576" s="1421" t="b">
        <v>0</v>
      </c>
      <c r="D576" s="1420" t="b">
        <v>1</v>
      </c>
      <c r="E576" s="1421" t="b">
        <v>0</v>
      </c>
      <c r="F576" s="1420" t="b">
        <v>1</v>
      </c>
      <c r="G576" s="1421" t="b">
        <v>0</v>
      </c>
      <c r="H576" s="1421" t="b">
        <v>0</v>
      </c>
      <c r="I576" s="1420" t="b">
        <v>1</v>
      </c>
      <c r="J576" s="1420" t="b">
        <v>1</v>
      </c>
      <c r="K576" s="1463" t="s">
        <v>3979</v>
      </c>
      <c r="L576" s="1464" t="s">
        <v>3980</v>
      </c>
      <c r="M576" s="1473">
        <v>4.0</v>
      </c>
      <c r="N576" s="1465" t="s">
        <v>2282</v>
      </c>
      <c r="O576" s="1466" t="b">
        <v>1</v>
      </c>
      <c r="P576" s="1466" t="b">
        <v>0</v>
      </c>
      <c r="Q576" s="1467" t="s">
        <v>2253</v>
      </c>
      <c r="R576" s="1467" t="s">
        <v>2311</v>
      </c>
      <c r="S576" s="1467" t="b">
        <v>0</v>
      </c>
      <c r="T576" s="1467" t="b">
        <v>1</v>
      </c>
      <c r="U576" s="1467" t="b">
        <v>0</v>
      </c>
      <c r="V576" s="1467"/>
      <c r="W576" s="1467" t="s">
        <v>2288</v>
      </c>
      <c r="X576" s="1467" t="s">
        <v>3981</v>
      </c>
      <c r="Y576" s="1442" t="s">
        <v>116</v>
      </c>
    </row>
    <row r="577">
      <c r="A577" s="1474" t="s">
        <v>2461</v>
      </c>
      <c r="B577" s="1468" t="b">
        <v>0</v>
      </c>
      <c r="C577" s="1429" t="b">
        <v>0</v>
      </c>
      <c r="D577" s="1428" t="b">
        <v>1</v>
      </c>
      <c r="E577" s="1429" t="b">
        <v>0</v>
      </c>
      <c r="F577" s="1428" t="b">
        <v>1</v>
      </c>
      <c r="G577" s="1429" t="b">
        <v>0</v>
      </c>
      <c r="H577" s="1429" t="b">
        <v>0</v>
      </c>
      <c r="I577" s="1429" t="b">
        <v>0</v>
      </c>
      <c r="J577" s="1428" t="b">
        <v>1</v>
      </c>
      <c r="K577" s="1469" t="s">
        <v>3982</v>
      </c>
      <c r="L577" s="1470" t="s">
        <v>3983</v>
      </c>
      <c r="M577" s="1472">
        <v>4.0</v>
      </c>
      <c r="N577" s="1471" t="s">
        <v>2258</v>
      </c>
      <c r="O577" s="1459" t="b">
        <v>0</v>
      </c>
      <c r="P577" s="1459" t="b">
        <v>0</v>
      </c>
      <c r="Q577" s="1460" t="s">
        <v>2264</v>
      </c>
      <c r="R577" s="1460" t="s">
        <v>3187</v>
      </c>
      <c r="S577" s="1460" t="b">
        <v>1</v>
      </c>
      <c r="T577" s="1460" t="b">
        <v>1</v>
      </c>
      <c r="U577" s="1460" t="b">
        <v>1</v>
      </c>
      <c r="V577" s="1460" t="s">
        <v>3984</v>
      </c>
      <c r="W577" s="1460" t="s">
        <v>2275</v>
      </c>
      <c r="X577" s="1460" t="s">
        <v>3985</v>
      </c>
      <c r="Y577" s="1441" t="s">
        <v>116</v>
      </c>
    </row>
    <row r="578">
      <c r="A578" s="1474" t="s">
        <v>2461</v>
      </c>
      <c r="B578" s="1462" t="b">
        <v>0</v>
      </c>
      <c r="C578" s="1421" t="b">
        <v>0</v>
      </c>
      <c r="D578" s="1420" t="b">
        <v>1</v>
      </c>
      <c r="E578" s="1420" t="b">
        <v>1</v>
      </c>
      <c r="F578" s="1421" t="b">
        <v>0</v>
      </c>
      <c r="G578" s="1421" t="b">
        <v>0</v>
      </c>
      <c r="H578" s="1421" t="b">
        <v>0</v>
      </c>
      <c r="I578" s="1420" t="b">
        <v>1</v>
      </c>
      <c r="J578" s="1421" t="b">
        <v>0</v>
      </c>
      <c r="K578" s="1463" t="s">
        <v>3986</v>
      </c>
      <c r="L578" s="1464" t="s">
        <v>3987</v>
      </c>
      <c r="M578" s="1473">
        <v>5.0</v>
      </c>
      <c r="N578" s="1465" t="s">
        <v>2282</v>
      </c>
      <c r="O578" s="1466" t="b">
        <v>1</v>
      </c>
      <c r="P578" s="1466" t="b">
        <v>0</v>
      </c>
      <c r="Q578" s="1467" t="s">
        <v>2253</v>
      </c>
      <c r="R578" s="1467" t="s">
        <v>2368</v>
      </c>
      <c r="S578" s="1467" t="b">
        <v>1</v>
      </c>
      <c r="T578" s="1467" t="b">
        <v>1</v>
      </c>
      <c r="U578" s="1467" t="b">
        <v>1</v>
      </c>
      <c r="V578" s="1467" t="s">
        <v>3988</v>
      </c>
      <c r="W578" s="1467" t="s">
        <v>2288</v>
      </c>
      <c r="X578" s="1467" t="s">
        <v>3989</v>
      </c>
      <c r="Y578" s="1442" t="s">
        <v>116</v>
      </c>
    </row>
    <row r="579">
      <c r="A579" s="1474" t="s">
        <v>2461</v>
      </c>
      <c r="B579" s="1468" t="b">
        <v>0</v>
      </c>
      <c r="C579" s="1428" t="b">
        <v>1</v>
      </c>
      <c r="D579" s="1429" t="b">
        <v>0</v>
      </c>
      <c r="E579" s="1429" t="b">
        <v>0</v>
      </c>
      <c r="F579" s="1428" t="b">
        <v>1</v>
      </c>
      <c r="G579" s="1428" t="b">
        <v>1</v>
      </c>
      <c r="H579" s="1429" t="b">
        <v>0</v>
      </c>
      <c r="I579" s="1428" t="b">
        <v>1</v>
      </c>
      <c r="J579" s="1429" t="b">
        <v>0</v>
      </c>
      <c r="K579" s="1469" t="s">
        <v>3990</v>
      </c>
      <c r="L579" s="1470" t="s">
        <v>3991</v>
      </c>
      <c r="M579" s="1472">
        <v>5.0</v>
      </c>
      <c r="N579" s="1471" t="s">
        <v>2268</v>
      </c>
      <c r="O579" s="1459" t="b">
        <v>1</v>
      </c>
      <c r="P579" s="1459" t="b">
        <v>0</v>
      </c>
      <c r="Q579" s="1460" t="s">
        <v>2253</v>
      </c>
      <c r="R579" s="1460" t="s">
        <v>2311</v>
      </c>
      <c r="S579" s="1460" t="b">
        <v>1</v>
      </c>
      <c r="T579" s="1460" t="b">
        <v>1</v>
      </c>
      <c r="U579" s="1460" t="b">
        <v>1</v>
      </c>
      <c r="V579" s="1460" t="s">
        <v>3992</v>
      </c>
      <c r="W579" s="1460" t="s">
        <v>2270</v>
      </c>
      <c r="X579" s="1460" t="s">
        <v>3993</v>
      </c>
      <c r="Y579" s="1441" t="s">
        <v>116</v>
      </c>
    </row>
    <row r="580">
      <c r="A580" s="1474" t="s">
        <v>2461</v>
      </c>
      <c r="B580" s="1462" t="b">
        <v>0</v>
      </c>
      <c r="C580" s="1420" t="b">
        <v>1</v>
      </c>
      <c r="D580" s="1421" t="b">
        <v>0</v>
      </c>
      <c r="E580" s="1421" t="b">
        <v>0</v>
      </c>
      <c r="F580" s="1421" t="b">
        <v>0</v>
      </c>
      <c r="G580" s="1421" t="b">
        <v>0</v>
      </c>
      <c r="H580" s="1420" t="b">
        <v>1</v>
      </c>
      <c r="I580" s="1421" t="b">
        <v>0</v>
      </c>
      <c r="J580" s="1420" t="b">
        <v>1</v>
      </c>
      <c r="K580" s="1463" t="s">
        <v>3994</v>
      </c>
      <c r="L580" s="1464" t="s">
        <v>3995</v>
      </c>
      <c r="M580" s="1473">
        <v>5.0</v>
      </c>
      <c r="N580" s="1465" t="s">
        <v>2258</v>
      </c>
      <c r="O580" s="1466" t="b">
        <v>0</v>
      </c>
      <c r="P580" s="1466" t="b">
        <v>0</v>
      </c>
      <c r="Q580" s="1467" t="s">
        <v>3996</v>
      </c>
      <c r="R580" s="1467" t="s">
        <v>2254</v>
      </c>
      <c r="S580" s="1467" t="b">
        <v>1</v>
      </c>
      <c r="T580" s="1467" t="b">
        <v>1</v>
      </c>
      <c r="U580" s="1467" t="b">
        <v>1</v>
      </c>
      <c r="V580" s="1467" t="s">
        <v>3997</v>
      </c>
      <c r="W580" s="1467" t="s">
        <v>2255</v>
      </c>
      <c r="X580" s="1467" t="s">
        <v>3998</v>
      </c>
      <c r="Y580" s="1442" t="s">
        <v>116</v>
      </c>
    </row>
    <row r="581">
      <c r="A581" s="1474" t="s">
        <v>2461</v>
      </c>
      <c r="B581" s="1468" t="b">
        <v>0</v>
      </c>
      <c r="C581" s="1429" t="b">
        <v>0</v>
      </c>
      <c r="D581" s="1429" t="b">
        <v>0</v>
      </c>
      <c r="E581" s="1429" t="b">
        <v>0</v>
      </c>
      <c r="F581" s="1429" t="b">
        <v>0</v>
      </c>
      <c r="G581" s="1429" t="b">
        <v>0</v>
      </c>
      <c r="H581" s="1428" t="b">
        <v>1</v>
      </c>
      <c r="I581" s="1428" t="b">
        <v>1</v>
      </c>
      <c r="J581" s="1428" t="b">
        <v>1</v>
      </c>
      <c r="K581" s="1469" t="s">
        <v>3999</v>
      </c>
      <c r="L581" s="1470" t="s">
        <v>4000</v>
      </c>
      <c r="M581" s="1472">
        <v>6.0</v>
      </c>
      <c r="N581" s="1471" t="s">
        <v>2282</v>
      </c>
      <c r="O581" s="1459" t="b">
        <v>0</v>
      </c>
      <c r="P581" s="1459" t="b">
        <v>0</v>
      </c>
      <c r="Q581" s="1460" t="s">
        <v>2253</v>
      </c>
      <c r="R581" s="1460" t="s">
        <v>2269</v>
      </c>
      <c r="S581" s="1460" t="b">
        <v>1</v>
      </c>
      <c r="T581" s="1460" t="b">
        <v>1</v>
      </c>
      <c r="U581" s="1460" t="b">
        <v>1</v>
      </c>
      <c r="V581" s="1460" t="s">
        <v>4001</v>
      </c>
      <c r="W581" s="1460" t="s">
        <v>2255</v>
      </c>
      <c r="X581" s="1460" t="s">
        <v>4002</v>
      </c>
      <c r="Y581" s="1441" t="s">
        <v>116</v>
      </c>
    </row>
    <row r="582">
      <c r="A582" s="1474" t="s">
        <v>2461</v>
      </c>
      <c r="B582" s="1462" t="b">
        <v>0</v>
      </c>
      <c r="C582" s="1420" t="b">
        <v>1</v>
      </c>
      <c r="D582" s="1421" t="b">
        <v>0</v>
      </c>
      <c r="E582" s="1420" t="b">
        <v>1</v>
      </c>
      <c r="F582" s="1421" t="b">
        <v>0</v>
      </c>
      <c r="G582" s="1421" t="b">
        <v>0</v>
      </c>
      <c r="H582" s="1420" t="b">
        <v>1</v>
      </c>
      <c r="I582" s="1420" t="b">
        <v>1</v>
      </c>
      <c r="J582" s="1420" t="b">
        <v>1</v>
      </c>
      <c r="K582" s="1475" t="s">
        <v>4003</v>
      </c>
      <c r="L582" s="1464" t="s">
        <v>4004</v>
      </c>
      <c r="M582" s="1473">
        <v>0.0</v>
      </c>
      <c r="N582" s="1465" t="s">
        <v>2306</v>
      </c>
      <c r="O582" s="1466" t="b">
        <v>0</v>
      </c>
      <c r="P582" s="1466" t="b">
        <v>0</v>
      </c>
      <c r="Q582" s="1467" t="s">
        <v>2253</v>
      </c>
      <c r="R582" s="1467" t="s">
        <v>2269</v>
      </c>
      <c r="S582" s="1467" t="b">
        <v>1</v>
      </c>
      <c r="T582" s="1467" t="b">
        <v>1</v>
      </c>
      <c r="U582" s="1467" t="b">
        <v>0</v>
      </c>
      <c r="V582" s="1467"/>
      <c r="W582" s="1467" t="s">
        <v>2255</v>
      </c>
      <c r="X582" s="1467" t="s">
        <v>4005</v>
      </c>
      <c r="Y582" s="1442" t="s">
        <v>1143</v>
      </c>
    </row>
    <row r="583">
      <c r="A583" s="1474" t="s">
        <v>2461</v>
      </c>
      <c r="B583" s="1468" t="b">
        <v>0</v>
      </c>
      <c r="C583" s="1428" t="b">
        <v>1</v>
      </c>
      <c r="D583" s="1429" t="b">
        <v>0</v>
      </c>
      <c r="E583" s="1429" t="b">
        <v>0</v>
      </c>
      <c r="F583" s="1429" t="b">
        <v>0</v>
      </c>
      <c r="G583" s="1429" t="b">
        <v>0</v>
      </c>
      <c r="H583" s="1428" t="b">
        <v>1</v>
      </c>
      <c r="I583" s="1428" t="b">
        <v>1</v>
      </c>
      <c r="J583" s="1428" t="b">
        <v>1</v>
      </c>
      <c r="K583" s="1476" t="s">
        <v>4006</v>
      </c>
      <c r="L583" s="1470" t="s">
        <v>4007</v>
      </c>
      <c r="M583" s="1472">
        <v>0.0</v>
      </c>
      <c r="N583" s="1471" t="s">
        <v>2302</v>
      </c>
      <c r="O583" s="1459" t="b">
        <v>0</v>
      </c>
      <c r="P583" s="1459" t="b">
        <v>0</v>
      </c>
      <c r="Q583" s="1460" t="s">
        <v>2264</v>
      </c>
      <c r="R583" s="1460" t="s">
        <v>2269</v>
      </c>
      <c r="S583" s="1460" t="b">
        <v>1</v>
      </c>
      <c r="T583" s="1460" t="b">
        <v>0</v>
      </c>
      <c r="U583" s="1460" t="b">
        <v>0</v>
      </c>
      <c r="V583" s="1460"/>
      <c r="W583" s="1460" t="s">
        <v>2261</v>
      </c>
      <c r="X583" s="1460" t="s">
        <v>4008</v>
      </c>
      <c r="Y583" s="1441" t="s">
        <v>1143</v>
      </c>
    </row>
    <row r="584">
      <c r="A584" s="1474" t="s">
        <v>2461</v>
      </c>
      <c r="B584" s="1462" t="b">
        <v>0</v>
      </c>
      <c r="C584" s="1420" t="b">
        <v>1</v>
      </c>
      <c r="D584" s="1421" t="b">
        <v>0</v>
      </c>
      <c r="E584" s="1421" t="b">
        <v>0</v>
      </c>
      <c r="F584" s="1421" t="b">
        <v>0</v>
      </c>
      <c r="G584" s="1421" t="b">
        <v>0</v>
      </c>
      <c r="H584" s="1420" t="b">
        <v>1</v>
      </c>
      <c r="I584" s="1420" t="b">
        <v>1</v>
      </c>
      <c r="J584" s="1420" t="b">
        <v>1</v>
      </c>
      <c r="K584" s="1475" t="s">
        <v>4009</v>
      </c>
      <c r="L584" s="1464" t="s">
        <v>4010</v>
      </c>
      <c r="M584" s="1473">
        <v>0.0</v>
      </c>
      <c r="N584" s="1465" t="s">
        <v>2306</v>
      </c>
      <c r="O584" s="1466" t="b">
        <v>0</v>
      </c>
      <c r="P584" s="1466" t="b">
        <v>0</v>
      </c>
      <c r="Q584" s="1467" t="s">
        <v>2253</v>
      </c>
      <c r="R584" s="1467" t="s">
        <v>2287</v>
      </c>
      <c r="S584" s="1467" t="b">
        <v>1</v>
      </c>
      <c r="T584" s="1467" t="b">
        <v>1</v>
      </c>
      <c r="U584" s="1467" t="b">
        <v>0</v>
      </c>
      <c r="V584" s="1467"/>
      <c r="W584" s="1467" t="s">
        <v>2725</v>
      </c>
      <c r="X584" s="1467" t="s">
        <v>4011</v>
      </c>
      <c r="Y584" s="1442" t="s">
        <v>1143</v>
      </c>
    </row>
    <row r="585">
      <c r="A585" s="1474" t="s">
        <v>2461</v>
      </c>
      <c r="B585" s="1468" t="b">
        <v>0</v>
      </c>
      <c r="C585" s="1429" t="b">
        <v>0</v>
      </c>
      <c r="D585" s="1429" t="b">
        <v>0</v>
      </c>
      <c r="E585" s="1428" t="b">
        <v>1</v>
      </c>
      <c r="F585" s="1429" t="b">
        <v>0</v>
      </c>
      <c r="G585" s="1429" t="b">
        <v>0</v>
      </c>
      <c r="H585" s="1428" t="b">
        <v>1</v>
      </c>
      <c r="I585" s="1428" t="b">
        <v>1</v>
      </c>
      <c r="J585" s="1428" t="b">
        <v>1</v>
      </c>
      <c r="K585" s="1476" t="s">
        <v>4012</v>
      </c>
      <c r="L585" s="1470" t="s">
        <v>4013</v>
      </c>
      <c r="M585" s="1472">
        <v>0.0</v>
      </c>
      <c r="N585" s="1471" t="s">
        <v>2273</v>
      </c>
      <c r="O585" s="1459" t="b">
        <v>0</v>
      </c>
      <c r="P585" s="1459" t="b">
        <v>0</v>
      </c>
      <c r="Q585" s="1460" t="s">
        <v>2253</v>
      </c>
      <c r="R585" s="1460" t="s">
        <v>2287</v>
      </c>
      <c r="S585" s="1460" t="b">
        <v>0</v>
      </c>
      <c r="T585" s="1460" t="b">
        <v>1</v>
      </c>
      <c r="U585" s="1460" t="b">
        <v>0</v>
      </c>
      <c r="V585" s="1460"/>
      <c r="W585" s="1460" t="s">
        <v>2725</v>
      </c>
      <c r="X585" s="1460" t="s">
        <v>4014</v>
      </c>
      <c r="Y585" s="1441" t="s">
        <v>1143</v>
      </c>
    </row>
    <row r="586">
      <c r="A586" s="1474" t="s">
        <v>2461</v>
      </c>
      <c r="B586" s="1462" t="b">
        <v>0</v>
      </c>
      <c r="C586" s="1421" t="b">
        <v>0</v>
      </c>
      <c r="D586" s="1421" t="b">
        <v>0</v>
      </c>
      <c r="E586" s="1421" t="b">
        <v>0</v>
      </c>
      <c r="F586" s="1421" t="b">
        <v>0</v>
      </c>
      <c r="G586" s="1421" t="b">
        <v>0</v>
      </c>
      <c r="H586" s="1420" t="b">
        <v>1</v>
      </c>
      <c r="I586" s="1420" t="b">
        <v>1</v>
      </c>
      <c r="J586" s="1420" t="b">
        <v>1</v>
      </c>
      <c r="K586" s="1475" t="s">
        <v>4015</v>
      </c>
      <c r="L586" s="1464" t="s">
        <v>4016</v>
      </c>
      <c r="M586" s="1473">
        <v>1.0</v>
      </c>
      <c r="N586" s="1465" t="s">
        <v>2268</v>
      </c>
      <c r="O586" s="1466" t="b">
        <v>1</v>
      </c>
      <c r="P586" s="1466" t="b">
        <v>0</v>
      </c>
      <c r="Q586" s="1467" t="s">
        <v>2253</v>
      </c>
      <c r="R586" s="1467" t="s">
        <v>2269</v>
      </c>
      <c r="S586" s="1467" t="b">
        <v>0</v>
      </c>
      <c r="T586" s="1467" t="b">
        <v>1</v>
      </c>
      <c r="U586" s="1467" t="b">
        <v>0</v>
      </c>
      <c r="V586" s="1467"/>
      <c r="W586" s="1467" t="s">
        <v>2308</v>
      </c>
      <c r="X586" s="1467" t="s">
        <v>4017</v>
      </c>
      <c r="Y586" s="1442" t="s">
        <v>1143</v>
      </c>
    </row>
    <row r="587">
      <c r="A587" s="1474" t="s">
        <v>2461</v>
      </c>
      <c r="B587" s="1468" t="b">
        <v>0</v>
      </c>
      <c r="C587" s="1429" t="b">
        <v>0</v>
      </c>
      <c r="D587" s="1429" t="b">
        <v>0</v>
      </c>
      <c r="E587" s="1429" t="b">
        <v>0</v>
      </c>
      <c r="F587" s="1429" t="b">
        <v>0</v>
      </c>
      <c r="G587" s="1429" t="b">
        <v>0</v>
      </c>
      <c r="H587" s="1428" t="b">
        <v>1</v>
      </c>
      <c r="I587" s="1428" t="b">
        <v>1</v>
      </c>
      <c r="J587" s="1428" t="b">
        <v>1</v>
      </c>
      <c r="K587" s="1476" t="s">
        <v>4018</v>
      </c>
      <c r="L587" s="1470" t="s">
        <v>4019</v>
      </c>
      <c r="M587" s="1472">
        <v>1.0</v>
      </c>
      <c r="N587" s="1471" t="s">
        <v>2306</v>
      </c>
      <c r="O587" s="1459" t="b">
        <v>0</v>
      </c>
      <c r="P587" s="1459" t="b">
        <v>0</v>
      </c>
      <c r="Q587" s="1460" t="s">
        <v>2253</v>
      </c>
      <c r="R587" s="1460" t="s">
        <v>2287</v>
      </c>
      <c r="S587" s="1460" t="b">
        <v>1</v>
      </c>
      <c r="T587" s="1460" t="b">
        <v>1</v>
      </c>
      <c r="U587" s="1460" t="b">
        <v>0</v>
      </c>
      <c r="V587" s="1460"/>
      <c r="W587" s="1460" t="s">
        <v>2308</v>
      </c>
      <c r="X587" s="1460" t="s">
        <v>4020</v>
      </c>
      <c r="Y587" s="1441" t="s">
        <v>1143</v>
      </c>
    </row>
    <row r="588">
      <c r="A588" s="1474" t="s">
        <v>2461</v>
      </c>
      <c r="B588" s="1462" t="b">
        <v>0</v>
      </c>
      <c r="C588" s="1421" t="b">
        <v>0</v>
      </c>
      <c r="D588" s="1421" t="b">
        <v>0</v>
      </c>
      <c r="E588" s="1421" t="b">
        <v>0</v>
      </c>
      <c r="F588" s="1421" t="b">
        <v>0</v>
      </c>
      <c r="G588" s="1421" t="b">
        <v>0</v>
      </c>
      <c r="H588" s="1420" t="b">
        <v>1</v>
      </c>
      <c r="I588" s="1420" t="b">
        <v>1</v>
      </c>
      <c r="J588" s="1420" t="b">
        <v>1</v>
      </c>
      <c r="K588" s="1475" t="s">
        <v>4021</v>
      </c>
      <c r="L588" s="1464" t="s">
        <v>4022</v>
      </c>
      <c r="M588" s="1473">
        <v>1.0</v>
      </c>
      <c r="N588" s="1465" t="s">
        <v>2306</v>
      </c>
      <c r="O588" s="1466" t="b">
        <v>0</v>
      </c>
      <c r="P588" s="1466" t="b">
        <v>0</v>
      </c>
      <c r="Q588" s="1467" t="s">
        <v>2253</v>
      </c>
      <c r="R588" s="1467" t="s">
        <v>2269</v>
      </c>
      <c r="S588" s="1467" t="b">
        <v>1</v>
      </c>
      <c r="T588" s="1467" t="b">
        <v>1</v>
      </c>
      <c r="U588" s="1467" t="b">
        <v>0</v>
      </c>
      <c r="V588" s="1467"/>
      <c r="W588" s="1467" t="s">
        <v>2725</v>
      </c>
      <c r="X588" s="1467" t="s">
        <v>4023</v>
      </c>
      <c r="Y588" s="1442" t="s">
        <v>1143</v>
      </c>
    </row>
    <row r="589">
      <c r="A589" s="1474" t="s">
        <v>2461</v>
      </c>
      <c r="B589" s="1468" t="b">
        <v>0</v>
      </c>
      <c r="C589" s="1429" t="b">
        <v>0</v>
      </c>
      <c r="D589" s="1429" t="b">
        <v>0</v>
      </c>
      <c r="E589" s="1429" t="b">
        <v>0</v>
      </c>
      <c r="F589" s="1429" t="b">
        <v>0</v>
      </c>
      <c r="G589" s="1429" t="b">
        <v>0</v>
      </c>
      <c r="H589" s="1428" t="b">
        <v>1</v>
      </c>
      <c r="I589" s="1428" t="b">
        <v>1</v>
      </c>
      <c r="J589" s="1428" t="b">
        <v>1</v>
      </c>
      <c r="K589" s="1476" t="s">
        <v>4024</v>
      </c>
      <c r="L589" s="1470" t="s">
        <v>4025</v>
      </c>
      <c r="M589" s="1472">
        <v>1.0</v>
      </c>
      <c r="N589" s="1471" t="s">
        <v>2252</v>
      </c>
      <c r="O589" s="1459" t="b">
        <v>0</v>
      </c>
      <c r="P589" s="1459" t="b">
        <v>0</v>
      </c>
      <c r="Q589" s="1460" t="s">
        <v>2253</v>
      </c>
      <c r="R589" s="1460" t="s">
        <v>2359</v>
      </c>
      <c r="S589" s="1460" t="b">
        <v>1</v>
      </c>
      <c r="T589" s="1460" t="b">
        <v>1</v>
      </c>
      <c r="U589" s="1460" t="b">
        <v>0</v>
      </c>
      <c r="V589" s="1460"/>
      <c r="W589" s="1460" t="s">
        <v>2255</v>
      </c>
      <c r="X589" s="1460" t="s">
        <v>4026</v>
      </c>
      <c r="Y589" s="1441" t="s">
        <v>1143</v>
      </c>
    </row>
    <row r="590">
      <c r="A590" s="1474" t="s">
        <v>2461</v>
      </c>
      <c r="B590" s="1462" t="b">
        <v>0</v>
      </c>
      <c r="C590" s="1421" t="b">
        <v>0</v>
      </c>
      <c r="D590" s="1421" t="b">
        <v>0</v>
      </c>
      <c r="E590" s="1421" t="b">
        <v>0</v>
      </c>
      <c r="F590" s="1421" t="b">
        <v>0</v>
      </c>
      <c r="G590" s="1421" t="b">
        <v>0</v>
      </c>
      <c r="H590" s="1420" t="b">
        <v>1</v>
      </c>
      <c r="I590" s="1420" t="b">
        <v>1</v>
      </c>
      <c r="J590" s="1420" t="b">
        <v>1</v>
      </c>
      <c r="K590" s="1475" t="s">
        <v>4027</v>
      </c>
      <c r="L590" s="1464" t="s">
        <v>4028</v>
      </c>
      <c r="M590" s="1473">
        <v>2.0</v>
      </c>
      <c r="N590" s="1465" t="s">
        <v>2306</v>
      </c>
      <c r="O590" s="1466" t="b">
        <v>1</v>
      </c>
      <c r="P590" s="1466" t="b">
        <v>0</v>
      </c>
      <c r="Q590" s="1467" t="s">
        <v>2253</v>
      </c>
      <c r="R590" s="1467" t="s">
        <v>2287</v>
      </c>
      <c r="S590" s="1467" t="b">
        <v>1</v>
      </c>
      <c r="T590" s="1467" t="b">
        <v>1</v>
      </c>
      <c r="U590" s="1467" t="b">
        <v>0</v>
      </c>
      <c r="V590" s="1467"/>
      <c r="W590" s="1467" t="s">
        <v>2308</v>
      </c>
      <c r="X590" s="1467" t="s">
        <v>4029</v>
      </c>
      <c r="Y590" s="1442" t="s">
        <v>1143</v>
      </c>
    </row>
    <row r="591">
      <c r="A591" s="1474" t="s">
        <v>2461</v>
      </c>
      <c r="B591" s="1468" t="b">
        <v>0</v>
      </c>
      <c r="C591" s="1429" t="b">
        <v>0</v>
      </c>
      <c r="D591" s="1429" t="b">
        <v>0</v>
      </c>
      <c r="E591" s="1429" t="b">
        <v>0</v>
      </c>
      <c r="F591" s="1429" t="b">
        <v>0</v>
      </c>
      <c r="G591" s="1429" t="b">
        <v>0</v>
      </c>
      <c r="H591" s="1428" t="b">
        <v>1</v>
      </c>
      <c r="I591" s="1428" t="b">
        <v>1</v>
      </c>
      <c r="J591" s="1428" t="b">
        <v>1</v>
      </c>
      <c r="K591" s="1476" t="s">
        <v>4030</v>
      </c>
      <c r="L591" s="1470" t="s">
        <v>4031</v>
      </c>
      <c r="M591" s="1472">
        <v>2.0</v>
      </c>
      <c r="N591" s="1471" t="s">
        <v>2306</v>
      </c>
      <c r="O591" s="1459" t="b">
        <v>1</v>
      </c>
      <c r="P591" s="1459" t="b">
        <v>0</v>
      </c>
      <c r="Q591" s="1460" t="s">
        <v>2316</v>
      </c>
      <c r="R591" s="1460" t="s">
        <v>2287</v>
      </c>
      <c r="S591" s="1460" t="b">
        <v>1</v>
      </c>
      <c r="T591" s="1460" t="b">
        <v>1</v>
      </c>
      <c r="U591" s="1460" t="b">
        <v>0</v>
      </c>
      <c r="V591" s="1460"/>
      <c r="W591" s="1460" t="s">
        <v>2288</v>
      </c>
      <c r="X591" s="1460" t="s">
        <v>4032</v>
      </c>
      <c r="Y591" s="1441" t="s">
        <v>1143</v>
      </c>
    </row>
    <row r="592">
      <c r="A592" s="1474" t="s">
        <v>2461</v>
      </c>
      <c r="B592" s="1462" t="b">
        <v>0</v>
      </c>
      <c r="C592" s="1420" t="b">
        <v>1</v>
      </c>
      <c r="D592" s="1421" t="b">
        <v>0</v>
      </c>
      <c r="E592" s="1420" t="b">
        <v>1</v>
      </c>
      <c r="F592" s="1421" t="b">
        <v>0</v>
      </c>
      <c r="G592" s="1420" t="b">
        <v>1</v>
      </c>
      <c r="H592" s="1420" t="b">
        <v>1</v>
      </c>
      <c r="I592" s="1420" t="b">
        <v>1</v>
      </c>
      <c r="J592" s="1420" t="b">
        <v>1</v>
      </c>
      <c r="K592" s="1475" t="s">
        <v>4033</v>
      </c>
      <c r="L592" s="1464" t="s">
        <v>4034</v>
      </c>
      <c r="M592" s="1473">
        <v>2.0</v>
      </c>
      <c r="N592" s="1465" t="s">
        <v>2306</v>
      </c>
      <c r="O592" s="1466" t="b">
        <v>0</v>
      </c>
      <c r="P592" s="1466" t="b">
        <v>0</v>
      </c>
      <c r="Q592" s="1467" t="s">
        <v>2316</v>
      </c>
      <c r="R592" s="1467" t="s">
        <v>2269</v>
      </c>
      <c r="S592" s="1467" t="b">
        <v>1</v>
      </c>
      <c r="T592" s="1467" t="b">
        <v>0</v>
      </c>
      <c r="U592" s="1467" t="b">
        <v>0</v>
      </c>
      <c r="V592" s="1467"/>
      <c r="W592" s="1467" t="s">
        <v>2297</v>
      </c>
      <c r="X592" s="1467" t="s">
        <v>4035</v>
      </c>
      <c r="Y592" s="1442" t="s">
        <v>1143</v>
      </c>
    </row>
    <row r="593">
      <c r="A593" s="1474" t="s">
        <v>2461</v>
      </c>
      <c r="B593" s="1468" t="b">
        <v>0</v>
      </c>
      <c r="C593" s="1429" t="b">
        <v>0</v>
      </c>
      <c r="D593" s="1429" t="b">
        <v>0</v>
      </c>
      <c r="E593" s="1429" t="b">
        <v>0</v>
      </c>
      <c r="F593" s="1429" t="b">
        <v>0</v>
      </c>
      <c r="G593" s="1429" t="b">
        <v>0</v>
      </c>
      <c r="H593" s="1428" t="b">
        <v>1</v>
      </c>
      <c r="I593" s="1428" t="b">
        <v>1</v>
      </c>
      <c r="J593" s="1428" t="b">
        <v>1</v>
      </c>
      <c r="K593" s="1476" t="s">
        <v>4036</v>
      </c>
      <c r="L593" s="1470" t="s">
        <v>4037</v>
      </c>
      <c r="M593" s="1472">
        <v>3.0</v>
      </c>
      <c r="N593" s="1471" t="s">
        <v>2385</v>
      </c>
      <c r="O593" s="1459" t="b">
        <v>1</v>
      </c>
      <c r="P593" s="1459" t="b">
        <v>0</v>
      </c>
      <c r="Q593" s="1460" t="s">
        <v>2253</v>
      </c>
      <c r="R593" s="1460" t="s">
        <v>2287</v>
      </c>
      <c r="S593" s="1460" t="b">
        <v>1</v>
      </c>
      <c r="T593" s="1460" t="b">
        <v>1</v>
      </c>
      <c r="U593" s="1460" t="b">
        <v>0</v>
      </c>
      <c r="V593" s="1460"/>
      <c r="W593" s="1460" t="s">
        <v>2308</v>
      </c>
      <c r="X593" s="1460" t="s">
        <v>4038</v>
      </c>
      <c r="Y593" s="1441" t="s">
        <v>1143</v>
      </c>
    </row>
    <row r="594">
      <c r="A594" s="1474" t="s">
        <v>2461</v>
      </c>
      <c r="B594" s="1462" t="b">
        <v>0</v>
      </c>
      <c r="C594" s="1421" t="b">
        <v>0</v>
      </c>
      <c r="D594" s="1420" t="b">
        <v>1</v>
      </c>
      <c r="E594" s="1421" t="b">
        <v>0</v>
      </c>
      <c r="F594" s="1421" t="b">
        <v>0</v>
      </c>
      <c r="G594" s="1421" t="b">
        <v>0</v>
      </c>
      <c r="H594" s="1421" t="b">
        <v>0</v>
      </c>
      <c r="I594" s="1421" t="b">
        <v>0</v>
      </c>
      <c r="J594" s="1421" t="b">
        <v>0</v>
      </c>
      <c r="K594" s="1475" t="s">
        <v>4039</v>
      </c>
      <c r="L594" s="1464" t="s">
        <v>4040</v>
      </c>
      <c r="M594" s="1473">
        <v>3.0</v>
      </c>
      <c r="N594" s="1465" t="s">
        <v>2282</v>
      </c>
      <c r="O594" s="1466" t="b">
        <v>1</v>
      </c>
      <c r="P594" s="1466" t="b">
        <v>0</v>
      </c>
      <c r="Q594" s="1467" t="s">
        <v>2316</v>
      </c>
      <c r="R594" s="1467" t="s">
        <v>2359</v>
      </c>
      <c r="S594" s="1467" t="b">
        <v>1</v>
      </c>
      <c r="T594" s="1467" t="b">
        <v>0</v>
      </c>
      <c r="U594" s="1467" t="b">
        <v>0</v>
      </c>
      <c r="V594" s="1467"/>
      <c r="W594" s="1467" t="s">
        <v>2288</v>
      </c>
      <c r="X594" s="1467" t="s">
        <v>4041</v>
      </c>
      <c r="Y594" s="1442" t="s">
        <v>1143</v>
      </c>
    </row>
    <row r="595">
      <c r="A595" s="1474" t="s">
        <v>2461</v>
      </c>
      <c r="B595" s="1468" t="b">
        <v>0</v>
      </c>
      <c r="C595" s="1428" t="b">
        <v>1</v>
      </c>
      <c r="D595" s="1429" t="b">
        <v>0</v>
      </c>
      <c r="E595" s="1428" t="b">
        <v>1</v>
      </c>
      <c r="F595" s="1429" t="b">
        <v>0</v>
      </c>
      <c r="G595" s="1428" t="b">
        <v>1</v>
      </c>
      <c r="H595" s="1428" t="b">
        <v>1</v>
      </c>
      <c r="I595" s="1428" t="b">
        <v>1</v>
      </c>
      <c r="J595" s="1428" t="b">
        <v>1</v>
      </c>
      <c r="K595" s="1476" t="s">
        <v>4042</v>
      </c>
      <c r="L595" s="1470" t="s">
        <v>4043</v>
      </c>
      <c r="M595" s="1472">
        <v>3.0</v>
      </c>
      <c r="N595" s="1471" t="s">
        <v>2306</v>
      </c>
      <c r="O595" s="1459" t="b">
        <v>1</v>
      </c>
      <c r="P595" s="1459" t="b">
        <v>0</v>
      </c>
      <c r="Q595" s="1460" t="s">
        <v>2253</v>
      </c>
      <c r="R595" s="1460" t="s">
        <v>2287</v>
      </c>
      <c r="S595" s="1460" t="b">
        <v>1</v>
      </c>
      <c r="T595" s="1460" t="b">
        <v>0</v>
      </c>
      <c r="U595" s="1460" t="b">
        <v>0</v>
      </c>
      <c r="V595" s="1460"/>
      <c r="W595" s="1460" t="s">
        <v>2288</v>
      </c>
      <c r="X595" s="1460" t="s">
        <v>4044</v>
      </c>
      <c r="Y595" s="1441" t="s">
        <v>1143</v>
      </c>
    </row>
    <row r="596">
      <c r="A596" s="1474" t="s">
        <v>2461</v>
      </c>
      <c r="B596" s="1462" t="b">
        <v>0</v>
      </c>
      <c r="C596" s="1421" t="b">
        <v>0</v>
      </c>
      <c r="D596" s="1421" t="b">
        <v>0</v>
      </c>
      <c r="E596" s="1421" t="b">
        <v>0</v>
      </c>
      <c r="F596" s="1421" t="b">
        <v>0</v>
      </c>
      <c r="G596" s="1421" t="b">
        <v>0</v>
      </c>
      <c r="H596" s="1420" t="b">
        <v>1</v>
      </c>
      <c r="I596" s="1420" t="b">
        <v>1</v>
      </c>
      <c r="J596" s="1420" t="b">
        <v>1</v>
      </c>
      <c r="K596" s="1475" t="s">
        <v>4045</v>
      </c>
      <c r="L596" s="1464" t="s">
        <v>4046</v>
      </c>
      <c r="M596" s="1473">
        <v>3.0</v>
      </c>
      <c r="N596" s="1465" t="s">
        <v>2306</v>
      </c>
      <c r="O596" s="1466" t="b">
        <v>0</v>
      </c>
      <c r="P596" s="1466" t="b">
        <v>0</v>
      </c>
      <c r="Q596" s="1467" t="s">
        <v>2253</v>
      </c>
      <c r="R596" s="1467" t="s">
        <v>2359</v>
      </c>
      <c r="S596" s="1467" t="b">
        <v>1</v>
      </c>
      <c r="T596" s="1467" t="b">
        <v>1</v>
      </c>
      <c r="U596" s="1467" t="b">
        <v>0</v>
      </c>
      <c r="V596" s="1467"/>
      <c r="W596" s="1467" t="s">
        <v>2255</v>
      </c>
      <c r="X596" s="1467" t="s">
        <v>4047</v>
      </c>
      <c r="Y596" s="1442" t="s">
        <v>1143</v>
      </c>
    </row>
    <row r="597">
      <c r="A597" s="1474" t="s">
        <v>2461</v>
      </c>
      <c r="B597" s="1468" t="b">
        <v>0</v>
      </c>
      <c r="C597" s="1429" t="b">
        <v>0</v>
      </c>
      <c r="D597" s="1429" t="b">
        <v>0</v>
      </c>
      <c r="E597" s="1429" t="b">
        <v>0</v>
      </c>
      <c r="F597" s="1429" t="b">
        <v>0</v>
      </c>
      <c r="G597" s="1429" t="b">
        <v>0</v>
      </c>
      <c r="H597" s="1428" t="b">
        <v>1</v>
      </c>
      <c r="I597" s="1428" t="b">
        <v>1</v>
      </c>
      <c r="J597" s="1428" t="b">
        <v>1</v>
      </c>
      <c r="K597" s="1476" t="s">
        <v>4048</v>
      </c>
      <c r="L597" s="1470" t="s">
        <v>4049</v>
      </c>
      <c r="M597" s="1472">
        <v>3.0</v>
      </c>
      <c r="N597" s="1471" t="s">
        <v>2258</v>
      </c>
      <c r="O597" s="1459" t="b">
        <v>0</v>
      </c>
      <c r="P597" s="1459" t="b">
        <v>0</v>
      </c>
      <c r="Q597" s="1460" t="s">
        <v>2316</v>
      </c>
      <c r="R597" s="1460" t="s">
        <v>2287</v>
      </c>
      <c r="S597" s="1460" t="b">
        <v>0</v>
      </c>
      <c r="T597" s="1460" t="b">
        <v>1</v>
      </c>
      <c r="U597" s="1460" t="b">
        <v>0</v>
      </c>
      <c r="V597" s="1460"/>
      <c r="W597" s="1460" t="s">
        <v>2255</v>
      </c>
      <c r="X597" s="1460" t="s">
        <v>4050</v>
      </c>
      <c r="Y597" s="1441" t="s">
        <v>1143</v>
      </c>
    </row>
    <row r="598">
      <c r="A598" s="1474" t="s">
        <v>2461</v>
      </c>
      <c r="B598" s="1462" t="b">
        <v>0</v>
      </c>
      <c r="C598" s="1421" t="b">
        <v>0</v>
      </c>
      <c r="D598" s="1420" t="b">
        <v>1</v>
      </c>
      <c r="E598" s="1420" t="b">
        <v>1</v>
      </c>
      <c r="F598" s="1421" t="b">
        <v>0</v>
      </c>
      <c r="G598" s="1421" t="b">
        <v>0</v>
      </c>
      <c r="H598" s="1420" t="b">
        <v>1</v>
      </c>
      <c r="I598" s="1420" t="b">
        <v>1</v>
      </c>
      <c r="J598" s="1420" t="b">
        <v>1</v>
      </c>
      <c r="K598" s="1475" t="s">
        <v>4051</v>
      </c>
      <c r="L598" s="1464" t="s">
        <v>4052</v>
      </c>
      <c r="M598" s="1473">
        <v>4.0</v>
      </c>
      <c r="N598" s="1465" t="s">
        <v>2306</v>
      </c>
      <c r="O598" s="1466" t="b">
        <v>1</v>
      </c>
      <c r="P598" s="1466" t="b">
        <v>0</v>
      </c>
      <c r="Q598" s="1467" t="s">
        <v>2253</v>
      </c>
      <c r="R598" s="1467" t="s">
        <v>2287</v>
      </c>
      <c r="S598" s="1467" t="b">
        <v>1</v>
      </c>
      <c r="T598" s="1467" t="b">
        <v>1</v>
      </c>
      <c r="U598" s="1467" t="b">
        <v>0</v>
      </c>
      <c r="V598" s="1467"/>
      <c r="W598" s="1467" t="s">
        <v>2308</v>
      </c>
      <c r="X598" s="1467" t="s">
        <v>4053</v>
      </c>
      <c r="Y598" s="1442" t="s">
        <v>1143</v>
      </c>
    </row>
    <row r="599">
      <c r="A599" s="1474" t="s">
        <v>2461</v>
      </c>
      <c r="B599" s="1468" t="b">
        <v>0</v>
      </c>
      <c r="C599" s="1429" t="b">
        <v>0</v>
      </c>
      <c r="D599" s="1429" t="b">
        <v>0</v>
      </c>
      <c r="E599" s="1429" t="b">
        <v>0</v>
      </c>
      <c r="F599" s="1429" t="b">
        <v>0</v>
      </c>
      <c r="G599" s="1429" t="b">
        <v>0</v>
      </c>
      <c r="H599" s="1428" t="b">
        <v>1</v>
      </c>
      <c r="I599" s="1428" t="b">
        <v>1</v>
      </c>
      <c r="J599" s="1428" t="b">
        <v>1</v>
      </c>
      <c r="K599" s="1476" t="s">
        <v>4054</v>
      </c>
      <c r="L599" s="1470" t="s">
        <v>4055</v>
      </c>
      <c r="M599" s="1472">
        <v>4.0</v>
      </c>
      <c r="N599" s="1471" t="s">
        <v>2306</v>
      </c>
      <c r="O599" s="1459" t="b">
        <v>0</v>
      </c>
      <c r="P599" s="1459" t="b">
        <v>0</v>
      </c>
      <c r="Q599" s="1460" t="s">
        <v>2253</v>
      </c>
      <c r="R599" s="1460" t="s">
        <v>2287</v>
      </c>
      <c r="S599" s="1460" t="b">
        <v>1</v>
      </c>
      <c r="T599" s="1460" t="b">
        <v>1</v>
      </c>
      <c r="U599" s="1460" t="b">
        <v>0</v>
      </c>
      <c r="V599" s="1460"/>
      <c r="W599" s="1460" t="s">
        <v>2255</v>
      </c>
      <c r="X599" s="1460" t="s">
        <v>4056</v>
      </c>
      <c r="Y599" s="1441" t="s">
        <v>1143</v>
      </c>
    </row>
    <row r="600">
      <c r="A600" s="1474" t="s">
        <v>2461</v>
      </c>
      <c r="B600" s="1462" t="b">
        <v>0</v>
      </c>
      <c r="C600" s="1420" t="b">
        <v>1</v>
      </c>
      <c r="D600" s="1420" t="b">
        <v>1</v>
      </c>
      <c r="E600" s="1420" t="b">
        <v>1</v>
      </c>
      <c r="F600" s="1421" t="b">
        <v>0</v>
      </c>
      <c r="G600" s="1421" t="b">
        <v>0</v>
      </c>
      <c r="H600" s="1420" t="b">
        <v>1</v>
      </c>
      <c r="I600" s="1420" t="b">
        <v>1</v>
      </c>
      <c r="J600" s="1420" t="b">
        <v>1</v>
      </c>
      <c r="K600" s="1475" t="s">
        <v>4057</v>
      </c>
      <c r="L600" s="1464" t="s">
        <v>4058</v>
      </c>
      <c r="M600" s="1473">
        <v>5.0</v>
      </c>
      <c r="N600" s="1465" t="s">
        <v>2302</v>
      </c>
      <c r="O600" s="1466" t="b">
        <v>0</v>
      </c>
      <c r="P600" s="1466" t="b">
        <v>1</v>
      </c>
      <c r="Q600" s="1467" t="s">
        <v>2264</v>
      </c>
      <c r="R600" s="1467" t="s">
        <v>2269</v>
      </c>
      <c r="S600" s="1467" t="b">
        <v>1</v>
      </c>
      <c r="T600" s="1467" t="b">
        <v>1</v>
      </c>
      <c r="U600" s="1467" t="b">
        <v>1</v>
      </c>
      <c r="V600" s="1467"/>
      <c r="W600" s="1467" t="s">
        <v>2264</v>
      </c>
      <c r="X600" s="1467" t="s">
        <v>4059</v>
      </c>
      <c r="Y600" s="1442" t="s">
        <v>1143</v>
      </c>
    </row>
    <row r="601">
      <c r="A601" s="1474" t="s">
        <v>2461</v>
      </c>
      <c r="B601" s="1468" t="b">
        <v>0</v>
      </c>
      <c r="C601" s="1428" t="b">
        <v>1</v>
      </c>
      <c r="D601" s="1428" t="b">
        <v>1</v>
      </c>
      <c r="E601" s="1428" t="b">
        <v>1</v>
      </c>
      <c r="F601" s="1429" t="b">
        <v>0</v>
      </c>
      <c r="G601" s="1429" t="b">
        <v>0</v>
      </c>
      <c r="H601" s="1428" t="b">
        <v>1</v>
      </c>
      <c r="I601" s="1428" t="b">
        <v>1</v>
      </c>
      <c r="J601" s="1428" t="b">
        <v>1</v>
      </c>
      <c r="K601" s="1476" t="s">
        <v>4060</v>
      </c>
      <c r="L601" s="1470" t="s">
        <v>4061</v>
      </c>
      <c r="M601" s="1472">
        <v>5.0</v>
      </c>
      <c r="N601" s="1471" t="s">
        <v>2258</v>
      </c>
      <c r="O601" s="1459" t="b">
        <v>0</v>
      </c>
      <c r="P601" s="1459" t="b">
        <v>0</v>
      </c>
      <c r="Q601" s="1460" t="s">
        <v>2253</v>
      </c>
      <c r="R601" s="1460" t="s">
        <v>2287</v>
      </c>
      <c r="S601" s="1460" t="b">
        <v>1</v>
      </c>
      <c r="T601" s="1460" t="b">
        <v>1</v>
      </c>
      <c r="U601" s="1460" t="b">
        <v>0</v>
      </c>
      <c r="V601" s="1460"/>
      <c r="W601" s="1460" t="s">
        <v>2255</v>
      </c>
      <c r="X601" s="1460" t="s">
        <v>4062</v>
      </c>
      <c r="Y601" s="1441" t="s">
        <v>1143</v>
      </c>
    </row>
    <row r="602">
      <c r="A602" s="1474" t="s">
        <v>2461</v>
      </c>
      <c r="B602" s="1462" t="b">
        <v>0</v>
      </c>
      <c r="C602" s="1420" t="b">
        <v>1</v>
      </c>
      <c r="D602" s="1421" t="b">
        <v>0</v>
      </c>
      <c r="E602" s="1420" t="b">
        <v>1</v>
      </c>
      <c r="F602" s="1421" t="b">
        <v>0</v>
      </c>
      <c r="G602" s="1421" t="b">
        <v>0</v>
      </c>
      <c r="H602" s="1420" t="b">
        <v>1</v>
      </c>
      <c r="I602" s="1420" t="b">
        <v>1</v>
      </c>
      <c r="J602" s="1420" t="b">
        <v>1</v>
      </c>
      <c r="K602" s="1475" t="s">
        <v>4063</v>
      </c>
      <c r="L602" s="1464" t="s">
        <v>4064</v>
      </c>
      <c r="M602" s="1473">
        <v>5.0</v>
      </c>
      <c r="N602" s="1465" t="s">
        <v>2268</v>
      </c>
      <c r="O602" s="1466" t="b">
        <v>1</v>
      </c>
      <c r="P602" s="1466" t="b">
        <v>0</v>
      </c>
      <c r="Q602" s="1467" t="s">
        <v>2253</v>
      </c>
      <c r="R602" s="1467" t="s">
        <v>2287</v>
      </c>
      <c r="S602" s="1467" t="b">
        <v>1</v>
      </c>
      <c r="T602" s="1467" t="b">
        <v>0</v>
      </c>
      <c r="U602" s="1467" t="b">
        <v>0</v>
      </c>
      <c r="V602" s="1467"/>
      <c r="W602" s="1467" t="s">
        <v>2288</v>
      </c>
      <c r="X602" s="1467" t="s">
        <v>4065</v>
      </c>
      <c r="Y602" s="1442" t="s">
        <v>1143</v>
      </c>
    </row>
    <row r="603">
      <c r="A603" s="1474" t="s">
        <v>2461</v>
      </c>
      <c r="B603" s="1468" t="b">
        <v>0</v>
      </c>
      <c r="C603" s="1429" t="b">
        <v>0</v>
      </c>
      <c r="D603" s="1429" t="b">
        <v>0</v>
      </c>
      <c r="E603" s="1429" t="b">
        <v>0</v>
      </c>
      <c r="F603" s="1429" t="b">
        <v>0</v>
      </c>
      <c r="G603" s="1429" t="b">
        <v>0</v>
      </c>
      <c r="H603" s="1428" t="b">
        <v>1</v>
      </c>
      <c r="I603" s="1428" t="b">
        <v>1</v>
      </c>
      <c r="J603" s="1428" t="b">
        <v>1</v>
      </c>
      <c r="K603" s="1476" t="s">
        <v>4066</v>
      </c>
      <c r="L603" s="1470" t="s">
        <v>4067</v>
      </c>
      <c r="M603" s="1472">
        <v>5.0</v>
      </c>
      <c r="N603" s="1471" t="s">
        <v>2306</v>
      </c>
      <c r="O603" s="1459" t="b">
        <v>1</v>
      </c>
      <c r="P603" s="1459" t="b">
        <v>0</v>
      </c>
      <c r="Q603" s="1460" t="s">
        <v>2264</v>
      </c>
      <c r="R603" s="1460" t="s">
        <v>2368</v>
      </c>
      <c r="S603" s="1460" t="b">
        <v>1</v>
      </c>
      <c r="T603" s="1460" t="b">
        <v>1</v>
      </c>
      <c r="U603" s="1460" t="b">
        <v>1</v>
      </c>
      <c r="V603" s="1460"/>
      <c r="W603" s="1460" t="s">
        <v>2270</v>
      </c>
      <c r="X603" s="1460" t="s">
        <v>4068</v>
      </c>
      <c r="Y603" s="1441" t="s">
        <v>1143</v>
      </c>
    </row>
    <row r="604">
      <c r="A604" s="1474" t="s">
        <v>2461</v>
      </c>
      <c r="B604" s="1462" t="b">
        <v>0</v>
      </c>
      <c r="C604" s="1421" t="b">
        <v>0</v>
      </c>
      <c r="D604" s="1421" t="b">
        <v>0</v>
      </c>
      <c r="E604" s="1421" t="b">
        <v>0</v>
      </c>
      <c r="F604" s="1421" t="b">
        <v>0</v>
      </c>
      <c r="G604" s="1421" t="b">
        <v>0</v>
      </c>
      <c r="H604" s="1420" t="b">
        <v>1</v>
      </c>
      <c r="I604" s="1420" t="b">
        <v>1</v>
      </c>
      <c r="J604" s="1420" t="b">
        <v>1</v>
      </c>
      <c r="K604" s="1463" t="s">
        <v>4069</v>
      </c>
      <c r="L604" s="1464" t="s">
        <v>4070</v>
      </c>
      <c r="M604" s="1473">
        <v>6.0</v>
      </c>
      <c r="N604" s="1465" t="s">
        <v>2252</v>
      </c>
      <c r="O604" s="1466" t="b">
        <v>1</v>
      </c>
      <c r="P604" s="1466" t="b">
        <v>0</v>
      </c>
      <c r="Q604" s="1467" t="s">
        <v>2253</v>
      </c>
      <c r="R604" s="1467" t="s">
        <v>2269</v>
      </c>
      <c r="S604" s="1467" t="b">
        <v>1</v>
      </c>
      <c r="T604" s="1467" t="b">
        <v>1</v>
      </c>
      <c r="U604" s="1467" t="b">
        <v>0</v>
      </c>
      <c r="V604" s="1467"/>
      <c r="W604" s="1467" t="s">
        <v>2288</v>
      </c>
      <c r="X604" s="1467" t="s">
        <v>4071</v>
      </c>
      <c r="Y604" s="1442" t="s">
        <v>1143</v>
      </c>
    </row>
    <row r="605">
      <c r="A605" s="1474" t="s">
        <v>2461</v>
      </c>
      <c r="B605" s="1468" t="b">
        <v>0</v>
      </c>
      <c r="C605" s="1429" t="b">
        <v>0</v>
      </c>
      <c r="D605" s="1429" t="b">
        <v>0</v>
      </c>
      <c r="E605" s="1429" t="b">
        <v>0</v>
      </c>
      <c r="F605" s="1429" t="b">
        <v>0</v>
      </c>
      <c r="G605" s="1429" t="b">
        <v>0</v>
      </c>
      <c r="H605" s="1428" t="b">
        <v>1</v>
      </c>
      <c r="I605" s="1428" t="b">
        <v>1</v>
      </c>
      <c r="J605" s="1428" t="b">
        <v>1</v>
      </c>
      <c r="K605" s="1469" t="s">
        <v>4072</v>
      </c>
      <c r="L605" s="1470" t="s">
        <v>4073</v>
      </c>
      <c r="M605" s="1472">
        <v>7.0</v>
      </c>
      <c r="N605" s="1471" t="s">
        <v>2252</v>
      </c>
      <c r="O605" s="1459" t="b">
        <v>1</v>
      </c>
      <c r="P605" s="1459" t="b">
        <v>0</v>
      </c>
      <c r="Q605" s="1460" t="s">
        <v>2316</v>
      </c>
      <c r="R605" s="1460" t="s">
        <v>2287</v>
      </c>
      <c r="S605" s="1460" t="b">
        <v>1</v>
      </c>
      <c r="T605" s="1460" t="b">
        <v>0</v>
      </c>
      <c r="U605" s="1460" t="b">
        <v>0</v>
      </c>
      <c r="V605" s="1460"/>
      <c r="W605" s="1460" t="s">
        <v>2288</v>
      </c>
      <c r="X605" s="1460" t="s">
        <v>4074</v>
      </c>
      <c r="Y605" s="1441" t="s">
        <v>1143</v>
      </c>
    </row>
    <row r="606">
      <c r="A606" s="1474" t="s">
        <v>2461</v>
      </c>
      <c r="B606" s="1462" t="b">
        <v>0</v>
      </c>
      <c r="C606" s="1420" t="b">
        <v>1</v>
      </c>
      <c r="D606" s="1420" t="b">
        <v>1</v>
      </c>
      <c r="E606" s="1420" t="b">
        <v>1</v>
      </c>
      <c r="F606" s="1421" t="b">
        <v>0</v>
      </c>
      <c r="G606" s="1421" t="b">
        <v>0</v>
      </c>
      <c r="H606" s="1420" t="b">
        <v>1</v>
      </c>
      <c r="I606" s="1420" t="b">
        <v>1</v>
      </c>
      <c r="J606" s="1420" t="b">
        <v>1</v>
      </c>
      <c r="K606" s="1463" t="s">
        <v>4075</v>
      </c>
      <c r="L606" s="1464" t="s">
        <v>4076</v>
      </c>
      <c r="M606" s="1473">
        <v>8.0</v>
      </c>
      <c r="N606" s="1465" t="s">
        <v>2306</v>
      </c>
      <c r="O606" s="1466" t="b">
        <v>0</v>
      </c>
      <c r="P606" s="1466" t="b">
        <v>0</v>
      </c>
      <c r="Q606" s="1467" t="s">
        <v>2253</v>
      </c>
      <c r="R606" s="1467" t="s">
        <v>2269</v>
      </c>
      <c r="S606" s="1467" t="b">
        <v>1</v>
      </c>
      <c r="T606" s="1467" t="b">
        <v>1</v>
      </c>
      <c r="U606" s="1467" t="b">
        <v>0</v>
      </c>
      <c r="V606" s="1467"/>
      <c r="W606" s="1467" t="s">
        <v>2297</v>
      </c>
      <c r="X606" s="1467" t="s">
        <v>4077</v>
      </c>
      <c r="Y606" s="1442" t="s">
        <v>1143</v>
      </c>
    </row>
    <row r="607">
      <c r="A607" s="1474" t="s">
        <v>2461</v>
      </c>
      <c r="B607" s="1468" t="b">
        <v>0</v>
      </c>
      <c r="C607" s="1429" t="b">
        <v>0</v>
      </c>
      <c r="D607" s="1429" t="b">
        <v>0</v>
      </c>
      <c r="E607" s="1429" t="b">
        <v>0</v>
      </c>
      <c r="F607" s="1429" t="b">
        <v>0</v>
      </c>
      <c r="G607" s="1429" t="b">
        <v>0</v>
      </c>
      <c r="H607" s="1428" t="b">
        <v>1</v>
      </c>
      <c r="I607" s="1428" t="b">
        <v>1</v>
      </c>
      <c r="J607" s="1428" t="b">
        <v>1</v>
      </c>
      <c r="K607" s="1469" t="s">
        <v>4078</v>
      </c>
      <c r="L607" s="1470" t="s">
        <v>4079</v>
      </c>
      <c r="M607" s="1472">
        <v>9.0</v>
      </c>
      <c r="N607" s="1471" t="s">
        <v>2252</v>
      </c>
      <c r="O607" s="1459" t="b">
        <v>0</v>
      </c>
      <c r="P607" s="1459" t="b">
        <v>0</v>
      </c>
      <c r="Q607" s="1460" t="s">
        <v>2253</v>
      </c>
      <c r="R607" s="1460" t="s">
        <v>2269</v>
      </c>
      <c r="S607" s="1460" t="b">
        <v>0</v>
      </c>
      <c r="T607" s="1460" t="b">
        <v>1</v>
      </c>
      <c r="U607" s="1460" t="b">
        <v>0</v>
      </c>
      <c r="V607" s="1460"/>
      <c r="W607" s="1460" t="s">
        <v>2255</v>
      </c>
      <c r="X607" s="1460" t="s">
        <v>4080</v>
      </c>
      <c r="Y607" s="1441" t="s">
        <v>147</v>
      </c>
    </row>
    <row r="608">
      <c r="A608" s="1474" t="s">
        <v>2461</v>
      </c>
      <c r="B608" s="1462" t="b">
        <v>1</v>
      </c>
      <c r="C608" s="1420" t="b">
        <v>1</v>
      </c>
      <c r="D608" s="1421" t="b">
        <v>0</v>
      </c>
      <c r="E608" s="1421" t="b">
        <v>0</v>
      </c>
      <c r="F608" s="1421" t="b">
        <v>0</v>
      </c>
      <c r="G608" s="1421" t="b">
        <v>0</v>
      </c>
      <c r="H608" s="1420" t="b">
        <v>1</v>
      </c>
      <c r="I608" s="1421" t="b">
        <v>0</v>
      </c>
      <c r="J608" s="1420" t="b">
        <v>1</v>
      </c>
      <c r="K608" s="1463" t="s">
        <v>4081</v>
      </c>
      <c r="L608" s="1464" t="s">
        <v>4082</v>
      </c>
      <c r="M608" s="1473">
        <v>0.0</v>
      </c>
      <c r="N608" s="1465" t="s">
        <v>2385</v>
      </c>
      <c r="O608" s="1466" t="b">
        <v>1</v>
      </c>
      <c r="P608" s="1466" t="b">
        <v>0</v>
      </c>
      <c r="Q608" s="1467" t="s">
        <v>2253</v>
      </c>
      <c r="R608" s="1467" t="s">
        <v>2269</v>
      </c>
      <c r="S608" s="1467" t="b">
        <v>0</v>
      </c>
      <c r="T608" s="1467" t="b">
        <v>1</v>
      </c>
      <c r="U608" s="1467" t="b">
        <v>0</v>
      </c>
      <c r="V608" s="1467"/>
      <c r="W608" s="1467" t="s">
        <v>2288</v>
      </c>
      <c r="X608" s="1467" t="s">
        <v>4083</v>
      </c>
      <c r="Y608" s="1442" t="s">
        <v>147</v>
      </c>
    </row>
    <row r="609">
      <c r="A609" s="1474" t="s">
        <v>2461</v>
      </c>
      <c r="B609" s="1468" t="b">
        <v>0</v>
      </c>
      <c r="C609" s="1429" t="b">
        <v>0</v>
      </c>
      <c r="D609" s="1429" t="b">
        <v>0</v>
      </c>
      <c r="E609" s="1429" t="b">
        <v>0</v>
      </c>
      <c r="F609" s="1429" t="b">
        <v>0</v>
      </c>
      <c r="G609" s="1429" t="b">
        <v>0</v>
      </c>
      <c r="H609" s="1428" t="b">
        <v>1</v>
      </c>
      <c r="I609" s="1428" t="b">
        <v>0</v>
      </c>
      <c r="J609" s="1428" t="b">
        <v>1</v>
      </c>
      <c r="K609" s="1469" t="s">
        <v>4084</v>
      </c>
      <c r="L609" s="1470" t="s">
        <v>4085</v>
      </c>
      <c r="M609" s="1472">
        <v>1.0</v>
      </c>
      <c r="N609" s="1471" t="s">
        <v>2252</v>
      </c>
      <c r="O609" s="1459" t="b">
        <v>0</v>
      </c>
      <c r="P609" s="1459" t="b">
        <v>0</v>
      </c>
      <c r="Q609" s="1460" t="s">
        <v>2253</v>
      </c>
      <c r="R609" s="1460" t="s">
        <v>2254</v>
      </c>
      <c r="S609" s="1460" t="b">
        <v>1</v>
      </c>
      <c r="T609" s="1460" t="b">
        <v>1</v>
      </c>
      <c r="U609" s="1460" t="b">
        <v>0</v>
      </c>
      <c r="V609" s="1460"/>
      <c r="W609" s="1460" t="s">
        <v>2725</v>
      </c>
      <c r="X609" s="1460" t="s">
        <v>4086</v>
      </c>
      <c r="Y609" s="1441" t="s">
        <v>147</v>
      </c>
    </row>
    <row r="610">
      <c r="A610" s="1474" t="s">
        <v>2461</v>
      </c>
      <c r="B610" s="1462" t="b">
        <v>1</v>
      </c>
      <c r="C610" s="1421" t="b">
        <v>0</v>
      </c>
      <c r="D610" s="1421" t="b">
        <v>0</v>
      </c>
      <c r="E610" s="1421" t="b">
        <v>0</v>
      </c>
      <c r="F610" s="1421" t="b">
        <v>0</v>
      </c>
      <c r="G610" s="1421" t="b">
        <v>0</v>
      </c>
      <c r="H610" s="1420" t="b">
        <v>1</v>
      </c>
      <c r="I610" s="1421" t="b">
        <v>0</v>
      </c>
      <c r="J610" s="1420" t="b">
        <v>1</v>
      </c>
      <c r="K610" s="1463" t="s">
        <v>4087</v>
      </c>
      <c r="L610" s="1464" t="s">
        <v>4088</v>
      </c>
      <c r="M610" s="1473">
        <v>0.0</v>
      </c>
      <c r="N610" s="1465" t="s">
        <v>2252</v>
      </c>
      <c r="O610" s="1466" t="b">
        <v>0</v>
      </c>
      <c r="P610" s="1466" t="b">
        <v>0</v>
      </c>
      <c r="Q610" s="1467" t="s">
        <v>2253</v>
      </c>
      <c r="R610" s="1467" t="s">
        <v>4089</v>
      </c>
      <c r="S610" s="1467" t="b">
        <v>1</v>
      </c>
      <c r="T610" s="1467" t="b">
        <v>1</v>
      </c>
      <c r="U610" s="1467" t="b">
        <v>0</v>
      </c>
      <c r="V610" s="1467"/>
      <c r="W610" s="1467" t="s">
        <v>2255</v>
      </c>
      <c r="X610" s="1467" t="s">
        <v>4090</v>
      </c>
      <c r="Y610" s="1442" t="s">
        <v>147</v>
      </c>
    </row>
    <row r="611">
      <c r="A611" s="1474" t="s">
        <v>2461</v>
      </c>
      <c r="B611" s="1468" t="b">
        <v>1</v>
      </c>
      <c r="C611" s="1428" t="b">
        <v>1</v>
      </c>
      <c r="D611" s="1428" t="b">
        <v>0</v>
      </c>
      <c r="E611" s="1429" t="b">
        <v>0</v>
      </c>
      <c r="F611" s="1429" t="b">
        <v>0</v>
      </c>
      <c r="G611" s="1429" t="b">
        <v>0</v>
      </c>
      <c r="H611" s="1429" t="b">
        <v>0</v>
      </c>
      <c r="I611" s="1429" t="b">
        <v>0</v>
      </c>
      <c r="J611" s="1428" t="b">
        <v>1</v>
      </c>
      <c r="K611" s="1469" t="s">
        <v>4091</v>
      </c>
      <c r="L611" s="1470" t="s">
        <v>4092</v>
      </c>
      <c r="M611" s="1472">
        <v>0.0</v>
      </c>
      <c r="N611" s="1471" t="s">
        <v>2302</v>
      </c>
      <c r="O611" s="1459" t="b">
        <v>1</v>
      </c>
      <c r="P611" s="1459" t="b">
        <v>0</v>
      </c>
      <c r="Q611" s="1460" t="s">
        <v>2253</v>
      </c>
      <c r="R611" s="1460" t="s">
        <v>2269</v>
      </c>
      <c r="S611" s="1460" t="b">
        <v>1</v>
      </c>
      <c r="T611" s="1460" t="b">
        <v>1</v>
      </c>
      <c r="U611" s="1460" t="b">
        <v>1</v>
      </c>
      <c r="V611" s="1460" t="s">
        <v>4093</v>
      </c>
      <c r="W611" s="1460" t="s">
        <v>2264</v>
      </c>
      <c r="X611" s="1460" t="s">
        <v>4094</v>
      </c>
      <c r="Y611" s="1441" t="s">
        <v>147</v>
      </c>
    </row>
    <row r="612">
      <c r="A612" s="1474" t="s">
        <v>2461</v>
      </c>
      <c r="B612" s="1462" t="b">
        <v>0</v>
      </c>
      <c r="C612" s="1421" t="b">
        <v>0</v>
      </c>
      <c r="D612" s="1421" t="b">
        <v>0</v>
      </c>
      <c r="E612" s="1421" t="b">
        <v>0</v>
      </c>
      <c r="F612" s="1421" t="b">
        <v>0</v>
      </c>
      <c r="G612" s="1421" t="b">
        <v>0</v>
      </c>
      <c r="H612" s="1421" t="b">
        <v>0</v>
      </c>
      <c r="I612" s="1421" t="b">
        <v>0</v>
      </c>
      <c r="J612" s="1421" t="b">
        <v>0</v>
      </c>
      <c r="K612" s="1463"/>
      <c r="L612" s="1464"/>
      <c r="M612" s="1477"/>
      <c r="N612" s="1478"/>
      <c r="O612" s="1466" t="b">
        <v>0</v>
      </c>
      <c r="P612" s="1466" t="b">
        <v>0</v>
      </c>
      <c r="Q612" s="1467"/>
      <c r="R612" s="1467"/>
      <c r="S612" s="1467" t="b">
        <v>0</v>
      </c>
      <c r="T612" s="1467" t="b">
        <v>0</v>
      </c>
      <c r="U612" s="1467" t="b">
        <v>0</v>
      </c>
      <c r="V612" s="1467"/>
      <c r="W612" s="1467"/>
      <c r="X612" s="1467"/>
      <c r="Y612" s="1442"/>
    </row>
    <row r="613">
      <c r="A613" s="1474" t="s">
        <v>2461</v>
      </c>
      <c r="B613" s="1468" t="b">
        <v>0</v>
      </c>
      <c r="C613" s="1429" t="b">
        <v>0</v>
      </c>
      <c r="D613" s="1429" t="b">
        <v>0</v>
      </c>
      <c r="E613" s="1429" t="b">
        <v>0</v>
      </c>
      <c r="F613" s="1429" t="b">
        <v>0</v>
      </c>
      <c r="G613" s="1429" t="b">
        <v>0</v>
      </c>
      <c r="H613" s="1429" t="b">
        <v>0</v>
      </c>
      <c r="I613" s="1429" t="b">
        <v>0</v>
      </c>
      <c r="J613" s="1429" t="b">
        <v>0</v>
      </c>
      <c r="K613" s="1469"/>
      <c r="L613" s="1470"/>
      <c r="M613" s="1479"/>
      <c r="N613" s="1480"/>
      <c r="O613" s="1459" t="b">
        <v>0</v>
      </c>
      <c r="P613" s="1459" t="b">
        <v>0</v>
      </c>
      <c r="Q613" s="1460"/>
      <c r="R613" s="1460"/>
      <c r="S613" s="1460" t="b">
        <v>0</v>
      </c>
      <c r="T613" s="1460" t="b">
        <v>0</v>
      </c>
      <c r="U613" s="1460" t="b">
        <v>0</v>
      </c>
      <c r="V613" s="1460"/>
      <c r="W613" s="1460"/>
      <c r="X613" s="1460"/>
      <c r="Y613" s="1441"/>
    </row>
    <row r="614">
      <c r="A614" s="1474" t="s">
        <v>2461</v>
      </c>
      <c r="B614" s="1462" t="b">
        <v>0</v>
      </c>
      <c r="C614" s="1421" t="b">
        <v>0</v>
      </c>
      <c r="D614" s="1421" t="b">
        <v>0</v>
      </c>
      <c r="E614" s="1421" t="b">
        <v>0</v>
      </c>
      <c r="F614" s="1421" t="b">
        <v>0</v>
      </c>
      <c r="G614" s="1421" t="b">
        <v>0</v>
      </c>
      <c r="H614" s="1421" t="b">
        <v>0</v>
      </c>
      <c r="I614" s="1421" t="b">
        <v>0</v>
      </c>
      <c r="J614" s="1421" t="b">
        <v>0</v>
      </c>
      <c r="K614" s="1463"/>
      <c r="L614" s="1464"/>
      <c r="M614" s="1477"/>
      <c r="N614" s="1478"/>
      <c r="O614" s="1466" t="b">
        <v>0</v>
      </c>
      <c r="P614" s="1466" t="b">
        <v>0</v>
      </c>
      <c r="Q614" s="1467"/>
      <c r="R614" s="1467"/>
      <c r="S614" s="1467" t="b">
        <v>0</v>
      </c>
      <c r="T614" s="1467" t="b">
        <v>0</v>
      </c>
      <c r="U614" s="1467" t="b">
        <v>0</v>
      </c>
      <c r="V614" s="1467"/>
      <c r="W614" s="1467"/>
      <c r="X614" s="1467"/>
      <c r="Y614" s="1442"/>
    </row>
    <row r="615">
      <c r="A615" s="1474" t="s">
        <v>2461</v>
      </c>
      <c r="B615" s="1468" t="b">
        <v>0</v>
      </c>
      <c r="C615" s="1429" t="b">
        <v>0</v>
      </c>
      <c r="D615" s="1429" t="b">
        <v>0</v>
      </c>
      <c r="E615" s="1429" t="b">
        <v>0</v>
      </c>
      <c r="F615" s="1429" t="b">
        <v>0</v>
      </c>
      <c r="G615" s="1429" t="b">
        <v>0</v>
      </c>
      <c r="H615" s="1429" t="b">
        <v>0</v>
      </c>
      <c r="I615" s="1429" t="b">
        <v>0</v>
      </c>
      <c r="J615" s="1429" t="b">
        <v>0</v>
      </c>
      <c r="K615" s="1469"/>
      <c r="L615" s="1470"/>
      <c r="M615" s="1479"/>
      <c r="N615" s="1480"/>
      <c r="O615" s="1459" t="b">
        <v>0</v>
      </c>
      <c r="P615" s="1459" t="b">
        <v>0</v>
      </c>
      <c r="Q615" s="1460"/>
      <c r="R615" s="1460"/>
      <c r="S615" s="1460" t="b">
        <v>0</v>
      </c>
      <c r="T615" s="1460" t="b">
        <v>0</v>
      </c>
      <c r="U615" s="1460" t="b">
        <v>0</v>
      </c>
      <c r="V615" s="1460"/>
      <c r="W615" s="1460"/>
      <c r="X615" s="1460"/>
      <c r="Y615" s="1441"/>
    </row>
    <row r="616">
      <c r="A616" s="1474" t="s">
        <v>2461</v>
      </c>
      <c r="B616" s="1462" t="b">
        <v>0</v>
      </c>
      <c r="C616" s="1421" t="b">
        <v>0</v>
      </c>
      <c r="D616" s="1421" t="b">
        <v>0</v>
      </c>
      <c r="E616" s="1421" t="b">
        <v>0</v>
      </c>
      <c r="F616" s="1421" t="b">
        <v>0</v>
      </c>
      <c r="G616" s="1421" t="b">
        <v>0</v>
      </c>
      <c r="H616" s="1421" t="b">
        <v>0</v>
      </c>
      <c r="I616" s="1421" t="b">
        <v>0</v>
      </c>
      <c r="J616" s="1421" t="b">
        <v>0</v>
      </c>
      <c r="K616" s="1463"/>
      <c r="L616" s="1464"/>
      <c r="M616" s="1477"/>
      <c r="N616" s="1478"/>
      <c r="O616" s="1466" t="b">
        <v>0</v>
      </c>
      <c r="P616" s="1466" t="b">
        <v>0</v>
      </c>
      <c r="Q616" s="1467"/>
      <c r="R616" s="1467"/>
      <c r="S616" s="1467" t="b">
        <v>0</v>
      </c>
      <c r="T616" s="1467" t="b">
        <v>0</v>
      </c>
      <c r="U616" s="1467" t="b">
        <v>0</v>
      </c>
      <c r="V616" s="1467"/>
      <c r="W616" s="1467"/>
      <c r="X616" s="1467"/>
      <c r="Y616" s="1442"/>
    </row>
    <row r="617">
      <c r="A617" s="1474" t="s">
        <v>2461</v>
      </c>
      <c r="B617" s="1468" t="b">
        <v>0</v>
      </c>
      <c r="C617" s="1429" t="b">
        <v>0</v>
      </c>
      <c r="D617" s="1429" t="b">
        <v>0</v>
      </c>
      <c r="E617" s="1429" t="b">
        <v>0</v>
      </c>
      <c r="F617" s="1429" t="b">
        <v>0</v>
      </c>
      <c r="G617" s="1429" t="b">
        <v>0</v>
      </c>
      <c r="H617" s="1429" t="b">
        <v>0</v>
      </c>
      <c r="I617" s="1429" t="b">
        <v>0</v>
      </c>
      <c r="J617" s="1429" t="b">
        <v>0</v>
      </c>
      <c r="K617" s="1469"/>
      <c r="L617" s="1470"/>
      <c r="M617" s="1479"/>
      <c r="N617" s="1480"/>
      <c r="O617" s="1459" t="b">
        <v>0</v>
      </c>
      <c r="P617" s="1459" t="b">
        <v>0</v>
      </c>
      <c r="Q617" s="1460"/>
      <c r="R617" s="1460"/>
      <c r="S617" s="1460" t="b">
        <v>0</v>
      </c>
      <c r="T617" s="1460" t="b">
        <v>0</v>
      </c>
      <c r="U617" s="1460" t="b">
        <v>0</v>
      </c>
      <c r="V617" s="1460"/>
      <c r="W617" s="1460"/>
      <c r="X617" s="1460"/>
      <c r="Y617" s="1441"/>
    </row>
    <row r="618">
      <c r="A618" s="1474" t="s">
        <v>2461</v>
      </c>
      <c r="B618" s="1462" t="b">
        <v>0</v>
      </c>
      <c r="C618" s="1421" t="b">
        <v>0</v>
      </c>
      <c r="D618" s="1421" t="b">
        <v>0</v>
      </c>
      <c r="E618" s="1421" t="b">
        <v>0</v>
      </c>
      <c r="F618" s="1421" t="b">
        <v>0</v>
      </c>
      <c r="G618" s="1421" t="b">
        <v>0</v>
      </c>
      <c r="H618" s="1421" t="b">
        <v>0</v>
      </c>
      <c r="I618" s="1421" t="b">
        <v>0</v>
      </c>
      <c r="J618" s="1421" t="b">
        <v>0</v>
      </c>
      <c r="K618" s="1463"/>
      <c r="L618" s="1464"/>
      <c r="M618" s="1477"/>
      <c r="N618" s="1478"/>
      <c r="O618" s="1466" t="b">
        <v>0</v>
      </c>
      <c r="P618" s="1466" t="b">
        <v>0</v>
      </c>
      <c r="Q618" s="1467"/>
      <c r="R618" s="1467"/>
      <c r="S618" s="1467" t="b">
        <v>0</v>
      </c>
      <c r="T618" s="1467" t="b">
        <v>0</v>
      </c>
      <c r="U618" s="1467" t="b">
        <v>0</v>
      </c>
      <c r="V618" s="1467"/>
      <c r="W618" s="1467"/>
      <c r="X618" s="1467"/>
      <c r="Y618" s="1442"/>
    </row>
    <row r="619">
      <c r="A619" s="1474" t="s">
        <v>2461</v>
      </c>
      <c r="B619" s="1468" t="b">
        <v>0</v>
      </c>
      <c r="C619" s="1429" t="b">
        <v>0</v>
      </c>
      <c r="D619" s="1429" t="b">
        <v>0</v>
      </c>
      <c r="E619" s="1429" t="b">
        <v>0</v>
      </c>
      <c r="F619" s="1429" t="b">
        <v>0</v>
      </c>
      <c r="G619" s="1429" t="b">
        <v>0</v>
      </c>
      <c r="H619" s="1429" t="b">
        <v>0</v>
      </c>
      <c r="I619" s="1429" t="b">
        <v>0</v>
      </c>
      <c r="J619" s="1429" t="b">
        <v>0</v>
      </c>
      <c r="K619" s="1469"/>
      <c r="L619" s="1470"/>
      <c r="M619" s="1479"/>
      <c r="N619" s="1480"/>
      <c r="O619" s="1459" t="b">
        <v>0</v>
      </c>
      <c r="P619" s="1459" t="b">
        <v>0</v>
      </c>
      <c r="Q619" s="1460"/>
      <c r="R619" s="1460"/>
      <c r="S619" s="1460" t="b">
        <v>0</v>
      </c>
      <c r="T619" s="1460" t="b">
        <v>0</v>
      </c>
      <c r="U619" s="1460" t="b">
        <v>0</v>
      </c>
      <c r="V619" s="1460"/>
      <c r="W619" s="1460"/>
      <c r="X619" s="1460"/>
      <c r="Y619" s="1441"/>
    </row>
    <row r="620">
      <c r="A620" s="1474" t="s">
        <v>2461</v>
      </c>
      <c r="B620" s="1462" t="b">
        <v>0</v>
      </c>
      <c r="C620" s="1421" t="b">
        <v>0</v>
      </c>
      <c r="D620" s="1421" t="b">
        <v>0</v>
      </c>
      <c r="E620" s="1421" t="b">
        <v>0</v>
      </c>
      <c r="F620" s="1421" t="b">
        <v>0</v>
      </c>
      <c r="G620" s="1421" t="b">
        <v>0</v>
      </c>
      <c r="H620" s="1421" t="b">
        <v>0</v>
      </c>
      <c r="I620" s="1421" t="b">
        <v>0</v>
      </c>
      <c r="J620" s="1421" t="b">
        <v>0</v>
      </c>
      <c r="K620" s="1463"/>
      <c r="L620" s="1464"/>
      <c r="M620" s="1477"/>
      <c r="N620" s="1478"/>
      <c r="O620" s="1466" t="b">
        <v>0</v>
      </c>
      <c r="P620" s="1466" t="b">
        <v>0</v>
      </c>
      <c r="Q620" s="1467"/>
      <c r="R620" s="1467"/>
      <c r="S620" s="1467" t="b">
        <v>0</v>
      </c>
      <c r="T620" s="1467" t="b">
        <v>0</v>
      </c>
      <c r="U620" s="1467" t="b">
        <v>0</v>
      </c>
      <c r="V620" s="1467"/>
      <c r="W620" s="1467"/>
      <c r="X620" s="1467"/>
      <c r="Y620" s="1442"/>
    </row>
    <row r="621">
      <c r="A621" s="1474" t="s">
        <v>2461</v>
      </c>
      <c r="B621" s="1468" t="b">
        <v>0</v>
      </c>
      <c r="C621" s="1429" t="b">
        <v>0</v>
      </c>
      <c r="D621" s="1429" t="b">
        <v>0</v>
      </c>
      <c r="E621" s="1429" t="b">
        <v>0</v>
      </c>
      <c r="F621" s="1429" t="b">
        <v>0</v>
      </c>
      <c r="G621" s="1429" t="b">
        <v>0</v>
      </c>
      <c r="H621" s="1429" t="b">
        <v>0</v>
      </c>
      <c r="I621" s="1429" t="b">
        <v>0</v>
      </c>
      <c r="J621" s="1429" t="b">
        <v>0</v>
      </c>
      <c r="K621" s="1469"/>
      <c r="L621" s="1470"/>
      <c r="M621" s="1479"/>
      <c r="N621" s="1480"/>
      <c r="O621" s="1459" t="b">
        <v>0</v>
      </c>
      <c r="P621" s="1459" t="b">
        <v>0</v>
      </c>
      <c r="Q621" s="1460"/>
      <c r="R621" s="1460"/>
      <c r="S621" s="1460" t="b">
        <v>0</v>
      </c>
      <c r="T621" s="1460" t="b">
        <v>0</v>
      </c>
      <c r="U621" s="1460" t="b">
        <v>0</v>
      </c>
      <c r="V621" s="1460"/>
      <c r="W621" s="1460"/>
      <c r="X621" s="1460"/>
      <c r="Y621" s="1441"/>
    </row>
    <row r="622">
      <c r="A622" s="1474" t="s">
        <v>2461</v>
      </c>
      <c r="B622" s="1462" t="b">
        <v>0</v>
      </c>
      <c r="C622" s="1421" t="b">
        <v>0</v>
      </c>
      <c r="D622" s="1421" t="b">
        <v>0</v>
      </c>
      <c r="E622" s="1421" t="b">
        <v>0</v>
      </c>
      <c r="F622" s="1421" t="b">
        <v>0</v>
      </c>
      <c r="G622" s="1421" t="b">
        <v>0</v>
      </c>
      <c r="H622" s="1421" t="b">
        <v>0</v>
      </c>
      <c r="I622" s="1421" t="b">
        <v>0</v>
      </c>
      <c r="J622" s="1421" t="b">
        <v>0</v>
      </c>
      <c r="K622" s="1463"/>
      <c r="L622" s="1464"/>
      <c r="M622" s="1477"/>
      <c r="N622" s="1478"/>
      <c r="O622" s="1466" t="b">
        <v>0</v>
      </c>
      <c r="P622" s="1466" t="b">
        <v>0</v>
      </c>
      <c r="Q622" s="1467"/>
      <c r="R622" s="1467"/>
      <c r="S622" s="1467" t="b">
        <v>0</v>
      </c>
      <c r="T622" s="1467" t="b">
        <v>0</v>
      </c>
      <c r="U622" s="1467" t="b">
        <v>0</v>
      </c>
      <c r="V622" s="1467"/>
      <c r="W622" s="1467"/>
      <c r="X622" s="1467"/>
      <c r="Y622" s="1442"/>
    </row>
    <row r="623">
      <c r="A623" s="1474" t="s">
        <v>2461</v>
      </c>
      <c r="B623" s="1468" t="b">
        <v>0</v>
      </c>
      <c r="C623" s="1429" t="b">
        <v>0</v>
      </c>
      <c r="D623" s="1429" t="b">
        <v>0</v>
      </c>
      <c r="E623" s="1429" t="b">
        <v>0</v>
      </c>
      <c r="F623" s="1429" t="b">
        <v>0</v>
      </c>
      <c r="G623" s="1429" t="b">
        <v>0</v>
      </c>
      <c r="H623" s="1429" t="b">
        <v>0</v>
      </c>
      <c r="I623" s="1429" t="b">
        <v>0</v>
      </c>
      <c r="J623" s="1429" t="b">
        <v>0</v>
      </c>
      <c r="K623" s="1469"/>
      <c r="L623" s="1470"/>
      <c r="M623" s="1479"/>
      <c r="N623" s="1480"/>
      <c r="O623" s="1459" t="b">
        <v>0</v>
      </c>
      <c r="P623" s="1459" t="b">
        <v>0</v>
      </c>
      <c r="Q623" s="1460"/>
      <c r="R623" s="1460"/>
      <c r="S623" s="1460" t="b">
        <v>0</v>
      </c>
      <c r="T623" s="1460" t="b">
        <v>0</v>
      </c>
      <c r="U623" s="1460" t="b">
        <v>0</v>
      </c>
      <c r="V623" s="1460"/>
      <c r="W623" s="1460"/>
      <c r="X623" s="1460"/>
      <c r="Y623" s="1441"/>
    </row>
    <row r="624">
      <c r="A624" s="1474" t="s">
        <v>2461</v>
      </c>
      <c r="B624" s="1462" t="b">
        <v>0</v>
      </c>
      <c r="C624" s="1421" t="b">
        <v>0</v>
      </c>
      <c r="D624" s="1421" t="b">
        <v>0</v>
      </c>
      <c r="E624" s="1421" t="b">
        <v>0</v>
      </c>
      <c r="F624" s="1421" t="b">
        <v>0</v>
      </c>
      <c r="G624" s="1421" t="b">
        <v>0</v>
      </c>
      <c r="H624" s="1421" t="b">
        <v>0</v>
      </c>
      <c r="I624" s="1421" t="b">
        <v>0</v>
      </c>
      <c r="J624" s="1421" t="b">
        <v>0</v>
      </c>
      <c r="K624" s="1463"/>
      <c r="L624" s="1464"/>
      <c r="M624" s="1477"/>
      <c r="N624" s="1478"/>
      <c r="O624" s="1466" t="b">
        <v>0</v>
      </c>
      <c r="P624" s="1466" t="b">
        <v>0</v>
      </c>
      <c r="Q624" s="1467"/>
      <c r="R624" s="1467"/>
      <c r="S624" s="1467" t="b">
        <v>0</v>
      </c>
      <c r="T624" s="1467" t="b">
        <v>0</v>
      </c>
      <c r="U624" s="1467" t="b">
        <v>0</v>
      </c>
      <c r="V624" s="1467"/>
      <c r="W624" s="1467"/>
      <c r="X624" s="1467"/>
      <c r="Y624" s="1442"/>
    </row>
    <row r="625">
      <c r="A625" s="1474" t="s">
        <v>2461</v>
      </c>
      <c r="B625" s="1468" t="b">
        <v>0</v>
      </c>
      <c r="C625" s="1429" t="b">
        <v>0</v>
      </c>
      <c r="D625" s="1429" t="b">
        <v>0</v>
      </c>
      <c r="E625" s="1429" t="b">
        <v>0</v>
      </c>
      <c r="F625" s="1429" t="b">
        <v>0</v>
      </c>
      <c r="G625" s="1429" t="b">
        <v>0</v>
      </c>
      <c r="H625" s="1429" t="b">
        <v>0</v>
      </c>
      <c r="I625" s="1429" t="b">
        <v>0</v>
      </c>
      <c r="J625" s="1429" t="b">
        <v>0</v>
      </c>
      <c r="K625" s="1469"/>
      <c r="L625" s="1470"/>
      <c r="M625" s="1479"/>
      <c r="N625" s="1480"/>
      <c r="O625" s="1459" t="b">
        <v>0</v>
      </c>
      <c r="P625" s="1459" t="b">
        <v>0</v>
      </c>
      <c r="Q625" s="1460"/>
      <c r="R625" s="1460"/>
      <c r="S625" s="1460" t="b">
        <v>0</v>
      </c>
      <c r="T625" s="1460" t="b">
        <v>0</v>
      </c>
      <c r="U625" s="1460" t="b">
        <v>0</v>
      </c>
      <c r="V625" s="1460"/>
      <c r="W625" s="1460"/>
      <c r="X625" s="1460"/>
      <c r="Y625" s="1441"/>
    </row>
    <row r="626">
      <c r="A626" s="1474" t="s">
        <v>2461</v>
      </c>
      <c r="B626" s="1462" t="b">
        <v>0</v>
      </c>
      <c r="C626" s="1421" t="b">
        <v>0</v>
      </c>
      <c r="D626" s="1421" t="b">
        <v>0</v>
      </c>
      <c r="E626" s="1421" t="b">
        <v>0</v>
      </c>
      <c r="F626" s="1421" t="b">
        <v>0</v>
      </c>
      <c r="G626" s="1421" t="b">
        <v>0</v>
      </c>
      <c r="H626" s="1421" t="b">
        <v>0</v>
      </c>
      <c r="I626" s="1421" t="b">
        <v>0</v>
      </c>
      <c r="J626" s="1421" t="b">
        <v>0</v>
      </c>
      <c r="K626" s="1463"/>
      <c r="L626" s="1464"/>
      <c r="M626" s="1477"/>
      <c r="N626" s="1478"/>
      <c r="O626" s="1466" t="b">
        <v>0</v>
      </c>
      <c r="P626" s="1466" t="b">
        <v>0</v>
      </c>
      <c r="Q626" s="1467"/>
      <c r="R626" s="1467"/>
      <c r="S626" s="1467" t="b">
        <v>0</v>
      </c>
      <c r="T626" s="1467" t="b">
        <v>0</v>
      </c>
      <c r="U626" s="1467" t="b">
        <v>0</v>
      </c>
      <c r="V626" s="1467"/>
      <c r="W626" s="1467"/>
      <c r="X626" s="1467"/>
      <c r="Y626" s="1442"/>
    </row>
    <row r="627">
      <c r="A627" s="1474" t="s">
        <v>2461</v>
      </c>
      <c r="B627" s="1468" t="b">
        <v>0</v>
      </c>
      <c r="C627" s="1429" t="b">
        <v>0</v>
      </c>
      <c r="D627" s="1429" t="b">
        <v>0</v>
      </c>
      <c r="E627" s="1429" t="b">
        <v>0</v>
      </c>
      <c r="F627" s="1429" t="b">
        <v>0</v>
      </c>
      <c r="G627" s="1429" t="b">
        <v>0</v>
      </c>
      <c r="H627" s="1429" t="b">
        <v>0</v>
      </c>
      <c r="I627" s="1429" t="b">
        <v>0</v>
      </c>
      <c r="J627" s="1429" t="b">
        <v>0</v>
      </c>
      <c r="K627" s="1469"/>
      <c r="L627" s="1470"/>
      <c r="M627" s="1479"/>
      <c r="N627" s="1480"/>
      <c r="O627" s="1459" t="b">
        <v>0</v>
      </c>
      <c r="P627" s="1459" t="b">
        <v>0</v>
      </c>
      <c r="Q627" s="1460"/>
      <c r="R627" s="1460"/>
      <c r="S627" s="1460" t="b">
        <v>0</v>
      </c>
      <c r="T627" s="1460" t="b">
        <v>0</v>
      </c>
      <c r="U627" s="1460" t="b">
        <v>0</v>
      </c>
      <c r="V627" s="1460"/>
      <c r="W627" s="1460"/>
      <c r="X627" s="1460"/>
      <c r="Y627" s="1441"/>
    </row>
    <row r="628">
      <c r="A628" s="1474" t="s">
        <v>2461</v>
      </c>
      <c r="B628" s="1462" t="b">
        <v>0</v>
      </c>
      <c r="C628" s="1421" t="b">
        <v>0</v>
      </c>
      <c r="D628" s="1421" t="b">
        <v>0</v>
      </c>
      <c r="E628" s="1421" t="b">
        <v>0</v>
      </c>
      <c r="F628" s="1421" t="b">
        <v>0</v>
      </c>
      <c r="G628" s="1421" t="b">
        <v>0</v>
      </c>
      <c r="H628" s="1421" t="b">
        <v>0</v>
      </c>
      <c r="I628" s="1421" t="b">
        <v>0</v>
      </c>
      <c r="J628" s="1421" t="b">
        <v>0</v>
      </c>
      <c r="K628" s="1463"/>
      <c r="L628" s="1464"/>
      <c r="M628" s="1477"/>
      <c r="N628" s="1478"/>
      <c r="O628" s="1466" t="b">
        <v>0</v>
      </c>
      <c r="P628" s="1466" t="b">
        <v>0</v>
      </c>
      <c r="Q628" s="1467"/>
      <c r="R628" s="1467"/>
      <c r="S628" s="1467" t="b">
        <v>0</v>
      </c>
      <c r="T628" s="1467" t="b">
        <v>0</v>
      </c>
      <c r="U628" s="1467" t="b">
        <v>0</v>
      </c>
      <c r="V628" s="1467"/>
      <c r="W628" s="1467"/>
      <c r="X628" s="1467"/>
      <c r="Y628" s="1442"/>
    </row>
    <row r="629">
      <c r="A629" s="1474" t="s">
        <v>2461</v>
      </c>
      <c r="B629" s="1468" t="b">
        <v>0</v>
      </c>
      <c r="C629" s="1429" t="b">
        <v>0</v>
      </c>
      <c r="D629" s="1429" t="b">
        <v>0</v>
      </c>
      <c r="E629" s="1429" t="b">
        <v>0</v>
      </c>
      <c r="F629" s="1429" t="b">
        <v>0</v>
      </c>
      <c r="G629" s="1429" t="b">
        <v>0</v>
      </c>
      <c r="H629" s="1429" t="b">
        <v>0</v>
      </c>
      <c r="I629" s="1429" t="b">
        <v>0</v>
      </c>
      <c r="J629" s="1429" t="b">
        <v>0</v>
      </c>
      <c r="K629" s="1469"/>
      <c r="L629" s="1470"/>
      <c r="M629" s="1479"/>
      <c r="N629" s="1480"/>
      <c r="O629" s="1459" t="b">
        <v>0</v>
      </c>
      <c r="P629" s="1459" t="b">
        <v>0</v>
      </c>
      <c r="Q629" s="1460"/>
      <c r="R629" s="1460"/>
      <c r="S629" s="1460" t="b">
        <v>0</v>
      </c>
      <c r="T629" s="1460" t="b">
        <v>0</v>
      </c>
      <c r="U629" s="1460" t="b">
        <v>0</v>
      </c>
      <c r="V629" s="1460"/>
      <c r="W629" s="1460"/>
      <c r="X629" s="1460"/>
      <c r="Y629" s="1441"/>
    </row>
    <row r="630">
      <c r="A630" s="1474" t="s">
        <v>2461</v>
      </c>
      <c r="B630" s="1462" t="b">
        <v>0</v>
      </c>
      <c r="C630" s="1421" t="b">
        <v>0</v>
      </c>
      <c r="D630" s="1421" t="b">
        <v>0</v>
      </c>
      <c r="E630" s="1421" t="b">
        <v>0</v>
      </c>
      <c r="F630" s="1421" t="b">
        <v>0</v>
      </c>
      <c r="G630" s="1421" t="b">
        <v>0</v>
      </c>
      <c r="H630" s="1421" t="b">
        <v>0</v>
      </c>
      <c r="I630" s="1421" t="b">
        <v>0</v>
      </c>
      <c r="J630" s="1421" t="b">
        <v>0</v>
      </c>
      <c r="K630" s="1463"/>
      <c r="L630" s="1464"/>
      <c r="M630" s="1477"/>
      <c r="N630" s="1478"/>
      <c r="O630" s="1466" t="b">
        <v>0</v>
      </c>
      <c r="P630" s="1466" t="b">
        <v>0</v>
      </c>
      <c r="Q630" s="1467"/>
      <c r="R630" s="1467"/>
      <c r="S630" s="1467" t="b">
        <v>0</v>
      </c>
      <c r="T630" s="1467" t="b">
        <v>0</v>
      </c>
      <c r="U630" s="1467" t="b">
        <v>0</v>
      </c>
      <c r="V630" s="1467"/>
      <c r="W630" s="1467"/>
      <c r="X630" s="1467"/>
      <c r="Y630" s="1442"/>
    </row>
    <row r="631">
      <c r="A631" s="1474" t="s">
        <v>2461</v>
      </c>
      <c r="B631" s="1468" t="b">
        <v>0</v>
      </c>
      <c r="C631" s="1429" t="b">
        <v>0</v>
      </c>
      <c r="D631" s="1429" t="b">
        <v>0</v>
      </c>
      <c r="E631" s="1429" t="b">
        <v>0</v>
      </c>
      <c r="F631" s="1429" t="b">
        <v>0</v>
      </c>
      <c r="G631" s="1429" t="b">
        <v>0</v>
      </c>
      <c r="H631" s="1429" t="b">
        <v>0</v>
      </c>
      <c r="I631" s="1429" t="b">
        <v>0</v>
      </c>
      <c r="J631" s="1429" t="b">
        <v>0</v>
      </c>
      <c r="K631" s="1469"/>
      <c r="L631" s="1470"/>
      <c r="M631" s="1479"/>
      <c r="N631" s="1480"/>
      <c r="O631" s="1459" t="b">
        <v>0</v>
      </c>
      <c r="P631" s="1459" t="b">
        <v>0</v>
      </c>
      <c r="Q631" s="1460"/>
      <c r="R631" s="1460"/>
      <c r="S631" s="1460" t="b">
        <v>0</v>
      </c>
      <c r="T631" s="1460" t="b">
        <v>0</v>
      </c>
      <c r="U631" s="1460" t="b">
        <v>0</v>
      </c>
      <c r="V631" s="1460"/>
      <c r="W631" s="1460"/>
      <c r="X631" s="1460"/>
      <c r="Y631" s="1441"/>
    </row>
    <row r="632">
      <c r="A632" s="1474" t="s">
        <v>2461</v>
      </c>
      <c r="B632" s="1462" t="b">
        <v>0</v>
      </c>
      <c r="C632" s="1421" t="b">
        <v>0</v>
      </c>
      <c r="D632" s="1421" t="b">
        <v>0</v>
      </c>
      <c r="E632" s="1421" t="b">
        <v>0</v>
      </c>
      <c r="F632" s="1421" t="b">
        <v>0</v>
      </c>
      <c r="G632" s="1421" t="b">
        <v>0</v>
      </c>
      <c r="H632" s="1421" t="b">
        <v>0</v>
      </c>
      <c r="I632" s="1421" t="b">
        <v>0</v>
      </c>
      <c r="J632" s="1421" t="b">
        <v>0</v>
      </c>
      <c r="K632" s="1463"/>
      <c r="L632" s="1464"/>
      <c r="M632" s="1477"/>
      <c r="N632" s="1478"/>
      <c r="O632" s="1466" t="b">
        <v>0</v>
      </c>
      <c r="P632" s="1466" t="b">
        <v>0</v>
      </c>
      <c r="Q632" s="1467"/>
      <c r="R632" s="1467"/>
      <c r="S632" s="1467" t="b">
        <v>0</v>
      </c>
      <c r="T632" s="1467" t="b">
        <v>0</v>
      </c>
      <c r="U632" s="1467" t="b">
        <v>0</v>
      </c>
      <c r="V632" s="1467"/>
      <c r="W632" s="1467"/>
      <c r="X632" s="1467"/>
      <c r="Y632" s="1442"/>
    </row>
    <row r="633">
      <c r="A633" s="1474" t="s">
        <v>2461</v>
      </c>
      <c r="B633" s="1468" t="b">
        <v>0</v>
      </c>
      <c r="C633" s="1429" t="b">
        <v>0</v>
      </c>
      <c r="D633" s="1429" t="b">
        <v>0</v>
      </c>
      <c r="E633" s="1429" t="b">
        <v>0</v>
      </c>
      <c r="F633" s="1429" t="b">
        <v>0</v>
      </c>
      <c r="G633" s="1429" t="b">
        <v>0</v>
      </c>
      <c r="H633" s="1429" t="b">
        <v>0</v>
      </c>
      <c r="I633" s="1429" t="b">
        <v>0</v>
      </c>
      <c r="J633" s="1429" t="b">
        <v>0</v>
      </c>
      <c r="K633" s="1469"/>
      <c r="L633" s="1470"/>
      <c r="M633" s="1479"/>
      <c r="N633" s="1480"/>
      <c r="O633" s="1459" t="b">
        <v>0</v>
      </c>
      <c r="P633" s="1459" t="b">
        <v>0</v>
      </c>
      <c r="Q633" s="1460"/>
      <c r="R633" s="1460"/>
      <c r="S633" s="1460" t="b">
        <v>0</v>
      </c>
      <c r="T633" s="1460" t="b">
        <v>0</v>
      </c>
      <c r="U633" s="1460" t="b">
        <v>0</v>
      </c>
      <c r="V633" s="1460"/>
      <c r="W633" s="1460"/>
      <c r="X633" s="1460"/>
      <c r="Y633" s="1441"/>
    </row>
    <row r="634">
      <c r="A634" s="1474" t="s">
        <v>2461</v>
      </c>
      <c r="B634" s="1462" t="b">
        <v>0</v>
      </c>
      <c r="C634" s="1421" t="b">
        <v>0</v>
      </c>
      <c r="D634" s="1421" t="b">
        <v>0</v>
      </c>
      <c r="E634" s="1421" t="b">
        <v>0</v>
      </c>
      <c r="F634" s="1421" t="b">
        <v>0</v>
      </c>
      <c r="G634" s="1421" t="b">
        <v>0</v>
      </c>
      <c r="H634" s="1421" t="b">
        <v>0</v>
      </c>
      <c r="I634" s="1421" t="b">
        <v>0</v>
      </c>
      <c r="J634" s="1421" t="b">
        <v>0</v>
      </c>
      <c r="K634" s="1463"/>
      <c r="L634" s="1464"/>
      <c r="M634" s="1477"/>
      <c r="N634" s="1478"/>
      <c r="O634" s="1466" t="b">
        <v>0</v>
      </c>
      <c r="P634" s="1466" t="b">
        <v>0</v>
      </c>
      <c r="Q634" s="1467"/>
      <c r="R634" s="1467"/>
      <c r="S634" s="1467" t="b">
        <v>0</v>
      </c>
      <c r="T634" s="1467" t="b">
        <v>0</v>
      </c>
      <c r="U634" s="1467" t="b">
        <v>0</v>
      </c>
      <c r="V634" s="1467"/>
      <c r="W634" s="1467"/>
      <c r="X634" s="1467"/>
      <c r="Y634" s="1442"/>
    </row>
    <row r="635">
      <c r="A635" s="1474" t="s">
        <v>2461</v>
      </c>
      <c r="B635" s="1468" t="b">
        <v>0</v>
      </c>
      <c r="C635" s="1429" t="b">
        <v>0</v>
      </c>
      <c r="D635" s="1429" t="b">
        <v>0</v>
      </c>
      <c r="E635" s="1429" t="b">
        <v>0</v>
      </c>
      <c r="F635" s="1429" t="b">
        <v>0</v>
      </c>
      <c r="G635" s="1429" t="b">
        <v>0</v>
      </c>
      <c r="H635" s="1429" t="b">
        <v>0</v>
      </c>
      <c r="I635" s="1429" t="b">
        <v>0</v>
      </c>
      <c r="J635" s="1429" t="b">
        <v>0</v>
      </c>
      <c r="K635" s="1469"/>
      <c r="L635" s="1470"/>
      <c r="M635" s="1479"/>
      <c r="N635" s="1480"/>
      <c r="O635" s="1459" t="b">
        <v>0</v>
      </c>
      <c r="P635" s="1459" t="b">
        <v>0</v>
      </c>
      <c r="Q635" s="1460"/>
      <c r="R635" s="1460"/>
      <c r="S635" s="1460" t="b">
        <v>0</v>
      </c>
      <c r="T635" s="1460" t="b">
        <v>0</v>
      </c>
      <c r="U635" s="1460" t="b">
        <v>0</v>
      </c>
      <c r="V635" s="1460"/>
      <c r="W635" s="1460"/>
      <c r="X635" s="1460"/>
      <c r="Y635" s="1441"/>
    </row>
    <row r="636">
      <c r="A636" s="1474" t="s">
        <v>2461</v>
      </c>
      <c r="B636" s="1462" t="b">
        <v>0</v>
      </c>
      <c r="C636" s="1421" t="b">
        <v>0</v>
      </c>
      <c r="D636" s="1421" t="b">
        <v>0</v>
      </c>
      <c r="E636" s="1421" t="b">
        <v>0</v>
      </c>
      <c r="F636" s="1421" t="b">
        <v>0</v>
      </c>
      <c r="G636" s="1421" t="b">
        <v>0</v>
      </c>
      <c r="H636" s="1421" t="b">
        <v>0</v>
      </c>
      <c r="I636" s="1421" t="b">
        <v>0</v>
      </c>
      <c r="J636" s="1421" t="b">
        <v>0</v>
      </c>
      <c r="K636" s="1463"/>
      <c r="L636" s="1464"/>
      <c r="M636" s="1477"/>
      <c r="N636" s="1478"/>
      <c r="O636" s="1466" t="b">
        <v>0</v>
      </c>
      <c r="P636" s="1466" t="b">
        <v>0</v>
      </c>
      <c r="Q636" s="1467"/>
      <c r="R636" s="1467"/>
      <c r="S636" s="1467" t="b">
        <v>0</v>
      </c>
      <c r="T636" s="1467" t="b">
        <v>0</v>
      </c>
      <c r="U636" s="1467" t="b">
        <v>0</v>
      </c>
      <c r="V636" s="1467"/>
      <c r="W636" s="1467"/>
      <c r="X636" s="1467"/>
      <c r="Y636" s="1442"/>
    </row>
    <row r="637">
      <c r="A637" s="1474" t="s">
        <v>2461</v>
      </c>
      <c r="B637" s="1468" t="b">
        <v>0</v>
      </c>
      <c r="C637" s="1429" t="b">
        <v>0</v>
      </c>
      <c r="D637" s="1429" t="b">
        <v>0</v>
      </c>
      <c r="E637" s="1429" t="b">
        <v>0</v>
      </c>
      <c r="F637" s="1429" t="b">
        <v>0</v>
      </c>
      <c r="G637" s="1429" t="b">
        <v>0</v>
      </c>
      <c r="H637" s="1429" t="b">
        <v>0</v>
      </c>
      <c r="I637" s="1429" t="b">
        <v>0</v>
      </c>
      <c r="J637" s="1429" t="b">
        <v>0</v>
      </c>
      <c r="K637" s="1469"/>
      <c r="L637" s="1470"/>
      <c r="M637" s="1479"/>
      <c r="N637" s="1480"/>
      <c r="O637" s="1459" t="b">
        <v>0</v>
      </c>
      <c r="P637" s="1459" t="b">
        <v>0</v>
      </c>
      <c r="Q637" s="1460"/>
      <c r="R637" s="1460"/>
      <c r="S637" s="1460" t="b">
        <v>0</v>
      </c>
      <c r="T637" s="1460" t="b">
        <v>0</v>
      </c>
      <c r="U637" s="1460" t="b">
        <v>0</v>
      </c>
      <c r="V637" s="1460"/>
      <c r="W637" s="1460"/>
      <c r="X637" s="1460"/>
      <c r="Y637" s="1441"/>
    </row>
    <row r="638">
      <c r="A638" s="1474" t="s">
        <v>2461</v>
      </c>
      <c r="B638" s="1462" t="b">
        <v>0</v>
      </c>
      <c r="C638" s="1421" t="b">
        <v>0</v>
      </c>
      <c r="D638" s="1421" t="b">
        <v>0</v>
      </c>
      <c r="E638" s="1421" t="b">
        <v>0</v>
      </c>
      <c r="F638" s="1421" t="b">
        <v>0</v>
      </c>
      <c r="G638" s="1421" t="b">
        <v>0</v>
      </c>
      <c r="H638" s="1421" t="b">
        <v>0</v>
      </c>
      <c r="I638" s="1421" t="b">
        <v>0</v>
      </c>
      <c r="J638" s="1421" t="b">
        <v>0</v>
      </c>
      <c r="K638" s="1463"/>
      <c r="L638" s="1464"/>
      <c r="M638" s="1477"/>
      <c r="N638" s="1478"/>
      <c r="O638" s="1466" t="b">
        <v>0</v>
      </c>
      <c r="P638" s="1466" t="b">
        <v>0</v>
      </c>
      <c r="Q638" s="1467"/>
      <c r="R638" s="1467"/>
      <c r="S638" s="1467" t="b">
        <v>0</v>
      </c>
      <c r="T638" s="1467" t="b">
        <v>0</v>
      </c>
      <c r="U638" s="1467" t="b">
        <v>0</v>
      </c>
      <c r="V638" s="1467"/>
      <c r="W638" s="1467"/>
      <c r="X638" s="1467"/>
      <c r="Y638" s="1442"/>
    </row>
    <row r="639">
      <c r="A639" s="1474" t="s">
        <v>2461</v>
      </c>
      <c r="B639" s="1468" t="b">
        <v>0</v>
      </c>
      <c r="C639" s="1429" t="b">
        <v>0</v>
      </c>
      <c r="D639" s="1429" t="b">
        <v>0</v>
      </c>
      <c r="E639" s="1429" t="b">
        <v>0</v>
      </c>
      <c r="F639" s="1429" t="b">
        <v>0</v>
      </c>
      <c r="G639" s="1429" t="b">
        <v>0</v>
      </c>
      <c r="H639" s="1429" t="b">
        <v>0</v>
      </c>
      <c r="I639" s="1429" t="b">
        <v>0</v>
      </c>
      <c r="J639" s="1429" t="b">
        <v>0</v>
      </c>
      <c r="K639" s="1469"/>
      <c r="L639" s="1470"/>
      <c r="M639" s="1479"/>
      <c r="N639" s="1480"/>
      <c r="O639" s="1459" t="b">
        <v>0</v>
      </c>
      <c r="P639" s="1459" t="b">
        <v>0</v>
      </c>
      <c r="Q639" s="1460"/>
      <c r="R639" s="1460"/>
      <c r="S639" s="1460" t="b">
        <v>0</v>
      </c>
      <c r="T639" s="1460" t="b">
        <v>0</v>
      </c>
      <c r="U639" s="1460" t="b">
        <v>0</v>
      </c>
      <c r="V639" s="1460"/>
      <c r="W639" s="1460"/>
      <c r="X639" s="1460"/>
      <c r="Y639" s="1441"/>
    </row>
    <row r="640">
      <c r="A640" s="1474" t="s">
        <v>2461</v>
      </c>
      <c r="B640" s="1462" t="b">
        <v>0</v>
      </c>
      <c r="C640" s="1421" t="b">
        <v>0</v>
      </c>
      <c r="D640" s="1421" t="b">
        <v>0</v>
      </c>
      <c r="E640" s="1421" t="b">
        <v>0</v>
      </c>
      <c r="F640" s="1421" t="b">
        <v>0</v>
      </c>
      <c r="G640" s="1421" t="b">
        <v>0</v>
      </c>
      <c r="H640" s="1421" t="b">
        <v>0</v>
      </c>
      <c r="I640" s="1421" t="b">
        <v>0</v>
      </c>
      <c r="J640" s="1421" t="b">
        <v>0</v>
      </c>
      <c r="K640" s="1463"/>
      <c r="L640" s="1464"/>
      <c r="M640" s="1477"/>
      <c r="N640" s="1478"/>
      <c r="O640" s="1466" t="b">
        <v>0</v>
      </c>
      <c r="P640" s="1466" t="b">
        <v>0</v>
      </c>
      <c r="Q640" s="1467"/>
      <c r="R640" s="1467"/>
      <c r="S640" s="1467" t="b">
        <v>0</v>
      </c>
      <c r="T640" s="1467" t="b">
        <v>0</v>
      </c>
      <c r="U640" s="1467" t="b">
        <v>0</v>
      </c>
      <c r="V640" s="1467"/>
      <c r="W640" s="1467"/>
      <c r="X640" s="1467"/>
      <c r="Y640" s="1442"/>
    </row>
    <row r="641">
      <c r="A641" s="1474" t="s">
        <v>2461</v>
      </c>
      <c r="B641" s="1468" t="b">
        <v>0</v>
      </c>
      <c r="C641" s="1429" t="b">
        <v>0</v>
      </c>
      <c r="D641" s="1429" t="b">
        <v>0</v>
      </c>
      <c r="E641" s="1429" t="b">
        <v>0</v>
      </c>
      <c r="F641" s="1429" t="b">
        <v>0</v>
      </c>
      <c r="G641" s="1429" t="b">
        <v>0</v>
      </c>
      <c r="H641" s="1429" t="b">
        <v>0</v>
      </c>
      <c r="I641" s="1429" t="b">
        <v>0</v>
      </c>
      <c r="J641" s="1429" t="b">
        <v>0</v>
      </c>
      <c r="K641" s="1469"/>
      <c r="L641" s="1470"/>
      <c r="M641" s="1479"/>
      <c r="N641" s="1480"/>
      <c r="O641" s="1459" t="b">
        <v>0</v>
      </c>
      <c r="P641" s="1459" t="b">
        <v>0</v>
      </c>
      <c r="Q641" s="1460"/>
      <c r="R641" s="1460"/>
      <c r="S641" s="1460" t="b">
        <v>0</v>
      </c>
      <c r="T641" s="1460" t="b">
        <v>0</v>
      </c>
      <c r="U641" s="1460" t="b">
        <v>0</v>
      </c>
      <c r="V641" s="1460"/>
      <c r="W641" s="1460"/>
      <c r="X641" s="1460"/>
      <c r="Y641" s="1441"/>
    </row>
    <row r="642">
      <c r="A642" s="1474" t="s">
        <v>2461</v>
      </c>
      <c r="B642" s="1462" t="b">
        <v>0</v>
      </c>
      <c r="C642" s="1421" t="b">
        <v>0</v>
      </c>
      <c r="D642" s="1421" t="b">
        <v>0</v>
      </c>
      <c r="E642" s="1421" t="b">
        <v>0</v>
      </c>
      <c r="F642" s="1421" t="b">
        <v>0</v>
      </c>
      <c r="G642" s="1421" t="b">
        <v>0</v>
      </c>
      <c r="H642" s="1421" t="b">
        <v>0</v>
      </c>
      <c r="I642" s="1421" t="b">
        <v>0</v>
      </c>
      <c r="J642" s="1421" t="b">
        <v>0</v>
      </c>
      <c r="K642" s="1463"/>
      <c r="L642" s="1464"/>
      <c r="M642" s="1477"/>
      <c r="N642" s="1478"/>
      <c r="O642" s="1466" t="b">
        <v>0</v>
      </c>
      <c r="P642" s="1466" t="b">
        <v>0</v>
      </c>
      <c r="Q642" s="1467"/>
      <c r="R642" s="1467"/>
      <c r="S642" s="1467" t="b">
        <v>0</v>
      </c>
      <c r="T642" s="1467" t="b">
        <v>0</v>
      </c>
      <c r="U642" s="1467" t="b">
        <v>0</v>
      </c>
      <c r="V642" s="1467"/>
      <c r="W642" s="1467"/>
      <c r="X642" s="1467"/>
      <c r="Y642" s="1442"/>
    </row>
    <row r="643">
      <c r="A643" s="1474" t="s">
        <v>2461</v>
      </c>
      <c r="B643" s="1468" t="b">
        <v>0</v>
      </c>
      <c r="C643" s="1429" t="b">
        <v>0</v>
      </c>
      <c r="D643" s="1429" t="b">
        <v>0</v>
      </c>
      <c r="E643" s="1429" t="b">
        <v>0</v>
      </c>
      <c r="F643" s="1429" t="b">
        <v>0</v>
      </c>
      <c r="G643" s="1429" t="b">
        <v>0</v>
      </c>
      <c r="H643" s="1429" t="b">
        <v>0</v>
      </c>
      <c r="I643" s="1429" t="b">
        <v>0</v>
      </c>
      <c r="J643" s="1429" t="b">
        <v>0</v>
      </c>
      <c r="K643" s="1469"/>
      <c r="L643" s="1470"/>
      <c r="M643" s="1479"/>
      <c r="N643" s="1480"/>
      <c r="O643" s="1459" t="b">
        <v>0</v>
      </c>
      <c r="P643" s="1459" t="b">
        <v>0</v>
      </c>
      <c r="Q643" s="1460"/>
      <c r="R643" s="1460"/>
      <c r="S643" s="1460" t="b">
        <v>0</v>
      </c>
      <c r="T643" s="1460" t="b">
        <v>0</v>
      </c>
      <c r="U643" s="1460" t="b">
        <v>0</v>
      </c>
      <c r="V643" s="1460"/>
      <c r="W643" s="1460"/>
      <c r="X643" s="1460"/>
      <c r="Y643" s="1441"/>
    </row>
    <row r="644">
      <c r="A644" s="1474" t="s">
        <v>2461</v>
      </c>
      <c r="B644" s="1462" t="b">
        <v>0</v>
      </c>
      <c r="C644" s="1421" t="b">
        <v>0</v>
      </c>
      <c r="D644" s="1421" t="b">
        <v>0</v>
      </c>
      <c r="E644" s="1421" t="b">
        <v>0</v>
      </c>
      <c r="F644" s="1421" t="b">
        <v>0</v>
      </c>
      <c r="G644" s="1421" t="b">
        <v>0</v>
      </c>
      <c r="H644" s="1421" t="b">
        <v>0</v>
      </c>
      <c r="I644" s="1421" t="b">
        <v>0</v>
      </c>
      <c r="J644" s="1421" t="b">
        <v>0</v>
      </c>
      <c r="K644" s="1463"/>
      <c r="L644" s="1464"/>
      <c r="M644" s="1477"/>
      <c r="N644" s="1478"/>
      <c r="O644" s="1466" t="b">
        <v>0</v>
      </c>
      <c r="P644" s="1466" t="b">
        <v>0</v>
      </c>
      <c r="Q644" s="1467"/>
      <c r="R644" s="1467"/>
      <c r="S644" s="1467" t="b">
        <v>0</v>
      </c>
      <c r="T644" s="1467" t="b">
        <v>0</v>
      </c>
      <c r="U644" s="1467" t="b">
        <v>0</v>
      </c>
      <c r="V644" s="1467"/>
      <c r="W644" s="1467"/>
      <c r="X644" s="1467"/>
      <c r="Y644" s="1442"/>
    </row>
    <row r="645">
      <c r="A645" s="1474" t="s">
        <v>2461</v>
      </c>
      <c r="B645" s="1468" t="b">
        <v>0</v>
      </c>
      <c r="C645" s="1429" t="b">
        <v>0</v>
      </c>
      <c r="D645" s="1429" t="b">
        <v>0</v>
      </c>
      <c r="E645" s="1429" t="b">
        <v>0</v>
      </c>
      <c r="F645" s="1429" t="b">
        <v>0</v>
      </c>
      <c r="G645" s="1429" t="b">
        <v>0</v>
      </c>
      <c r="H645" s="1429" t="b">
        <v>0</v>
      </c>
      <c r="I645" s="1429" t="b">
        <v>0</v>
      </c>
      <c r="J645" s="1429" t="b">
        <v>0</v>
      </c>
      <c r="K645" s="1469"/>
      <c r="L645" s="1470"/>
      <c r="M645" s="1479"/>
      <c r="N645" s="1480"/>
      <c r="O645" s="1459" t="b">
        <v>0</v>
      </c>
      <c r="P645" s="1459" t="b">
        <v>0</v>
      </c>
      <c r="Q645" s="1460"/>
      <c r="R645" s="1460"/>
      <c r="S645" s="1460" t="b">
        <v>0</v>
      </c>
      <c r="T645" s="1460" t="b">
        <v>0</v>
      </c>
      <c r="U645" s="1460" t="b">
        <v>0</v>
      </c>
      <c r="V645" s="1460"/>
      <c r="W645" s="1460"/>
      <c r="X645" s="1460"/>
      <c r="Y645" s="1441"/>
    </row>
    <row r="646">
      <c r="A646" s="1474" t="s">
        <v>2461</v>
      </c>
      <c r="B646" s="1462" t="b">
        <v>0</v>
      </c>
      <c r="C646" s="1421" t="b">
        <v>0</v>
      </c>
      <c r="D646" s="1421" t="b">
        <v>0</v>
      </c>
      <c r="E646" s="1421" t="b">
        <v>0</v>
      </c>
      <c r="F646" s="1421" t="b">
        <v>0</v>
      </c>
      <c r="G646" s="1421" t="b">
        <v>0</v>
      </c>
      <c r="H646" s="1421" t="b">
        <v>0</v>
      </c>
      <c r="I646" s="1421" t="b">
        <v>0</v>
      </c>
      <c r="J646" s="1421" t="b">
        <v>0</v>
      </c>
      <c r="K646" s="1463"/>
      <c r="L646" s="1464"/>
      <c r="M646" s="1477"/>
      <c r="N646" s="1478"/>
      <c r="O646" s="1466" t="b">
        <v>0</v>
      </c>
      <c r="P646" s="1466" t="b">
        <v>0</v>
      </c>
      <c r="Q646" s="1467"/>
      <c r="R646" s="1467"/>
      <c r="S646" s="1467" t="b">
        <v>0</v>
      </c>
      <c r="T646" s="1467" t="b">
        <v>0</v>
      </c>
      <c r="U646" s="1467" t="b">
        <v>0</v>
      </c>
      <c r="V646" s="1467"/>
      <c r="W646" s="1467"/>
      <c r="X646" s="1467"/>
      <c r="Y646" s="1442"/>
    </row>
    <row r="647">
      <c r="A647" s="1474" t="s">
        <v>2461</v>
      </c>
      <c r="B647" s="1468" t="b">
        <v>0</v>
      </c>
      <c r="C647" s="1429" t="b">
        <v>0</v>
      </c>
      <c r="D647" s="1429" t="b">
        <v>0</v>
      </c>
      <c r="E647" s="1429" t="b">
        <v>0</v>
      </c>
      <c r="F647" s="1429" t="b">
        <v>0</v>
      </c>
      <c r="G647" s="1429" t="b">
        <v>0</v>
      </c>
      <c r="H647" s="1429" t="b">
        <v>0</v>
      </c>
      <c r="I647" s="1429" t="b">
        <v>0</v>
      </c>
      <c r="J647" s="1429" t="b">
        <v>0</v>
      </c>
      <c r="K647" s="1469"/>
      <c r="L647" s="1470"/>
      <c r="M647" s="1479"/>
      <c r="N647" s="1480"/>
      <c r="O647" s="1459" t="b">
        <v>0</v>
      </c>
      <c r="P647" s="1459" t="b">
        <v>0</v>
      </c>
      <c r="Q647" s="1460"/>
      <c r="R647" s="1460"/>
      <c r="S647" s="1460" t="b">
        <v>0</v>
      </c>
      <c r="T647" s="1460" t="b">
        <v>0</v>
      </c>
      <c r="U647" s="1460" t="b">
        <v>0</v>
      </c>
      <c r="V647" s="1460"/>
      <c r="W647" s="1460"/>
      <c r="X647" s="1460"/>
      <c r="Y647" s="1441"/>
    </row>
    <row r="648">
      <c r="A648" s="1474" t="s">
        <v>2461</v>
      </c>
      <c r="B648" s="1462" t="b">
        <v>0</v>
      </c>
      <c r="C648" s="1421" t="b">
        <v>0</v>
      </c>
      <c r="D648" s="1421" t="b">
        <v>0</v>
      </c>
      <c r="E648" s="1421" t="b">
        <v>0</v>
      </c>
      <c r="F648" s="1421" t="b">
        <v>0</v>
      </c>
      <c r="G648" s="1421" t="b">
        <v>0</v>
      </c>
      <c r="H648" s="1421" t="b">
        <v>0</v>
      </c>
      <c r="I648" s="1421" t="b">
        <v>0</v>
      </c>
      <c r="J648" s="1421" t="b">
        <v>0</v>
      </c>
      <c r="K648" s="1463"/>
      <c r="L648" s="1464"/>
      <c r="M648" s="1477"/>
      <c r="N648" s="1478"/>
      <c r="O648" s="1466" t="b">
        <v>0</v>
      </c>
      <c r="P648" s="1466" t="b">
        <v>0</v>
      </c>
      <c r="Q648" s="1467"/>
      <c r="R648" s="1467"/>
      <c r="S648" s="1467" t="b">
        <v>0</v>
      </c>
      <c r="T648" s="1467" t="b">
        <v>0</v>
      </c>
      <c r="U648" s="1467" t="b">
        <v>0</v>
      </c>
      <c r="V648" s="1467"/>
      <c r="W648" s="1467"/>
      <c r="X648" s="1467"/>
      <c r="Y648" s="1442"/>
    </row>
    <row r="649">
      <c r="A649" s="1474" t="s">
        <v>2461</v>
      </c>
      <c r="B649" s="1468" t="b">
        <v>0</v>
      </c>
      <c r="C649" s="1429" t="b">
        <v>0</v>
      </c>
      <c r="D649" s="1429" t="b">
        <v>0</v>
      </c>
      <c r="E649" s="1429" t="b">
        <v>0</v>
      </c>
      <c r="F649" s="1429" t="b">
        <v>0</v>
      </c>
      <c r="G649" s="1429" t="b">
        <v>0</v>
      </c>
      <c r="H649" s="1429" t="b">
        <v>0</v>
      </c>
      <c r="I649" s="1429" t="b">
        <v>0</v>
      </c>
      <c r="J649" s="1429" t="b">
        <v>0</v>
      </c>
      <c r="K649" s="1469"/>
      <c r="L649" s="1470"/>
      <c r="M649" s="1479"/>
      <c r="N649" s="1480"/>
      <c r="O649" s="1459" t="b">
        <v>0</v>
      </c>
      <c r="P649" s="1459" t="b">
        <v>0</v>
      </c>
      <c r="Q649" s="1460"/>
      <c r="R649" s="1460"/>
      <c r="S649" s="1460" t="b">
        <v>0</v>
      </c>
      <c r="T649" s="1460" t="b">
        <v>0</v>
      </c>
      <c r="U649" s="1460" t="b">
        <v>0</v>
      </c>
      <c r="V649" s="1460"/>
      <c r="W649" s="1460"/>
      <c r="X649" s="1460"/>
      <c r="Y649" s="1441"/>
    </row>
    <row r="650">
      <c r="A650" s="1474" t="s">
        <v>2461</v>
      </c>
      <c r="B650" s="1462" t="b">
        <v>0</v>
      </c>
      <c r="C650" s="1421" t="b">
        <v>0</v>
      </c>
      <c r="D650" s="1421" t="b">
        <v>0</v>
      </c>
      <c r="E650" s="1421" t="b">
        <v>0</v>
      </c>
      <c r="F650" s="1421" t="b">
        <v>0</v>
      </c>
      <c r="G650" s="1421" t="b">
        <v>0</v>
      </c>
      <c r="H650" s="1421" t="b">
        <v>0</v>
      </c>
      <c r="I650" s="1421" t="b">
        <v>0</v>
      </c>
      <c r="J650" s="1421" t="b">
        <v>0</v>
      </c>
      <c r="K650" s="1463"/>
      <c r="L650" s="1464"/>
      <c r="M650" s="1477"/>
      <c r="N650" s="1478"/>
      <c r="O650" s="1466" t="b">
        <v>0</v>
      </c>
      <c r="P650" s="1466" t="b">
        <v>0</v>
      </c>
      <c r="Q650" s="1467"/>
      <c r="R650" s="1467"/>
      <c r="S650" s="1467" t="b">
        <v>0</v>
      </c>
      <c r="T650" s="1467" t="b">
        <v>0</v>
      </c>
      <c r="U650" s="1467" t="b">
        <v>0</v>
      </c>
      <c r="V650" s="1467"/>
      <c r="W650" s="1467"/>
      <c r="X650" s="1467"/>
      <c r="Y650" s="1442"/>
    </row>
    <row r="651">
      <c r="A651" s="1474" t="s">
        <v>2461</v>
      </c>
      <c r="B651" s="1468" t="b">
        <v>0</v>
      </c>
      <c r="C651" s="1429" t="b">
        <v>0</v>
      </c>
      <c r="D651" s="1429" t="b">
        <v>0</v>
      </c>
      <c r="E651" s="1429" t="b">
        <v>0</v>
      </c>
      <c r="F651" s="1429" t="b">
        <v>0</v>
      </c>
      <c r="G651" s="1429" t="b">
        <v>0</v>
      </c>
      <c r="H651" s="1429" t="b">
        <v>0</v>
      </c>
      <c r="I651" s="1429" t="b">
        <v>0</v>
      </c>
      <c r="J651" s="1429" t="b">
        <v>0</v>
      </c>
      <c r="K651" s="1469"/>
      <c r="L651" s="1470"/>
      <c r="M651" s="1479"/>
      <c r="N651" s="1480"/>
      <c r="O651" s="1459" t="b">
        <v>0</v>
      </c>
      <c r="P651" s="1459" t="b">
        <v>0</v>
      </c>
      <c r="Q651" s="1460"/>
      <c r="R651" s="1460"/>
      <c r="S651" s="1460" t="b">
        <v>0</v>
      </c>
      <c r="T651" s="1460" t="b">
        <v>0</v>
      </c>
      <c r="U651" s="1460" t="b">
        <v>0</v>
      </c>
      <c r="V651" s="1460"/>
      <c r="W651" s="1460"/>
      <c r="X651" s="1460"/>
      <c r="Y651" s="1441"/>
    </row>
    <row r="652">
      <c r="A652" s="1474" t="s">
        <v>2461</v>
      </c>
      <c r="B652" s="1462" t="b">
        <v>0</v>
      </c>
      <c r="C652" s="1421" t="b">
        <v>0</v>
      </c>
      <c r="D652" s="1421" t="b">
        <v>0</v>
      </c>
      <c r="E652" s="1421" t="b">
        <v>0</v>
      </c>
      <c r="F652" s="1421" t="b">
        <v>0</v>
      </c>
      <c r="G652" s="1421" t="b">
        <v>0</v>
      </c>
      <c r="H652" s="1421" t="b">
        <v>0</v>
      </c>
      <c r="I652" s="1421" t="b">
        <v>0</v>
      </c>
      <c r="J652" s="1421" t="b">
        <v>0</v>
      </c>
      <c r="K652" s="1463"/>
      <c r="L652" s="1464"/>
      <c r="M652" s="1477"/>
      <c r="N652" s="1478"/>
      <c r="O652" s="1466" t="b">
        <v>0</v>
      </c>
      <c r="P652" s="1466" t="b">
        <v>0</v>
      </c>
      <c r="Q652" s="1467"/>
      <c r="R652" s="1467"/>
      <c r="S652" s="1467" t="b">
        <v>0</v>
      </c>
      <c r="T652" s="1467" t="b">
        <v>0</v>
      </c>
      <c r="U652" s="1467" t="b">
        <v>0</v>
      </c>
      <c r="V652" s="1467"/>
      <c r="W652" s="1467"/>
      <c r="X652" s="1467"/>
      <c r="Y652" s="1442"/>
    </row>
    <row r="653">
      <c r="A653" s="1474" t="s">
        <v>2461</v>
      </c>
      <c r="B653" s="1468" t="b">
        <v>0</v>
      </c>
      <c r="C653" s="1429" t="b">
        <v>0</v>
      </c>
      <c r="D653" s="1429" t="b">
        <v>0</v>
      </c>
      <c r="E653" s="1429" t="b">
        <v>0</v>
      </c>
      <c r="F653" s="1429" t="b">
        <v>0</v>
      </c>
      <c r="G653" s="1429" t="b">
        <v>0</v>
      </c>
      <c r="H653" s="1429" t="b">
        <v>0</v>
      </c>
      <c r="I653" s="1429" t="b">
        <v>0</v>
      </c>
      <c r="J653" s="1429" t="b">
        <v>0</v>
      </c>
      <c r="K653" s="1469"/>
      <c r="L653" s="1470"/>
      <c r="M653" s="1479"/>
      <c r="N653" s="1480"/>
      <c r="O653" s="1459" t="b">
        <v>0</v>
      </c>
      <c r="P653" s="1459" t="b">
        <v>0</v>
      </c>
      <c r="Q653" s="1460"/>
      <c r="R653" s="1460"/>
      <c r="S653" s="1460" t="b">
        <v>0</v>
      </c>
      <c r="T653" s="1460" t="b">
        <v>0</v>
      </c>
      <c r="U653" s="1460" t="b">
        <v>0</v>
      </c>
      <c r="V653" s="1460"/>
      <c r="W653" s="1460"/>
      <c r="X653" s="1460"/>
      <c r="Y653" s="1441"/>
    </row>
    <row r="654">
      <c r="A654" s="1474" t="s">
        <v>2461</v>
      </c>
      <c r="B654" s="1462" t="b">
        <v>0</v>
      </c>
      <c r="C654" s="1421" t="b">
        <v>0</v>
      </c>
      <c r="D654" s="1421" t="b">
        <v>0</v>
      </c>
      <c r="E654" s="1421" t="b">
        <v>0</v>
      </c>
      <c r="F654" s="1421" t="b">
        <v>0</v>
      </c>
      <c r="G654" s="1421" t="b">
        <v>0</v>
      </c>
      <c r="H654" s="1421" t="b">
        <v>0</v>
      </c>
      <c r="I654" s="1421" t="b">
        <v>0</v>
      </c>
      <c r="J654" s="1421" t="b">
        <v>0</v>
      </c>
      <c r="K654" s="1463"/>
      <c r="L654" s="1464"/>
      <c r="M654" s="1477"/>
      <c r="N654" s="1478"/>
      <c r="O654" s="1466" t="b">
        <v>0</v>
      </c>
      <c r="P654" s="1466" t="b">
        <v>0</v>
      </c>
      <c r="Q654" s="1467"/>
      <c r="R654" s="1467"/>
      <c r="S654" s="1467" t="b">
        <v>0</v>
      </c>
      <c r="T654" s="1467" t="b">
        <v>0</v>
      </c>
      <c r="U654" s="1467" t="b">
        <v>0</v>
      </c>
      <c r="V654" s="1467"/>
      <c r="W654" s="1467"/>
      <c r="X654" s="1467"/>
      <c r="Y654" s="1442"/>
    </row>
    <row r="655">
      <c r="A655" s="1474" t="s">
        <v>2461</v>
      </c>
      <c r="B655" s="1468" t="b">
        <v>0</v>
      </c>
      <c r="C655" s="1429" t="b">
        <v>0</v>
      </c>
      <c r="D655" s="1429" t="b">
        <v>0</v>
      </c>
      <c r="E655" s="1429" t="b">
        <v>0</v>
      </c>
      <c r="F655" s="1429" t="b">
        <v>0</v>
      </c>
      <c r="G655" s="1429" t="b">
        <v>0</v>
      </c>
      <c r="H655" s="1429" t="b">
        <v>0</v>
      </c>
      <c r="I655" s="1429" t="b">
        <v>0</v>
      </c>
      <c r="J655" s="1429" t="b">
        <v>0</v>
      </c>
      <c r="K655" s="1469"/>
      <c r="L655" s="1470"/>
      <c r="M655" s="1479"/>
      <c r="N655" s="1480"/>
      <c r="O655" s="1459" t="b">
        <v>0</v>
      </c>
      <c r="P655" s="1459" t="b">
        <v>0</v>
      </c>
      <c r="Q655" s="1460"/>
      <c r="R655" s="1460"/>
      <c r="S655" s="1460" t="b">
        <v>0</v>
      </c>
      <c r="T655" s="1460" t="b">
        <v>0</v>
      </c>
      <c r="U655" s="1460" t="b">
        <v>0</v>
      </c>
      <c r="V655" s="1460"/>
      <c r="W655" s="1460"/>
      <c r="X655" s="1460"/>
      <c r="Y655" s="1441"/>
    </row>
    <row r="656">
      <c r="A656" s="1474" t="s">
        <v>2461</v>
      </c>
      <c r="B656" s="1462" t="b">
        <v>0</v>
      </c>
      <c r="C656" s="1421" t="b">
        <v>0</v>
      </c>
      <c r="D656" s="1421" t="b">
        <v>0</v>
      </c>
      <c r="E656" s="1421" t="b">
        <v>0</v>
      </c>
      <c r="F656" s="1421" t="b">
        <v>0</v>
      </c>
      <c r="G656" s="1421" t="b">
        <v>0</v>
      </c>
      <c r="H656" s="1421" t="b">
        <v>0</v>
      </c>
      <c r="I656" s="1421" t="b">
        <v>0</v>
      </c>
      <c r="J656" s="1421" t="b">
        <v>0</v>
      </c>
      <c r="K656" s="1463"/>
      <c r="L656" s="1464"/>
      <c r="M656" s="1477"/>
      <c r="N656" s="1478"/>
      <c r="O656" s="1466" t="b">
        <v>0</v>
      </c>
      <c r="P656" s="1466" t="b">
        <v>0</v>
      </c>
      <c r="Q656" s="1467"/>
      <c r="R656" s="1467"/>
      <c r="S656" s="1467" t="b">
        <v>0</v>
      </c>
      <c r="T656" s="1467" t="b">
        <v>0</v>
      </c>
      <c r="U656" s="1467" t="b">
        <v>0</v>
      </c>
      <c r="V656" s="1467"/>
      <c r="W656" s="1467"/>
      <c r="X656" s="1467"/>
      <c r="Y656" s="1442"/>
    </row>
    <row r="657">
      <c r="A657" s="1474" t="s">
        <v>2461</v>
      </c>
      <c r="B657" s="1468" t="b">
        <v>0</v>
      </c>
      <c r="C657" s="1429" t="b">
        <v>0</v>
      </c>
      <c r="D657" s="1429" t="b">
        <v>0</v>
      </c>
      <c r="E657" s="1429" t="b">
        <v>0</v>
      </c>
      <c r="F657" s="1429" t="b">
        <v>0</v>
      </c>
      <c r="G657" s="1429" t="b">
        <v>0</v>
      </c>
      <c r="H657" s="1429" t="b">
        <v>0</v>
      </c>
      <c r="I657" s="1429" t="b">
        <v>0</v>
      </c>
      <c r="J657" s="1429" t="b">
        <v>0</v>
      </c>
      <c r="K657" s="1469"/>
      <c r="L657" s="1470"/>
      <c r="M657" s="1479"/>
      <c r="N657" s="1480"/>
      <c r="O657" s="1459" t="b">
        <v>0</v>
      </c>
      <c r="P657" s="1459" t="b">
        <v>0</v>
      </c>
      <c r="Q657" s="1460"/>
      <c r="R657" s="1460"/>
      <c r="S657" s="1460" t="b">
        <v>0</v>
      </c>
      <c r="T657" s="1460" t="b">
        <v>0</v>
      </c>
      <c r="U657" s="1460" t="b">
        <v>0</v>
      </c>
      <c r="V657" s="1460"/>
      <c r="W657" s="1460"/>
      <c r="X657" s="1460"/>
      <c r="Y657" s="1441"/>
    </row>
    <row r="658">
      <c r="A658" s="1474" t="s">
        <v>2461</v>
      </c>
      <c r="B658" s="1462" t="b">
        <v>0</v>
      </c>
      <c r="C658" s="1421" t="b">
        <v>0</v>
      </c>
      <c r="D658" s="1421" t="b">
        <v>0</v>
      </c>
      <c r="E658" s="1421" t="b">
        <v>0</v>
      </c>
      <c r="F658" s="1421" t="b">
        <v>0</v>
      </c>
      <c r="G658" s="1421" t="b">
        <v>0</v>
      </c>
      <c r="H658" s="1421" t="b">
        <v>0</v>
      </c>
      <c r="I658" s="1421" t="b">
        <v>0</v>
      </c>
      <c r="J658" s="1421" t="b">
        <v>0</v>
      </c>
      <c r="K658" s="1463"/>
      <c r="L658" s="1464"/>
      <c r="M658" s="1477"/>
      <c r="N658" s="1478"/>
      <c r="O658" s="1466" t="b">
        <v>0</v>
      </c>
      <c r="P658" s="1466" t="b">
        <v>0</v>
      </c>
      <c r="Q658" s="1467"/>
      <c r="R658" s="1467"/>
      <c r="S658" s="1467" t="b">
        <v>0</v>
      </c>
      <c r="T658" s="1467" t="b">
        <v>0</v>
      </c>
      <c r="U658" s="1467" t="b">
        <v>0</v>
      </c>
      <c r="V658" s="1467"/>
      <c r="W658" s="1467"/>
      <c r="X658" s="1467"/>
      <c r="Y658" s="1442"/>
    </row>
    <row r="659">
      <c r="A659" s="1474" t="s">
        <v>2461</v>
      </c>
      <c r="B659" s="1468" t="b">
        <v>0</v>
      </c>
      <c r="C659" s="1429" t="b">
        <v>0</v>
      </c>
      <c r="D659" s="1429" t="b">
        <v>0</v>
      </c>
      <c r="E659" s="1429" t="b">
        <v>0</v>
      </c>
      <c r="F659" s="1429" t="b">
        <v>0</v>
      </c>
      <c r="G659" s="1429" t="b">
        <v>0</v>
      </c>
      <c r="H659" s="1429" t="b">
        <v>0</v>
      </c>
      <c r="I659" s="1429" t="b">
        <v>0</v>
      </c>
      <c r="J659" s="1429" t="b">
        <v>0</v>
      </c>
      <c r="K659" s="1469"/>
      <c r="L659" s="1470"/>
      <c r="M659" s="1479"/>
      <c r="N659" s="1480"/>
      <c r="O659" s="1459" t="b">
        <v>0</v>
      </c>
      <c r="P659" s="1459" t="b">
        <v>0</v>
      </c>
      <c r="Q659" s="1460"/>
      <c r="R659" s="1460"/>
      <c r="S659" s="1460" t="b">
        <v>0</v>
      </c>
      <c r="T659" s="1460" t="b">
        <v>0</v>
      </c>
      <c r="U659" s="1460" t="b">
        <v>0</v>
      </c>
      <c r="V659" s="1460"/>
      <c r="W659" s="1460"/>
      <c r="X659" s="1460"/>
      <c r="Y659" s="1441"/>
    </row>
    <row r="660">
      <c r="A660" s="1474" t="s">
        <v>2461</v>
      </c>
      <c r="B660" s="1462" t="b">
        <v>0</v>
      </c>
      <c r="C660" s="1421" t="b">
        <v>0</v>
      </c>
      <c r="D660" s="1421" t="b">
        <v>0</v>
      </c>
      <c r="E660" s="1421" t="b">
        <v>0</v>
      </c>
      <c r="F660" s="1421" t="b">
        <v>0</v>
      </c>
      <c r="G660" s="1421" t="b">
        <v>0</v>
      </c>
      <c r="H660" s="1421" t="b">
        <v>0</v>
      </c>
      <c r="I660" s="1421" t="b">
        <v>0</v>
      </c>
      <c r="J660" s="1421" t="b">
        <v>0</v>
      </c>
      <c r="K660" s="1463"/>
      <c r="L660" s="1464"/>
      <c r="M660" s="1477"/>
      <c r="N660" s="1478"/>
      <c r="O660" s="1466" t="b">
        <v>0</v>
      </c>
      <c r="P660" s="1466" t="b">
        <v>0</v>
      </c>
      <c r="Q660" s="1467"/>
      <c r="R660" s="1467"/>
      <c r="S660" s="1467" t="b">
        <v>0</v>
      </c>
      <c r="T660" s="1467" t="b">
        <v>0</v>
      </c>
      <c r="U660" s="1467" t="b">
        <v>0</v>
      </c>
      <c r="V660" s="1467"/>
      <c r="W660" s="1467"/>
      <c r="X660" s="1467"/>
      <c r="Y660" s="1442"/>
    </row>
    <row r="661">
      <c r="A661" s="1474" t="s">
        <v>2461</v>
      </c>
      <c r="B661" s="1468" t="b">
        <v>0</v>
      </c>
      <c r="C661" s="1429" t="b">
        <v>0</v>
      </c>
      <c r="D661" s="1429" t="b">
        <v>0</v>
      </c>
      <c r="E661" s="1429" t="b">
        <v>0</v>
      </c>
      <c r="F661" s="1429" t="b">
        <v>0</v>
      </c>
      <c r="G661" s="1429" t="b">
        <v>0</v>
      </c>
      <c r="H661" s="1429" t="b">
        <v>0</v>
      </c>
      <c r="I661" s="1429" t="b">
        <v>0</v>
      </c>
      <c r="J661" s="1429" t="b">
        <v>0</v>
      </c>
      <c r="K661" s="1469"/>
      <c r="L661" s="1470"/>
      <c r="M661" s="1479"/>
      <c r="N661" s="1480"/>
      <c r="O661" s="1459" t="b">
        <v>0</v>
      </c>
      <c r="P661" s="1459" t="b">
        <v>0</v>
      </c>
      <c r="Q661" s="1460"/>
      <c r="R661" s="1460"/>
      <c r="S661" s="1460" t="b">
        <v>0</v>
      </c>
      <c r="T661" s="1460" t="b">
        <v>0</v>
      </c>
      <c r="U661" s="1460" t="b">
        <v>0</v>
      </c>
      <c r="V661" s="1460"/>
      <c r="W661" s="1460"/>
      <c r="X661" s="1460"/>
      <c r="Y661" s="1441"/>
    </row>
    <row r="662">
      <c r="A662" s="1474" t="s">
        <v>2461</v>
      </c>
      <c r="B662" s="1462" t="b">
        <v>0</v>
      </c>
      <c r="C662" s="1421" t="b">
        <v>0</v>
      </c>
      <c r="D662" s="1421" t="b">
        <v>0</v>
      </c>
      <c r="E662" s="1421" t="b">
        <v>0</v>
      </c>
      <c r="F662" s="1421" t="b">
        <v>0</v>
      </c>
      <c r="G662" s="1421" t="b">
        <v>0</v>
      </c>
      <c r="H662" s="1421" t="b">
        <v>0</v>
      </c>
      <c r="I662" s="1421" t="b">
        <v>0</v>
      </c>
      <c r="J662" s="1421" t="b">
        <v>0</v>
      </c>
      <c r="K662" s="1463"/>
      <c r="L662" s="1464"/>
      <c r="M662" s="1477"/>
      <c r="N662" s="1478"/>
      <c r="O662" s="1466" t="b">
        <v>0</v>
      </c>
      <c r="P662" s="1466" t="b">
        <v>0</v>
      </c>
      <c r="Q662" s="1467"/>
      <c r="R662" s="1467"/>
      <c r="S662" s="1467" t="b">
        <v>0</v>
      </c>
      <c r="T662" s="1467" t="b">
        <v>0</v>
      </c>
      <c r="U662" s="1467" t="b">
        <v>0</v>
      </c>
      <c r="V662" s="1467"/>
      <c r="W662" s="1467"/>
      <c r="X662" s="1467"/>
      <c r="Y662" s="1442"/>
    </row>
    <row r="663">
      <c r="A663" s="1474" t="s">
        <v>2461</v>
      </c>
      <c r="B663" s="1468" t="b">
        <v>0</v>
      </c>
      <c r="C663" s="1429" t="b">
        <v>0</v>
      </c>
      <c r="D663" s="1429" t="b">
        <v>0</v>
      </c>
      <c r="E663" s="1429" t="b">
        <v>0</v>
      </c>
      <c r="F663" s="1429" t="b">
        <v>0</v>
      </c>
      <c r="G663" s="1429" t="b">
        <v>0</v>
      </c>
      <c r="H663" s="1429" t="b">
        <v>0</v>
      </c>
      <c r="I663" s="1429" t="b">
        <v>0</v>
      </c>
      <c r="J663" s="1429" t="b">
        <v>0</v>
      </c>
      <c r="K663" s="1469"/>
      <c r="L663" s="1470"/>
      <c r="M663" s="1479"/>
      <c r="N663" s="1480"/>
      <c r="O663" s="1459" t="b">
        <v>0</v>
      </c>
      <c r="P663" s="1459" t="b">
        <v>0</v>
      </c>
      <c r="Q663" s="1460"/>
      <c r="R663" s="1460"/>
      <c r="S663" s="1460" t="b">
        <v>0</v>
      </c>
      <c r="T663" s="1460" t="b">
        <v>0</v>
      </c>
      <c r="U663" s="1460" t="b">
        <v>0</v>
      </c>
      <c r="V663" s="1460"/>
      <c r="W663" s="1460"/>
      <c r="X663" s="1460"/>
      <c r="Y663" s="1441"/>
    </row>
    <row r="664">
      <c r="A664" s="1474" t="s">
        <v>2461</v>
      </c>
      <c r="B664" s="1462" t="b">
        <v>0</v>
      </c>
      <c r="C664" s="1421" t="b">
        <v>0</v>
      </c>
      <c r="D664" s="1421" t="b">
        <v>0</v>
      </c>
      <c r="E664" s="1421" t="b">
        <v>0</v>
      </c>
      <c r="F664" s="1421" t="b">
        <v>0</v>
      </c>
      <c r="G664" s="1421" t="b">
        <v>0</v>
      </c>
      <c r="H664" s="1421" t="b">
        <v>0</v>
      </c>
      <c r="I664" s="1421" t="b">
        <v>0</v>
      </c>
      <c r="J664" s="1421" t="b">
        <v>0</v>
      </c>
      <c r="K664" s="1463"/>
      <c r="L664" s="1464"/>
      <c r="M664" s="1477"/>
      <c r="N664" s="1478"/>
      <c r="O664" s="1466" t="b">
        <v>0</v>
      </c>
      <c r="P664" s="1466" t="b">
        <v>0</v>
      </c>
      <c r="Q664" s="1467"/>
      <c r="R664" s="1467"/>
      <c r="S664" s="1467" t="b">
        <v>0</v>
      </c>
      <c r="T664" s="1467" t="b">
        <v>0</v>
      </c>
      <c r="U664" s="1467" t="b">
        <v>0</v>
      </c>
      <c r="V664" s="1467"/>
      <c r="W664" s="1467"/>
      <c r="X664" s="1467"/>
      <c r="Y664" s="1442"/>
    </row>
    <row r="665">
      <c r="A665" s="1474" t="s">
        <v>2461</v>
      </c>
      <c r="B665" s="1468" t="b">
        <v>0</v>
      </c>
      <c r="C665" s="1429" t="b">
        <v>0</v>
      </c>
      <c r="D665" s="1429" t="b">
        <v>0</v>
      </c>
      <c r="E665" s="1429" t="b">
        <v>0</v>
      </c>
      <c r="F665" s="1429" t="b">
        <v>0</v>
      </c>
      <c r="G665" s="1429" t="b">
        <v>0</v>
      </c>
      <c r="H665" s="1429" t="b">
        <v>0</v>
      </c>
      <c r="I665" s="1429" t="b">
        <v>0</v>
      </c>
      <c r="J665" s="1429" t="b">
        <v>0</v>
      </c>
      <c r="K665" s="1469"/>
      <c r="L665" s="1470"/>
      <c r="M665" s="1479"/>
      <c r="N665" s="1480"/>
      <c r="O665" s="1459" t="b">
        <v>0</v>
      </c>
      <c r="P665" s="1459" t="b">
        <v>0</v>
      </c>
      <c r="Q665" s="1460"/>
      <c r="R665" s="1460"/>
      <c r="S665" s="1460" t="b">
        <v>0</v>
      </c>
      <c r="T665" s="1460" t="b">
        <v>0</v>
      </c>
      <c r="U665" s="1460" t="b">
        <v>0</v>
      </c>
      <c r="V665" s="1460"/>
      <c r="W665" s="1460"/>
      <c r="X665" s="1460"/>
      <c r="Y665" s="1441"/>
    </row>
    <row r="666">
      <c r="A666" s="1474" t="s">
        <v>2461</v>
      </c>
      <c r="B666" s="1462" t="b">
        <v>0</v>
      </c>
      <c r="C666" s="1421" t="b">
        <v>0</v>
      </c>
      <c r="D666" s="1421" t="b">
        <v>0</v>
      </c>
      <c r="E666" s="1421" t="b">
        <v>0</v>
      </c>
      <c r="F666" s="1421" t="b">
        <v>0</v>
      </c>
      <c r="G666" s="1421" t="b">
        <v>0</v>
      </c>
      <c r="H666" s="1421" t="b">
        <v>0</v>
      </c>
      <c r="I666" s="1421" t="b">
        <v>0</v>
      </c>
      <c r="J666" s="1421" t="b">
        <v>0</v>
      </c>
      <c r="K666" s="1463"/>
      <c r="L666" s="1464"/>
      <c r="M666" s="1477"/>
      <c r="N666" s="1478"/>
      <c r="O666" s="1466" t="b">
        <v>0</v>
      </c>
      <c r="P666" s="1466" t="b">
        <v>0</v>
      </c>
      <c r="Q666" s="1467"/>
      <c r="R666" s="1467"/>
      <c r="S666" s="1467" t="b">
        <v>0</v>
      </c>
      <c r="T666" s="1467" t="b">
        <v>0</v>
      </c>
      <c r="U666" s="1467" t="b">
        <v>0</v>
      </c>
      <c r="V666" s="1467"/>
      <c r="W666" s="1467"/>
      <c r="X666" s="1467"/>
      <c r="Y666" s="1442"/>
    </row>
    <row r="667">
      <c r="A667" s="1474" t="s">
        <v>2461</v>
      </c>
      <c r="B667" s="1468" t="b">
        <v>0</v>
      </c>
      <c r="C667" s="1429" t="b">
        <v>0</v>
      </c>
      <c r="D667" s="1429" t="b">
        <v>0</v>
      </c>
      <c r="E667" s="1429" t="b">
        <v>0</v>
      </c>
      <c r="F667" s="1429" t="b">
        <v>0</v>
      </c>
      <c r="G667" s="1429" t="b">
        <v>0</v>
      </c>
      <c r="H667" s="1429" t="b">
        <v>0</v>
      </c>
      <c r="I667" s="1429" t="b">
        <v>0</v>
      </c>
      <c r="J667" s="1429" t="b">
        <v>0</v>
      </c>
      <c r="K667" s="1469"/>
      <c r="L667" s="1470"/>
      <c r="M667" s="1479"/>
      <c r="N667" s="1480"/>
      <c r="O667" s="1459" t="b">
        <v>0</v>
      </c>
      <c r="P667" s="1459" t="b">
        <v>0</v>
      </c>
      <c r="Q667" s="1460"/>
      <c r="R667" s="1460"/>
      <c r="S667" s="1460" t="b">
        <v>0</v>
      </c>
      <c r="T667" s="1460" t="b">
        <v>0</v>
      </c>
      <c r="U667" s="1460" t="b">
        <v>0</v>
      </c>
      <c r="V667" s="1460"/>
      <c r="W667" s="1460"/>
      <c r="X667" s="1460"/>
      <c r="Y667" s="1441"/>
    </row>
    <row r="668">
      <c r="A668" s="1474" t="s">
        <v>2461</v>
      </c>
      <c r="B668" s="1462" t="b">
        <v>0</v>
      </c>
      <c r="C668" s="1421" t="b">
        <v>0</v>
      </c>
      <c r="D668" s="1421" t="b">
        <v>0</v>
      </c>
      <c r="E668" s="1421" t="b">
        <v>0</v>
      </c>
      <c r="F668" s="1421" t="b">
        <v>0</v>
      </c>
      <c r="G668" s="1421" t="b">
        <v>0</v>
      </c>
      <c r="H668" s="1421" t="b">
        <v>0</v>
      </c>
      <c r="I668" s="1421" t="b">
        <v>0</v>
      </c>
      <c r="J668" s="1421" t="b">
        <v>0</v>
      </c>
      <c r="K668" s="1463"/>
      <c r="L668" s="1464"/>
      <c r="M668" s="1477"/>
      <c r="N668" s="1478"/>
      <c r="O668" s="1466" t="b">
        <v>0</v>
      </c>
      <c r="P668" s="1466" t="b">
        <v>0</v>
      </c>
      <c r="Q668" s="1467"/>
      <c r="R668" s="1467"/>
      <c r="S668" s="1467" t="b">
        <v>0</v>
      </c>
      <c r="T668" s="1467" t="b">
        <v>0</v>
      </c>
      <c r="U668" s="1467" t="b">
        <v>0</v>
      </c>
      <c r="V668" s="1467"/>
      <c r="W668" s="1467"/>
      <c r="X668" s="1467"/>
      <c r="Y668" s="1442"/>
    </row>
    <row r="669">
      <c r="A669" s="1474" t="s">
        <v>2461</v>
      </c>
      <c r="B669" s="1468" t="b">
        <v>0</v>
      </c>
      <c r="C669" s="1429" t="b">
        <v>0</v>
      </c>
      <c r="D669" s="1429" t="b">
        <v>0</v>
      </c>
      <c r="E669" s="1429" t="b">
        <v>0</v>
      </c>
      <c r="F669" s="1429" t="b">
        <v>0</v>
      </c>
      <c r="G669" s="1429" t="b">
        <v>0</v>
      </c>
      <c r="H669" s="1429" t="b">
        <v>0</v>
      </c>
      <c r="I669" s="1429" t="b">
        <v>0</v>
      </c>
      <c r="J669" s="1429" t="b">
        <v>0</v>
      </c>
      <c r="K669" s="1469"/>
      <c r="L669" s="1470"/>
      <c r="M669" s="1479"/>
      <c r="N669" s="1480"/>
      <c r="O669" s="1459" t="b">
        <v>0</v>
      </c>
      <c r="P669" s="1459" t="b">
        <v>0</v>
      </c>
      <c r="Q669" s="1460"/>
      <c r="R669" s="1460"/>
      <c r="S669" s="1460" t="b">
        <v>0</v>
      </c>
      <c r="T669" s="1460" t="b">
        <v>0</v>
      </c>
      <c r="U669" s="1460" t="b">
        <v>0</v>
      </c>
      <c r="V669" s="1460"/>
      <c r="W669" s="1460"/>
      <c r="X669" s="1460"/>
      <c r="Y669" s="1441"/>
    </row>
    <row r="670">
      <c r="A670" s="1474" t="s">
        <v>2461</v>
      </c>
      <c r="B670" s="1462" t="b">
        <v>0</v>
      </c>
      <c r="C670" s="1421" t="b">
        <v>0</v>
      </c>
      <c r="D670" s="1421" t="b">
        <v>0</v>
      </c>
      <c r="E670" s="1421" t="b">
        <v>0</v>
      </c>
      <c r="F670" s="1421" t="b">
        <v>0</v>
      </c>
      <c r="G670" s="1421" t="b">
        <v>0</v>
      </c>
      <c r="H670" s="1421" t="b">
        <v>0</v>
      </c>
      <c r="I670" s="1421" t="b">
        <v>0</v>
      </c>
      <c r="J670" s="1421" t="b">
        <v>0</v>
      </c>
      <c r="K670" s="1463"/>
      <c r="L670" s="1464"/>
      <c r="M670" s="1477"/>
      <c r="N670" s="1478"/>
      <c r="O670" s="1466" t="b">
        <v>0</v>
      </c>
      <c r="P670" s="1466" t="b">
        <v>0</v>
      </c>
      <c r="Q670" s="1467"/>
      <c r="R670" s="1467"/>
      <c r="S670" s="1467" t="b">
        <v>0</v>
      </c>
      <c r="T670" s="1467" t="b">
        <v>0</v>
      </c>
      <c r="U670" s="1467" t="b">
        <v>0</v>
      </c>
      <c r="V670" s="1467"/>
      <c r="W670" s="1467"/>
      <c r="X670" s="1467"/>
      <c r="Y670" s="1442"/>
    </row>
    <row r="671">
      <c r="A671" s="1474" t="s">
        <v>2461</v>
      </c>
      <c r="B671" s="1468" t="b">
        <v>0</v>
      </c>
      <c r="C671" s="1429" t="b">
        <v>0</v>
      </c>
      <c r="D671" s="1429" t="b">
        <v>0</v>
      </c>
      <c r="E671" s="1429" t="b">
        <v>0</v>
      </c>
      <c r="F671" s="1429" t="b">
        <v>0</v>
      </c>
      <c r="G671" s="1429" t="b">
        <v>0</v>
      </c>
      <c r="H671" s="1429" t="b">
        <v>0</v>
      </c>
      <c r="I671" s="1429" t="b">
        <v>0</v>
      </c>
      <c r="J671" s="1429" t="b">
        <v>0</v>
      </c>
      <c r="K671" s="1469"/>
      <c r="L671" s="1470"/>
      <c r="M671" s="1479"/>
      <c r="N671" s="1480"/>
      <c r="O671" s="1459" t="b">
        <v>0</v>
      </c>
      <c r="P671" s="1459" t="b">
        <v>0</v>
      </c>
      <c r="Q671" s="1460"/>
      <c r="R671" s="1460"/>
      <c r="S671" s="1460" t="b">
        <v>0</v>
      </c>
      <c r="T671" s="1460" t="b">
        <v>0</v>
      </c>
      <c r="U671" s="1460" t="b">
        <v>0</v>
      </c>
      <c r="V671" s="1460"/>
      <c r="W671" s="1460"/>
      <c r="X671" s="1460"/>
      <c r="Y671" s="1441"/>
    </row>
    <row r="672">
      <c r="A672" s="1474" t="s">
        <v>2461</v>
      </c>
      <c r="B672" s="1462" t="b">
        <v>0</v>
      </c>
      <c r="C672" s="1421" t="b">
        <v>0</v>
      </c>
      <c r="D672" s="1421" t="b">
        <v>0</v>
      </c>
      <c r="E672" s="1421" t="b">
        <v>0</v>
      </c>
      <c r="F672" s="1421" t="b">
        <v>0</v>
      </c>
      <c r="G672" s="1421" t="b">
        <v>0</v>
      </c>
      <c r="H672" s="1421" t="b">
        <v>0</v>
      </c>
      <c r="I672" s="1421" t="b">
        <v>0</v>
      </c>
      <c r="J672" s="1421" t="b">
        <v>0</v>
      </c>
      <c r="K672" s="1463"/>
      <c r="L672" s="1464"/>
      <c r="M672" s="1477"/>
      <c r="N672" s="1478"/>
      <c r="O672" s="1466" t="b">
        <v>0</v>
      </c>
      <c r="P672" s="1466" t="b">
        <v>0</v>
      </c>
      <c r="Q672" s="1467"/>
      <c r="R672" s="1467"/>
      <c r="S672" s="1467" t="b">
        <v>0</v>
      </c>
      <c r="T672" s="1467" t="b">
        <v>0</v>
      </c>
      <c r="U672" s="1467" t="b">
        <v>0</v>
      </c>
      <c r="V672" s="1467"/>
      <c r="W672" s="1467"/>
      <c r="X672" s="1467"/>
      <c r="Y672" s="1442"/>
    </row>
    <row r="673">
      <c r="A673" s="1474" t="s">
        <v>2461</v>
      </c>
      <c r="B673" s="1468" t="b">
        <v>0</v>
      </c>
      <c r="C673" s="1429" t="b">
        <v>0</v>
      </c>
      <c r="D673" s="1429" t="b">
        <v>0</v>
      </c>
      <c r="E673" s="1429" t="b">
        <v>0</v>
      </c>
      <c r="F673" s="1429" t="b">
        <v>0</v>
      </c>
      <c r="G673" s="1429" t="b">
        <v>0</v>
      </c>
      <c r="H673" s="1429" t="b">
        <v>0</v>
      </c>
      <c r="I673" s="1429" t="b">
        <v>0</v>
      </c>
      <c r="J673" s="1429" t="b">
        <v>0</v>
      </c>
      <c r="K673" s="1469"/>
      <c r="L673" s="1470"/>
      <c r="M673" s="1479"/>
      <c r="N673" s="1480"/>
      <c r="O673" s="1459" t="b">
        <v>0</v>
      </c>
      <c r="P673" s="1459" t="b">
        <v>0</v>
      </c>
      <c r="Q673" s="1460"/>
      <c r="R673" s="1460"/>
      <c r="S673" s="1460" t="b">
        <v>0</v>
      </c>
      <c r="T673" s="1460" t="b">
        <v>0</v>
      </c>
      <c r="U673" s="1460" t="b">
        <v>0</v>
      </c>
      <c r="V673" s="1460"/>
      <c r="W673" s="1460"/>
      <c r="X673" s="1460"/>
      <c r="Y673" s="1441"/>
    </row>
    <row r="674">
      <c r="A674" s="1474" t="s">
        <v>2461</v>
      </c>
      <c r="B674" s="1462" t="b">
        <v>0</v>
      </c>
      <c r="C674" s="1421" t="b">
        <v>0</v>
      </c>
      <c r="D674" s="1421" t="b">
        <v>0</v>
      </c>
      <c r="E674" s="1421" t="b">
        <v>0</v>
      </c>
      <c r="F674" s="1421" t="b">
        <v>0</v>
      </c>
      <c r="G674" s="1421" t="b">
        <v>0</v>
      </c>
      <c r="H674" s="1421" t="b">
        <v>0</v>
      </c>
      <c r="I674" s="1421" t="b">
        <v>0</v>
      </c>
      <c r="J674" s="1421" t="b">
        <v>0</v>
      </c>
      <c r="K674" s="1463"/>
      <c r="L674" s="1464"/>
      <c r="M674" s="1477"/>
      <c r="N674" s="1478"/>
      <c r="O674" s="1466" t="b">
        <v>0</v>
      </c>
      <c r="P674" s="1466" t="b">
        <v>0</v>
      </c>
      <c r="Q674" s="1467"/>
      <c r="R674" s="1467"/>
      <c r="S674" s="1467" t="b">
        <v>0</v>
      </c>
      <c r="T674" s="1467" t="b">
        <v>0</v>
      </c>
      <c r="U674" s="1467" t="b">
        <v>0</v>
      </c>
      <c r="V674" s="1467"/>
      <c r="W674" s="1467"/>
      <c r="X674" s="1467"/>
      <c r="Y674" s="1442"/>
    </row>
    <row r="675">
      <c r="A675" s="1474" t="s">
        <v>2461</v>
      </c>
      <c r="B675" s="1468" t="b">
        <v>0</v>
      </c>
      <c r="C675" s="1429" t="b">
        <v>0</v>
      </c>
      <c r="D675" s="1429" t="b">
        <v>0</v>
      </c>
      <c r="E675" s="1429" t="b">
        <v>0</v>
      </c>
      <c r="F675" s="1429" t="b">
        <v>0</v>
      </c>
      <c r="G675" s="1429" t="b">
        <v>0</v>
      </c>
      <c r="H675" s="1429" t="b">
        <v>0</v>
      </c>
      <c r="I675" s="1429" t="b">
        <v>0</v>
      </c>
      <c r="J675" s="1429" t="b">
        <v>0</v>
      </c>
      <c r="K675" s="1469"/>
      <c r="L675" s="1470"/>
      <c r="M675" s="1479"/>
      <c r="N675" s="1480"/>
      <c r="O675" s="1459" t="b">
        <v>0</v>
      </c>
      <c r="P675" s="1459" t="b">
        <v>0</v>
      </c>
      <c r="Q675" s="1460"/>
      <c r="R675" s="1460"/>
      <c r="S675" s="1460" t="b">
        <v>0</v>
      </c>
      <c r="T675" s="1460" t="b">
        <v>0</v>
      </c>
      <c r="U675" s="1460" t="b">
        <v>0</v>
      </c>
      <c r="V675" s="1460"/>
      <c r="W675" s="1460"/>
      <c r="X675" s="1460"/>
      <c r="Y675" s="1441"/>
    </row>
    <row r="676">
      <c r="A676" s="1474" t="s">
        <v>2461</v>
      </c>
      <c r="B676" s="1462" t="b">
        <v>0</v>
      </c>
      <c r="C676" s="1421" t="b">
        <v>0</v>
      </c>
      <c r="D676" s="1421" t="b">
        <v>0</v>
      </c>
      <c r="E676" s="1421" t="b">
        <v>0</v>
      </c>
      <c r="F676" s="1421" t="b">
        <v>0</v>
      </c>
      <c r="G676" s="1421" t="b">
        <v>0</v>
      </c>
      <c r="H676" s="1421" t="b">
        <v>0</v>
      </c>
      <c r="I676" s="1421" t="b">
        <v>0</v>
      </c>
      <c r="J676" s="1421" t="b">
        <v>0</v>
      </c>
      <c r="K676" s="1463"/>
      <c r="L676" s="1464"/>
      <c r="M676" s="1477"/>
      <c r="N676" s="1478"/>
      <c r="O676" s="1466" t="b">
        <v>0</v>
      </c>
      <c r="P676" s="1466" t="b">
        <v>0</v>
      </c>
      <c r="Q676" s="1467"/>
      <c r="R676" s="1467"/>
      <c r="S676" s="1467" t="b">
        <v>0</v>
      </c>
      <c r="T676" s="1467" t="b">
        <v>0</v>
      </c>
      <c r="U676" s="1467" t="b">
        <v>0</v>
      </c>
      <c r="V676" s="1467"/>
      <c r="W676" s="1467"/>
      <c r="X676" s="1467"/>
      <c r="Y676" s="1442"/>
    </row>
    <row r="677">
      <c r="A677" s="1474" t="s">
        <v>2461</v>
      </c>
      <c r="B677" s="1468" t="b">
        <v>0</v>
      </c>
      <c r="C677" s="1429" t="b">
        <v>0</v>
      </c>
      <c r="D677" s="1429" t="b">
        <v>0</v>
      </c>
      <c r="E677" s="1429" t="b">
        <v>0</v>
      </c>
      <c r="F677" s="1429" t="b">
        <v>0</v>
      </c>
      <c r="G677" s="1429" t="b">
        <v>0</v>
      </c>
      <c r="H677" s="1429" t="b">
        <v>0</v>
      </c>
      <c r="I677" s="1429" t="b">
        <v>0</v>
      </c>
      <c r="J677" s="1429" t="b">
        <v>0</v>
      </c>
      <c r="K677" s="1469"/>
      <c r="L677" s="1470"/>
      <c r="M677" s="1479"/>
      <c r="N677" s="1480"/>
      <c r="O677" s="1459" t="b">
        <v>0</v>
      </c>
      <c r="P677" s="1459" t="b">
        <v>0</v>
      </c>
      <c r="Q677" s="1460"/>
      <c r="R677" s="1460"/>
      <c r="S677" s="1460" t="b">
        <v>0</v>
      </c>
      <c r="T677" s="1460" t="b">
        <v>0</v>
      </c>
      <c r="U677" s="1460" t="b">
        <v>0</v>
      </c>
      <c r="V677" s="1460"/>
      <c r="W677" s="1460"/>
      <c r="X677" s="1460"/>
      <c r="Y677" s="1441"/>
    </row>
    <row r="678">
      <c r="A678" s="1474" t="s">
        <v>2461</v>
      </c>
      <c r="B678" s="1462" t="b">
        <v>0</v>
      </c>
      <c r="C678" s="1421" t="b">
        <v>0</v>
      </c>
      <c r="D678" s="1421" t="b">
        <v>0</v>
      </c>
      <c r="E678" s="1421" t="b">
        <v>0</v>
      </c>
      <c r="F678" s="1421" t="b">
        <v>0</v>
      </c>
      <c r="G678" s="1421" t="b">
        <v>0</v>
      </c>
      <c r="H678" s="1421" t="b">
        <v>0</v>
      </c>
      <c r="I678" s="1421" t="b">
        <v>0</v>
      </c>
      <c r="J678" s="1421" t="b">
        <v>0</v>
      </c>
      <c r="K678" s="1463"/>
      <c r="L678" s="1464"/>
      <c r="M678" s="1477"/>
      <c r="N678" s="1478"/>
      <c r="O678" s="1466" t="b">
        <v>0</v>
      </c>
      <c r="P678" s="1466" t="b">
        <v>0</v>
      </c>
      <c r="Q678" s="1467"/>
      <c r="R678" s="1467"/>
      <c r="S678" s="1467" t="b">
        <v>0</v>
      </c>
      <c r="T678" s="1467" t="b">
        <v>0</v>
      </c>
      <c r="U678" s="1467" t="b">
        <v>0</v>
      </c>
      <c r="V678" s="1467"/>
      <c r="W678" s="1467"/>
      <c r="X678" s="1467"/>
      <c r="Y678" s="1442"/>
    </row>
    <row r="679">
      <c r="A679" s="1474" t="s">
        <v>2461</v>
      </c>
      <c r="B679" s="1468" t="b">
        <v>0</v>
      </c>
      <c r="C679" s="1429" t="b">
        <v>0</v>
      </c>
      <c r="D679" s="1429" t="b">
        <v>0</v>
      </c>
      <c r="E679" s="1429" t="b">
        <v>0</v>
      </c>
      <c r="F679" s="1429" t="b">
        <v>0</v>
      </c>
      <c r="G679" s="1429" t="b">
        <v>0</v>
      </c>
      <c r="H679" s="1429" t="b">
        <v>0</v>
      </c>
      <c r="I679" s="1429" t="b">
        <v>0</v>
      </c>
      <c r="J679" s="1429" t="b">
        <v>0</v>
      </c>
      <c r="K679" s="1469"/>
      <c r="L679" s="1470"/>
      <c r="M679" s="1479"/>
      <c r="N679" s="1480"/>
      <c r="O679" s="1459" t="b">
        <v>0</v>
      </c>
      <c r="P679" s="1459" t="b">
        <v>0</v>
      </c>
      <c r="Q679" s="1460"/>
      <c r="R679" s="1460"/>
      <c r="S679" s="1460" t="b">
        <v>0</v>
      </c>
      <c r="T679" s="1460" t="b">
        <v>0</v>
      </c>
      <c r="U679" s="1460" t="b">
        <v>0</v>
      </c>
      <c r="V679" s="1460"/>
      <c r="W679" s="1460"/>
      <c r="X679" s="1460"/>
      <c r="Y679" s="1441"/>
    </row>
    <row r="680">
      <c r="A680" s="1474" t="s">
        <v>2461</v>
      </c>
      <c r="B680" s="1462" t="b">
        <v>0</v>
      </c>
      <c r="C680" s="1421" t="b">
        <v>0</v>
      </c>
      <c r="D680" s="1421" t="b">
        <v>0</v>
      </c>
      <c r="E680" s="1421" t="b">
        <v>0</v>
      </c>
      <c r="F680" s="1421" t="b">
        <v>0</v>
      </c>
      <c r="G680" s="1421" t="b">
        <v>0</v>
      </c>
      <c r="H680" s="1421" t="b">
        <v>0</v>
      </c>
      <c r="I680" s="1421" t="b">
        <v>0</v>
      </c>
      <c r="J680" s="1421" t="b">
        <v>0</v>
      </c>
      <c r="K680" s="1463"/>
      <c r="L680" s="1464"/>
      <c r="M680" s="1477"/>
      <c r="N680" s="1478"/>
      <c r="O680" s="1466" t="b">
        <v>0</v>
      </c>
      <c r="P680" s="1466" t="b">
        <v>0</v>
      </c>
      <c r="Q680" s="1467"/>
      <c r="R680" s="1467"/>
      <c r="S680" s="1467" t="b">
        <v>0</v>
      </c>
      <c r="T680" s="1467" t="b">
        <v>0</v>
      </c>
      <c r="U680" s="1467" t="b">
        <v>0</v>
      </c>
      <c r="V680" s="1467"/>
      <c r="W680" s="1467"/>
      <c r="X680" s="1467"/>
      <c r="Y680" s="1442"/>
    </row>
    <row r="681">
      <c r="A681" s="1474" t="s">
        <v>2461</v>
      </c>
      <c r="B681" s="1468" t="b">
        <v>0</v>
      </c>
      <c r="C681" s="1429" t="b">
        <v>0</v>
      </c>
      <c r="D681" s="1429" t="b">
        <v>0</v>
      </c>
      <c r="E681" s="1429" t="b">
        <v>0</v>
      </c>
      <c r="F681" s="1429" t="b">
        <v>0</v>
      </c>
      <c r="G681" s="1429" t="b">
        <v>0</v>
      </c>
      <c r="H681" s="1429" t="b">
        <v>0</v>
      </c>
      <c r="I681" s="1429" t="b">
        <v>0</v>
      </c>
      <c r="J681" s="1429" t="b">
        <v>0</v>
      </c>
      <c r="K681" s="1469"/>
      <c r="L681" s="1470"/>
      <c r="M681" s="1479"/>
      <c r="N681" s="1480"/>
      <c r="O681" s="1459" t="b">
        <v>0</v>
      </c>
      <c r="P681" s="1459" t="b">
        <v>0</v>
      </c>
      <c r="Q681" s="1460"/>
      <c r="R681" s="1460"/>
      <c r="S681" s="1460" t="b">
        <v>0</v>
      </c>
      <c r="T681" s="1460" t="b">
        <v>0</v>
      </c>
      <c r="U681" s="1460" t="b">
        <v>0</v>
      </c>
      <c r="V681" s="1460"/>
      <c r="W681" s="1460"/>
      <c r="X681" s="1460"/>
      <c r="Y681" s="1441"/>
    </row>
    <row r="682">
      <c r="A682" s="1474" t="s">
        <v>2461</v>
      </c>
      <c r="B682" s="1462" t="b">
        <v>0</v>
      </c>
      <c r="C682" s="1421" t="b">
        <v>0</v>
      </c>
      <c r="D682" s="1421" t="b">
        <v>0</v>
      </c>
      <c r="E682" s="1421" t="b">
        <v>0</v>
      </c>
      <c r="F682" s="1421" t="b">
        <v>0</v>
      </c>
      <c r="G682" s="1421" t="b">
        <v>0</v>
      </c>
      <c r="H682" s="1421" t="b">
        <v>0</v>
      </c>
      <c r="I682" s="1421" t="b">
        <v>0</v>
      </c>
      <c r="J682" s="1421" t="b">
        <v>0</v>
      </c>
      <c r="K682" s="1463"/>
      <c r="L682" s="1464"/>
      <c r="M682" s="1477"/>
      <c r="N682" s="1478"/>
      <c r="O682" s="1466" t="b">
        <v>0</v>
      </c>
      <c r="P682" s="1466" t="b">
        <v>0</v>
      </c>
      <c r="Q682" s="1467"/>
      <c r="R682" s="1467"/>
      <c r="S682" s="1467" t="b">
        <v>0</v>
      </c>
      <c r="T682" s="1467" t="b">
        <v>0</v>
      </c>
      <c r="U682" s="1467" t="b">
        <v>0</v>
      </c>
      <c r="V682" s="1467"/>
      <c r="W682" s="1467"/>
      <c r="X682" s="1467"/>
      <c r="Y682" s="1442"/>
    </row>
    <row r="683">
      <c r="A683" s="1474" t="s">
        <v>2461</v>
      </c>
      <c r="B683" s="1468" t="b">
        <v>0</v>
      </c>
      <c r="C683" s="1429" t="b">
        <v>0</v>
      </c>
      <c r="D683" s="1429" t="b">
        <v>0</v>
      </c>
      <c r="E683" s="1429" t="b">
        <v>0</v>
      </c>
      <c r="F683" s="1429" t="b">
        <v>0</v>
      </c>
      <c r="G683" s="1429" t="b">
        <v>0</v>
      </c>
      <c r="H683" s="1429" t="b">
        <v>0</v>
      </c>
      <c r="I683" s="1429" t="b">
        <v>0</v>
      </c>
      <c r="J683" s="1429" t="b">
        <v>0</v>
      </c>
      <c r="K683" s="1469"/>
      <c r="L683" s="1470"/>
      <c r="M683" s="1479"/>
      <c r="N683" s="1480"/>
      <c r="O683" s="1459" t="b">
        <v>0</v>
      </c>
      <c r="P683" s="1459" t="b">
        <v>0</v>
      </c>
      <c r="Q683" s="1460"/>
      <c r="R683" s="1460"/>
      <c r="S683" s="1460" t="b">
        <v>0</v>
      </c>
      <c r="T683" s="1460" t="b">
        <v>0</v>
      </c>
      <c r="U683" s="1460" t="b">
        <v>0</v>
      </c>
      <c r="V683" s="1460"/>
      <c r="W683" s="1460"/>
      <c r="X683" s="1460"/>
      <c r="Y683" s="1441"/>
    </row>
    <row r="684">
      <c r="A684" s="1474" t="s">
        <v>2461</v>
      </c>
      <c r="B684" s="1462" t="b">
        <v>0</v>
      </c>
      <c r="C684" s="1421" t="b">
        <v>0</v>
      </c>
      <c r="D684" s="1421" t="b">
        <v>0</v>
      </c>
      <c r="E684" s="1421" t="b">
        <v>0</v>
      </c>
      <c r="F684" s="1421" t="b">
        <v>0</v>
      </c>
      <c r="G684" s="1421" t="b">
        <v>0</v>
      </c>
      <c r="H684" s="1421" t="b">
        <v>0</v>
      </c>
      <c r="I684" s="1421" t="b">
        <v>0</v>
      </c>
      <c r="J684" s="1421" t="b">
        <v>0</v>
      </c>
      <c r="K684" s="1463"/>
      <c r="L684" s="1464"/>
      <c r="M684" s="1477"/>
      <c r="N684" s="1478"/>
      <c r="O684" s="1466" t="b">
        <v>0</v>
      </c>
      <c r="P684" s="1466" t="b">
        <v>0</v>
      </c>
      <c r="Q684" s="1467"/>
      <c r="R684" s="1467"/>
      <c r="S684" s="1467" t="b">
        <v>0</v>
      </c>
      <c r="T684" s="1467" t="b">
        <v>0</v>
      </c>
      <c r="U684" s="1467" t="b">
        <v>0</v>
      </c>
      <c r="V684" s="1467"/>
      <c r="W684" s="1467"/>
      <c r="X684" s="1467"/>
      <c r="Y684" s="1442"/>
    </row>
    <row r="685">
      <c r="A685" s="1474" t="s">
        <v>2461</v>
      </c>
      <c r="B685" s="1468" t="b">
        <v>0</v>
      </c>
      <c r="C685" s="1429" t="b">
        <v>0</v>
      </c>
      <c r="D685" s="1429" t="b">
        <v>0</v>
      </c>
      <c r="E685" s="1429" t="b">
        <v>0</v>
      </c>
      <c r="F685" s="1429" t="b">
        <v>0</v>
      </c>
      <c r="G685" s="1429" t="b">
        <v>0</v>
      </c>
      <c r="H685" s="1429" t="b">
        <v>0</v>
      </c>
      <c r="I685" s="1429" t="b">
        <v>0</v>
      </c>
      <c r="J685" s="1429" t="b">
        <v>0</v>
      </c>
      <c r="K685" s="1469"/>
      <c r="L685" s="1470"/>
      <c r="M685" s="1479"/>
      <c r="N685" s="1480"/>
      <c r="O685" s="1459" t="b">
        <v>0</v>
      </c>
      <c r="P685" s="1459" t="b">
        <v>0</v>
      </c>
      <c r="Q685" s="1460"/>
      <c r="R685" s="1460"/>
      <c r="S685" s="1460" t="b">
        <v>0</v>
      </c>
      <c r="T685" s="1460" t="b">
        <v>0</v>
      </c>
      <c r="U685" s="1460" t="b">
        <v>0</v>
      </c>
      <c r="V685" s="1460"/>
      <c r="W685" s="1460"/>
      <c r="X685" s="1460"/>
      <c r="Y685" s="1441"/>
    </row>
    <row r="686">
      <c r="A686" s="1474" t="s">
        <v>2461</v>
      </c>
      <c r="B686" s="1462" t="b">
        <v>0</v>
      </c>
      <c r="C686" s="1421" t="b">
        <v>0</v>
      </c>
      <c r="D686" s="1421" t="b">
        <v>0</v>
      </c>
      <c r="E686" s="1421" t="b">
        <v>0</v>
      </c>
      <c r="F686" s="1421" t="b">
        <v>0</v>
      </c>
      <c r="G686" s="1421" t="b">
        <v>0</v>
      </c>
      <c r="H686" s="1421" t="b">
        <v>0</v>
      </c>
      <c r="I686" s="1421" t="b">
        <v>0</v>
      </c>
      <c r="J686" s="1421" t="b">
        <v>0</v>
      </c>
      <c r="K686" s="1463"/>
      <c r="L686" s="1464"/>
      <c r="M686" s="1477"/>
      <c r="N686" s="1478"/>
      <c r="O686" s="1466" t="b">
        <v>0</v>
      </c>
      <c r="P686" s="1466" t="b">
        <v>0</v>
      </c>
      <c r="Q686" s="1467"/>
      <c r="R686" s="1467"/>
      <c r="S686" s="1467" t="b">
        <v>0</v>
      </c>
      <c r="T686" s="1467" t="b">
        <v>0</v>
      </c>
      <c r="U686" s="1467" t="b">
        <v>0</v>
      </c>
      <c r="V686" s="1467"/>
      <c r="W686" s="1467"/>
      <c r="X686" s="1467"/>
      <c r="Y686" s="1442"/>
    </row>
    <row r="687">
      <c r="A687" s="1474" t="s">
        <v>2461</v>
      </c>
      <c r="B687" s="1468" t="b">
        <v>0</v>
      </c>
      <c r="C687" s="1429" t="b">
        <v>0</v>
      </c>
      <c r="D687" s="1429" t="b">
        <v>0</v>
      </c>
      <c r="E687" s="1429" t="b">
        <v>0</v>
      </c>
      <c r="F687" s="1429" t="b">
        <v>0</v>
      </c>
      <c r="G687" s="1429" t="b">
        <v>0</v>
      </c>
      <c r="H687" s="1429" t="b">
        <v>0</v>
      </c>
      <c r="I687" s="1429" t="b">
        <v>0</v>
      </c>
      <c r="J687" s="1429" t="b">
        <v>0</v>
      </c>
      <c r="K687" s="1469"/>
      <c r="L687" s="1470"/>
      <c r="M687" s="1479"/>
      <c r="N687" s="1480"/>
      <c r="O687" s="1459" t="b">
        <v>0</v>
      </c>
      <c r="P687" s="1459" t="b">
        <v>0</v>
      </c>
      <c r="Q687" s="1460"/>
      <c r="R687" s="1460"/>
      <c r="S687" s="1460" t="b">
        <v>0</v>
      </c>
      <c r="T687" s="1460" t="b">
        <v>0</v>
      </c>
      <c r="U687" s="1460" t="b">
        <v>0</v>
      </c>
      <c r="V687" s="1460"/>
      <c r="W687" s="1460"/>
      <c r="X687" s="1460"/>
      <c r="Y687" s="1441"/>
    </row>
    <row r="688">
      <c r="A688" s="1474" t="s">
        <v>2461</v>
      </c>
      <c r="B688" s="1462" t="b">
        <v>0</v>
      </c>
      <c r="C688" s="1421" t="b">
        <v>0</v>
      </c>
      <c r="D688" s="1421" t="b">
        <v>0</v>
      </c>
      <c r="E688" s="1421" t="b">
        <v>0</v>
      </c>
      <c r="F688" s="1421" t="b">
        <v>0</v>
      </c>
      <c r="G688" s="1421" t="b">
        <v>0</v>
      </c>
      <c r="H688" s="1421" t="b">
        <v>0</v>
      </c>
      <c r="I688" s="1421" t="b">
        <v>0</v>
      </c>
      <c r="J688" s="1421" t="b">
        <v>0</v>
      </c>
      <c r="K688" s="1463"/>
      <c r="L688" s="1464"/>
      <c r="M688" s="1477"/>
      <c r="N688" s="1478"/>
      <c r="O688" s="1466" t="b">
        <v>0</v>
      </c>
      <c r="P688" s="1466" t="b">
        <v>0</v>
      </c>
      <c r="Q688" s="1467"/>
      <c r="R688" s="1467"/>
      <c r="S688" s="1467" t="b">
        <v>0</v>
      </c>
      <c r="T688" s="1467" t="b">
        <v>0</v>
      </c>
      <c r="U688" s="1467" t="b">
        <v>0</v>
      </c>
      <c r="V688" s="1467"/>
      <c r="W688" s="1467"/>
      <c r="X688" s="1467"/>
      <c r="Y688" s="1442"/>
    </row>
    <row r="689">
      <c r="A689" s="1474" t="s">
        <v>2461</v>
      </c>
      <c r="B689" s="1468" t="b">
        <v>0</v>
      </c>
      <c r="C689" s="1429" t="b">
        <v>0</v>
      </c>
      <c r="D689" s="1429" t="b">
        <v>0</v>
      </c>
      <c r="E689" s="1429" t="b">
        <v>0</v>
      </c>
      <c r="F689" s="1429" t="b">
        <v>0</v>
      </c>
      <c r="G689" s="1429" t="b">
        <v>0</v>
      </c>
      <c r="H689" s="1429" t="b">
        <v>0</v>
      </c>
      <c r="I689" s="1429" t="b">
        <v>0</v>
      </c>
      <c r="J689" s="1429" t="b">
        <v>0</v>
      </c>
      <c r="K689" s="1469"/>
      <c r="L689" s="1470"/>
      <c r="M689" s="1479"/>
      <c r="N689" s="1480"/>
      <c r="O689" s="1459" t="b">
        <v>0</v>
      </c>
      <c r="P689" s="1459" t="b">
        <v>0</v>
      </c>
      <c r="Q689" s="1460"/>
      <c r="R689" s="1460"/>
      <c r="S689" s="1460" t="b">
        <v>0</v>
      </c>
      <c r="T689" s="1460" t="b">
        <v>0</v>
      </c>
      <c r="U689" s="1460" t="b">
        <v>0</v>
      </c>
      <c r="V689" s="1460"/>
      <c r="W689" s="1460"/>
      <c r="X689" s="1460"/>
      <c r="Y689" s="1441"/>
    </row>
    <row r="690">
      <c r="A690" s="1474" t="s">
        <v>2461</v>
      </c>
      <c r="B690" s="1462" t="b">
        <v>0</v>
      </c>
      <c r="C690" s="1421" t="b">
        <v>0</v>
      </c>
      <c r="D690" s="1421" t="b">
        <v>0</v>
      </c>
      <c r="E690" s="1421" t="b">
        <v>0</v>
      </c>
      <c r="F690" s="1421" t="b">
        <v>0</v>
      </c>
      <c r="G690" s="1421" t="b">
        <v>0</v>
      </c>
      <c r="H690" s="1421" t="b">
        <v>0</v>
      </c>
      <c r="I690" s="1421" t="b">
        <v>0</v>
      </c>
      <c r="J690" s="1421" t="b">
        <v>0</v>
      </c>
      <c r="K690" s="1463"/>
      <c r="L690" s="1464"/>
      <c r="M690" s="1477"/>
      <c r="N690" s="1478"/>
      <c r="O690" s="1466" t="b">
        <v>0</v>
      </c>
      <c r="P690" s="1466" t="b">
        <v>0</v>
      </c>
      <c r="Q690" s="1467"/>
      <c r="R690" s="1467"/>
      <c r="S690" s="1467" t="b">
        <v>0</v>
      </c>
      <c r="T690" s="1467" t="b">
        <v>0</v>
      </c>
      <c r="U690" s="1467" t="b">
        <v>0</v>
      </c>
      <c r="V690" s="1467"/>
      <c r="W690" s="1467"/>
      <c r="X690" s="1467"/>
      <c r="Y690" s="1442"/>
    </row>
    <row r="691">
      <c r="A691" s="1474" t="s">
        <v>2461</v>
      </c>
      <c r="B691" s="1468" t="b">
        <v>0</v>
      </c>
      <c r="C691" s="1429" t="b">
        <v>0</v>
      </c>
      <c r="D691" s="1429" t="b">
        <v>0</v>
      </c>
      <c r="E691" s="1429" t="b">
        <v>0</v>
      </c>
      <c r="F691" s="1429" t="b">
        <v>0</v>
      </c>
      <c r="G691" s="1429" t="b">
        <v>0</v>
      </c>
      <c r="H691" s="1429" t="b">
        <v>0</v>
      </c>
      <c r="I691" s="1429" t="b">
        <v>0</v>
      </c>
      <c r="J691" s="1429" t="b">
        <v>0</v>
      </c>
      <c r="K691" s="1469"/>
      <c r="L691" s="1470"/>
      <c r="M691" s="1479"/>
      <c r="N691" s="1480"/>
      <c r="O691" s="1459" t="b">
        <v>0</v>
      </c>
      <c r="P691" s="1459" t="b">
        <v>0</v>
      </c>
      <c r="Q691" s="1460"/>
      <c r="R691" s="1460"/>
      <c r="S691" s="1460" t="b">
        <v>0</v>
      </c>
      <c r="T691" s="1460" t="b">
        <v>0</v>
      </c>
      <c r="U691" s="1460" t="b">
        <v>0</v>
      </c>
      <c r="V691" s="1460"/>
      <c r="W691" s="1460"/>
      <c r="X691" s="1460"/>
      <c r="Y691" s="1441"/>
    </row>
    <row r="692">
      <c r="A692" s="1474" t="s">
        <v>2461</v>
      </c>
      <c r="B692" s="1462" t="b">
        <v>0</v>
      </c>
      <c r="C692" s="1421" t="b">
        <v>0</v>
      </c>
      <c r="D692" s="1421" t="b">
        <v>0</v>
      </c>
      <c r="E692" s="1421" t="b">
        <v>0</v>
      </c>
      <c r="F692" s="1421" t="b">
        <v>0</v>
      </c>
      <c r="G692" s="1421" t="b">
        <v>0</v>
      </c>
      <c r="H692" s="1421" t="b">
        <v>0</v>
      </c>
      <c r="I692" s="1421" t="b">
        <v>0</v>
      </c>
      <c r="J692" s="1421" t="b">
        <v>0</v>
      </c>
      <c r="K692" s="1463"/>
      <c r="L692" s="1464"/>
      <c r="M692" s="1477"/>
      <c r="N692" s="1478"/>
      <c r="O692" s="1466" t="b">
        <v>0</v>
      </c>
      <c r="P692" s="1466" t="b">
        <v>0</v>
      </c>
      <c r="Q692" s="1467"/>
      <c r="R692" s="1467"/>
      <c r="S692" s="1467" t="b">
        <v>0</v>
      </c>
      <c r="T692" s="1467" t="b">
        <v>0</v>
      </c>
      <c r="U692" s="1467" t="b">
        <v>0</v>
      </c>
      <c r="V692" s="1467"/>
      <c r="W692" s="1467"/>
      <c r="X692" s="1467"/>
      <c r="Y692" s="1442"/>
    </row>
    <row r="693">
      <c r="A693" s="1474" t="s">
        <v>2461</v>
      </c>
      <c r="B693" s="1468" t="b">
        <v>0</v>
      </c>
      <c r="C693" s="1429" t="b">
        <v>0</v>
      </c>
      <c r="D693" s="1429" t="b">
        <v>0</v>
      </c>
      <c r="E693" s="1429" t="b">
        <v>0</v>
      </c>
      <c r="F693" s="1429" t="b">
        <v>0</v>
      </c>
      <c r="G693" s="1429" t="b">
        <v>0</v>
      </c>
      <c r="H693" s="1429" t="b">
        <v>0</v>
      </c>
      <c r="I693" s="1429" t="b">
        <v>0</v>
      </c>
      <c r="J693" s="1429" t="b">
        <v>0</v>
      </c>
      <c r="K693" s="1469"/>
      <c r="L693" s="1470"/>
      <c r="M693" s="1479"/>
      <c r="N693" s="1480"/>
      <c r="O693" s="1459" t="b">
        <v>0</v>
      </c>
      <c r="P693" s="1459" t="b">
        <v>0</v>
      </c>
      <c r="Q693" s="1460"/>
      <c r="R693" s="1460"/>
      <c r="S693" s="1460" t="b">
        <v>0</v>
      </c>
      <c r="T693" s="1460" t="b">
        <v>0</v>
      </c>
      <c r="U693" s="1460" t="b">
        <v>0</v>
      </c>
      <c r="V693" s="1460"/>
      <c r="W693" s="1460"/>
      <c r="X693" s="1460"/>
      <c r="Y693" s="1441"/>
    </row>
    <row r="694">
      <c r="A694" s="1474" t="s">
        <v>2461</v>
      </c>
      <c r="B694" s="1462" t="b">
        <v>0</v>
      </c>
      <c r="C694" s="1421" t="b">
        <v>0</v>
      </c>
      <c r="D694" s="1421" t="b">
        <v>0</v>
      </c>
      <c r="E694" s="1421" t="b">
        <v>0</v>
      </c>
      <c r="F694" s="1421" t="b">
        <v>0</v>
      </c>
      <c r="G694" s="1421" t="b">
        <v>0</v>
      </c>
      <c r="H694" s="1421" t="b">
        <v>0</v>
      </c>
      <c r="I694" s="1421" t="b">
        <v>0</v>
      </c>
      <c r="J694" s="1421" t="b">
        <v>0</v>
      </c>
      <c r="K694" s="1463"/>
      <c r="L694" s="1464"/>
      <c r="M694" s="1477"/>
      <c r="N694" s="1478"/>
      <c r="O694" s="1466" t="b">
        <v>0</v>
      </c>
      <c r="P694" s="1466" t="b">
        <v>0</v>
      </c>
      <c r="Q694" s="1467"/>
      <c r="R694" s="1467"/>
      <c r="S694" s="1467" t="b">
        <v>0</v>
      </c>
      <c r="T694" s="1467" t="b">
        <v>0</v>
      </c>
      <c r="U694" s="1467" t="b">
        <v>0</v>
      </c>
      <c r="V694" s="1467"/>
      <c r="W694" s="1467"/>
      <c r="X694" s="1467"/>
      <c r="Y694" s="1442"/>
    </row>
    <row r="695">
      <c r="A695" s="1474" t="s">
        <v>2461</v>
      </c>
      <c r="B695" s="1468" t="b">
        <v>0</v>
      </c>
      <c r="C695" s="1429" t="b">
        <v>0</v>
      </c>
      <c r="D695" s="1429" t="b">
        <v>0</v>
      </c>
      <c r="E695" s="1429" t="b">
        <v>0</v>
      </c>
      <c r="F695" s="1429" t="b">
        <v>0</v>
      </c>
      <c r="G695" s="1429" t="b">
        <v>0</v>
      </c>
      <c r="H695" s="1429" t="b">
        <v>0</v>
      </c>
      <c r="I695" s="1429" t="b">
        <v>0</v>
      </c>
      <c r="J695" s="1429" t="b">
        <v>0</v>
      </c>
      <c r="K695" s="1469"/>
      <c r="L695" s="1470"/>
      <c r="M695" s="1479"/>
      <c r="N695" s="1480"/>
      <c r="O695" s="1459" t="b">
        <v>0</v>
      </c>
      <c r="P695" s="1459" t="b">
        <v>0</v>
      </c>
      <c r="Q695" s="1460"/>
      <c r="R695" s="1460"/>
      <c r="S695" s="1460" t="b">
        <v>0</v>
      </c>
      <c r="T695" s="1460" t="b">
        <v>0</v>
      </c>
      <c r="U695" s="1460" t="b">
        <v>0</v>
      </c>
      <c r="V695" s="1460"/>
      <c r="W695" s="1460"/>
      <c r="X695" s="1460"/>
      <c r="Y695" s="1441"/>
    </row>
    <row r="696">
      <c r="A696" s="1474" t="s">
        <v>2461</v>
      </c>
      <c r="B696" s="1462" t="b">
        <v>0</v>
      </c>
      <c r="C696" s="1421" t="b">
        <v>0</v>
      </c>
      <c r="D696" s="1421" t="b">
        <v>0</v>
      </c>
      <c r="E696" s="1421" t="b">
        <v>0</v>
      </c>
      <c r="F696" s="1421" t="b">
        <v>0</v>
      </c>
      <c r="G696" s="1421" t="b">
        <v>0</v>
      </c>
      <c r="H696" s="1421" t="b">
        <v>0</v>
      </c>
      <c r="I696" s="1421" t="b">
        <v>0</v>
      </c>
      <c r="J696" s="1421" t="b">
        <v>0</v>
      </c>
      <c r="K696" s="1463"/>
      <c r="L696" s="1464"/>
      <c r="M696" s="1477"/>
      <c r="N696" s="1478"/>
      <c r="O696" s="1466" t="b">
        <v>0</v>
      </c>
      <c r="P696" s="1466" t="b">
        <v>0</v>
      </c>
      <c r="Q696" s="1467"/>
      <c r="R696" s="1467"/>
      <c r="S696" s="1467" t="b">
        <v>0</v>
      </c>
      <c r="T696" s="1467" t="b">
        <v>0</v>
      </c>
      <c r="U696" s="1467" t="b">
        <v>0</v>
      </c>
      <c r="V696" s="1467"/>
      <c r="W696" s="1467"/>
      <c r="X696" s="1467"/>
      <c r="Y696" s="1442"/>
    </row>
    <row r="697">
      <c r="A697" s="1474" t="s">
        <v>2461</v>
      </c>
      <c r="B697" s="1468" t="b">
        <v>0</v>
      </c>
      <c r="C697" s="1429" t="b">
        <v>0</v>
      </c>
      <c r="D697" s="1429" t="b">
        <v>0</v>
      </c>
      <c r="E697" s="1429" t="b">
        <v>0</v>
      </c>
      <c r="F697" s="1429" t="b">
        <v>0</v>
      </c>
      <c r="G697" s="1429" t="b">
        <v>0</v>
      </c>
      <c r="H697" s="1429" t="b">
        <v>0</v>
      </c>
      <c r="I697" s="1429" t="b">
        <v>0</v>
      </c>
      <c r="J697" s="1429" t="b">
        <v>0</v>
      </c>
      <c r="K697" s="1469"/>
      <c r="L697" s="1470"/>
      <c r="M697" s="1479"/>
      <c r="N697" s="1480"/>
      <c r="O697" s="1459" t="b">
        <v>0</v>
      </c>
      <c r="P697" s="1459" t="b">
        <v>0</v>
      </c>
      <c r="Q697" s="1460"/>
      <c r="R697" s="1460"/>
      <c r="S697" s="1460" t="b">
        <v>0</v>
      </c>
      <c r="T697" s="1460" t="b">
        <v>0</v>
      </c>
      <c r="U697" s="1460" t="b">
        <v>0</v>
      </c>
      <c r="V697" s="1460"/>
      <c r="W697" s="1460"/>
      <c r="X697" s="1460"/>
      <c r="Y697" s="1441"/>
    </row>
    <row r="698">
      <c r="A698" s="1474" t="s">
        <v>2461</v>
      </c>
      <c r="B698" s="1462" t="b">
        <v>0</v>
      </c>
      <c r="C698" s="1421" t="b">
        <v>0</v>
      </c>
      <c r="D698" s="1421" t="b">
        <v>0</v>
      </c>
      <c r="E698" s="1421" t="b">
        <v>0</v>
      </c>
      <c r="F698" s="1421" t="b">
        <v>0</v>
      </c>
      <c r="G698" s="1421" t="b">
        <v>0</v>
      </c>
      <c r="H698" s="1421" t="b">
        <v>0</v>
      </c>
      <c r="I698" s="1421" t="b">
        <v>0</v>
      </c>
      <c r="J698" s="1421" t="b">
        <v>0</v>
      </c>
      <c r="K698" s="1463"/>
      <c r="L698" s="1464"/>
      <c r="M698" s="1477"/>
      <c r="N698" s="1478"/>
      <c r="O698" s="1466" t="b">
        <v>0</v>
      </c>
      <c r="P698" s="1466" t="b">
        <v>0</v>
      </c>
      <c r="Q698" s="1467"/>
      <c r="R698" s="1467"/>
      <c r="S698" s="1467" t="b">
        <v>0</v>
      </c>
      <c r="T698" s="1467" t="b">
        <v>0</v>
      </c>
      <c r="U698" s="1467" t="b">
        <v>0</v>
      </c>
      <c r="V698" s="1467"/>
      <c r="W698" s="1467"/>
      <c r="X698" s="1467"/>
      <c r="Y698" s="1442"/>
    </row>
    <row r="699">
      <c r="A699" s="1474" t="s">
        <v>2461</v>
      </c>
      <c r="B699" s="1468" t="b">
        <v>0</v>
      </c>
      <c r="C699" s="1429" t="b">
        <v>0</v>
      </c>
      <c r="D699" s="1429" t="b">
        <v>0</v>
      </c>
      <c r="E699" s="1429" t="b">
        <v>0</v>
      </c>
      <c r="F699" s="1429" t="b">
        <v>0</v>
      </c>
      <c r="G699" s="1429" t="b">
        <v>0</v>
      </c>
      <c r="H699" s="1429" t="b">
        <v>0</v>
      </c>
      <c r="I699" s="1429" t="b">
        <v>0</v>
      </c>
      <c r="J699" s="1429" t="b">
        <v>0</v>
      </c>
      <c r="K699" s="1469"/>
      <c r="L699" s="1470"/>
      <c r="M699" s="1479"/>
      <c r="N699" s="1480"/>
      <c r="O699" s="1459" t="b">
        <v>0</v>
      </c>
      <c r="P699" s="1459" t="b">
        <v>0</v>
      </c>
      <c r="Q699" s="1460"/>
      <c r="R699" s="1460"/>
      <c r="S699" s="1460" t="b">
        <v>0</v>
      </c>
      <c r="T699" s="1460" t="b">
        <v>0</v>
      </c>
      <c r="U699" s="1460" t="b">
        <v>0</v>
      </c>
      <c r="V699" s="1460"/>
      <c r="W699" s="1460"/>
      <c r="X699" s="1460"/>
      <c r="Y699" s="1441"/>
    </row>
    <row r="700">
      <c r="A700" s="1474" t="s">
        <v>2461</v>
      </c>
      <c r="B700" s="1462" t="b">
        <v>0</v>
      </c>
      <c r="C700" s="1421" t="b">
        <v>0</v>
      </c>
      <c r="D700" s="1421" t="b">
        <v>0</v>
      </c>
      <c r="E700" s="1421" t="b">
        <v>0</v>
      </c>
      <c r="F700" s="1421" t="b">
        <v>0</v>
      </c>
      <c r="G700" s="1421" t="b">
        <v>0</v>
      </c>
      <c r="H700" s="1421" t="b">
        <v>0</v>
      </c>
      <c r="I700" s="1421" t="b">
        <v>0</v>
      </c>
      <c r="J700" s="1421" t="b">
        <v>0</v>
      </c>
      <c r="K700" s="1463"/>
      <c r="L700" s="1464"/>
      <c r="M700" s="1477"/>
      <c r="N700" s="1478"/>
      <c r="O700" s="1466" t="b">
        <v>0</v>
      </c>
      <c r="P700" s="1466" t="b">
        <v>0</v>
      </c>
      <c r="Q700" s="1467"/>
      <c r="R700" s="1467"/>
      <c r="S700" s="1467" t="b">
        <v>0</v>
      </c>
      <c r="T700" s="1467" t="b">
        <v>0</v>
      </c>
      <c r="U700" s="1467" t="b">
        <v>0</v>
      </c>
      <c r="V700" s="1467"/>
      <c r="W700" s="1467"/>
      <c r="X700" s="1467"/>
      <c r="Y700" s="1442"/>
    </row>
    <row r="701">
      <c r="A701" s="1474" t="s">
        <v>2461</v>
      </c>
      <c r="B701" s="1468" t="b">
        <v>0</v>
      </c>
      <c r="C701" s="1429" t="b">
        <v>0</v>
      </c>
      <c r="D701" s="1429" t="b">
        <v>0</v>
      </c>
      <c r="E701" s="1429" t="b">
        <v>0</v>
      </c>
      <c r="F701" s="1429" t="b">
        <v>0</v>
      </c>
      <c r="G701" s="1429" t="b">
        <v>0</v>
      </c>
      <c r="H701" s="1429" t="b">
        <v>0</v>
      </c>
      <c r="I701" s="1429" t="b">
        <v>0</v>
      </c>
      <c r="J701" s="1429" t="b">
        <v>0</v>
      </c>
      <c r="K701" s="1469"/>
      <c r="L701" s="1470"/>
      <c r="M701" s="1479"/>
      <c r="N701" s="1480"/>
      <c r="O701" s="1459" t="b">
        <v>0</v>
      </c>
      <c r="P701" s="1459" t="b">
        <v>0</v>
      </c>
      <c r="Q701" s="1460"/>
      <c r="R701" s="1460"/>
      <c r="S701" s="1460" t="b">
        <v>0</v>
      </c>
      <c r="T701" s="1460" t="b">
        <v>0</v>
      </c>
      <c r="U701" s="1460" t="b">
        <v>0</v>
      </c>
      <c r="V701" s="1460"/>
      <c r="W701" s="1460"/>
      <c r="X701" s="1460"/>
      <c r="Y701" s="1441"/>
    </row>
    <row r="702">
      <c r="A702" s="1474" t="s">
        <v>2461</v>
      </c>
      <c r="B702" s="1462" t="b">
        <v>0</v>
      </c>
      <c r="C702" s="1421" t="b">
        <v>0</v>
      </c>
      <c r="D702" s="1421" t="b">
        <v>0</v>
      </c>
      <c r="E702" s="1421" t="b">
        <v>0</v>
      </c>
      <c r="F702" s="1421" t="b">
        <v>0</v>
      </c>
      <c r="G702" s="1421" t="b">
        <v>0</v>
      </c>
      <c r="H702" s="1421" t="b">
        <v>0</v>
      </c>
      <c r="I702" s="1421" t="b">
        <v>0</v>
      </c>
      <c r="J702" s="1421" t="b">
        <v>0</v>
      </c>
      <c r="K702" s="1463"/>
      <c r="L702" s="1464"/>
      <c r="M702" s="1477"/>
      <c r="N702" s="1478"/>
      <c r="O702" s="1466" t="b">
        <v>0</v>
      </c>
      <c r="P702" s="1466" t="b">
        <v>0</v>
      </c>
      <c r="Q702" s="1467"/>
      <c r="R702" s="1467"/>
      <c r="S702" s="1467" t="b">
        <v>0</v>
      </c>
      <c r="T702" s="1467" t="b">
        <v>0</v>
      </c>
      <c r="U702" s="1467" t="b">
        <v>0</v>
      </c>
      <c r="V702" s="1467"/>
      <c r="W702" s="1467"/>
      <c r="X702" s="1467"/>
      <c r="Y702" s="1442"/>
    </row>
    <row r="703">
      <c r="A703" s="1474" t="s">
        <v>2461</v>
      </c>
      <c r="B703" s="1468" t="b">
        <v>0</v>
      </c>
      <c r="C703" s="1429" t="b">
        <v>0</v>
      </c>
      <c r="D703" s="1429" t="b">
        <v>0</v>
      </c>
      <c r="E703" s="1429" t="b">
        <v>0</v>
      </c>
      <c r="F703" s="1429" t="b">
        <v>0</v>
      </c>
      <c r="G703" s="1429" t="b">
        <v>0</v>
      </c>
      <c r="H703" s="1429" t="b">
        <v>0</v>
      </c>
      <c r="I703" s="1429" t="b">
        <v>0</v>
      </c>
      <c r="J703" s="1429" t="b">
        <v>0</v>
      </c>
      <c r="K703" s="1469"/>
      <c r="L703" s="1470"/>
      <c r="M703" s="1479"/>
      <c r="N703" s="1480"/>
      <c r="O703" s="1459" t="b">
        <v>0</v>
      </c>
      <c r="P703" s="1459" t="b">
        <v>0</v>
      </c>
      <c r="Q703" s="1460"/>
      <c r="R703" s="1460"/>
      <c r="S703" s="1460" t="b">
        <v>0</v>
      </c>
      <c r="T703" s="1460" t="b">
        <v>0</v>
      </c>
      <c r="U703" s="1460" t="b">
        <v>0</v>
      </c>
      <c r="V703" s="1460"/>
      <c r="W703" s="1460"/>
      <c r="X703" s="1460"/>
      <c r="Y703" s="1441"/>
    </row>
    <row r="704">
      <c r="A704" s="1474" t="s">
        <v>2461</v>
      </c>
      <c r="B704" s="1462" t="b">
        <v>0</v>
      </c>
      <c r="C704" s="1421" t="b">
        <v>0</v>
      </c>
      <c r="D704" s="1421" t="b">
        <v>0</v>
      </c>
      <c r="E704" s="1421" t="b">
        <v>0</v>
      </c>
      <c r="F704" s="1421" t="b">
        <v>0</v>
      </c>
      <c r="G704" s="1421" t="b">
        <v>0</v>
      </c>
      <c r="H704" s="1421" t="b">
        <v>0</v>
      </c>
      <c r="I704" s="1421" t="b">
        <v>0</v>
      </c>
      <c r="J704" s="1421" t="b">
        <v>0</v>
      </c>
      <c r="K704" s="1463"/>
      <c r="L704" s="1464"/>
      <c r="M704" s="1477"/>
      <c r="N704" s="1478"/>
      <c r="O704" s="1466" t="b">
        <v>0</v>
      </c>
      <c r="P704" s="1466" t="b">
        <v>0</v>
      </c>
      <c r="Q704" s="1467"/>
      <c r="R704" s="1467"/>
      <c r="S704" s="1467" t="b">
        <v>0</v>
      </c>
      <c r="T704" s="1467" t="b">
        <v>0</v>
      </c>
      <c r="U704" s="1467" t="b">
        <v>0</v>
      </c>
      <c r="V704" s="1467"/>
      <c r="W704" s="1467"/>
      <c r="X704" s="1467"/>
      <c r="Y704" s="1442"/>
    </row>
    <row r="705">
      <c r="A705" s="1474" t="s">
        <v>2461</v>
      </c>
      <c r="B705" s="1468" t="b">
        <v>0</v>
      </c>
      <c r="C705" s="1429" t="b">
        <v>0</v>
      </c>
      <c r="D705" s="1429" t="b">
        <v>0</v>
      </c>
      <c r="E705" s="1429" t="b">
        <v>0</v>
      </c>
      <c r="F705" s="1429" t="b">
        <v>0</v>
      </c>
      <c r="G705" s="1429" t="b">
        <v>0</v>
      </c>
      <c r="H705" s="1429" t="b">
        <v>0</v>
      </c>
      <c r="I705" s="1429" t="b">
        <v>0</v>
      </c>
      <c r="J705" s="1429" t="b">
        <v>0</v>
      </c>
      <c r="K705" s="1469"/>
      <c r="L705" s="1470"/>
      <c r="M705" s="1479"/>
      <c r="N705" s="1480"/>
      <c r="O705" s="1459" t="b">
        <v>0</v>
      </c>
      <c r="P705" s="1459" t="b">
        <v>0</v>
      </c>
      <c r="Q705" s="1460"/>
      <c r="R705" s="1460"/>
      <c r="S705" s="1460" t="b">
        <v>0</v>
      </c>
      <c r="T705" s="1460" t="b">
        <v>0</v>
      </c>
      <c r="U705" s="1460" t="b">
        <v>0</v>
      </c>
      <c r="V705" s="1460"/>
      <c r="W705" s="1460"/>
      <c r="X705" s="1460"/>
      <c r="Y705" s="1441"/>
    </row>
    <row r="706">
      <c r="A706" s="1474" t="s">
        <v>2461</v>
      </c>
      <c r="B706" s="1462" t="b">
        <v>0</v>
      </c>
      <c r="C706" s="1421" t="b">
        <v>0</v>
      </c>
      <c r="D706" s="1421" t="b">
        <v>0</v>
      </c>
      <c r="E706" s="1421" t="b">
        <v>0</v>
      </c>
      <c r="F706" s="1421" t="b">
        <v>0</v>
      </c>
      <c r="G706" s="1421" t="b">
        <v>0</v>
      </c>
      <c r="H706" s="1421" t="b">
        <v>0</v>
      </c>
      <c r="I706" s="1421" t="b">
        <v>0</v>
      </c>
      <c r="J706" s="1421" t="b">
        <v>0</v>
      </c>
      <c r="K706" s="1463"/>
      <c r="L706" s="1464"/>
      <c r="M706" s="1477"/>
      <c r="N706" s="1478"/>
      <c r="O706" s="1466" t="b">
        <v>0</v>
      </c>
      <c r="P706" s="1466" t="b">
        <v>0</v>
      </c>
      <c r="Q706" s="1467"/>
      <c r="R706" s="1467"/>
      <c r="S706" s="1467" t="b">
        <v>0</v>
      </c>
      <c r="T706" s="1467" t="b">
        <v>0</v>
      </c>
      <c r="U706" s="1467" t="b">
        <v>0</v>
      </c>
      <c r="V706" s="1467"/>
      <c r="W706" s="1467"/>
      <c r="X706" s="1467"/>
      <c r="Y706" s="1442"/>
    </row>
    <row r="707">
      <c r="A707" s="1474" t="s">
        <v>2461</v>
      </c>
      <c r="B707" s="1468" t="b">
        <v>0</v>
      </c>
      <c r="C707" s="1429" t="b">
        <v>0</v>
      </c>
      <c r="D707" s="1429" t="b">
        <v>0</v>
      </c>
      <c r="E707" s="1429" t="b">
        <v>0</v>
      </c>
      <c r="F707" s="1429" t="b">
        <v>0</v>
      </c>
      <c r="G707" s="1429" t="b">
        <v>0</v>
      </c>
      <c r="H707" s="1429" t="b">
        <v>0</v>
      </c>
      <c r="I707" s="1429" t="b">
        <v>0</v>
      </c>
      <c r="J707" s="1429" t="b">
        <v>0</v>
      </c>
      <c r="K707" s="1469"/>
      <c r="L707" s="1470"/>
      <c r="M707" s="1479"/>
      <c r="N707" s="1480"/>
      <c r="O707" s="1459" t="b">
        <v>0</v>
      </c>
      <c r="P707" s="1459" t="b">
        <v>0</v>
      </c>
      <c r="Q707" s="1460"/>
      <c r="R707" s="1460"/>
      <c r="S707" s="1460" t="b">
        <v>0</v>
      </c>
      <c r="T707" s="1460" t="b">
        <v>0</v>
      </c>
      <c r="U707" s="1460" t="b">
        <v>0</v>
      </c>
      <c r="V707" s="1460"/>
      <c r="W707" s="1460"/>
      <c r="X707" s="1460"/>
      <c r="Y707" s="1441"/>
    </row>
    <row r="708">
      <c r="A708" s="1474" t="s">
        <v>2461</v>
      </c>
      <c r="B708" s="1462" t="b">
        <v>0</v>
      </c>
      <c r="C708" s="1421" t="b">
        <v>0</v>
      </c>
      <c r="D708" s="1421" t="b">
        <v>0</v>
      </c>
      <c r="E708" s="1421" t="b">
        <v>0</v>
      </c>
      <c r="F708" s="1421" t="b">
        <v>0</v>
      </c>
      <c r="G708" s="1421" t="b">
        <v>0</v>
      </c>
      <c r="H708" s="1421" t="b">
        <v>0</v>
      </c>
      <c r="I708" s="1421" t="b">
        <v>0</v>
      </c>
      <c r="J708" s="1421" t="b">
        <v>0</v>
      </c>
      <c r="K708" s="1463"/>
      <c r="L708" s="1464"/>
      <c r="M708" s="1477"/>
      <c r="N708" s="1478"/>
      <c r="O708" s="1466" t="b">
        <v>0</v>
      </c>
      <c r="P708" s="1466" t="b">
        <v>0</v>
      </c>
      <c r="Q708" s="1467"/>
      <c r="R708" s="1467"/>
      <c r="S708" s="1467" t="b">
        <v>0</v>
      </c>
      <c r="T708" s="1467" t="b">
        <v>0</v>
      </c>
      <c r="U708" s="1467" t="b">
        <v>0</v>
      </c>
      <c r="V708" s="1467"/>
      <c r="W708" s="1467"/>
      <c r="X708" s="1467"/>
      <c r="Y708" s="1442"/>
    </row>
    <row r="709">
      <c r="A709" s="1474" t="s">
        <v>2461</v>
      </c>
      <c r="B709" s="1468" t="b">
        <v>0</v>
      </c>
      <c r="C709" s="1429" t="b">
        <v>0</v>
      </c>
      <c r="D709" s="1429" t="b">
        <v>0</v>
      </c>
      <c r="E709" s="1429" t="b">
        <v>0</v>
      </c>
      <c r="F709" s="1429" t="b">
        <v>0</v>
      </c>
      <c r="G709" s="1429" t="b">
        <v>0</v>
      </c>
      <c r="H709" s="1429" t="b">
        <v>0</v>
      </c>
      <c r="I709" s="1429" t="b">
        <v>0</v>
      </c>
      <c r="J709" s="1429" t="b">
        <v>0</v>
      </c>
      <c r="K709" s="1469"/>
      <c r="L709" s="1470"/>
      <c r="M709" s="1479"/>
      <c r="N709" s="1480"/>
      <c r="O709" s="1459" t="b">
        <v>0</v>
      </c>
      <c r="P709" s="1459" t="b">
        <v>0</v>
      </c>
      <c r="Q709" s="1460"/>
      <c r="R709" s="1460"/>
      <c r="S709" s="1460" t="b">
        <v>0</v>
      </c>
      <c r="T709" s="1460" t="b">
        <v>0</v>
      </c>
      <c r="U709" s="1460" t="b">
        <v>0</v>
      </c>
      <c r="V709" s="1460"/>
      <c r="W709" s="1460"/>
      <c r="X709" s="1460"/>
      <c r="Y709" s="1441"/>
    </row>
    <row r="710">
      <c r="A710" s="1474" t="s">
        <v>2461</v>
      </c>
      <c r="B710" s="1462" t="b">
        <v>0</v>
      </c>
      <c r="C710" s="1421" t="b">
        <v>0</v>
      </c>
      <c r="D710" s="1421" t="b">
        <v>0</v>
      </c>
      <c r="E710" s="1421" t="b">
        <v>0</v>
      </c>
      <c r="F710" s="1421" t="b">
        <v>0</v>
      </c>
      <c r="G710" s="1421" t="b">
        <v>0</v>
      </c>
      <c r="H710" s="1421" t="b">
        <v>0</v>
      </c>
      <c r="I710" s="1421" t="b">
        <v>0</v>
      </c>
      <c r="J710" s="1421" t="b">
        <v>0</v>
      </c>
      <c r="K710" s="1463"/>
      <c r="L710" s="1464"/>
      <c r="M710" s="1477"/>
      <c r="N710" s="1478"/>
      <c r="O710" s="1466" t="b">
        <v>0</v>
      </c>
      <c r="P710" s="1466" t="b">
        <v>0</v>
      </c>
      <c r="Q710" s="1467"/>
      <c r="R710" s="1467"/>
      <c r="S710" s="1467" t="b">
        <v>0</v>
      </c>
      <c r="T710" s="1467" t="b">
        <v>0</v>
      </c>
      <c r="U710" s="1467" t="b">
        <v>0</v>
      </c>
      <c r="V710" s="1467"/>
      <c r="W710" s="1467"/>
      <c r="X710" s="1467"/>
      <c r="Y710" s="1442"/>
    </row>
    <row r="711">
      <c r="A711" s="1474" t="s">
        <v>2461</v>
      </c>
      <c r="B711" s="1468" t="b">
        <v>0</v>
      </c>
      <c r="C711" s="1429" t="b">
        <v>0</v>
      </c>
      <c r="D711" s="1429" t="b">
        <v>0</v>
      </c>
      <c r="E711" s="1429" t="b">
        <v>0</v>
      </c>
      <c r="F711" s="1429" t="b">
        <v>0</v>
      </c>
      <c r="G711" s="1429" t="b">
        <v>0</v>
      </c>
      <c r="H711" s="1429" t="b">
        <v>0</v>
      </c>
      <c r="I711" s="1429" t="b">
        <v>0</v>
      </c>
      <c r="J711" s="1429" t="b">
        <v>0</v>
      </c>
      <c r="K711" s="1469"/>
      <c r="L711" s="1470"/>
      <c r="M711" s="1479"/>
      <c r="N711" s="1480"/>
      <c r="O711" s="1459" t="b">
        <v>0</v>
      </c>
      <c r="P711" s="1459" t="b">
        <v>0</v>
      </c>
      <c r="Q711" s="1460"/>
      <c r="R711" s="1460"/>
      <c r="S711" s="1460" t="b">
        <v>0</v>
      </c>
      <c r="T711" s="1460" t="b">
        <v>0</v>
      </c>
      <c r="U711" s="1460" t="b">
        <v>0</v>
      </c>
      <c r="V711" s="1460"/>
      <c r="W711" s="1460"/>
      <c r="X711" s="1460"/>
      <c r="Y711" s="1441"/>
    </row>
    <row r="712">
      <c r="A712" s="1474" t="s">
        <v>2461</v>
      </c>
      <c r="B712" s="1462" t="b">
        <v>0</v>
      </c>
      <c r="C712" s="1421" t="b">
        <v>0</v>
      </c>
      <c r="D712" s="1421" t="b">
        <v>0</v>
      </c>
      <c r="E712" s="1421" t="b">
        <v>0</v>
      </c>
      <c r="F712" s="1421" t="b">
        <v>0</v>
      </c>
      <c r="G712" s="1421" t="b">
        <v>0</v>
      </c>
      <c r="H712" s="1421" t="b">
        <v>0</v>
      </c>
      <c r="I712" s="1421" t="b">
        <v>0</v>
      </c>
      <c r="J712" s="1421" t="b">
        <v>0</v>
      </c>
      <c r="K712" s="1463"/>
      <c r="L712" s="1464"/>
      <c r="M712" s="1477"/>
      <c r="N712" s="1478"/>
      <c r="O712" s="1466" t="b">
        <v>0</v>
      </c>
      <c r="P712" s="1466" t="b">
        <v>0</v>
      </c>
      <c r="Q712" s="1467"/>
      <c r="R712" s="1467"/>
      <c r="S712" s="1467" t="b">
        <v>0</v>
      </c>
      <c r="T712" s="1467" t="b">
        <v>0</v>
      </c>
      <c r="U712" s="1467" t="b">
        <v>0</v>
      </c>
      <c r="V712" s="1467"/>
      <c r="W712" s="1467"/>
      <c r="X712" s="1467"/>
      <c r="Y712" s="1442"/>
    </row>
    <row r="713">
      <c r="A713" s="1474" t="s">
        <v>2461</v>
      </c>
      <c r="B713" s="1468" t="b">
        <v>0</v>
      </c>
      <c r="C713" s="1429" t="b">
        <v>0</v>
      </c>
      <c r="D713" s="1429" t="b">
        <v>0</v>
      </c>
      <c r="E713" s="1429" t="b">
        <v>0</v>
      </c>
      <c r="F713" s="1429" t="b">
        <v>0</v>
      </c>
      <c r="G713" s="1429" t="b">
        <v>0</v>
      </c>
      <c r="H713" s="1429" t="b">
        <v>0</v>
      </c>
      <c r="I713" s="1429" t="b">
        <v>0</v>
      </c>
      <c r="J713" s="1429" t="b">
        <v>0</v>
      </c>
      <c r="K713" s="1469"/>
      <c r="L713" s="1470"/>
      <c r="M713" s="1479"/>
      <c r="N713" s="1480"/>
      <c r="O713" s="1459" t="b">
        <v>0</v>
      </c>
      <c r="P713" s="1459" t="b">
        <v>0</v>
      </c>
      <c r="Q713" s="1460"/>
      <c r="R713" s="1460"/>
      <c r="S713" s="1460" t="b">
        <v>0</v>
      </c>
      <c r="T713" s="1460" t="b">
        <v>0</v>
      </c>
      <c r="U713" s="1460" t="b">
        <v>0</v>
      </c>
      <c r="V713" s="1460"/>
      <c r="W713" s="1460"/>
      <c r="X713" s="1460"/>
      <c r="Y713" s="1441"/>
    </row>
    <row r="714">
      <c r="A714" s="1474" t="s">
        <v>2461</v>
      </c>
      <c r="B714" s="1462" t="b">
        <v>0</v>
      </c>
      <c r="C714" s="1421" t="b">
        <v>0</v>
      </c>
      <c r="D714" s="1421" t="b">
        <v>0</v>
      </c>
      <c r="E714" s="1421" t="b">
        <v>0</v>
      </c>
      <c r="F714" s="1421" t="b">
        <v>0</v>
      </c>
      <c r="G714" s="1421" t="b">
        <v>0</v>
      </c>
      <c r="H714" s="1421" t="b">
        <v>0</v>
      </c>
      <c r="I714" s="1421" t="b">
        <v>0</v>
      </c>
      <c r="J714" s="1421" t="b">
        <v>0</v>
      </c>
      <c r="K714" s="1463"/>
      <c r="L714" s="1464"/>
      <c r="M714" s="1477"/>
      <c r="N714" s="1478"/>
      <c r="O714" s="1466" t="b">
        <v>0</v>
      </c>
      <c r="P714" s="1466" t="b">
        <v>0</v>
      </c>
      <c r="Q714" s="1467"/>
      <c r="R714" s="1467"/>
      <c r="S714" s="1467" t="b">
        <v>0</v>
      </c>
      <c r="T714" s="1467" t="b">
        <v>0</v>
      </c>
      <c r="U714" s="1467" t="b">
        <v>0</v>
      </c>
      <c r="V714" s="1467"/>
      <c r="W714" s="1467"/>
      <c r="X714" s="1467"/>
      <c r="Y714" s="1442"/>
    </row>
    <row r="715">
      <c r="A715" s="1474" t="s">
        <v>2461</v>
      </c>
      <c r="B715" s="1468" t="b">
        <v>0</v>
      </c>
      <c r="C715" s="1429" t="b">
        <v>0</v>
      </c>
      <c r="D715" s="1429" t="b">
        <v>0</v>
      </c>
      <c r="E715" s="1429" t="b">
        <v>0</v>
      </c>
      <c r="F715" s="1429" t="b">
        <v>0</v>
      </c>
      <c r="G715" s="1429" t="b">
        <v>0</v>
      </c>
      <c r="H715" s="1429" t="b">
        <v>0</v>
      </c>
      <c r="I715" s="1429" t="b">
        <v>0</v>
      </c>
      <c r="J715" s="1429" t="b">
        <v>0</v>
      </c>
      <c r="K715" s="1469"/>
      <c r="L715" s="1470"/>
      <c r="M715" s="1479"/>
      <c r="N715" s="1480"/>
      <c r="O715" s="1459" t="b">
        <v>0</v>
      </c>
      <c r="P715" s="1459" t="b">
        <v>0</v>
      </c>
      <c r="Q715" s="1460"/>
      <c r="R715" s="1460"/>
      <c r="S715" s="1460" t="b">
        <v>0</v>
      </c>
      <c r="T715" s="1460" t="b">
        <v>0</v>
      </c>
      <c r="U715" s="1460" t="b">
        <v>0</v>
      </c>
      <c r="V715" s="1460"/>
      <c r="W715" s="1460"/>
      <c r="X715" s="1460"/>
      <c r="Y715" s="1441"/>
    </row>
    <row r="716">
      <c r="A716" s="1474" t="s">
        <v>2461</v>
      </c>
      <c r="B716" s="1462" t="b">
        <v>0</v>
      </c>
      <c r="C716" s="1421" t="b">
        <v>0</v>
      </c>
      <c r="D716" s="1421" t="b">
        <v>0</v>
      </c>
      <c r="E716" s="1421" t="b">
        <v>0</v>
      </c>
      <c r="F716" s="1421" t="b">
        <v>0</v>
      </c>
      <c r="G716" s="1421" t="b">
        <v>0</v>
      </c>
      <c r="H716" s="1421" t="b">
        <v>0</v>
      </c>
      <c r="I716" s="1421" t="b">
        <v>0</v>
      </c>
      <c r="J716" s="1421" t="b">
        <v>0</v>
      </c>
      <c r="K716" s="1463"/>
      <c r="L716" s="1464"/>
      <c r="M716" s="1477"/>
      <c r="N716" s="1478"/>
      <c r="O716" s="1466" t="b">
        <v>0</v>
      </c>
      <c r="P716" s="1466" t="b">
        <v>0</v>
      </c>
      <c r="Q716" s="1467"/>
      <c r="R716" s="1467"/>
      <c r="S716" s="1467" t="b">
        <v>0</v>
      </c>
      <c r="T716" s="1467" t="b">
        <v>0</v>
      </c>
      <c r="U716" s="1467" t="b">
        <v>0</v>
      </c>
      <c r="V716" s="1467"/>
      <c r="W716" s="1467"/>
      <c r="X716" s="1467"/>
      <c r="Y716" s="1442"/>
    </row>
    <row r="717">
      <c r="A717" s="1474" t="s">
        <v>2461</v>
      </c>
      <c r="B717" s="1468" t="b">
        <v>0</v>
      </c>
      <c r="C717" s="1429" t="b">
        <v>0</v>
      </c>
      <c r="D717" s="1429" t="b">
        <v>0</v>
      </c>
      <c r="E717" s="1429" t="b">
        <v>0</v>
      </c>
      <c r="F717" s="1429" t="b">
        <v>0</v>
      </c>
      <c r="G717" s="1429" t="b">
        <v>0</v>
      </c>
      <c r="H717" s="1429" t="b">
        <v>0</v>
      </c>
      <c r="I717" s="1429" t="b">
        <v>0</v>
      </c>
      <c r="J717" s="1429" t="b">
        <v>0</v>
      </c>
      <c r="K717" s="1469"/>
      <c r="L717" s="1470"/>
      <c r="M717" s="1479"/>
      <c r="N717" s="1480"/>
      <c r="O717" s="1459" t="b">
        <v>0</v>
      </c>
      <c r="P717" s="1459" t="b">
        <v>0</v>
      </c>
      <c r="Q717" s="1460"/>
      <c r="R717" s="1460"/>
      <c r="S717" s="1460" t="b">
        <v>0</v>
      </c>
      <c r="T717" s="1460" t="b">
        <v>0</v>
      </c>
      <c r="U717" s="1460" t="b">
        <v>0</v>
      </c>
      <c r="V717" s="1460"/>
      <c r="W717" s="1460"/>
      <c r="X717" s="1460"/>
      <c r="Y717" s="1441"/>
    </row>
    <row r="718">
      <c r="A718" s="1474" t="s">
        <v>2461</v>
      </c>
      <c r="B718" s="1462" t="b">
        <v>0</v>
      </c>
      <c r="C718" s="1421" t="b">
        <v>0</v>
      </c>
      <c r="D718" s="1421" t="b">
        <v>0</v>
      </c>
      <c r="E718" s="1421" t="b">
        <v>0</v>
      </c>
      <c r="F718" s="1421" t="b">
        <v>0</v>
      </c>
      <c r="G718" s="1421" t="b">
        <v>0</v>
      </c>
      <c r="H718" s="1421" t="b">
        <v>0</v>
      </c>
      <c r="I718" s="1421" t="b">
        <v>0</v>
      </c>
      <c r="J718" s="1421" t="b">
        <v>0</v>
      </c>
      <c r="K718" s="1463"/>
      <c r="L718" s="1464"/>
      <c r="M718" s="1477"/>
      <c r="N718" s="1478"/>
      <c r="O718" s="1466" t="b">
        <v>0</v>
      </c>
      <c r="P718" s="1466" t="b">
        <v>0</v>
      </c>
      <c r="Q718" s="1467"/>
      <c r="R718" s="1467"/>
      <c r="S718" s="1467" t="b">
        <v>0</v>
      </c>
      <c r="T718" s="1467" t="b">
        <v>0</v>
      </c>
      <c r="U718" s="1467" t="b">
        <v>0</v>
      </c>
      <c r="V718" s="1467"/>
      <c r="W718" s="1467"/>
      <c r="X718" s="1467"/>
      <c r="Y718" s="1442"/>
    </row>
    <row r="719">
      <c r="A719" s="1474" t="s">
        <v>2461</v>
      </c>
      <c r="B719" s="1468" t="b">
        <v>0</v>
      </c>
      <c r="C719" s="1429" t="b">
        <v>0</v>
      </c>
      <c r="D719" s="1429" t="b">
        <v>0</v>
      </c>
      <c r="E719" s="1429" t="b">
        <v>0</v>
      </c>
      <c r="F719" s="1429" t="b">
        <v>0</v>
      </c>
      <c r="G719" s="1429" t="b">
        <v>0</v>
      </c>
      <c r="H719" s="1429" t="b">
        <v>0</v>
      </c>
      <c r="I719" s="1429" t="b">
        <v>0</v>
      </c>
      <c r="J719" s="1429" t="b">
        <v>0</v>
      </c>
      <c r="K719" s="1469"/>
      <c r="L719" s="1470"/>
      <c r="M719" s="1479"/>
      <c r="N719" s="1480"/>
      <c r="O719" s="1459" t="b">
        <v>0</v>
      </c>
      <c r="P719" s="1459" t="b">
        <v>0</v>
      </c>
      <c r="Q719" s="1460"/>
      <c r="R719" s="1460"/>
      <c r="S719" s="1460" t="b">
        <v>0</v>
      </c>
      <c r="T719" s="1460" t="b">
        <v>0</v>
      </c>
      <c r="U719" s="1460" t="b">
        <v>0</v>
      </c>
      <c r="V719" s="1460"/>
      <c r="W719" s="1460"/>
      <c r="X719" s="1460"/>
      <c r="Y719" s="1441"/>
    </row>
    <row r="720">
      <c r="A720" s="1474" t="s">
        <v>2461</v>
      </c>
      <c r="B720" s="1462" t="b">
        <v>0</v>
      </c>
      <c r="C720" s="1421" t="b">
        <v>0</v>
      </c>
      <c r="D720" s="1421" t="b">
        <v>0</v>
      </c>
      <c r="E720" s="1421" t="b">
        <v>0</v>
      </c>
      <c r="F720" s="1421" t="b">
        <v>0</v>
      </c>
      <c r="G720" s="1421" t="b">
        <v>0</v>
      </c>
      <c r="H720" s="1421" t="b">
        <v>0</v>
      </c>
      <c r="I720" s="1421" t="b">
        <v>0</v>
      </c>
      <c r="J720" s="1421" t="b">
        <v>0</v>
      </c>
      <c r="K720" s="1463"/>
      <c r="L720" s="1464"/>
      <c r="M720" s="1477"/>
      <c r="N720" s="1478"/>
      <c r="O720" s="1466" t="b">
        <v>0</v>
      </c>
      <c r="P720" s="1466" t="b">
        <v>0</v>
      </c>
      <c r="Q720" s="1467"/>
      <c r="R720" s="1467"/>
      <c r="S720" s="1467" t="b">
        <v>0</v>
      </c>
      <c r="T720" s="1467" t="b">
        <v>0</v>
      </c>
      <c r="U720" s="1467" t="b">
        <v>0</v>
      </c>
      <c r="V720" s="1467"/>
      <c r="W720" s="1467"/>
      <c r="X720" s="1467"/>
      <c r="Y720" s="1442"/>
    </row>
    <row r="721">
      <c r="A721" s="1474" t="s">
        <v>2461</v>
      </c>
      <c r="B721" s="1468" t="b">
        <v>0</v>
      </c>
      <c r="C721" s="1429" t="b">
        <v>0</v>
      </c>
      <c r="D721" s="1429" t="b">
        <v>0</v>
      </c>
      <c r="E721" s="1429" t="b">
        <v>0</v>
      </c>
      <c r="F721" s="1429" t="b">
        <v>0</v>
      </c>
      <c r="G721" s="1429" t="b">
        <v>0</v>
      </c>
      <c r="H721" s="1429" t="b">
        <v>0</v>
      </c>
      <c r="I721" s="1429" t="b">
        <v>0</v>
      </c>
      <c r="J721" s="1429" t="b">
        <v>0</v>
      </c>
      <c r="K721" s="1469"/>
      <c r="L721" s="1470"/>
      <c r="M721" s="1479"/>
      <c r="N721" s="1480"/>
      <c r="O721" s="1459" t="b">
        <v>0</v>
      </c>
      <c r="P721" s="1459" t="b">
        <v>0</v>
      </c>
      <c r="Q721" s="1460"/>
      <c r="R721" s="1460"/>
      <c r="S721" s="1460" t="b">
        <v>0</v>
      </c>
      <c r="T721" s="1460" t="b">
        <v>0</v>
      </c>
      <c r="U721" s="1460" t="b">
        <v>0</v>
      </c>
      <c r="V721" s="1460"/>
      <c r="W721" s="1460"/>
      <c r="X721" s="1460"/>
      <c r="Y721" s="1441"/>
    </row>
    <row r="722">
      <c r="A722" s="1474" t="s">
        <v>2461</v>
      </c>
      <c r="B722" s="1462" t="b">
        <v>0</v>
      </c>
      <c r="C722" s="1421" t="b">
        <v>0</v>
      </c>
      <c r="D722" s="1421" t="b">
        <v>0</v>
      </c>
      <c r="E722" s="1421" t="b">
        <v>0</v>
      </c>
      <c r="F722" s="1421" t="b">
        <v>0</v>
      </c>
      <c r="G722" s="1421" t="b">
        <v>0</v>
      </c>
      <c r="H722" s="1421" t="b">
        <v>0</v>
      </c>
      <c r="I722" s="1421" t="b">
        <v>0</v>
      </c>
      <c r="J722" s="1421" t="b">
        <v>0</v>
      </c>
      <c r="K722" s="1463"/>
      <c r="L722" s="1464"/>
      <c r="M722" s="1477"/>
      <c r="N722" s="1478"/>
      <c r="O722" s="1466" t="b">
        <v>0</v>
      </c>
      <c r="P722" s="1466" t="b">
        <v>0</v>
      </c>
      <c r="Q722" s="1467"/>
      <c r="R722" s="1467"/>
      <c r="S722" s="1467" t="b">
        <v>0</v>
      </c>
      <c r="T722" s="1467" t="b">
        <v>0</v>
      </c>
      <c r="U722" s="1467" t="b">
        <v>0</v>
      </c>
      <c r="V722" s="1467"/>
      <c r="W722" s="1467"/>
      <c r="X722" s="1467"/>
      <c r="Y722" s="1442"/>
    </row>
    <row r="723">
      <c r="A723" s="1474" t="s">
        <v>2461</v>
      </c>
      <c r="B723" s="1468" t="b">
        <v>0</v>
      </c>
      <c r="C723" s="1429" t="b">
        <v>0</v>
      </c>
      <c r="D723" s="1429" t="b">
        <v>0</v>
      </c>
      <c r="E723" s="1429" t="b">
        <v>0</v>
      </c>
      <c r="F723" s="1429" t="b">
        <v>0</v>
      </c>
      <c r="G723" s="1429" t="b">
        <v>0</v>
      </c>
      <c r="H723" s="1429" t="b">
        <v>0</v>
      </c>
      <c r="I723" s="1429" t="b">
        <v>0</v>
      </c>
      <c r="J723" s="1429" t="b">
        <v>0</v>
      </c>
      <c r="K723" s="1469"/>
      <c r="L723" s="1470"/>
      <c r="M723" s="1479"/>
      <c r="N723" s="1480"/>
      <c r="O723" s="1459" t="b">
        <v>0</v>
      </c>
      <c r="P723" s="1459" t="b">
        <v>0</v>
      </c>
      <c r="Q723" s="1460"/>
      <c r="R723" s="1460"/>
      <c r="S723" s="1460" t="b">
        <v>0</v>
      </c>
      <c r="T723" s="1460" t="b">
        <v>0</v>
      </c>
      <c r="U723" s="1460" t="b">
        <v>0</v>
      </c>
      <c r="V723" s="1460"/>
      <c r="W723" s="1460"/>
      <c r="X723" s="1460"/>
      <c r="Y723" s="1441"/>
    </row>
    <row r="724">
      <c r="A724" s="1474" t="s">
        <v>2461</v>
      </c>
      <c r="B724" s="1462" t="b">
        <v>0</v>
      </c>
      <c r="C724" s="1421" t="b">
        <v>0</v>
      </c>
      <c r="D724" s="1421" t="b">
        <v>0</v>
      </c>
      <c r="E724" s="1421" t="b">
        <v>0</v>
      </c>
      <c r="F724" s="1421" t="b">
        <v>0</v>
      </c>
      <c r="G724" s="1421" t="b">
        <v>0</v>
      </c>
      <c r="H724" s="1421" t="b">
        <v>0</v>
      </c>
      <c r="I724" s="1421" t="b">
        <v>0</v>
      </c>
      <c r="J724" s="1421" t="b">
        <v>0</v>
      </c>
      <c r="K724" s="1463"/>
      <c r="L724" s="1464"/>
      <c r="M724" s="1477"/>
      <c r="N724" s="1478"/>
      <c r="O724" s="1466" t="b">
        <v>0</v>
      </c>
      <c r="P724" s="1466" t="b">
        <v>0</v>
      </c>
      <c r="Q724" s="1467"/>
      <c r="R724" s="1467"/>
      <c r="S724" s="1467" t="b">
        <v>0</v>
      </c>
      <c r="T724" s="1467" t="b">
        <v>0</v>
      </c>
      <c r="U724" s="1467" t="b">
        <v>0</v>
      </c>
      <c r="V724" s="1467"/>
      <c r="W724" s="1467"/>
      <c r="X724" s="1467"/>
      <c r="Y724" s="1442"/>
    </row>
    <row r="725">
      <c r="A725" s="1474" t="s">
        <v>2461</v>
      </c>
      <c r="B725" s="1468" t="b">
        <v>0</v>
      </c>
      <c r="C725" s="1429" t="b">
        <v>0</v>
      </c>
      <c r="D725" s="1429" t="b">
        <v>0</v>
      </c>
      <c r="E725" s="1429" t="b">
        <v>0</v>
      </c>
      <c r="F725" s="1429" t="b">
        <v>0</v>
      </c>
      <c r="G725" s="1429" t="b">
        <v>0</v>
      </c>
      <c r="H725" s="1429" t="b">
        <v>0</v>
      </c>
      <c r="I725" s="1429" t="b">
        <v>0</v>
      </c>
      <c r="J725" s="1429" t="b">
        <v>0</v>
      </c>
      <c r="K725" s="1469"/>
      <c r="L725" s="1470"/>
      <c r="M725" s="1479"/>
      <c r="N725" s="1480"/>
      <c r="O725" s="1459" t="b">
        <v>0</v>
      </c>
      <c r="P725" s="1459" t="b">
        <v>0</v>
      </c>
      <c r="Q725" s="1460"/>
      <c r="R725" s="1460"/>
      <c r="S725" s="1460" t="b">
        <v>0</v>
      </c>
      <c r="T725" s="1460" t="b">
        <v>0</v>
      </c>
      <c r="U725" s="1460" t="b">
        <v>0</v>
      </c>
      <c r="V725" s="1460"/>
      <c r="W725" s="1460"/>
      <c r="X725" s="1460"/>
      <c r="Y725" s="1441"/>
    </row>
    <row r="726">
      <c r="A726" s="1474" t="s">
        <v>2461</v>
      </c>
      <c r="B726" s="1462" t="b">
        <v>0</v>
      </c>
      <c r="C726" s="1421" t="b">
        <v>0</v>
      </c>
      <c r="D726" s="1421" t="b">
        <v>0</v>
      </c>
      <c r="E726" s="1421" t="b">
        <v>0</v>
      </c>
      <c r="F726" s="1421" t="b">
        <v>0</v>
      </c>
      <c r="G726" s="1421" t="b">
        <v>0</v>
      </c>
      <c r="H726" s="1421" t="b">
        <v>0</v>
      </c>
      <c r="I726" s="1421" t="b">
        <v>0</v>
      </c>
      <c r="J726" s="1421" t="b">
        <v>0</v>
      </c>
      <c r="K726" s="1463"/>
      <c r="L726" s="1464"/>
      <c r="M726" s="1477"/>
      <c r="N726" s="1478"/>
      <c r="O726" s="1466" t="b">
        <v>0</v>
      </c>
      <c r="P726" s="1466" t="b">
        <v>0</v>
      </c>
      <c r="Q726" s="1467"/>
      <c r="R726" s="1467"/>
      <c r="S726" s="1467" t="b">
        <v>0</v>
      </c>
      <c r="T726" s="1467" t="b">
        <v>0</v>
      </c>
      <c r="U726" s="1467" t="b">
        <v>0</v>
      </c>
      <c r="V726" s="1467"/>
      <c r="W726" s="1467"/>
      <c r="X726" s="1467"/>
      <c r="Y726" s="1442"/>
    </row>
    <row r="727">
      <c r="A727" s="1474" t="s">
        <v>2461</v>
      </c>
      <c r="B727" s="1468" t="b">
        <v>0</v>
      </c>
      <c r="C727" s="1429" t="b">
        <v>0</v>
      </c>
      <c r="D727" s="1429" t="b">
        <v>0</v>
      </c>
      <c r="E727" s="1429" t="b">
        <v>0</v>
      </c>
      <c r="F727" s="1429" t="b">
        <v>0</v>
      </c>
      <c r="G727" s="1429" t="b">
        <v>0</v>
      </c>
      <c r="H727" s="1429" t="b">
        <v>0</v>
      </c>
      <c r="I727" s="1429" t="b">
        <v>0</v>
      </c>
      <c r="J727" s="1429" t="b">
        <v>0</v>
      </c>
      <c r="K727" s="1469"/>
      <c r="L727" s="1470"/>
      <c r="M727" s="1479"/>
      <c r="N727" s="1480"/>
      <c r="O727" s="1459" t="b">
        <v>0</v>
      </c>
      <c r="P727" s="1459" t="b">
        <v>0</v>
      </c>
      <c r="Q727" s="1460"/>
      <c r="R727" s="1460"/>
      <c r="S727" s="1460" t="b">
        <v>0</v>
      </c>
      <c r="T727" s="1460" t="b">
        <v>0</v>
      </c>
      <c r="U727" s="1460" t="b">
        <v>0</v>
      </c>
      <c r="V727" s="1460"/>
      <c r="W727" s="1460"/>
      <c r="X727" s="1460"/>
      <c r="Y727" s="1441"/>
    </row>
    <row r="728">
      <c r="A728" s="1474" t="s">
        <v>2461</v>
      </c>
      <c r="B728" s="1462" t="b">
        <v>0</v>
      </c>
      <c r="C728" s="1421" t="b">
        <v>0</v>
      </c>
      <c r="D728" s="1421" t="b">
        <v>0</v>
      </c>
      <c r="E728" s="1421" t="b">
        <v>0</v>
      </c>
      <c r="F728" s="1421" t="b">
        <v>0</v>
      </c>
      <c r="G728" s="1421" t="b">
        <v>0</v>
      </c>
      <c r="H728" s="1421" t="b">
        <v>0</v>
      </c>
      <c r="I728" s="1421" t="b">
        <v>0</v>
      </c>
      <c r="J728" s="1421" t="b">
        <v>0</v>
      </c>
      <c r="K728" s="1463"/>
      <c r="L728" s="1464"/>
      <c r="M728" s="1477"/>
      <c r="N728" s="1478"/>
      <c r="O728" s="1466" t="b">
        <v>0</v>
      </c>
      <c r="P728" s="1466" t="b">
        <v>0</v>
      </c>
      <c r="Q728" s="1467"/>
      <c r="R728" s="1467"/>
      <c r="S728" s="1467" t="b">
        <v>0</v>
      </c>
      <c r="T728" s="1467" t="b">
        <v>0</v>
      </c>
      <c r="U728" s="1467" t="b">
        <v>0</v>
      </c>
      <c r="V728" s="1467"/>
      <c r="W728" s="1467"/>
      <c r="X728" s="1467"/>
      <c r="Y728" s="1442"/>
    </row>
    <row r="729">
      <c r="A729" s="1474" t="s">
        <v>2461</v>
      </c>
      <c r="B729" s="1468" t="b">
        <v>0</v>
      </c>
      <c r="C729" s="1429" t="b">
        <v>0</v>
      </c>
      <c r="D729" s="1429" t="b">
        <v>0</v>
      </c>
      <c r="E729" s="1429" t="b">
        <v>0</v>
      </c>
      <c r="F729" s="1429" t="b">
        <v>0</v>
      </c>
      <c r="G729" s="1429" t="b">
        <v>0</v>
      </c>
      <c r="H729" s="1429" t="b">
        <v>0</v>
      </c>
      <c r="I729" s="1429" t="b">
        <v>0</v>
      </c>
      <c r="J729" s="1429" t="b">
        <v>0</v>
      </c>
      <c r="K729" s="1469"/>
      <c r="L729" s="1470"/>
      <c r="M729" s="1479"/>
      <c r="N729" s="1480"/>
      <c r="O729" s="1459" t="b">
        <v>0</v>
      </c>
      <c r="P729" s="1459" t="b">
        <v>0</v>
      </c>
      <c r="Q729" s="1460"/>
      <c r="R729" s="1460"/>
      <c r="S729" s="1460" t="b">
        <v>0</v>
      </c>
      <c r="T729" s="1460" t="b">
        <v>0</v>
      </c>
      <c r="U729" s="1460" t="b">
        <v>0</v>
      </c>
      <c r="V729" s="1460"/>
      <c r="W729" s="1460"/>
      <c r="X729" s="1460"/>
      <c r="Y729" s="1441"/>
    </row>
    <row r="730">
      <c r="A730" s="1474" t="s">
        <v>2461</v>
      </c>
      <c r="B730" s="1462" t="b">
        <v>0</v>
      </c>
      <c r="C730" s="1421" t="b">
        <v>0</v>
      </c>
      <c r="D730" s="1421" t="b">
        <v>0</v>
      </c>
      <c r="E730" s="1421" t="b">
        <v>0</v>
      </c>
      <c r="F730" s="1421" t="b">
        <v>0</v>
      </c>
      <c r="G730" s="1421" t="b">
        <v>0</v>
      </c>
      <c r="H730" s="1421" t="b">
        <v>0</v>
      </c>
      <c r="I730" s="1421" t="b">
        <v>0</v>
      </c>
      <c r="J730" s="1421" t="b">
        <v>0</v>
      </c>
      <c r="K730" s="1463"/>
      <c r="L730" s="1464"/>
      <c r="M730" s="1477"/>
      <c r="N730" s="1478"/>
      <c r="O730" s="1466" t="b">
        <v>0</v>
      </c>
      <c r="P730" s="1466" t="b">
        <v>0</v>
      </c>
      <c r="Q730" s="1467"/>
      <c r="R730" s="1467"/>
      <c r="S730" s="1467" t="b">
        <v>0</v>
      </c>
      <c r="T730" s="1467" t="b">
        <v>0</v>
      </c>
      <c r="U730" s="1467" t="b">
        <v>0</v>
      </c>
      <c r="V730" s="1467"/>
      <c r="W730" s="1467"/>
      <c r="X730" s="1467"/>
      <c r="Y730" s="1442"/>
    </row>
    <row r="731">
      <c r="A731" s="1474" t="s">
        <v>2461</v>
      </c>
      <c r="B731" s="1468" t="b">
        <v>0</v>
      </c>
      <c r="C731" s="1429" t="b">
        <v>0</v>
      </c>
      <c r="D731" s="1429" t="b">
        <v>0</v>
      </c>
      <c r="E731" s="1429" t="b">
        <v>0</v>
      </c>
      <c r="F731" s="1429" t="b">
        <v>0</v>
      </c>
      <c r="G731" s="1429" t="b">
        <v>0</v>
      </c>
      <c r="H731" s="1429" t="b">
        <v>0</v>
      </c>
      <c r="I731" s="1429" t="b">
        <v>0</v>
      </c>
      <c r="J731" s="1429" t="b">
        <v>0</v>
      </c>
      <c r="K731" s="1469"/>
      <c r="L731" s="1470"/>
      <c r="M731" s="1479"/>
      <c r="N731" s="1480"/>
      <c r="O731" s="1459" t="b">
        <v>0</v>
      </c>
      <c r="P731" s="1459" t="b">
        <v>0</v>
      </c>
      <c r="Q731" s="1460"/>
      <c r="R731" s="1460"/>
      <c r="S731" s="1460" t="b">
        <v>0</v>
      </c>
      <c r="T731" s="1460" t="b">
        <v>0</v>
      </c>
      <c r="U731" s="1460" t="b">
        <v>0</v>
      </c>
      <c r="V731" s="1460"/>
      <c r="W731" s="1460"/>
      <c r="X731" s="1460"/>
      <c r="Y731" s="1441"/>
    </row>
    <row r="732">
      <c r="A732" s="1474" t="s">
        <v>2461</v>
      </c>
      <c r="B732" s="1462" t="b">
        <v>0</v>
      </c>
      <c r="C732" s="1421" t="b">
        <v>0</v>
      </c>
      <c r="D732" s="1421" t="b">
        <v>0</v>
      </c>
      <c r="E732" s="1421" t="b">
        <v>0</v>
      </c>
      <c r="F732" s="1421" t="b">
        <v>0</v>
      </c>
      <c r="G732" s="1421" t="b">
        <v>0</v>
      </c>
      <c r="H732" s="1421" t="b">
        <v>0</v>
      </c>
      <c r="I732" s="1421" t="b">
        <v>0</v>
      </c>
      <c r="J732" s="1421" t="b">
        <v>0</v>
      </c>
      <c r="K732" s="1463"/>
      <c r="L732" s="1464"/>
      <c r="M732" s="1477"/>
      <c r="N732" s="1478"/>
      <c r="O732" s="1466" t="b">
        <v>0</v>
      </c>
      <c r="P732" s="1466" t="b">
        <v>0</v>
      </c>
      <c r="Q732" s="1467"/>
      <c r="R732" s="1467"/>
      <c r="S732" s="1467" t="b">
        <v>0</v>
      </c>
      <c r="T732" s="1467" t="b">
        <v>0</v>
      </c>
      <c r="U732" s="1467" t="b">
        <v>0</v>
      </c>
      <c r="V732" s="1467"/>
      <c r="W732" s="1467"/>
      <c r="X732" s="1467"/>
      <c r="Y732" s="1442"/>
    </row>
    <row r="733">
      <c r="A733" s="1474" t="s">
        <v>2461</v>
      </c>
      <c r="B733" s="1468" t="b">
        <v>0</v>
      </c>
      <c r="C733" s="1429" t="b">
        <v>0</v>
      </c>
      <c r="D733" s="1429" t="b">
        <v>0</v>
      </c>
      <c r="E733" s="1429" t="b">
        <v>0</v>
      </c>
      <c r="F733" s="1429" t="b">
        <v>0</v>
      </c>
      <c r="G733" s="1429" t="b">
        <v>0</v>
      </c>
      <c r="H733" s="1429" t="b">
        <v>0</v>
      </c>
      <c r="I733" s="1429" t="b">
        <v>0</v>
      </c>
      <c r="J733" s="1429" t="b">
        <v>0</v>
      </c>
      <c r="K733" s="1469"/>
      <c r="L733" s="1470"/>
      <c r="M733" s="1479"/>
      <c r="N733" s="1480"/>
      <c r="O733" s="1459" t="b">
        <v>0</v>
      </c>
      <c r="P733" s="1459" t="b">
        <v>0</v>
      </c>
      <c r="Q733" s="1460"/>
      <c r="R733" s="1460"/>
      <c r="S733" s="1460" t="b">
        <v>0</v>
      </c>
      <c r="T733" s="1460" t="b">
        <v>0</v>
      </c>
      <c r="U733" s="1460" t="b">
        <v>0</v>
      </c>
      <c r="V733" s="1460"/>
      <c r="W733" s="1460"/>
      <c r="X733" s="1460"/>
      <c r="Y733" s="1441"/>
    </row>
    <row r="734">
      <c r="A734" s="1474" t="s">
        <v>2461</v>
      </c>
      <c r="B734" s="1462" t="b">
        <v>0</v>
      </c>
      <c r="C734" s="1421" t="b">
        <v>0</v>
      </c>
      <c r="D734" s="1421" t="b">
        <v>0</v>
      </c>
      <c r="E734" s="1421" t="b">
        <v>0</v>
      </c>
      <c r="F734" s="1421" t="b">
        <v>0</v>
      </c>
      <c r="G734" s="1421" t="b">
        <v>0</v>
      </c>
      <c r="H734" s="1421" t="b">
        <v>0</v>
      </c>
      <c r="I734" s="1421" t="b">
        <v>0</v>
      </c>
      <c r="J734" s="1421" t="b">
        <v>0</v>
      </c>
      <c r="K734" s="1463"/>
      <c r="L734" s="1464"/>
      <c r="M734" s="1477"/>
      <c r="N734" s="1478"/>
      <c r="O734" s="1466" t="b">
        <v>0</v>
      </c>
      <c r="P734" s="1466" t="b">
        <v>0</v>
      </c>
      <c r="Q734" s="1467"/>
      <c r="R734" s="1467"/>
      <c r="S734" s="1467" t="b">
        <v>0</v>
      </c>
      <c r="T734" s="1467" t="b">
        <v>0</v>
      </c>
      <c r="U734" s="1467" t="b">
        <v>0</v>
      </c>
      <c r="V734" s="1467"/>
      <c r="W734" s="1467"/>
      <c r="X734" s="1467"/>
      <c r="Y734" s="1442"/>
    </row>
    <row r="735">
      <c r="A735" s="1474" t="s">
        <v>2461</v>
      </c>
      <c r="B735" s="1468" t="b">
        <v>0</v>
      </c>
      <c r="C735" s="1429" t="b">
        <v>0</v>
      </c>
      <c r="D735" s="1429" t="b">
        <v>0</v>
      </c>
      <c r="E735" s="1429" t="b">
        <v>0</v>
      </c>
      <c r="F735" s="1429" t="b">
        <v>0</v>
      </c>
      <c r="G735" s="1429" t="b">
        <v>0</v>
      </c>
      <c r="H735" s="1429" t="b">
        <v>0</v>
      </c>
      <c r="I735" s="1429" t="b">
        <v>0</v>
      </c>
      <c r="J735" s="1429" t="b">
        <v>0</v>
      </c>
      <c r="K735" s="1469"/>
      <c r="L735" s="1470"/>
      <c r="M735" s="1479"/>
      <c r="N735" s="1480"/>
      <c r="O735" s="1459" t="b">
        <v>0</v>
      </c>
      <c r="P735" s="1459" t="b">
        <v>0</v>
      </c>
      <c r="Q735" s="1460"/>
      <c r="R735" s="1460"/>
      <c r="S735" s="1460" t="b">
        <v>0</v>
      </c>
      <c r="T735" s="1460" t="b">
        <v>0</v>
      </c>
      <c r="U735" s="1460" t="b">
        <v>0</v>
      </c>
      <c r="V735" s="1460"/>
      <c r="W735" s="1460"/>
      <c r="X735" s="1460"/>
      <c r="Y735" s="1441"/>
    </row>
    <row r="736">
      <c r="A736" s="1474" t="s">
        <v>2461</v>
      </c>
      <c r="B736" s="1462" t="b">
        <v>0</v>
      </c>
      <c r="C736" s="1421" t="b">
        <v>0</v>
      </c>
      <c r="D736" s="1421" t="b">
        <v>0</v>
      </c>
      <c r="E736" s="1421" t="b">
        <v>0</v>
      </c>
      <c r="F736" s="1421" t="b">
        <v>0</v>
      </c>
      <c r="G736" s="1421" t="b">
        <v>0</v>
      </c>
      <c r="H736" s="1421" t="b">
        <v>0</v>
      </c>
      <c r="I736" s="1421" t="b">
        <v>0</v>
      </c>
      <c r="J736" s="1421" t="b">
        <v>0</v>
      </c>
      <c r="K736" s="1463"/>
      <c r="L736" s="1464"/>
      <c r="M736" s="1477"/>
      <c r="N736" s="1478"/>
      <c r="O736" s="1466" t="b">
        <v>0</v>
      </c>
      <c r="P736" s="1466" t="b">
        <v>0</v>
      </c>
      <c r="Q736" s="1467"/>
      <c r="R736" s="1467"/>
      <c r="S736" s="1467" t="b">
        <v>0</v>
      </c>
      <c r="T736" s="1467" t="b">
        <v>0</v>
      </c>
      <c r="U736" s="1467" t="b">
        <v>0</v>
      </c>
      <c r="V736" s="1467"/>
      <c r="W736" s="1467"/>
      <c r="X736" s="1467"/>
      <c r="Y736" s="1442"/>
    </row>
    <row r="737">
      <c r="A737" s="1474" t="s">
        <v>2461</v>
      </c>
      <c r="B737" s="1468" t="b">
        <v>0</v>
      </c>
      <c r="C737" s="1429" t="b">
        <v>0</v>
      </c>
      <c r="D737" s="1429" t="b">
        <v>0</v>
      </c>
      <c r="E737" s="1429" t="b">
        <v>0</v>
      </c>
      <c r="F737" s="1429" t="b">
        <v>0</v>
      </c>
      <c r="G737" s="1429" t="b">
        <v>0</v>
      </c>
      <c r="H737" s="1429" t="b">
        <v>0</v>
      </c>
      <c r="I737" s="1429" t="b">
        <v>0</v>
      </c>
      <c r="J737" s="1429" t="b">
        <v>0</v>
      </c>
      <c r="K737" s="1469"/>
      <c r="L737" s="1470"/>
      <c r="M737" s="1479"/>
      <c r="N737" s="1480"/>
      <c r="O737" s="1459" t="b">
        <v>0</v>
      </c>
      <c r="P737" s="1459" t="b">
        <v>0</v>
      </c>
      <c r="Q737" s="1460"/>
      <c r="R737" s="1460"/>
      <c r="S737" s="1460" t="b">
        <v>0</v>
      </c>
      <c r="T737" s="1460" t="b">
        <v>0</v>
      </c>
      <c r="U737" s="1460" t="b">
        <v>0</v>
      </c>
      <c r="V737" s="1460"/>
      <c r="W737" s="1460"/>
      <c r="X737" s="1460"/>
      <c r="Y737" s="1441"/>
    </row>
    <row r="738">
      <c r="A738" s="1474" t="s">
        <v>2461</v>
      </c>
      <c r="B738" s="1462" t="b">
        <v>0</v>
      </c>
      <c r="C738" s="1421" t="b">
        <v>0</v>
      </c>
      <c r="D738" s="1421" t="b">
        <v>0</v>
      </c>
      <c r="E738" s="1421" t="b">
        <v>0</v>
      </c>
      <c r="F738" s="1421" t="b">
        <v>0</v>
      </c>
      <c r="G738" s="1421" t="b">
        <v>0</v>
      </c>
      <c r="H738" s="1421" t="b">
        <v>0</v>
      </c>
      <c r="I738" s="1421" t="b">
        <v>0</v>
      </c>
      <c r="J738" s="1421" t="b">
        <v>0</v>
      </c>
      <c r="K738" s="1463"/>
      <c r="L738" s="1464"/>
      <c r="M738" s="1477"/>
      <c r="N738" s="1478"/>
      <c r="O738" s="1466" t="b">
        <v>0</v>
      </c>
      <c r="P738" s="1466" t="b">
        <v>0</v>
      </c>
      <c r="Q738" s="1467"/>
      <c r="R738" s="1467"/>
      <c r="S738" s="1467" t="b">
        <v>0</v>
      </c>
      <c r="T738" s="1467" t="b">
        <v>0</v>
      </c>
      <c r="U738" s="1467" t="b">
        <v>0</v>
      </c>
      <c r="V738" s="1467"/>
      <c r="W738" s="1467"/>
      <c r="X738" s="1467"/>
      <c r="Y738" s="1442"/>
    </row>
    <row r="739">
      <c r="A739" s="1474" t="s">
        <v>2461</v>
      </c>
      <c r="B739" s="1468" t="b">
        <v>0</v>
      </c>
      <c r="C739" s="1429" t="b">
        <v>0</v>
      </c>
      <c r="D739" s="1429" t="b">
        <v>0</v>
      </c>
      <c r="E739" s="1429" t="b">
        <v>0</v>
      </c>
      <c r="F739" s="1429" t="b">
        <v>0</v>
      </c>
      <c r="G739" s="1429" t="b">
        <v>0</v>
      </c>
      <c r="H739" s="1429" t="b">
        <v>0</v>
      </c>
      <c r="I739" s="1429" t="b">
        <v>0</v>
      </c>
      <c r="J739" s="1429" t="b">
        <v>0</v>
      </c>
      <c r="K739" s="1469"/>
      <c r="L739" s="1470"/>
      <c r="M739" s="1479"/>
      <c r="N739" s="1480"/>
      <c r="O739" s="1459" t="b">
        <v>0</v>
      </c>
      <c r="P739" s="1459" t="b">
        <v>0</v>
      </c>
      <c r="Q739" s="1460"/>
      <c r="R739" s="1460"/>
      <c r="S739" s="1460" t="b">
        <v>0</v>
      </c>
      <c r="T739" s="1460" t="b">
        <v>0</v>
      </c>
      <c r="U739" s="1460" t="b">
        <v>0</v>
      </c>
      <c r="V739" s="1460"/>
      <c r="W739" s="1460"/>
      <c r="X739" s="1460"/>
      <c r="Y739" s="1441"/>
    </row>
    <row r="740">
      <c r="A740" s="1474" t="s">
        <v>2461</v>
      </c>
      <c r="B740" s="1462" t="b">
        <v>0</v>
      </c>
      <c r="C740" s="1421" t="b">
        <v>0</v>
      </c>
      <c r="D740" s="1421" t="b">
        <v>0</v>
      </c>
      <c r="E740" s="1421" t="b">
        <v>0</v>
      </c>
      <c r="F740" s="1421" t="b">
        <v>0</v>
      </c>
      <c r="G740" s="1421" t="b">
        <v>0</v>
      </c>
      <c r="H740" s="1421" t="b">
        <v>0</v>
      </c>
      <c r="I740" s="1421" t="b">
        <v>0</v>
      </c>
      <c r="J740" s="1421" t="b">
        <v>0</v>
      </c>
      <c r="K740" s="1463"/>
      <c r="L740" s="1464"/>
      <c r="M740" s="1477"/>
      <c r="N740" s="1478"/>
      <c r="O740" s="1466" t="b">
        <v>0</v>
      </c>
      <c r="P740" s="1466" t="b">
        <v>0</v>
      </c>
      <c r="Q740" s="1467"/>
      <c r="R740" s="1467"/>
      <c r="S740" s="1467" t="b">
        <v>0</v>
      </c>
      <c r="T740" s="1467" t="b">
        <v>0</v>
      </c>
      <c r="U740" s="1467" t="b">
        <v>0</v>
      </c>
      <c r="V740" s="1467"/>
      <c r="W740" s="1467"/>
      <c r="X740" s="1467"/>
      <c r="Y740" s="1442"/>
    </row>
    <row r="741">
      <c r="A741" s="1474" t="s">
        <v>2461</v>
      </c>
      <c r="B741" s="1468" t="b">
        <v>0</v>
      </c>
      <c r="C741" s="1429" t="b">
        <v>0</v>
      </c>
      <c r="D741" s="1429" t="b">
        <v>0</v>
      </c>
      <c r="E741" s="1429" t="b">
        <v>0</v>
      </c>
      <c r="F741" s="1429" t="b">
        <v>0</v>
      </c>
      <c r="G741" s="1429" t="b">
        <v>0</v>
      </c>
      <c r="H741" s="1429" t="b">
        <v>0</v>
      </c>
      <c r="I741" s="1429" t="b">
        <v>0</v>
      </c>
      <c r="J741" s="1429" t="b">
        <v>0</v>
      </c>
      <c r="K741" s="1469"/>
      <c r="L741" s="1470"/>
      <c r="M741" s="1479"/>
      <c r="N741" s="1480"/>
      <c r="O741" s="1459" t="b">
        <v>0</v>
      </c>
      <c r="P741" s="1459" t="b">
        <v>0</v>
      </c>
      <c r="Q741" s="1460"/>
      <c r="R741" s="1460"/>
      <c r="S741" s="1460" t="b">
        <v>0</v>
      </c>
      <c r="T741" s="1460" t="b">
        <v>0</v>
      </c>
      <c r="U741" s="1460" t="b">
        <v>0</v>
      </c>
      <c r="V741" s="1460"/>
      <c r="W741" s="1460"/>
      <c r="X741" s="1460"/>
      <c r="Y741" s="1441"/>
    </row>
    <row r="742">
      <c r="A742" s="1474" t="s">
        <v>2461</v>
      </c>
      <c r="B742" s="1462" t="b">
        <v>0</v>
      </c>
      <c r="C742" s="1421" t="b">
        <v>0</v>
      </c>
      <c r="D742" s="1421" t="b">
        <v>0</v>
      </c>
      <c r="E742" s="1421" t="b">
        <v>0</v>
      </c>
      <c r="F742" s="1421" t="b">
        <v>0</v>
      </c>
      <c r="G742" s="1421" t="b">
        <v>0</v>
      </c>
      <c r="H742" s="1421" t="b">
        <v>0</v>
      </c>
      <c r="I742" s="1421" t="b">
        <v>0</v>
      </c>
      <c r="J742" s="1421" t="b">
        <v>0</v>
      </c>
      <c r="K742" s="1463"/>
      <c r="L742" s="1464"/>
      <c r="M742" s="1477"/>
      <c r="N742" s="1478"/>
      <c r="O742" s="1466" t="b">
        <v>0</v>
      </c>
      <c r="P742" s="1466" t="b">
        <v>0</v>
      </c>
      <c r="Q742" s="1467"/>
      <c r="R742" s="1467"/>
      <c r="S742" s="1467" t="b">
        <v>0</v>
      </c>
      <c r="T742" s="1467" t="b">
        <v>0</v>
      </c>
      <c r="U742" s="1467" t="b">
        <v>0</v>
      </c>
      <c r="V742" s="1467"/>
      <c r="W742" s="1467"/>
      <c r="X742" s="1467"/>
      <c r="Y742" s="1442"/>
    </row>
    <row r="743">
      <c r="A743" s="1474" t="s">
        <v>2461</v>
      </c>
      <c r="B743" s="1468" t="b">
        <v>0</v>
      </c>
      <c r="C743" s="1429" t="b">
        <v>0</v>
      </c>
      <c r="D743" s="1429" t="b">
        <v>0</v>
      </c>
      <c r="E743" s="1429" t="b">
        <v>0</v>
      </c>
      <c r="F743" s="1429" t="b">
        <v>0</v>
      </c>
      <c r="G743" s="1429" t="b">
        <v>0</v>
      </c>
      <c r="H743" s="1429" t="b">
        <v>0</v>
      </c>
      <c r="I743" s="1429" t="b">
        <v>0</v>
      </c>
      <c r="J743" s="1429" t="b">
        <v>0</v>
      </c>
      <c r="K743" s="1469"/>
      <c r="L743" s="1470"/>
      <c r="M743" s="1479"/>
      <c r="N743" s="1480"/>
      <c r="O743" s="1459" t="b">
        <v>0</v>
      </c>
      <c r="P743" s="1459" t="b">
        <v>0</v>
      </c>
      <c r="Q743" s="1460"/>
      <c r="R743" s="1460"/>
      <c r="S743" s="1460" t="b">
        <v>0</v>
      </c>
      <c r="T743" s="1460" t="b">
        <v>0</v>
      </c>
      <c r="U743" s="1460" t="b">
        <v>0</v>
      </c>
      <c r="V743" s="1460"/>
      <c r="W743" s="1460"/>
      <c r="X743" s="1460"/>
      <c r="Y743" s="1441"/>
    </row>
    <row r="744">
      <c r="A744" s="1474" t="s">
        <v>2461</v>
      </c>
      <c r="B744" s="1462" t="b">
        <v>0</v>
      </c>
      <c r="C744" s="1421" t="b">
        <v>0</v>
      </c>
      <c r="D744" s="1421" t="b">
        <v>0</v>
      </c>
      <c r="E744" s="1421" t="b">
        <v>0</v>
      </c>
      <c r="F744" s="1421" t="b">
        <v>0</v>
      </c>
      <c r="G744" s="1421" t="b">
        <v>0</v>
      </c>
      <c r="H744" s="1421" t="b">
        <v>0</v>
      </c>
      <c r="I744" s="1421" t="b">
        <v>0</v>
      </c>
      <c r="J744" s="1421" t="b">
        <v>0</v>
      </c>
      <c r="K744" s="1463"/>
      <c r="L744" s="1464"/>
      <c r="M744" s="1477"/>
      <c r="N744" s="1478"/>
      <c r="O744" s="1466" t="b">
        <v>0</v>
      </c>
      <c r="P744" s="1466" t="b">
        <v>0</v>
      </c>
      <c r="Q744" s="1467"/>
      <c r="R744" s="1467"/>
      <c r="S744" s="1467" t="b">
        <v>0</v>
      </c>
      <c r="T744" s="1467" t="b">
        <v>0</v>
      </c>
      <c r="U744" s="1467" t="b">
        <v>0</v>
      </c>
      <c r="V744" s="1467"/>
      <c r="W744" s="1467"/>
      <c r="X744" s="1467"/>
      <c r="Y744" s="1442"/>
    </row>
    <row r="745">
      <c r="A745" s="1474" t="s">
        <v>2461</v>
      </c>
      <c r="B745" s="1468" t="b">
        <v>0</v>
      </c>
      <c r="C745" s="1429" t="b">
        <v>0</v>
      </c>
      <c r="D745" s="1429" t="b">
        <v>0</v>
      </c>
      <c r="E745" s="1429" t="b">
        <v>0</v>
      </c>
      <c r="F745" s="1429" t="b">
        <v>0</v>
      </c>
      <c r="G745" s="1429" t="b">
        <v>0</v>
      </c>
      <c r="H745" s="1429" t="b">
        <v>0</v>
      </c>
      <c r="I745" s="1429" t="b">
        <v>0</v>
      </c>
      <c r="J745" s="1429" t="b">
        <v>0</v>
      </c>
      <c r="K745" s="1469"/>
      <c r="L745" s="1470"/>
      <c r="M745" s="1479"/>
      <c r="N745" s="1480"/>
      <c r="O745" s="1459" t="b">
        <v>0</v>
      </c>
      <c r="P745" s="1459" t="b">
        <v>0</v>
      </c>
      <c r="Q745" s="1460"/>
      <c r="R745" s="1460"/>
      <c r="S745" s="1460" t="b">
        <v>0</v>
      </c>
      <c r="T745" s="1460" t="b">
        <v>0</v>
      </c>
      <c r="U745" s="1460" t="b">
        <v>0</v>
      </c>
      <c r="V745" s="1460"/>
      <c r="W745" s="1460"/>
      <c r="X745" s="1460"/>
      <c r="Y745" s="1441"/>
    </row>
    <row r="746">
      <c r="A746" s="1474" t="s">
        <v>2461</v>
      </c>
      <c r="B746" s="1462" t="b">
        <v>0</v>
      </c>
      <c r="C746" s="1421" t="b">
        <v>0</v>
      </c>
      <c r="D746" s="1421" t="b">
        <v>0</v>
      </c>
      <c r="E746" s="1421" t="b">
        <v>0</v>
      </c>
      <c r="F746" s="1421" t="b">
        <v>0</v>
      </c>
      <c r="G746" s="1421" t="b">
        <v>0</v>
      </c>
      <c r="H746" s="1421" t="b">
        <v>0</v>
      </c>
      <c r="I746" s="1421" t="b">
        <v>0</v>
      </c>
      <c r="J746" s="1421" t="b">
        <v>0</v>
      </c>
      <c r="K746" s="1463"/>
      <c r="L746" s="1464"/>
      <c r="M746" s="1477"/>
      <c r="N746" s="1478"/>
      <c r="O746" s="1466" t="b">
        <v>0</v>
      </c>
      <c r="P746" s="1466" t="b">
        <v>0</v>
      </c>
      <c r="Q746" s="1467"/>
      <c r="R746" s="1467"/>
      <c r="S746" s="1467" t="b">
        <v>0</v>
      </c>
      <c r="T746" s="1467" t="b">
        <v>0</v>
      </c>
      <c r="U746" s="1467" t="b">
        <v>0</v>
      </c>
      <c r="V746" s="1467"/>
      <c r="W746" s="1467"/>
      <c r="X746" s="1467"/>
      <c r="Y746" s="1442"/>
    </row>
    <row r="747">
      <c r="A747" s="1474" t="s">
        <v>2461</v>
      </c>
      <c r="B747" s="1468" t="b">
        <v>0</v>
      </c>
      <c r="C747" s="1429" t="b">
        <v>0</v>
      </c>
      <c r="D747" s="1429" t="b">
        <v>0</v>
      </c>
      <c r="E747" s="1429" t="b">
        <v>0</v>
      </c>
      <c r="F747" s="1429" t="b">
        <v>0</v>
      </c>
      <c r="G747" s="1429" t="b">
        <v>0</v>
      </c>
      <c r="H747" s="1429" t="b">
        <v>0</v>
      </c>
      <c r="I747" s="1429" t="b">
        <v>0</v>
      </c>
      <c r="J747" s="1429" t="b">
        <v>0</v>
      </c>
      <c r="K747" s="1469"/>
      <c r="L747" s="1470"/>
      <c r="M747" s="1479"/>
      <c r="N747" s="1480"/>
      <c r="O747" s="1459" t="b">
        <v>0</v>
      </c>
      <c r="P747" s="1459" t="b">
        <v>0</v>
      </c>
      <c r="Q747" s="1460"/>
      <c r="R747" s="1460"/>
      <c r="S747" s="1460" t="b">
        <v>0</v>
      </c>
      <c r="T747" s="1460" t="b">
        <v>0</v>
      </c>
      <c r="U747" s="1460" t="b">
        <v>0</v>
      </c>
      <c r="V747" s="1460"/>
      <c r="W747" s="1460"/>
      <c r="X747" s="1460"/>
      <c r="Y747" s="1441"/>
    </row>
    <row r="748">
      <c r="A748" s="1474" t="s">
        <v>2461</v>
      </c>
      <c r="B748" s="1462" t="b">
        <v>0</v>
      </c>
      <c r="C748" s="1421" t="b">
        <v>0</v>
      </c>
      <c r="D748" s="1421" t="b">
        <v>0</v>
      </c>
      <c r="E748" s="1421" t="b">
        <v>0</v>
      </c>
      <c r="F748" s="1421" t="b">
        <v>0</v>
      </c>
      <c r="G748" s="1421" t="b">
        <v>0</v>
      </c>
      <c r="H748" s="1421" t="b">
        <v>0</v>
      </c>
      <c r="I748" s="1421" t="b">
        <v>0</v>
      </c>
      <c r="J748" s="1421" t="b">
        <v>0</v>
      </c>
      <c r="K748" s="1463"/>
      <c r="L748" s="1464"/>
      <c r="M748" s="1477"/>
      <c r="N748" s="1478"/>
      <c r="O748" s="1466" t="b">
        <v>0</v>
      </c>
      <c r="P748" s="1466" t="b">
        <v>0</v>
      </c>
      <c r="Q748" s="1467"/>
      <c r="R748" s="1467"/>
      <c r="S748" s="1467" t="b">
        <v>0</v>
      </c>
      <c r="T748" s="1467" t="b">
        <v>0</v>
      </c>
      <c r="U748" s="1467" t="b">
        <v>0</v>
      </c>
      <c r="V748" s="1467"/>
      <c r="W748" s="1467"/>
      <c r="X748" s="1467"/>
      <c r="Y748" s="1442"/>
    </row>
    <row r="749">
      <c r="A749" s="1474" t="s">
        <v>2461</v>
      </c>
      <c r="B749" s="1468" t="b">
        <v>0</v>
      </c>
      <c r="C749" s="1429" t="b">
        <v>0</v>
      </c>
      <c r="D749" s="1429" t="b">
        <v>0</v>
      </c>
      <c r="E749" s="1429" t="b">
        <v>0</v>
      </c>
      <c r="F749" s="1429" t="b">
        <v>0</v>
      </c>
      <c r="G749" s="1429" t="b">
        <v>0</v>
      </c>
      <c r="H749" s="1429" t="b">
        <v>0</v>
      </c>
      <c r="I749" s="1429" t="b">
        <v>0</v>
      </c>
      <c r="J749" s="1429" t="b">
        <v>0</v>
      </c>
      <c r="K749" s="1469"/>
      <c r="L749" s="1470"/>
      <c r="M749" s="1479"/>
      <c r="N749" s="1480"/>
      <c r="O749" s="1459" t="b">
        <v>0</v>
      </c>
      <c r="P749" s="1459" t="b">
        <v>0</v>
      </c>
      <c r="Q749" s="1460"/>
      <c r="R749" s="1460"/>
      <c r="S749" s="1460" t="b">
        <v>0</v>
      </c>
      <c r="T749" s="1460" t="b">
        <v>0</v>
      </c>
      <c r="U749" s="1460" t="b">
        <v>0</v>
      </c>
      <c r="V749" s="1460"/>
      <c r="W749" s="1460"/>
      <c r="X749" s="1460"/>
      <c r="Y749" s="1441"/>
    </row>
    <row r="750">
      <c r="A750" s="1474" t="s">
        <v>2461</v>
      </c>
      <c r="B750" s="1462" t="b">
        <v>0</v>
      </c>
      <c r="C750" s="1421" t="b">
        <v>0</v>
      </c>
      <c r="D750" s="1421" t="b">
        <v>0</v>
      </c>
      <c r="E750" s="1421" t="b">
        <v>0</v>
      </c>
      <c r="F750" s="1421" t="b">
        <v>0</v>
      </c>
      <c r="G750" s="1421" t="b">
        <v>0</v>
      </c>
      <c r="H750" s="1421" t="b">
        <v>0</v>
      </c>
      <c r="I750" s="1421" t="b">
        <v>0</v>
      </c>
      <c r="J750" s="1421" t="b">
        <v>0</v>
      </c>
      <c r="K750" s="1463"/>
      <c r="L750" s="1464"/>
      <c r="M750" s="1477"/>
      <c r="N750" s="1478"/>
      <c r="O750" s="1466" t="b">
        <v>0</v>
      </c>
      <c r="P750" s="1466" t="b">
        <v>0</v>
      </c>
      <c r="Q750" s="1467"/>
      <c r="R750" s="1467"/>
      <c r="S750" s="1467" t="b">
        <v>0</v>
      </c>
      <c r="T750" s="1467" t="b">
        <v>0</v>
      </c>
      <c r="U750" s="1467" t="b">
        <v>0</v>
      </c>
      <c r="V750" s="1467"/>
      <c r="W750" s="1467"/>
      <c r="X750" s="1467"/>
      <c r="Y750" s="1442"/>
    </row>
    <row r="751">
      <c r="A751" s="1474" t="s">
        <v>2461</v>
      </c>
      <c r="B751" s="1468" t="b">
        <v>0</v>
      </c>
      <c r="C751" s="1429" t="b">
        <v>0</v>
      </c>
      <c r="D751" s="1429" t="b">
        <v>0</v>
      </c>
      <c r="E751" s="1429" t="b">
        <v>0</v>
      </c>
      <c r="F751" s="1429" t="b">
        <v>0</v>
      </c>
      <c r="G751" s="1429" t="b">
        <v>0</v>
      </c>
      <c r="H751" s="1429" t="b">
        <v>0</v>
      </c>
      <c r="I751" s="1429" t="b">
        <v>0</v>
      </c>
      <c r="J751" s="1429" t="b">
        <v>0</v>
      </c>
      <c r="K751" s="1469"/>
      <c r="L751" s="1470"/>
      <c r="M751" s="1479"/>
      <c r="N751" s="1480"/>
      <c r="O751" s="1459" t="b">
        <v>0</v>
      </c>
      <c r="P751" s="1459" t="b">
        <v>0</v>
      </c>
      <c r="Q751" s="1460"/>
      <c r="R751" s="1460"/>
      <c r="S751" s="1460" t="b">
        <v>0</v>
      </c>
      <c r="T751" s="1460" t="b">
        <v>0</v>
      </c>
      <c r="U751" s="1460" t="b">
        <v>0</v>
      </c>
      <c r="V751" s="1460"/>
      <c r="W751" s="1460"/>
      <c r="X751" s="1460"/>
      <c r="Y751" s="1441"/>
    </row>
    <row r="752">
      <c r="A752" s="1474" t="s">
        <v>2461</v>
      </c>
      <c r="B752" s="1462" t="b">
        <v>0</v>
      </c>
      <c r="C752" s="1421" t="b">
        <v>0</v>
      </c>
      <c r="D752" s="1421" t="b">
        <v>0</v>
      </c>
      <c r="E752" s="1421" t="b">
        <v>0</v>
      </c>
      <c r="F752" s="1421" t="b">
        <v>0</v>
      </c>
      <c r="G752" s="1421" t="b">
        <v>0</v>
      </c>
      <c r="H752" s="1421" t="b">
        <v>0</v>
      </c>
      <c r="I752" s="1421" t="b">
        <v>0</v>
      </c>
      <c r="J752" s="1421" t="b">
        <v>0</v>
      </c>
      <c r="K752" s="1463"/>
      <c r="L752" s="1464"/>
      <c r="M752" s="1477"/>
      <c r="N752" s="1478"/>
      <c r="O752" s="1466" t="b">
        <v>0</v>
      </c>
      <c r="P752" s="1466" t="b">
        <v>0</v>
      </c>
      <c r="Q752" s="1467"/>
      <c r="R752" s="1467"/>
      <c r="S752" s="1467" t="b">
        <v>0</v>
      </c>
      <c r="T752" s="1467" t="b">
        <v>0</v>
      </c>
      <c r="U752" s="1467" t="b">
        <v>0</v>
      </c>
      <c r="V752" s="1467"/>
      <c r="W752" s="1467"/>
      <c r="X752" s="1467"/>
      <c r="Y752" s="1442"/>
    </row>
    <row r="753">
      <c r="A753" s="1474" t="s">
        <v>2461</v>
      </c>
      <c r="B753" s="1468" t="b">
        <v>0</v>
      </c>
      <c r="C753" s="1429" t="b">
        <v>0</v>
      </c>
      <c r="D753" s="1429" t="b">
        <v>0</v>
      </c>
      <c r="E753" s="1429" t="b">
        <v>0</v>
      </c>
      <c r="F753" s="1429" t="b">
        <v>0</v>
      </c>
      <c r="G753" s="1429" t="b">
        <v>0</v>
      </c>
      <c r="H753" s="1429" t="b">
        <v>0</v>
      </c>
      <c r="I753" s="1429" t="b">
        <v>0</v>
      </c>
      <c r="J753" s="1429" t="b">
        <v>0</v>
      </c>
      <c r="K753" s="1469"/>
      <c r="L753" s="1470"/>
      <c r="M753" s="1479"/>
      <c r="N753" s="1480"/>
      <c r="O753" s="1459" t="b">
        <v>0</v>
      </c>
      <c r="P753" s="1459" t="b">
        <v>0</v>
      </c>
      <c r="Q753" s="1460"/>
      <c r="R753" s="1460"/>
      <c r="S753" s="1460" t="b">
        <v>0</v>
      </c>
      <c r="T753" s="1460" t="b">
        <v>0</v>
      </c>
      <c r="U753" s="1460" t="b">
        <v>0</v>
      </c>
      <c r="V753" s="1460"/>
      <c r="W753" s="1460"/>
      <c r="X753" s="1460"/>
      <c r="Y753" s="1441"/>
    </row>
    <row r="754">
      <c r="A754" s="1474" t="s">
        <v>2461</v>
      </c>
      <c r="B754" s="1462" t="b">
        <v>0</v>
      </c>
      <c r="C754" s="1421" t="b">
        <v>0</v>
      </c>
      <c r="D754" s="1421" t="b">
        <v>0</v>
      </c>
      <c r="E754" s="1421" t="b">
        <v>0</v>
      </c>
      <c r="F754" s="1421" t="b">
        <v>0</v>
      </c>
      <c r="G754" s="1421" t="b">
        <v>0</v>
      </c>
      <c r="H754" s="1421" t="b">
        <v>0</v>
      </c>
      <c r="I754" s="1421" t="b">
        <v>0</v>
      </c>
      <c r="J754" s="1421" t="b">
        <v>0</v>
      </c>
      <c r="K754" s="1463"/>
      <c r="L754" s="1464"/>
      <c r="M754" s="1477"/>
      <c r="N754" s="1478"/>
      <c r="O754" s="1466" t="b">
        <v>0</v>
      </c>
      <c r="P754" s="1466" t="b">
        <v>0</v>
      </c>
      <c r="Q754" s="1467"/>
      <c r="R754" s="1467"/>
      <c r="S754" s="1467" t="b">
        <v>0</v>
      </c>
      <c r="T754" s="1467" t="b">
        <v>0</v>
      </c>
      <c r="U754" s="1467" t="b">
        <v>0</v>
      </c>
      <c r="V754" s="1467"/>
      <c r="W754" s="1467"/>
      <c r="X754" s="1467"/>
      <c r="Y754" s="1442"/>
    </row>
    <row r="755">
      <c r="A755" s="1474" t="s">
        <v>2461</v>
      </c>
      <c r="B755" s="1468" t="b">
        <v>0</v>
      </c>
      <c r="C755" s="1429" t="b">
        <v>0</v>
      </c>
      <c r="D755" s="1429" t="b">
        <v>0</v>
      </c>
      <c r="E755" s="1429" t="b">
        <v>0</v>
      </c>
      <c r="F755" s="1429" t="b">
        <v>0</v>
      </c>
      <c r="G755" s="1429" t="b">
        <v>0</v>
      </c>
      <c r="H755" s="1429" t="b">
        <v>0</v>
      </c>
      <c r="I755" s="1429" t="b">
        <v>0</v>
      </c>
      <c r="J755" s="1429" t="b">
        <v>0</v>
      </c>
      <c r="K755" s="1469"/>
      <c r="L755" s="1470"/>
      <c r="M755" s="1479"/>
      <c r="N755" s="1480"/>
      <c r="O755" s="1459" t="b">
        <v>0</v>
      </c>
      <c r="P755" s="1459" t="b">
        <v>0</v>
      </c>
      <c r="Q755" s="1460"/>
      <c r="R755" s="1460"/>
      <c r="S755" s="1460" t="b">
        <v>0</v>
      </c>
      <c r="T755" s="1460" t="b">
        <v>0</v>
      </c>
      <c r="U755" s="1460" t="b">
        <v>0</v>
      </c>
      <c r="V755" s="1460"/>
      <c r="W755" s="1460"/>
      <c r="X755" s="1460"/>
      <c r="Y755" s="1441"/>
    </row>
    <row r="756">
      <c r="A756" s="1474" t="s">
        <v>2461</v>
      </c>
      <c r="B756" s="1462" t="b">
        <v>0</v>
      </c>
      <c r="C756" s="1421" t="b">
        <v>0</v>
      </c>
      <c r="D756" s="1421" t="b">
        <v>0</v>
      </c>
      <c r="E756" s="1421" t="b">
        <v>0</v>
      </c>
      <c r="F756" s="1421" t="b">
        <v>0</v>
      </c>
      <c r="G756" s="1421" t="b">
        <v>0</v>
      </c>
      <c r="H756" s="1421" t="b">
        <v>0</v>
      </c>
      <c r="I756" s="1421" t="b">
        <v>0</v>
      </c>
      <c r="J756" s="1421" t="b">
        <v>0</v>
      </c>
      <c r="K756" s="1463"/>
      <c r="L756" s="1464"/>
      <c r="M756" s="1477"/>
      <c r="N756" s="1478"/>
      <c r="O756" s="1466" t="b">
        <v>0</v>
      </c>
      <c r="P756" s="1466" t="b">
        <v>0</v>
      </c>
      <c r="Q756" s="1467"/>
      <c r="R756" s="1467"/>
      <c r="S756" s="1467" t="b">
        <v>0</v>
      </c>
      <c r="T756" s="1467" t="b">
        <v>0</v>
      </c>
      <c r="U756" s="1467" t="b">
        <v>0</v>
      </c>
      <c r="V756" s="1467"/>
      <c r="W756" s="1467"/>
      <c r="X756" s="1467"/>
      <c r="Y756" s="1442"/>
    </row>
    <row r="757">
      <c r="A757" s="1474" t="s">
        <v>2461</v>
      </c>
      <c r="B757" s="1468" t="b">
        <v>0</v>
      </c>
      <c r="C757" s="1429" t="b">
        <v>0</v>
      </c>
      <c r="D757" s="1429" t="b">
        <v>0</v>
      </c>
      <c r="E757" s="1429" t="b">
        <v>0</v>
      </c>
      <c r="F757" s="1429" t="b">
        <v>0</v>
      </c>
      <c r="G757" s="1429" t="b">
        <v>0</v>
      </c>
      <c r="H757" s="1429" t="b">
        <v>0</v>
      </c>
      <c r="I757" s="1429" t="b">
        <v>0</v>
      </c>
      <c r="J757" s="1429" t="b">
        <v>0</v>
      </c>
      <c r="K757" s="1469"/>
      <c r="L757" s="1470"/>
      <c r="M757" s="1479"/>
      <c r="N757" s="1480"/>
      <c r="O757" s="1459" t="b">
        <v>0</v>
      </c>
      <c r="P757" s="1459" t="b">
        <v>0</v>
      </c>
      <c r="Q757" s="1460"/>
      <c r="R757" s="1460"/>
      <c r="S757" s="1460" t="b">
        <v>0</v>
      </c>
      <c r="T757" s="1460" t="b">
        <v>0</v>
      </c>
      <c r="U757" s="1460" t="b">
        <v>0</v>
      </c>
      <c r="V757" s="1460"/>
      <c r="W757" s="1460"/>
      <c r="X757" s="1460"/>
      <c r="Y757" s="1441"/>
    </row>
    <row r="758">
      <c r="A758" s="1474" t="s">
        <v>2461</v>
      </c>
      <c r="B758" s="1462" t="b">
        <v>0</v>
      </c>
      <c r="C758" s="1421" t="b">
        <v>0</v>
      </c>
      <c r="D758" s="1421" t="b">
        <v>0</v>
      </c>
      <c r="E758" s="1421" t="b">
        <v>0</v>
      </c>
      <c r="F758" s="1421" t="b">
        <v>0</v>
      </c>
      <c r="G758" s="1421" t="b">
        <v>0</v>
      </c>
      <c r="H758" s="1421" t="b">
        <v>0</v>
      </c>
      <c r="I758" s="1421" t="b">
        <v>0</v>
      </c>
      <c r="J758" s="1421" t="b">
        <v>0</v>
      </c>
      <c r="K758" s="1463"/>
      <c r="L758" s="1464"/>
      <c r="M758" s="1477"/>
      <c r="N758" s="1478"/>
      <c r="O758" s="1466" t="b">
        <v>0</v>
      </c>
      <c r="P758" s="1466" t="b">
        <v>0</v>
      </c>
      <c r="Q758" s="1467"/>
      <c r="R758" s="1467"/>
      <c r="S758" s="1467" t="b">
        <v>0</v>
      </c>
      <c r="T758" s="1467" t="b">
        <v>0</v>
      </c>
      <c r="U758" s="1467" t="b">
        <v>0</v>
      </c>
      <c r="V758" s="1467"/>
      <c r="W758" s="1467"/>
      <c r="X758" s="1467"/>
      <c r="Y758" s="1442"/>
    </row>
    <row r="759">
      <c r="A759" s="1474" t="s">
        <v>2461</v>
      </c>
      <c r="B759" s="1468" t="b">
        <v>0</v>
      </c>
      <c r="C759" s="1429" t="b">
        <v>0</v>
      </c>
      <c r="D759" s="1429" t="b">
        <v>0</v>
      </c>
      <c r="E759" s="1429" t="b">
        <v>0</v>
      </c>
      <c r="F759" s="1429" t="b">
        <v>0</v>
      </c>
      <c r="G759" s="1429" t="b">
        <v>0</v>
      </c>
      <c r="H759" s="1429" t="b">
        <v>0</v>
      </c>
      <c r="I759" s="1429" t="b">
        <v>0</v>
      </c>
      <c r="J759" s="1429" t="b">
        <v>0</v>
      </c>
      <c r="K759" s="1469"/>
      <c r="L759" s="1470"/>
      <c r="M759" s="1479"/>
      <c r="N759" s="1480"/>
      <c r="O759" s="1459" t="b">
        <v>0</v>
      </c>
      <c r="P759" s="1459" t="b">
        <v>0</v>
      </c>
      <c r="Q759" s="1460"/>
      <c r="R759" s="1460"/>
      <c r="S759" s="1460" t="b">
        <v>0</v>
      </c>
      <c r="T759" s="1460" t="b">
        <v>0</v>
      </c>
      <c r="U759" s="1460" t="b">
        <v>0</v>
      </c>
      <c r="V759" s="1460"/>
      <c r="W759" s="1460"/>
      <c r="X759" s="1460"/>
      <c r="Y759" s="1441"/>
    </row>
    <row r="760">
      <c r="A760" s="1474" t="s">
        <v>2461</v>
      </c>
      <c r="B760" s="1462" t="b">
        <v>0</v>
      </c>
      <c r="C760" s="1421" t="b">
        <v>0</v>
      </c>
      <c r="D760" s="1421" t="b">
        <v>0</v>
      </c>
      <c r="E760" s="1421" t="b">
        <v>0</v>
      </c>
      <c r="F760" s="1421" t="b">
        <v>0</v>
      </c>
      <c r="G760" s="1421" t="b">
        <v>0</v>
      </c>
      <c r="H760" s="1421" t="b">
        <v>0</v>
      </c>
      <c r="I760" s="1421" t="b">
        <v>0</v>
      </c>
      <c r="J760" s="1421" t="b">
        <v>0</v>
      </c>
      <c r="K760" s="1463"/>
      <c r="L760" s="1464"/>
      <c r="M760" s="1477"/>
      <c r="N760" s="1478"/>
      <c r="O760" s="1466" t="b">
        <v>0</v>
      </c>
      <c r="P760" s="1466" t="b">
        <v>0</v>
      </c>
      <c r="Q760" s="1467"/>
      <c r="R760" s="1467"/>
      <c r="S760" s="1467" t="b">
        <v>0</v>
      </c>
      <c r="T760" s="1467" t="b">
        <v>0</v>
      </c>
      <c r="U760" s="1467" t="b">
        <v>0</v>
      </c>
      <c r="V760" s="1467"/>
      <c r="W760" s="1467"/>
      <c r="X760" s="1467"/>
      <c r="Y760" s="1442"/>
    </row>
    <row r="761">
      <c r="A761" s="1474" t="s">
        <v>2461</v>
      </c>
      <c r="B761" s="1468" t="b">
        <v>0</v>
      </c>
      <c r="C761" s="1429" t="b">
        <v>0</v>
      </c>
      <c r="D761" s="1429" t="b">
        <v>0</v>
      </c>
      <c r="E761" s="1429" t="b">
        <v>0</v>
      </c>
      <c r="F761" s="1429" t="b">
        <v>0</v>
      </c>
      <c r="G761" s="1429" t="b">
        <v>0</v>
      </c>
      <c r="H761" s="1429" t="b">
        <v>0</v>
      </c>
      <c r="I761" s="1429" t="b">
        <v>0</v>
      </c>
      <c r="J761" s="1429" t="b">
        <v>0</v>
      </c>
      <c r="K761" s="1469"/>
      <c r="L761" s="1470"/>
      <c r="M761" s="1479"/>
      <c r="N761" s="1480"/>
      <c r="O761" s="1459" t="b">
        <v>0</v>
      </c>
      <c r="P761" s="1459" t="b">
        <v>0</v>
      </c>
      <c r="Q761" s="1460"/>
      <c r="R761" s="1460"/>
      <c r="S761" s="1460" t="b">
        <v>0</v>
      </c>
      <c r="T761" s="1460" t="b">
        <v>0</v>
      </c>
      <c r="U761" s="1460" t="b">
        <v>0</v>
      </c>
      <c r="V761" s="1460"/>
      <c r="W761" s="1460"/>
      <c r="X761" s="1460"/>
      <c r="Y761" s="1441"/>
    </row>
    <row r="762">
      <c r="A762" s="1474" t="s">
        <v>2461</v>
      </c>
      <c r="B762" s="1462" t="b">
        <v>0</v>
      </c>
      <c r="C762" s="1421" t="b">
        <v>0</v>
      </c>
      <c r="D762" s="1421" t="b">
        <v>0</v>
      </c>
      <c r="E762" s="1421" t="b">
        <v>0</v>
      </c>
      <c r="F762" s="1421" t="b">
        <v>0</v>
      </c>
      <c r="G762" s="1421" t="b">
        <v>0</v>
      </c>
      <c r="H762" s="1421" t="b">
        <v>0</v>
      </c>
      <c r="I762" s="1421" t="b">
        <v>0</v>
      </c>
      <c r="J762" s="1421" t="b">
        <v>0</v>
      </c>
      <c r="K762" s="1463"/>
      <c r="L762" s="1464"/>
      <c r="M762" s="1477"/>
      <c r="N762" s="1478"/>
      <c r="O762" s="1466" t="b">
        <v>0</v>
      </c>
      <c r="P762" s="1466" t="b">
        <v>0</v>
      </c>
      <c r="Q762" s="1467"/>
      <c r="R762" s="1467"/>
      <c r="S762" s="1467" t="b">
        <v>0</v>
      </c>
      <c r="T762" s="1467" t="b">
        <v>0</v>
      </c>
      <c r="U762" s="1467" t="b">
        <v>0</v>
      </c>
      <c r="V762" s="1467"/>
      <c r="W762" s="1467"/>
      <c r="X762" s="1467"/>
      <c r="Y762" s="1442"/>
    </row>
    <row r="763">
      <c r="A763" s="1474" t="s">
        <v>2461</v>
      </c>
      <c r="B763" s="1468" t="b">
        <v>0</v>
      </c>
      <c r="C763" s="1429" t="b">
        <v>0</v>
      </c>
      <c r="D763" s="1429" t="b">
        <v>0</v>
      </c>
      <c r="E763" s="1429" t="b">
        <v>0</v>
      </c>
      <c r="F763" s="1429" t="b">
        <v>0</v>
      </c>
      <c r="G763" s="1429" t="b">
        <v>0</v>
      </c>
      <c r="H763" s="1429" t="b">
        <v>0</v>
      </c>
      <c r="I763" s="1429" t="b">
        <v>0</v>
      </c>
      <c r="J763" s="1429" t="b">
        <v>0</v>
      </c>
      <c r="K763" s="1469"/>
      <c r="L763" s="1470"/>
      <c r="M763" s="1479"/>
      <c r="N763" s="1480"/>
      <c r="O763" s="1459" t="b">
        <v>0</v>
      </c>
      <c r="P763" s="1459" t="b">
        <v>0</v>
      </c>
      <c r="Q763" s="1460"/>
      <c r="R763" s="1460"/>
      <c r="S763" s="1460" t="b">
        <v>0</v>
      </c>
      <c r="T763" s="1460" t="b">
        <v>0</v>
      </c>
      <c r="U763" s="1460" t="b">
        <v>0</v>
      </c>
      <c r="V763" s="1460"/>
      <c r="W763" s="1460"/>
      <c r="X763" s="1460"/>
      <c r="Y763" s="1441"/>
    </row>
    <row r="764">
      <c r="A764" s="1474" t="s">
        <v>2461</v>
      </c>
      <c r="B764" s="1462" t="b">
        <v>0</v>
      </c>
      <c r="C764" s="1421" t="b">
        <v>0</v>
      </c>
      <c r="D764" s="1421" t="b">
        <v>0</v>
      </c>
      <c r="E764" s="1421" t="b">
        <v>0</v>
      </c>
      <c r="F764" s="1421" t="b">
        <v>0</v>
      </c>
      <c r="G764" s="1421" t="b">
        <v>0</v>
      </c>
      <c r="H764" s="1421" t="b">
        <v>0</v>
      </c>
      <c r="I764" s="1421" t="b">
        <v>0</v>
      </c>
      <c r="J764" s="1421" t="b">
        <v>0</v>
      </c>
      <c r="K764" s="1463"/>
      <c r="L764" s="1464"/>
      <c r="M764" s="1477"/>
      <c r="N764" s="1478"/>
      <c r="O764" s="1466" t="b">
        <v>0</v>
      </c>
      <c r="P764" s="1466" t="b">
        <v>0</v>
      </c>
      <c r="Q764" s="1467"/>
      <c r="R764" s="1467"/>
      <c r="S764" s="1467" t="b">
        <v>0</v>
      </c>
      <c r="T764" s="1467" t="b">
        <v>0</v>
      </c>
      <c r="U764" s="1467" t="b">
        <v>0</v>
      </c>
      <c r="V764" s="1467"/>
      <c r="W764" s="1467"/>
      <c r="X764" s="1467"/>
      <c r="Y764" s="1442"/>
    </row>
    <row r="765">
      <c r="A765" s="1474" t="s">
        <v>2461</v>
      </c>
      <c r="B765" s="1468" t="b">
        <v>0</v>
      </c>
      <c r="C765" s="1429" t="b">
        <v>0</v>
      </c>
      <c r="D765" s="1429" t="b">
        <v>0</v>
      </c>
      <c r="E765" s="1429" t="b">
        <v>0</v>
      </c>
      <c r="F765" s="1429" t="b">
        <v>0</v>
      </c>
      <c r="G765" s="1429" t="b">
        <v>0</v>
      </c>
      <c r="H765" s="1429" t="b">
        <v>0</v>
      </c>
      <c r="I765" s="1429" t="b">
        <v>0</v>
      </c>
      <c r="J765" s="1429" t="b">
        <v>0</v>
      </c>
      <c r="K765" s="1469"/>
      <c r="L765" s="1470"/>
      <c r="M765" s="1479"/>
      <c r="N765" s="1480"/>
      <c r="O765" s="1459" t="b">
        <v>0</v>
      </c>
      <c r="P765" s="1459" t="b">
        <v>0</v>
      </c>
      <c r="Q765" s="1460"/>
      <c r="R765" s="1460"/>
      <c r="S765" s="1460" t="b">
        <v>0</v>
      </c>
      <c r="T765" s="1460" t="b">
        <v>0</v>
      </c>
      <c r="U765" s="1460" t="b">
        <v>0</v>
      </c>
      <c r="V765" s="1460"/>
      <c r="W765" s="1460"/>
      <c r="X765" s="1460"/>
      <c r="Y765" s="1441"/>
    </row>
    <row r="766">
      <c r="A766" s="1474" t="s">
        <v>2461</v>
      </c>
      <c r="B766" s="1462" t="b">
        <v>0</v>
      </c>
      <c r="C766" s="1421" t="b">
        <v>0</v>
      </c>
      <c r="D766" s="1421" t="b">
        <v>0</v>
      </c>
      <c r="E766" s="1421" t="b">
        <v>0</v>
      </c>
      <c r="F766" s="1421" t="b">
        <v>0</v>
      </c>
      <c r="G766" s="1421" t="b">
        <v>0</v>
      </c>
      <c r="H766" s="1421" t="b">
        <v>0</v>
      </c>
      <c r="I766" s="1421" t="b">
        <v>0</v>
      </c>
      <c r="J766" s="1421" t="b">
        <v>0</v>
      </c>
      <c r="K766" s="1463"/>
      <c r="L766" s="1464"/>
      <c r="M766" s="1477"/>
      <c r="N766" s="1478"/>
      <c r="O766" s="1466" t="b">
        <v>0</v>
      </c>
      <c r="P766" s="1466" t="b">
        <v>0</v>
      </c>
      <c r="Q766" s="1467"/>
      <c r="R766" s="1467"/>
      <c r="S766" s="1467" t="b">
        <v>0</v>
      </c>
      <c r="T766" s="1467" t="b">
        <v>0</v>
      </c>
      <c r="U766" s="1467" t="b">
        <v>0</v>
      </c>
      <c r="V766" s="1467"/>
      <c r="W766" s="1467"/>
      <c r="X766" s="1467"/>
      <c r="Y766" s="1442"/>
    </row>
    <row r="767">
      <c r="A767" s="1474" t="s">
        <v>2461</v>
      </c>
      <c r="B767" s="1468" t="b">
        <v>0</v>
      </c>
      <c r="C767" s="1429" t="b">
        <v>0</v>
      </c>
      <c r="D767" s="1429" t="b">
        <v>0</v>
      </c>
      <c r="E767" s="1429" t="b">
        <v>0</v>
      </c>
      <c r="F767" s="1429" t="b">
        <v>0</v>
      </c>
      <c r="G767" s="1429" t="b">
        <v>0</v>
      </c>
      <c r="H767" s="1429" t="b">
        <v>0</v>
      </c>
      <c r="I767" s="1429" t="b">
        <v>0</v>
      </c>
      <c r="J767" s="1429" t="b">
        <v>0</v>
      </c>
      <c r="K767" s="1469"/>
      <c r="L767" s="1470"/>
      <c r="M767" s="1479"/>
      <c r="N767" s="1480"/>
      <c r="O767" s="1459" t="b">
        <v>0</v>
      </c>
      <c r="P767" s="1459" t="b">
        <v>0</v>
      </c>
      <c r="Q767" s="1460"/>
      <c r="R767" s="1460"/>
      <c r="S767" s="1460" t="b">
        <v>0</v>
      </c>
      <c r="T767" s="1460" t="b">
        <v>0</v>
      </c>
      <c r="U767" s="1460" t="b">
        <v>0</v>
      </c>
      <c r="V767" s="1460"/>
      <c r="W767" s="1460"/>
      <c r="X767" s="1460"/>
      <c r="Y767" s="1441"/>
    </row>
    <row r="768">
      <c r="A768" s="1474" t="s">
        <v>2461</v>
      </c>
      <c r="B768" s="1462" t="b">
        <v>0</v>
      </c>
      <c r="C768" s="1421" t="b">
        <v>0</v>
      </c>
      <c r="D768" s="1421" t="b">
        <v>0</v>
      </c>
      <c r="E768" s="1421" t="b">
        <v>0</v>
      </c>
      <c r="F768" s="1421" t="b">
        <v>0</v>
      </c>
      <c r="G768" s="1421" t="b">
        <v>0</v>
      </c>
      <c r="H768" s="1421" t="b">
        <v>0</v>
      </c>
      <c r="I768" s="1421" t="b">
        <v>0</v>
      </c>
      <c r="J768" s="1421" t="b">
        <v>0</v>
      </c>
      <c r="K768" s="1463"/>
      <c r="L768" s="1464"/>
      <c r="M768" s="1477"/>
      <c r="N768" s="1478"/>
      <c r="O768" s="1466" t="b">
        <v>0</v>
      </c>
      <c r="P768" s="1466" t="b">
        <v>0</v>
      </c>
      <c r="Q768" s="1467"/>
      <c r="R768" s="1467"/>
      <c r="S768" s="1467" t="b">
        <v>0</v>
      </c>
      <c r="T768" s="1467" t="b">
        <v>0</v>
      </c>
      <c r="U768" s="1467" t="b">
        <v>0</v>
      </c>
      <c r="V768" s="1467"/>
      <c r="W768" s="1467"/>
      <c r="X768" s="1467"/>
      <c r="Y768" s="1442"/>
    </row>
    <row r="769">
      <c r="A769" s="1474" t="s">
        <v>2461</v>
      </c>
      <c r="B769" s="1468" t="b">
        <v>0</v>
      </c>
      <c r="C769" s="1429" t="b">
        <v>0</v>
      </c>
      <c r="D769" s="1429" t="b">
        <v>0</v>
      </c>
      <c r="E769" s="1429" t="b">
        <v>0</v>
      </c>
      <c r="F769" s="1429" t="b">
        <v>0</v>
      </c>
      <c r="G769" s="1429" t="b">
        <v>0</v>
      </c>
      <c r="H769" s="1429" t="b">
        <v>0</v>
      </c>
      <c r="I769" s="1429" t="b">
        <v>0</v>
      </c>
      <c r="J769" s="1429" t="b">
        <v>0</v>
      </c>
      <c r="K769" s="1469"/>
      <c r="L769" s="1470"/>
      <c r="M769" s="1479"/>
      <c r="N769" s="1480"/>
      <c r="O769" s="1459" t="b">
        <v>0</v>
      </c>
      <c r="P769" s="1459" t="b">
        <v>0</v>
      </c>
      <c r="Q769" s="1460"/>
      <c r="R769" s="1460"/>
      <c r="S769" s="1460" t="b">
        <v>0</v>
      </c>
      <c r="T769" s="1460" t="b">
        <v>0</v>
      </c>
      <c r="U769" s="1460" t="b">
        <v>0</v>
      </c>
      <c r="V769" s="1460"/>
      <c r="W769" s="1460"/>
      <c r="X769" s="1460"/>
      <c r="Y769" s="1441"/>
    </row>
    <row r="770">
      <c r="A770" s="1474" t="s">
        <v>2461</v>
      </c>
      <c r="B770" s="1462" t="b">
        <v>0</v>
      </c>
      <c r="C770" s="1421" t="b">
        <v>0</v>
      </c>
      <c r="D770" s="1421" t="b">
        <v>0</v>
      </c>
      <c r="E770" s="1421" t="b">
        <v>0</v>
      </c>
      <c r="F770" s="1421" t="b">
        <v>0</v>
      </c>
      <c r="G770" s="1421" t="b">
        <v>0</v>
      </c>
      <c r="H770" s="1421" t="b">
        <v>0</v>
      </c>
      <c r="I770" s="1421" t="b">
        <v>0</v>
      </c>
      <c r="J770" s="1421" t="b">
        <v>0</v>
      </c>
      <c r="K770" s="1463"/>
      <c r="L770" s="1464"/>
      <c r="M770" s="1477"/>
      <c r="N770" s="1478"/>
      <c r="O770" s="1466" t="b">
        <v>0</v>
      </c>
      <c r="P770" s="1466" t="b">
        <v>0</v>
      </c>
      <c r="Q770" s="1467"/>
      <c r="R770" s="1467"/>
      <c r="S770" s="1467" t="b">
        <v>0</v>
      </c>
      <c r="T770" s="1467" t="b">
        <v>0</v>
      </c>
      <c r="U770" s="1467" t="b">
        <v>0</v>
      </c>
      <c r="V770" s="1467"/>
      <c r="W770" s="1467"/>
      <c r="X770" s="1467"/>
      <c r="Y770" s="1442"/>
    </row>
    <row r="771">
      <c r="A771" s="1474" t="s">
        <v>2461</v>
      </c>
      <c r="B771" s="1468" t="b">
        <v>0</v>
      </c>
      <c r="C771" s="1429" t="b">
        <v>0</v>
      </c>
      <c r="D771" s="1429" t="b">
        <v>0</v>
      </c>
      <c r="E771" s="1429" t="b">
        <v>0</v>
      </c>
      <c r="F771" s="1429" t="b">
        <v>0</v>
      </c>
      <c r="G771" s="1429" t="b">
        <v>0</v>
      </c>
      <c r="H771" s="1429" t="b">
        <v>0</v>
      </c>
      <c r="I771" s="1429" t="b">
        <v>0</v>
      </c>
      <c r="J771" s="1429" t="b">
        <v>0</v>
      </c>
      <c r="K771" s="1469"/>
      <c r="L771" s="1470"/>
      <c r="M771" s="1479"/>
      <c r="N771" s="1480"/>
      <c r="O771" s="1459" t="b">
        <v>0</v>
      </c>
      <c r="P771" s="1459" t="b">
        <v>0</v>
      </c>
      <c r="Q771" s="1460"/>
      <c r="R771" s="1460"/>
      <c r="S771" s="1460" t="b">
        <v>0</v>
      </c>
      <c r="T771" s="1460" t="b">
        <v>0</v>
      </c>
      <c r="U771" s="1460" t="b">
        <v>0</v>
      </c>
      <c r="V771" s="1460"/>
      <c r="W771" s="1460"/>
      <c r="X771" s="1460"/>
      <c r="Y771" s="1441"/>
    </row>
    <row r="772">
      <c r="A772" s="1474" t="s">
        <v>2461</v>
      </c>
      <c r="B772" s="1462" t="b">
        <v>0</v>
      </c>
      <c r="C772" s="1421" t="b">
        <v>0</v>
      </c>
      <c r="D772" s="1421" t="b">
        <v>0</v>
      </c>
      <c r="E772" s="1421" t="b">
        <v>0</v>
      </c>
      <c r="F772" s="1421" t="b">
        <v>0</v>
      </c>
      <c r="G772" s="1421" t="b">
        <v>0</v>
      </c>
      <c r="H772" s="1421" t="b">
        <v>0</v>
      </c>
      <c r="I772" s="1421" t="b">
        <v>0</v>
      </c>
      <c r="J772" s="1421" t="b">
        <v>0</v>
      </c>
      <c r="K772" s="1463"/>
      <c r="L772" s="1464"/>
      <c r="M772" s="1477"/>
      <c r="N772" s="1478"/>
      <c r="O772" s="1466" t="b">
        <v>0</v>
      </c>
      <c r="P772" s="1466" t="b">
        <v>0</v>
      </c>
      <c r="Q772" s="1467"/>
      <c r="R772" s="1467"/>
      <c r="S772" s="1467" t="b">
        <v>0</v>
      </c>
      <c r="T772" s="1467" t="b">
        <v>0</v>
      </c>
      <c r="U772" s="1467" t="b">
        <v>0</v>
      </c>
      <c r="V772" s="1467"/>
      <c r="W772" s="1467"/>
      <c r="X772" s="1467"/>
      <c r="Y772" s="1442"/>
    </row>
    <row r="773">
      <c r="A773" s="1474" t="s">
        <v>2461</v>
      </c>
      <c r="B773" s="1468" t="b">
        <v>0</v>
      </c>
      <c r="C773" s="1429" t="b">
        <v>0</v>
      </c>
      <c r="D773" s="1429" t="b">
        <v>0</v>
      </c>
      <c r="E773" s="1429" t="b">
        <v>0</v>
      </c>
      <c r="F773" s="1429" t="b">
        <v>0</v>
      </c>
      <c r="G773" s="1429" t="b">
        <v>0</v>
      </c>
      <c r="H773" s="1429" t="b">
        <v>0</v>
      </c>
      <c r="I773" s="1429" t="b">
        <v>0</v>
      </c>
      <c r="J773" s="1429" t="b">
        <v>0</v>
      </c>
      <c r="K773" s="1469"/>
      <c r="L773" s="1470"/>
      <c r="M773" s="1479"/>
      <c r="N773" s="1480"/>
      <c r="O773" s="1459" t="b">
        <v>0</v>
      </c>
      <c r="P773" s="1459" t="b">
        <v>0</v>
      </c>
      <c r="Q773" s="1460"/>
      <c r="R773" s="1460"/>
      <c r="S773" s="1460" t="b">
        <v>0</v>
      </c>
      <c r="T773" s="1460" t="b">
        <v>0</v>
      </c>
      <c r="U773" s="1460" t="b">
        <v>0</v>
      </c>
      <c r="V773" s="1460"/>
      <c r="W773" s="1460"/>
      <c r="X773" s="1460"/>
      <c r="Y773" s="1441"/>
    </row>
    <row r="774">
      <c r="A774" s="1474" t="s">
        <v>2461</v>
      </c>
      <c r="B774" s="1462" t="b">
        <v>0</v>
      </c>
      <c r="C774" s="1421" t="b">
        <v>0</v>
      </c>
      <c r="D774" s="1421" t="b">
        <v>0</v>
      </c>
      <c r="E774" s="1421" t="b">
        <v>0</v>
      </c>
      <c r="F774" s="1421" t="b">
        <v>0</v>
      </c>
      <c r="G774" s="1421" t="b">
        <v>0</v>
      </c>
      <c r="H774" s="1421" t="b">
        <v>0</v>
      </c>
      <c r="I774" s="1421" t="b">
        <v>0</v>
      </c>
      <c r="J774" s="1421" t="b">
        <v>0</v>
      </c>
      <c r="K774" s="1463"/>
      <c r="L774" s="1464"/>
      <c r="M774" s="1477"/>
      <c r="N774" s="1478"/>
      <c r="O774" s="1466" t="b">
        <v>0</v>
      </c>
      <c r="P774" s="1466" t="b">
        <v>0</v>
      </c>
      <c r="Q774" s="1467"/>
      <c r="R774" s="1467"/>
      <c r="S774" s="1467" t="b">
        <v>0</v>
      </c>
      <c r="T774" s="1467" t="b">
        <v>0</v>
      </c>
      <c r="U774" s="1467" t="b">
        <v>0</v>
      </c>
      <c r="V774" s="1467"/>
      <c r="W774" s="1467"/>
      <c r="X774" s="1467"/>
      <c r="Y774" s="1442"/>
    </row>
    <row r="775">
      <c r="A775" s="1474" t="s">
        <v>2461</v>
      </c>
      <c r="B775" s="1468" t="b">
        <v>0</v>
      </c>
      <c r="C775" s="1429" t="b">
        <v>0</v>
      </c>
      <c r="D775" s="1429" t="b">
        <v>0</v>
      </c>
      <c r="E775" s="1429" t="b">
        <v>0</v>
      </c>
      <c r="F775" s="1429" t="b">
        <v>0</v>
      </c>
      <c r="G775" s="1429" t="b">
        <v>0</v>
      </c>
      <c r="H775" s="1429" t="b">
        <v>0</v>
      </c>
      <c r="I775" s="1429" t="b">
        <v>0</v>
      </c>
      <c r="J775" s="1429" t="b">
        <v>0</v>
      </c>
      <c r="K775" s="1469"/>
      <c r="L775" s="1470"/>
      <c r="M775" s="1479"/>
      <c r="N775" s="1480"/>
      <c r="O775" s="1459" t="b">
        <v>0</v>
      </c>
      <c r="P775" s="1459" t="b">
        <v>0</v>
      </c>
      <c r="Q775" s="1460"/>
      <c r="R775" s="1460"/>
      <c r="S775" s="1460" t="b">
        <v>0</v>
      </c>
      <c r="T775" s="1460" t="b">
        <v>0</v>
      </c>
      <c r="U775" s="1460" t="b">
        <v>0</v>
      </c>
      <c r="V775" s="1460"/>
      <c r="W775" s="1460"/>
      <c r="X775" s="1460"/>
      <c r="Y775" s="1441"/>
    </row>
    <row r="776">
      <c r="A776" s="1474" t="s">
        <v>2461</v>
      </c>
      <c r="B776" s="1462" t="b">
        <v>0</v>
      </c>
      <c r="C776" s="1421" t="b">
        <v>0</v>
      </c>
      <c r="D776" s="1421" t="b">
        <v>0</v>
      </c>
      <c r="E776" s="1421" t="b">
        <v>0</v>
      </c>
      <c r="F776" s="1421" t="b">
        <v>0</v>
      </c>
      <c r="G776" s="1421" t="b">
        <v>0</v>
      </c>
      <c r="H776" s="1421" t="b">
        <v>0</v>
      </c>
      <c r="I776" s="1421" t="b">
        <v>0</v>
      </c>
      <c r="J776" s="1421" t="b">
        <v>0</v>
      </c>
      <c r="K776" s="1463"/>
      <c r="L776" s="1464"/>
      <c r="M776" s="1477"/>
      <c r="N776" s="1478"/>
      <c r="O776" s="1466" t="b">
        <v>0</v>
      </c>
      <c r="P776" s="1466" t="b">
        <v>0</v>
      </c>
      <c r="Q776" s="1467"/>
      <c r="R776" s="1467"/>
      <c r="S776" s="1467" t="b">
        <v>0</v>
      </c>
      <c r="T776" s="1467" t="b">
        <v>0</v>
      </c>
      <c r="U776" s="1467" t="b">
        <v>0</v>
      </c>
      <c r="V776" s="1467"/>
      <c r="W776" s="1467"/>
      <c r="X776" s="1467"/>
      <c r="Y776" s="1442"/>
    </row>
    <row r="777">
      <c r="A777" s="1474" t="s">
        <v>2461</v>
      </c>
      <c r="B777" s="1468" t="b">
        <v>0</v>
      </c>
      <c r="C777" s="1429" t="b">
        <v>0</v>
      </c>
      <c r="D777" s="1429" t="b">
        <v>0</v>
      </c>
      <c r="E777" s="1429" t="b">
        <v>0</v>
      </c>
      <c r="F777" s="1429" t="b">
        <v>0</v>
      </c>
      <c r="G777" s="1429" t="b">
        <v>0</v>
      </c>
      <c r="H777" s="1429" t="b">
        <v>0</v>
      </c>
      <c r="I777" s="1429" t="b">
        <v>0</v>
      </c>
      <c r="J777" s="1429" t="b">
        <v>0</v>
      </c>
      <c r="K777" s="1469"/>
      <c r="L777" s="1470"/>
      <c r="M777" s="1479"/>
      <c r="N777" s="1480"/>
      <c r="O777" s="1459" t="b">
        <v>0</v>
      </c>
      <c r="P777" s="1459" t="b">
        <v>0</v>
      </c>
      <c r="Q777" s="1460"/>
      <c r="R777" s="1460"/>
      <c r="S777" s="1460" t="b">
        <v>0</v>
      </c>
      <c r="T777" s="1460" t="b">
        <v>0</v>
      </c>
      <c r="U777" s="1460" t="b">
        <v>0</v>
      </c>
      <c r="V777" s="1460"/>
      <c r="W777" s="1460"/>
      <c r="X777" s="1460"/>
      <c r="Y777" s="1441"/>
    </row>
    <row r="778">
      <c r="A778" s="1474" t="s">
        <v>2461</v>
      </c>
      <c r="B778" s="1462" t="b">
        <v>0</v>
      </c>
      <c r="C778" s="1421" t="b">
        <v>0</v>
      </c>
      <c r="D778" s="1421" t="b">
        <v>0</v>
      </c>
      <c r="E778" s="1421" t="b">
        <v>0</v>
      </c>
      <c r="F778" s="1421" t="b">
        <v>0</v>
      </c>
      <c r="G778" s="1421" t="b">
        <v>0</v>
      </c>
      <c r="H778" s="1421" t="b">
        <v>0</v>
      </c>
      <c r="I778" s="1421" t="b">
        <v>0</v>
      </c>
      <c r="J778" s="1421" t="b">
        <v>0</v>
      </c>
      <c r="K778" s="1463"/>
      <c r="L778" s="1464"/>
      <c r="M778" s="1477"/>
      <c r="N778" s="1478"/>
      <c r="O778" s="1466" t="b">
        <v>0</v>
      </c>
      <c r="P778" s="1466" t="b">
        <v>0</v>
      </c>
      <c r="Q778" s="1467"/>
      <c r="R778" s="1467"/>
      <c r="S778" s="1467" t="b">
        <v>0</v>
      </c>
      <c r="T778" s="1467" t="b">
        <v>0</v>
      </c>
      <c r="U778" s="1467" t="b">
        <v>0</v>
      </c>
      <c r="V778" s="1467"/>
      <c r="W778" s="1467"/>
      <c r="X778" s="1467"/>
      <c r="Y778" s="1442"/>
    </row>
    <row r="779">
      <c r="A779" s="1474" t="s">
        <v>2461</v>
      </c>
      <c r="B779" s="1468" t="b">
        <v>0</v>
      </c>
      <c r="C779" s="1429" t="b">
        <v>0</v>
      </c>
      <c r="D779" s="1429" t="b">
        <v>0</v>
      </c>
      <c r="E779" s="1429" t="b">
        <v>0</v>
      </c>
      <c r="F779" s="1429" t="b">
        <v>0</v>
      </c>
      <c r="G779" s="1429" t="b">
        <v>0</v>
      </c>
      <c r="H779" s="1429" t="b">
        <v>0</v>
      </c>
      <c r="I779" s="1429" t="b">
        <v>0</v>
      </c>
      <c r="J779" s="1429" t="b">
        <v>0</v>
      </c>
      <c r="K779" s="1469"/>
      <c r="L779" s="1470"/>
      <c r="M779" s="1479"/>
      <c r="N779" s="1480"/>
      <c r="O779" s="1459" t="b">
        <v>0</v>
      </c>
      <c r="P779" s="1459" t="b">
        <v>0</v>
      </c>
      <c r="Q779" s="1460"/>
      <c r="R779" s="1460"/>
      <c r="S779" s="1460" t="b">
        <v>0</v>
      </c>
      <c r="T779" s="1460" t="b">
        <v>0</v>
      </c>
      <c r="U779" s="1460" t="b">
        <v>0</v>
      </c>
      <c r="V779" s="1460"/>
      <c r="W779" s="1460"/>
      <c r="X779" s="1460"/>
      <c r="Y779" s="1441"/>
    </row>
    <row r="780">
      <c r="A780" s="1474" t="s">
        <v>2461</v>
      </c>
      <c r="B780" s="1462" t="b">
        <v>0</v>
      </c>
      <c r="C780" s="1421" t="b">
        <v>0</v>
      </c>
      <c r="D780" s="1421" t="b">
        <v>0</v>
      </c>
      <c r="E780" s="1421" t="b">
        <v>0</v>
      </c>
      <c r="F780" s="1421" t="b">
        <v>0</v>
      </c>
      <c r="G780" s="1421" t="b">
        <v>0</v>
      </c>
      <c r="H780" s="1421" t="b">
        <v>0</v>
      </c>
      <c r="I780" s="1421" t="b">
        <v>0</v>
      </c>
      <c r="J780" s="1421" t="b">
        <v>0</v>
      </c>
      <c r="K780" s="1463"/>
      <c r="L780" s="1464"/>
      <c r="M780" s="1477"/>
      <c r="N780" s="1478"/>
      <c r="O780" s="1466" t="b">
        <v>0</v>
      </c>
      <c r="P780" s="1466" t="b">
        <v>0</v>
      </c>
      <c r="Q780" s="1467"/>
      <c r="R780" s="1467"/>
      <c r="S780" s="1467" t="b">
        <v>0</v>
      </c>
      <c r="T780" s="1467" t="b">
        <v>0</v>
      </c>
      <c r="U780" s="1467" t="b">
        <v>0</v>
      </c>
      <c r="V780" s="1467"/>
      <c r="W780" s="1467"/>
      <c r="X780" s="1467"/>
      <c r="Y780" s="1442"/>
    </row>
    <row r="781">
      <c r="A781" s="1474" t="s">
        <v>2461</v>
      </c>
      <c r="B781" s="1468" t="b">
        <v>0</v>
      </c>
      <c r="C781" s="1429" t="b">
        <v>0</v>
      </c>
      <c r="D781" s="1429" t="b">
        <v>0</v>
      </c>
      <c r="E781" s="1429" t="b">
        <v>0</v>
      </c>
      <c r="F781" s="1429" t="b">
        <v>0</v>
      </c>
      <c r="G781" s="1429" t="b">
        <v>0</v>
      </c>
      <c r="H781" s="1429" t="b">
        <v>0</v>
      </c>
      <c r="I781" s="1429" t="b">
        <v>0</v>
      </c>
      <c r="J781" s="1429" t="b">
        <v>0</v>
      </c>
      <c r="K781" s="1469"/>
      <c r="L781" s="1470"/>
      <c r="M781" s="1479"/>
      <c r="N781" s="1480"/>
      <c r="O781" s="1459" t="b">
        <v>0</v>
      </c>
      <c r="P781" s="1459" t="b">
        <v>0</v>
      </c>
      <c r="Q781" s="1460"/>
      <c r="R781" s="1460"/>
      <c r="S781" s="1460" t="b">
        <v>0</v>
      </c>
      <c r="T781" s="1460" t="b">
        <v>0</v>
      </c>
      <c r="U781" s="1460" t="b">
        <v>0</v>
      </c>
      <c r="V781" s="1460"/>
      <c r="W781" s="1460"/>
      <c r="X781" s="1460"/>
      <c r="Y781" s="1441"/>
    </row>
    <row r="782">
      <c r="A782" s="1474" t="s">
        <v>2461</v>
      </c>
      <c r="B782" s="1462" t="b">
        <v>0</v>
      </c>
      <c r="C782" s="1421" t="b">
        <v>0</v>
      </c>
      <c r="D782" s="1421" t="b">
        <v>0</v>
      </c>
      <c r="E782" s="1421" t="b">
        <v>0</v>
      </c>
      <c r="F782" s="1421" t="b">
        <v>0</v>
      </c>
      <c r="G782" s="1421" t="b">
        <v>0</v>
      </c>
      <c r="H782" s="1421" t="b">
        <v>0</v>
      </c>
      <c r="I782" s="1421" t="b">
        <v>0</v>
      </c>
      <c r="J782" s="1421" t="b">
        <v>0</v>
      </c>
      <c r="K782" s="1463"/>
      <c r="L782" s="1464"/>
      <c r="M782" s="1477"/>
      <c r="N782" s="1478"/>
      <c r="O782" s="1466" t="b">
        <v>0</v>
      </c>
      <c r="P782" s="1466" t="b">
        <v>0</v>
      </c>
      <c r="Q782" s="1467"/>
      <c r="R782" s="1467"/>
      <c r="S782" s="1467" t="b">
        <v>0</v>
      </c>
      <c r="T782" s="1467" t="b">
        <v>0</v>
      </c>
      <c r="U782" s="1467" t="b">
        <v>0</v>
      </c>
      <c r="V782" s="1467"/>
      <c r="W782" s="1467"/>
      <c r="X782" s="1467"/>
      <c r="Y782" s="1442"/>
    </row>
    <row r="783">
      <c r="A783" s="1474" t="s">
        <v>2461</v>
      </c>
      <c r="B783" s="1468" t="b">
        <v>0</v>
      </c>
      <c r="C783" s="1429" t="b">
        <v>0</v>
      </c>
      <c r="D783" s="1429" t="b">
        <v>0</v>
      </c>
      <c r="E783" s="1429" t="b">
        <v>0</v>
      </c>
      <c r="F783" s="1429" t="b">
        <v>0</v>
      </c>
      <c r="G783" s="1429" t="b">
        <v>0</v>
      </c>
      <c r="H783" s="1429" t="b">
        <v>0</v>
      </c>
      <c r="I783" s="1429" t="b">
        <v>0</v>
      </c>
      <c r="J783" s="1429" t="b">
        <v>0</v>
      </c>
      <c r="K783" s="1469"/>
      <c r="L783" s="1470"/>
      <c r="M783" s="1479"/>
      <c r="N783" s="1480"/>
      <c r="O783" s="1459" t="b">
        <v>0</v>
      </c>
      <c r="P783" s="1459" t="b">
        <v>0</v>
      </c>
      <c r="Q783" s="1460"/>
      <c r="R783" s="1460"/>
      <c r="S783" s="1460" t="b">
        <v>0</v>
      </c>
      <c r="T783" s="1460" t="b">
        <v>0</v>
      </c>
      <c r="U783" s="1460" t="b">
        <v>0</v>
      </c>
      <c r="V783" s="1460"/>
      <c r="W783" s="1460"/>
      <c r="X783" s="1460"/>
      <c r="Y783" s="1441"/>
    </row>
    <row r="784">
      <c r="A784" s="1474" t="s">
        <v>2461</v>
      </c>
      <c r="B784" s="1462" t="b">
        <v>0</v>
      </c>
      <c r="C784" s="1421" t="b">
        <v>0</v>
      </c>
      <c r="D784" s="1421" t="b">
        <v>0</v>
      </c>
      <c r="E784" s="1421" t="b">
        <v>0</v>
      </c>
      <c r="F784" s="1421" t="b">
        <v>0</v>
      </c>
      <c r="G784" s="1421" t="b">
        <v>0</v>
      </c>
      <c r="H784" s="1421" t="b">
        <v>0</v>
      </c>
      <c r="I784" s="1421" t="b">
        <v>0</v>
      </c>
      <c r="J784" s="1421" t="b">
        <v>0</v>
      </c>
      <c r="K784" s="1463"/>
      <c r="L784" s="1464"/>
      <c r="M784" s="1477"/>
      <c r="N784" s="1478"/>
      <c r="O784" s="1466" t="b">
        <v>0</v>
      </c>
      <c r="P784" s="1466" t="b">
        <v>0</v>
      </c>
      <c r="Q784" s="1467"/>
      <c r="R784" s="1467"/>
      <c r="S784" s="1467" t="b">
        <v>0</v>
      </c>
      <c r="T784" s="1467" t="b">
        <v>0</v>
      </c>
      <c r="U784" s="1467" t="b">
        <v>0</v>
      </c>
      <c r="V784" s="1467"/>
      <c r="W784" s="1467"/>
      <c r="X784" s="1467"/>
      <c r="Y784" s="1442"/>
    </row>
    <row r="785">
      <c r="A785" s="1474" t="s">
        <v>2461</v>
      </c>
      <c r="B785" s="1468" t="b">
        <v>0</v>
      </c>
      <c r="C785" s="1429" t="b">
        <v>0</v>
      </c>
      <c r="D785" s="1429" t="b">
        <v>0</v>
      </c>
      <c r="E785" s="1429" t="b">
        <v>0</v>
      </c>
      <c r="F785" s="1429" t="b">
        <v>0</v>
      </c>
      <c r="G785" s="1429" t="b">
        <v>0</v>
      </c>
      <c r="H785" s="1429" t="b">
        <v>0</v>
      </c>
      <c r="I785" s="1429" t="b">
        <v>0</v>
      </c>
      <c r="J785" s="1429" t="b">
        <v>0</v>
      </c>
      <c r="K785" s="1469"/>
      <c r="L785" s="1470"/>
      <c r="M785" s="1479"/>
      <c r="N785" s="1480"/>
      <c r="O785" s="1459" t="b">
        <v>0</v>
      </c>
      <c r="P785" s="1459" t="b">
        <v>0</v>
      </c>
      <c r="Q785" s="1460"/>
      <c r="R785" s="1460"/>
      <c r="S785" s="1460" t="b">
        <v>0</v>
      </c>
      <c r="T785" s="1460" t="b">
        <v>0</v>
      </c>
      <c r="U785" s="1460" t="b">
        <v>0</v>
      </c>
      <c r="V785" s="1460"/>
      <c r="W785" s="1460"/>
      <c r="X785" s="1460"/>
      <c r="Y785" s="1441"/>
    </row>
    <row r="786">
      <c r="A786" s="1474" t="s">
        <v>2461</v>
      </c>
      <c r="B786" s="1462" t="b">
        <v>0</v>
      </c>
      <c r="C786" s="1421" t="b">
        <v>0</v>
      </c>
      <c r="D786" s="1421" t="b">
        <v>0</v>
      </c>
      <c r="E786" s="1421" t="b">
        <v>0</v>
      </c>
      <c r="F786" s="1421" t="b">
        <v>0</v>
      </c>
      <c r="G786" s="1421" t="b">
        <v>0</v>
      </c>
      <c r="H786" s="1421" t="b">
        <v>0</v>
      </c>
      <c r="I786" s="1421" t="b">
        <v>0</v>
      </c>
      <c r="J786" s="1421" t="b">
        <v>0</v>
      </c>
      <c r="K786" s="1463"/>
      <c r="L786" s="1464"/>
      <c r="M786" s="1477"/>
      <c r="N786" s="1478"/>
      <c r="O786" s="1466" t="b">
        <v>0</v>
      </c>
      <c r="P786" s="1466" t="b">
        <v>0</v>
      </c>
      <c r="Q786" s="1467"/>
      <c r="R786" s="1467"/>
      <c r="S786" s="1467" t="b">
        <v>0</v>
      </c>
      <c r="T786" s="1467" t="b">
        <v>0</v>
      </c>
      <c r="U786" s="1467" t="b">
        <v>0</v>
      </c>
      <c r="V786" s="1467"/>
      <c r="W786" s="1467"/>
      <c r="X786" s="1467"/>
      <c r="Y786" s="1442"/>
    </row>
    <row r="787">
      <c r="A787" s="1474" t="s">
        <v>2461</v>
      </c>
      <c r="B787" s="1468" t="b">
        <v>0</v>
      </c>
      <c r="C787" s="1429" t="b">
        <v>0</v>
      </c>
      <c r="D787" s="1429" t="b">
        <v>0</v>
      </c>
      <c r="E787" s="1429" t="b">
        <v>0</v>
      </c>
      <c r="F787" s="1429" t="b">
        <v>0</v>
      </c>
      <c r="G787" s="1429" t="b">
        <v>0</v>
      </c>
      <c r="H787" s="1429" t="b">
        <v>0</v>
      </c>
      <c r="I787" s="1429" t="b">
        <v>0</v>
      </c>
      <c r="J787" s="1429" t="b">
        <v>0</v>
      </c>
      <c r="K787" s="1469"/>
      <c r="L787" s="1470"/>
      <c r="M787" s="1479"/>
      <c r="N787" s="1480"/>
      <c r="O787" s="1459" t="b">
        <v>0</v>
      </c>
      <c r="P787" s="1459" t="b">
        <v>0</v>
      </c>
      <c r="Q787" s="1460"/>
      <c r="R787" s="1460"/>
      <c r="S787" s="1460" t="b">
        <v>0</v>
      </c>
      <c r="T787" s="1460" t="b">
        <v>0</v>
      </c>
      <c r="U787" s="1460" t="b">
        <v>0</v>
      </c>
      <c r="V787" s="1460"/>
      <c r="W787" s="1460"/>
      <c r="X787" s="1460"/>
      <c r="Y787" s="1441"/>
    </row>
    <row r="788">
      <c r="A788" s="1474" t="s">
        <v>2461</v>
      </c>
      <c r="B788" s="1462" t="b">
        <v>0</v>
      </c>
      <c r="C788" s="1421" t="b">
        <v>0</v>
      </c>
      <c r="D788" s="1421" t="b">
        <v>0</v>
      </c>
      <c r="E788" s="1421" t="b">
        <v>0</v>
      </c>
      <c r="F788" s="1421" t="b">
        <v>0</v>
      </c>
      <c r="G788" s="1421" t="b">
        <v>0</v>
      </c>
      <c r="H788" s="1421" t="b">
        <v>0</v>
      </c>
      <c r="I788" s="1421" t="b">
        <v>0</v>
      </c>
      <c r="J788" s="1421" t="b">
        <v>0</v>
      </c>
      <c r="K788" s="1463"/>
      <c r="L788" s="1464"/>
      <c r="M788" s="1477"/>
      <c r="N788" s="1478"/>
      <c r="O788" s="1466" t="b">
        <v>0</v>
      </c>
      <c r="P788" s="1466" t="b">
        <v>0</v>
      </c>
      <c r="Q788" s="1467"/>
      <c r="R788" s="1467"/>
      <c r="S788" s="1467" t="b">
        <v>0</v>
      </c>
      <c r="T788" s="1467" t="b">
        <v>0</v>
      </c>
      <c r="U788" s="1467" t="b">
        <v>0</v>
      </c>
      <c r="V788" s="1467"/>
      <c r="W788" s="1467"/>
      <c r="X788" s="1467"/>
      <c r="Y788" s="1442"/>
    </row>
    <row r="789">
      <c r="A789" s="1474" t="s">
        <v>2461</v>
      </c>
      <c r="B789" s="1468" t="b">
        <v>0</v>
      </c>
      <c r="C789" s="1429" t="b">
        <v>0</v>
      </c>
      <c r="D789" s="1429" t="b">
        <v>0</v>
      </c>
      <c r="E789" s="1429" t="b">
        <v>0</v>
      </c>
      <c r="F789" s="1429" t="b">
        <v>0</v>
      </c>
      <c r="G789" s="1429" t="b">
        <v>0</v>
      </c>
      <c r="H789" s="1429" t="b">
        <v>0</v>
      </c>
      <c r="I789" s="1429" t="b">
        <v>0</v>
      </c>
      <c r="J789" s="1429" t="b">
        <v>0</v>
      </c>
      <c r="K789" s="1469"/>
      <c r="L789" s="1470"/>
      <c r="M789" s="1479"/>
      <c r="N789" s="1480"/>
      <c r="O789" s="1459" t="b">
        <v>0</v>
      </c>
      <c r="P789" s="1459" t="b">
        <v>0</v>
      </c>
      <c r="Q789" s="1460"/>
      <c r="R789" s="1460"/>
      <c r="S789" s="1460" t="b">
        <v>0</v>
      </c>
      <c r="T789" s="1460" t="b">
        <v>0</v>
      </c>
      <c r="U789" s="1460" t="b">
        <v>0</v>
      </c>
      <c r="V789" s="1460"/>
      <c r="W789" s="1460"/>
      <c r="X789" s="1460"/>
      <c r="Y789" s="1441"/>
    </row>
    <row r="790">
      <c r="A790" s="1474" t="s">
        <v>2461</v>
      </c>
      <c r="B790" s="1462" t="b">
        <v>0</v>
      </c>
      <c r="C790" s="1421" t="b">
        <v>0</v>
      </c>
      <c r="D790" s="1421" t="b">
        <v>0</v>
      </c>
      <c r="E790" s="1421" t="b">
        <v>0</v>
      </c>
      <c r="F790" s="1421" t="b">
        <v>0</v>
      </c>
      <c r="G790" s="1421" t="b">
        <v>0</v>
      </c>
      <c r="H790" s="1421" t="b">
        <v>0</v>
      </c>
      <c r="I790" s="1421" t="b">
        <v>0</v>
      </c>
      <c r="J790" s="1421" t="b">
        <v>0</v>
      </c>
      <c r="K790" s="1463"/>
      <c r="L790" s="1464"/>
      <c r="M790" s="1477"/>
      <c r="N790" s="1478"/>
      <c r="O790" s="1466" t="b">
        <v>0</v>
      </c>
      <c r="P790" s="1466" t="b">
        <v>0</v>
      </c>
      <c r="Q790" s="1467"/>
      <c r="R790" s="1467"/>
      <c r="S790" s="1467" t="b">
        <v>0</v>
      </c>
      <c r="T790" s="1467" t="b">
        <v>0</v>
      </c>
      <c r="U790" s="1467" t="b">
        <v>0</v>
      </c>
      <c r="V790" s="1467"/>
      <c r="W790" s="1467"/>
      <c r="X790" s="1467"/>
      <c r="Y790" s="1442"/>
    </row>
    <row r="791">
      <c r="A791" s="1474" t="s">
        <v>2461</v>
      </c>
      <c r="B791" s="1468" t="b">
        <v>0</v>
      </c>
      <c r="C791" s="1429" t="b">
        <v>0</v>
      </c>
      <c r="D791" s="1429" t="b">
        <v>0</v>
      </c>
      <c r="E791" s="1429" t="b">
        <v>0</v>
      </c>
      <c r="F791" s="1429" t="b">
        <v>0</v>
      </c>
      <c r="G791" s="1429" t="b">
        <v>0</v>
      </c>
      <c r="H791" s="1429" t="b">
        <v>0</v>
      </c>
      <c r="I791" s="1429" t="b">
        <v>0</v>
      </c>
      <c r="J791" s="1429" t="b">
        <v>0</v>
      </c>
      <c r="K791" s="1469"/>
      <c r="L791" s="1470"/>
      <c r="M791" s="1479"/>
      <c r="N791" s="1480"/>
      <c r="O791" s="1459" t="b">
        <v>0</v>
      </c>
      <c r="P791" s="1459" t="b">
        <v>0</v>
      </c>
      <c r="Q791" s="1460"/>
      <c r="R791" s="1460"/>
      <c r="S791" s="1460" t="b">
        <v>0</v>
      </c>
      <c r="T791" s="1460" t="b">
        <v>0</v>
      </c>
      <c r="U791" s="1460" t="b">
        <v>0</v>
      </c>
      <c r="V791" s="1460"/>
      <c r="W791" s="1460"/>
      <c r="X791" s="1460"/>
      <c r="Y791" s="1441"/>
    </row>
    <row r="792">
      <c r="A792" s="1474" t="s">
        <v>2461</v>
      </c>
      <c r="B792" s="1462" t="b">
        <v>0</v>
      </c>
      <c r="C792" s="1421" t="b">
        <v>0</v>
      </c>
      <c r="D792" s="1421" t="b">
        <v>0</v>
      </c>
      <c r="E792" s="1421" t="b">
        <v>0</v>
      </c>
      <c r="F792" s="1421" t="b">
        <v>0</v>
      </c>
      <c r="G792" s="1421" t="b">
        <v>0</v>
      </c>
      <c r="H792" s="1421" t="b">
        <v>0</v>
      </c>
      <c r="I792" s="1421" t="b">
        <v>0</v>
      </c>
      <c r="J792" s="1421" t="b">
        <v>0</v>
      </c>
      <c r="K792" s="1463"/>
      <c r="L792" s="1464"/>
      <c r="M792" s="1477"/>
      <c r="N792" s="1478"/>
      <c r="O792" s="1466" t="b">
        <v>0</v>
      </c>
      <c r="P792" s="1466" t="b">
        <v>0</v>
      </c>
      <c r="Q792" s="1467"/>
      <c r="R792" s="1467"/>
      <c r="S792" s="1467" t="b">
        <v>0</v>
      </c>
      <c r="T792" s="1467" t="b">
        <v>0</v>
      </c>
      <c r="U792" s="1467" t="b">
        <v>0</v>
      </c>
      <c r="V792" s="1467"/>
      <c r="W792" s="1467"/>
      <c r="X792" s="1467"/>
      <c r="Y792" s="1442"/>
    </row>
    <row r="793">
      <c r="A793" s="1474" t="s">
        <v>2461</v>
      </c>
      <c r="B793" s="1468" t="b">
        <v>0</v>
      </c>
      <c r="C793" s="1429" t="b">
        <v>0</v>
      </c>
      <c r="D793" s="1429" t="b">
        <v>0</v>
      </c>
      <c r="E793" s="1429" t="b">
        <v>0</v>
      </c>
      <c r="F793" s="1429" t="b">
        <v>0</v>
      </c>
      <c r="G793" s="1429" t="b">
        <v>0</v>
      </c>
      <c r="H793" s="1429" t="b">
        <v>0</v>
      </c>
      <c r="I793" s="1429" t="b">
        <v>0</v>
      </c>
      <c r="J793" s="1429" t="b">
        <v>0</v>
      </c>
      <c r="K793" s="1469"/>
      <c r="L793" s="1470"/>
      <c r="M793" s="1479"/>
      <c r="N793" s="1480"/>
      <c r="O793" s="1459" t="b">
        <v>0</v>
      </c>
      <c r="P793" s="1459" t="b">
        <v>0</v>
      </c>
      <c r="Q793" s="1460"/>
      <c r="R793" s="1460"/>
      <c r="S793" s="1460" t="b">
        <v>0</v>
      </c>
      <c r="T793" s="1460" t="b">
        <v>0</v>
      </c>
      <c r="U793" s="1460" t="b">
        <v>0</v>
      </c>
      <c r="V793" s="1460"/>
      <c r="W793" s="1460"/>
      <c r="X793" s="1460"/>
      <c r="Y793" s="1441"/>
    </row>
    <row r="794">
      <c r="A794" s="1474" t="s">
        <v>2461</v>
      </c>
      <c r="B794" s="1462" t="b">
        <v>0</v>
      </c>
      <c r="C794" s="1421" t="b">
        <v>0</v>
      </c>
      <c r="D794" s="1421" t="b">
        <v>0</v>
      </c>
      <c r="E794" s="1421" t="b">
        <v>0</v>
      </c>
      <c r="F794" s="1421" t="b">
        <v>0</v>
      </c>
      <c r="G794" s="1421" t="b">
        <v>0</v>
      </c>
      <c r="H794" s="1421" t="b">
        <v>0</v>
      </c>
      <c r="I794" s="1421" t="b">
        <v>0</v>
      </c>
      <c r="J794" s="1421" t="b">
        <v>0</v>
      </c>
      <c r="K794" s="1463"/>
      <c r="L794" s="1464"/>
      <c r="M794" s="1477"/>
      <c r="N794" s="1478"/>
      <c r="O794" s="1466" t="b">
        <v>0</v>
      </c>
      <c r="P794" s="1466" t="b">
        <v>0</v>
      </c>
      <c r="Q794" s="1467"/>
      <c r="R794" s="1467"/>
      <c r="S794" s="1467" t="b">
        <v>0</v>
      </c>
      <c r="T794" s="1467" t="b">
        <v>0</v>
      </c>
      <c r="U794" s="1467" t="b">
        <v>0</v>
      </c>
      <c r="V794" s="1467"/>
      <c r="W794" s="1467"/>
      <c r="X794" s="1467"/>
      <c r="Y794" s="1442"/>
    </row>
    <row r="795">
      <c r="A795" s="1474" t="s">
        <v>2461</v>
      </c>
      <c r="B795" s="1468" t="b">
        <v>0</v>
      </c>
      <c r="C795" s="1429" t="b">
        <v>0</v>
      </c>
      <c r="D795" s="1429" t="b">
        <v>0</v>
      </c>
      <c r="E795" s="1429" t="b">
        <v>0</v>
      </c>
      <c r="F795" s="1429" t="b">
        <v>0</v>
      </c>
      <c r="G795" s="1429" t="b">
        <v>0</v>
      </c>
      <c r="H795" s="1429" t="b">
        <v>0</v>
      </c>
      <c r="I795" s="1429" t="b">
        <v>0</v>
      </c>
      <c r="J795" s="1429" t="b">
        <v>0</v>
      </c>
      <c r="K795" s="1469"/>
      <c r="L795" s="1470"/>
      <c r="M795" s="1479"/>
      <c r="N795" s="1480"/>
      <c r="O795" s="1459" t="b">
        <v>0</v>
      </c>
      <c r="P795" s="1459" t="b">
        <v>0</v>
      </c>
      <c r="Q795" s="1460"/>
      <c r="R795" s="1460"/>
      <c r="S795" s="1460" t="b">
        <v>0</v>
      </c>
      <c r="T795" s="1460" t="b">
        <v>0</v>
      </c>
      <c r="U795" s="1460" t="b">
        <v>0</v>
      </c>
      <c r="V795" s="1460"/>
      <c r="W795" s="1460"/>
      <c r="X795" s="1460"/>
      <c r="Y795" s="1441"/>
    </row>
    <row r="796">
      <c r="A796" s="1474" t="s">
        <v>2461</v>
      </c>
      <c r="B796" s="1462" t="b">
        <v>0</v>
      </c>
      <c r="C796" s="1421" t="b">
        <v>0</v>
      </c>
      <c r="D796" s="1421" t="b">
        <v>0</v>
      </c>
      <c r="E796" s="1421" t="b">
        <v>0</v>
      </c>
      <c r="F796" s="1421" t="b">
        <v>0</v>
      </c>
      <c r="G796" s="1421" t="b">
        <v>0</v>
      </c>
      <c r="H796" s="1421" t="b">
        <v>0</v>
      </c>
      <c r="I796" s="1421" t="b">
        <v>0</v>
      </c>
      <c r="J796" s="1421" t="b">
        <v>0</v>
      </c>
      <c r="K796" s="1463"/>
      <c r="L796" s="1464"/>
      <c r="M796" s="1477"/>
      <c r="N796" s="1478"/>
      <c r="O796" s="1466" t="b">
        <v>0</v>
      </c>
      <c r="P796" s="1466" t="b">
        <v>0</v>
      </c>
      <c r="Q796" s="1467"/>
      <c r="R796" s="1467"/>
      <c r="S796" s="1467" t="b">
        <v>0</v>
      </c>
      <c r="T796" s="1467" t="b">
        <v>0</v>
      </c>
      <c r="U796" s="1467" t="b">
        <v>0</v>
      </c>
      <c r="V796" s="1467"/>
      <c r="W796" s="1467"/>
      <c r="X796" s="1467"/>
      <c r="Y796" s="1442"/>
    </row>
    <row r="797">
      <c r="A797" s="1474" t="s">
        <v>2461</v>
      </c>
      <c r="B797" s="1468" t="b">
        <v>0</v>
      </c>
      <c r="C797" s="1429" t="b">
        <v>0</v>
      </c>
      <c r="D797" s="1429" t="b">
        <v>0</v>
      </c>
      <c r="E797" s="1429" t="b">
        <v>0</v>
      </c>
      <c r="F797" s="1429" t="b">
        <v>0</v>
      </c>
      <c r="G797" s="1429" t="b">
        <v>0</v>
      </c>
      <c r="H797" s="1429" t="b">
        <v>0</v>
      </c>
      <c r="I797" s="1429" t="b">
        <v>0</v>
      </c>
      <c r="J797" s="1429" t="b">
        <v>0</v>
      </c>
      <c r="K797" s="1469"/>
      <c r="L797" s="1470"/>
      <c r="M797" s="1479"/>
      <c r="N797" s="1480"/>
      <c r="O797" s="1459" t="b">
        <v>0</v>
      </c>
      <c r="P797" s="1459" t="b">
        <v>0</v>
      </c>
      <c r="Q797" s="1460"/>
      <c r="R797" s="1460"/>
      <c r="S797" s="1460" t="b">
        <v>0</v>
      </c>
      <c r="T797" s="1460" t="b">
        <v>0</v>
      </c>
      <c r="U797" s="1460" t="b">
        <v>0</v>
      </c>
      <c r="V797" s="1460"/>
      <c r="W797" s="1460"/>
      <c r="X797" s="1460"/>
      <c r="Y797" s="1441"/>
    </row>
    <row r="798">
      <c r="A798" s="1474" t="s">
        <v>2461</v>
      </c>
      <c r="B798" s="1462" t="b">
        <v>0</v>
      </c>
      <c r="C798" s="1421" t="b">
        <v>0</v>
      </c>
      <c r="D798" s="1421" t="b">
        <v>0</v>
      </c>
      <c r="E798" s="1421" t="b">
        <v>0</v>
      </c>
      <c r="F798" s="1421" t="b">
        <v>0</v>
      </c>
      <c r="G798" s="1421" t="b">
        <v>0</v>
      </c>
      <c r="H798" s="1421" t="b">
        <v>0</v>
      </c>
      <c r="I798" s="1421" t="b">
        <v>0</v>
      </c>
      <c r="J798" s="1421" t="b">
        <v>0</v>
      </c>
      <c r="K798" s="1463"/>
      <c r="L798" s="1464"/>
      <c r="M798" s="1477"/>
      <c r="N798" s="1478"/>
      <c r="O798" s="1466" t="b">
        <v>0</v>
      </c>
      <c r="P798" s="1466" t="b">
        <v>0</v>
      </c>
      <c r="Q798" s="1467"/>
      <c r="R798" s="1467"/>
      <c r="S798" s="1467" t="b">
        <v>0</v>
      </c>
      <c r="T798" s="1467" t="b">
        <v>0</v>
      </c>
      <c r="U798" s="1467" t="b">
        <v>0</v>
      </c>
      <c r="V798" s="1467"/>
      <c r="W798" s="1467"/>
      <c r="X798" s="1467"/>
      <c r="Y798" s="1442"/>
    </row>
    <row r="799">
      <c r="A799" s="1474" t="s">
        <v>2461</v>
      </c>
      <c r="B799" s="1468" t="b">
        <v>0</v>
      </c>
      <c r="C799" s="1429" t="b">
        <v>0</v>
      </c>
      <c r="D799" s="1429" t="b">
        <v>0</v>
      </c>
      <c r="E799" s="1429" t="b">
        <v>0</v>
      </c>
      <c r="F799" s="1429" t="b">
        <v>0</v>
      </c>
      <c r="G799" s="1429" t="b">
        <v>0</v>
      </c>
      <c r="H799" s="1429" t="b">
        <v>0</v>
      </c>
      <c r="I799" s="1429" t="b">
        <v>0</v>
      </c>
      <c r="J799" s="1429" t="b">
        <v>0</v>
      </c>
      <c r="K799" s="1469"/>
      <c r="L799" s="1470"/>
      <c r="M799" s="1479"/>
      <c r="N799" s="1480"/>
      <c r="O799" s="1459" t="b">
        <v>0</v>
      </c>
      <c r="P799" s="1459" t="b">
        <v>0</v>
      </c>
      <c r="Q799" s="1460"/>
      <c r="R799" s="1460"/>
      <c r="S799" s="1460" t="b">
        <v>0</v>
      </c>
      <c r="T799" s="1460" t="b">
        <v>0</v>
      </c>
      <c r="U799" s="1460" t="b">
        <v>0</v>
      </c>
      <c r="V799" s="1460"/>
      <c r="W799" s="1460"/>
      <c r="X799" s="1460"/>
      <c r="Y799" s="1441"/>
    </row>
    <row r="800">
      <c r="A800" s="1474" t="s">
        <v>2461</v>
      </c>
      <c r="B800" s="1462" t="b">
        <v>0</v>
      </c>
      <c r="C800" s="1421" t="b">
        <v>0</v>
      </c>
      <c r="D800" s="1421" t="b">
        <v>0</v>
      </c>
      <c r="E800" s="1421" t="b">
        <v>0</v>
      </c>
      <c r="F800" s="1421" t="b">
        <v>0</v>
      </c>
      <c r="G800" s="1421" t="b">
        <v>0</v>
      </c>
      <c r="H800" s="1421" t="b">
        <v>0</v>
      </c>
      <c r="I800" s="1421" t="b">
        <v>0</v>
      </c>
      <c r="J800" s="1421" t="b">
        <v>0</v>
      </c>
      <c r="K800" s="1463"/>
      <c r="L800" s="1464"/>
      <c r="M800" s="1477"/>
      <c r="N800" s="1478"/>
      <c r="O800" s="1466" t="b">
        <v>0</v>
      </c>
      <c r="P800" s="1466" t="b">
        <v>0</v>
      </c>
      <c r="Q800" s="1467"/>
      <c r="R800" s="1467"/>
      <c r="S800" s="1467" t="b">
        <v>0</v>
      </c>
      <c r="T800" s="1467" t="b">
        <v>0</v>
      </c>
      <c r="U800" s="1467" t="b">
        <v>0</v>
      </c>
      <c r="V800" s="1467"/>
      <c r="W800" s="1467"/>
      <c r="X800" s="1467"/>
      <c r="Y800" s="1442"/>
    </row>
    <row r="801">
      <c r="A801" s="1474" t="s">
        <v>2461</v>
      </c>
      <c r="B801" s="1468" t="b">
        <v>0</v>
      </c>
      <c r="C801" s="1429" t="b">
        <v>0</v>
      </c>
      <c r="D801" s="1429" t="b">
        <v>0</v>
      </c>
      <c r="E801" s="1429" t="b">
        <v>0</v>
      </c>
      <c r="F801" s="1429" t="b">
        <v>0</v>
      </c>
      <c r="G801" s="1429" t="b">
        <v>0</v>
      </c>
      <c r="H801" s="1429" t="b">
        <v>0</v>
      </c>
      <c r="I801" s="1429" t="b">
        <v>0</v>
      </c>
      <c r="J801" s="1429" t="b">
        <v>0</v>
      </c>
      <c r="K801" s="1469"/>
      <c r="L801" s="1470"/>
      <c r="M801" s="1479"/>
      <c r="N801" s="1480"/>
      <c r="O801" s="1459" t="b">
        <v>0</v>
      </c>
      <c r="P801" s="1459" t="b">
        <v>0</v>
      </c>
      <c r="Q801" s="1460"/>
      <c r="R801" s="1460"/>
      <c r="S801" s="1460" t="b">
        <v>0</v>
      </c>
      <c r="T801" s="1460" t="b">
        <v>0</v>
      </c>
      <c r="U801" s="1460" t="b">
        <v>0</v>
      </c>
      <c r="V801" s="1460"/>
      <c r="W801" s="1460"/>
      <c r="X801" s="1460"/>
      <c r="Y801" s="1441"/>
    </row>
    <row r="802">
      <c r="A802" s="1474" t="s">
        <v>2461</v>
      </c>
      <c r="B802" s="1462" t="b">
        <v>0</v>
      </c>
      <c r="C802" s="1421" t="b">
        <v>0</v>
      </c>
      <c r="D802" s="1421" t="b">
        <v>0</v>
      </c>
      <c r="E802" s="1421" t="b">
        <v>0</v>
      </c>
      <c r="F802" s="1421" t="b">
        <v>0</v>
      </c>
      <c r="G802" s="1421" t="b">
        <v>0</v>
      </c>
      <c r="H802" s="1421" t="b">
        <v>0</v>
      </c>
      <c r="I802" s="1421" t="b">
        <v>0</v>
      </c>
      <c r="J802" s="1421" t="b">
        <v>0</v>
      </c>
      <c r="K802" s="1463"/>
      <c r="L802" s="1464"/>
      <c r="M802" s="1477"/>
      <c r="N802" s="1478"/>
      <c r="O802" s="1466" t="b">
        <v>0</v>
      </c>
      <c r="P802" s="1466" t="b">
        <v>0</v>
      </c>
      <c r="Q802" s="1467"/>
      <c r="R802" s="1467"/>
      <c r="S802" s="1467" t="b">
        <v>0</v>
      </c>
      <c r="T802" s="1467" t="b">
        <v>0</v>
      </c>
      <c r="U802" s="1467" t="b">
        <v>0</v>
      </c>
      <c r="V802" s="1467"/>
      <c r="W802" s="1467"/>
      <c r="X802" s="1467"/>
      <c r="Y802" s="1442"/>
    </row>
    <row r="803">
      <c r="A803" s="1474" t="s">
        <v>2461</v>
      </c>
      <c r="B803" s="1468" t="b">
        <v>0</v>
      </c>
      <c r="C803" s="1429" t="b">
        <v>0</v>
      </c>
      <c r="D803" s="1429" t="b">
        <v>0</v>
      </c>
      <c r="E803" s="1429" t="b">
        <v>0</v>
      </c>
      <c r="F803" s="1429" t="b">
        <v>0</v>
      </c>
      <c r="G803" s="1429" t="b">
        <v>0</v>
      </c>
      <c r="H803" s="1429" t="b">
        <v>0</v>
      </c>
      <c r="I803" s="1429" t="b">
        <v>0</v>
      </c>
      <c r="J803" s="1429" t="b">
        <v>0</v>
      </c>
      <c r="K803" s="1469"/>
      <c r="L803" s="1470"/>
      <c r="M803" s="1479"/>
      <c r="N803" s="1480"/>
      <c r="O803" s="1459" t="b">
        <v>0</v>
      </c>
      <c r="P803" s="1459" t="b">
        <v>0</v>
      </c>
      <c r="Q803" s="1460"/>
      <c r="R803" s="1460"/>
      <c r="S803" s="1460" t="b">
        <v>0</v>
      </c>
      <c r="T803" s="1460" t="b">
        <v>0</v>
      </c>
      <c r="U803" s="1460" t="b">
        <v>0</v>
      </c>
      <c r="V803" s="1460"/>
      <c r="W803" s="1460"/>
      <c r="X803" s="1460"/>
      <c r="Y803" s="1441"/>
    </row>
    <row r="804">
      <c r="A804" s="1474" t="s">
        <v>2461</v>
      </c>
      <c r="B804" s="1462" t="b">
        <v>0</v>
      </c>
      <c r="C804" s="1421" t="b">
        <v>0</v>
      </c>
      <c r="D804" s="1421" t="b">
        <v>0</v>
      </c>
      <c r="E804" s="1421" t="b">
        <v>0</v>
      </c>
      <c r="F804" s="1421" t="b">
        <v>0</v>
      </c>
      <c r="G804" s="1421" t="b">
        <v>0</v>
      </c>
      <c r="H804" s="1421" t="b">
        <v>0</v>
      </c>
      <c r="I804" s="1421" t="b">
        <v>0</v>
      </c>
      <c r="J804" s="1421" t="b">
        <v>0</v>
      </c>
      <c r="K804" s="1463"/>
      <c r="L804" s="1464"/>
      <c r="M804" s="1477"/>
      <c r="N804" s="1478"/>
      <c r="O804" s="1466" t="b">
        <v>0</v>
      </c>
      <c r="P804" s="1466" t="b">
        <v>0</v>
      </c>
      <c r="Q804" s="1467"/>
      <c r="R804" s="1467"/>
      <c r="S804" s="1467" t="b">
        <v>0</v>
      </c>
      <c r="T804" s="1467" t="b">
        <v>0</v>
      </c>
      <c r="U804" s="1467" t="b">
        <v>0</v>
      </c>
      <c r="V804" s="1467"/>
      <c r="W804" s="1467"/>
      <c r="X804" s="1467"/>
      <c r="Y804" s="1442"/>
    </row>
    <row r="805">
      <c r="A805" s="1474" t="s">
        <v>2461</v>
      </c>
      <c r="B805" s="1468" t="b">
        <v>0</v>
      </c>
      <c r="C805" s="1429" t="b">
        <v>0</v>
      </c>
      <c r="D805" s="1429" t="b">
        <v>0</v>
      </c>
      <c r="E805" s="1429" t="b">
        <v>0</v>
      </c>
      <c r="F805" s="1429" t="b">
        <v>0</v>
      </c>
      <c r="G805" s="1429" t="b">
        <v>0</v>
      </c>
      <c r="H805" s="1429" t="b">
        <v>0</v>
      </c>
      <c r="I805" s="1429" t="b">
        <v>0</v>
      </c>
      <c r="J805" s="1429" t="b">
        <v>0</v>
      </c>
      <c r="K805" s="1469"/>
      <c r="L805" s="1470"/>
      <c r="M805" s="1479"/>
      <c r="N805" s="1480"/>
      <c r="O805" s="1459" t="b">
        <v>0</v>
      </c>
      <c r="P805" s="1459" t="b">
        <v>0</v>
      </c>
      <c r="Q805" s="1460"/>
      <c r="R805" s="1460"/>
      <c r="S805" s="1460" t="b">
        <v>0</v>
      </c>
      <c r="T805" s="1460" t="b">
        <v>0</v>
      </c>
      <c r="U805" s="1460" t="b">
        <v>0</v>
      </c>
      <c r="V805" s="1460"/>
      <c r="W805" s="1460"/>
      <c r="X805" s="1460"/>
      <c r="Y805" s="1441"/>
    </row>
    <row r="806">
      <c r="A806" s="1474" t="s">
        <v>2461</v>
      </c>
      <c r="B806" s="1462" t="b">
        <v>0</v>
      </c>
      <c r="C806" s="1421" t="b">
        <v>0</v>
      </c>
      <c r="D806" s="1421" t="b">
        <v>0</v>
      </c>
      <c r="E806" s="1421" t="b">
        <v>0</v>
      </c>
      <c r="F806" s="1421" t="b">
        <v>0</v>
      </c>
      <c r="G806" s="1421" t="b">
        <v>0</v>
      </c>
      <c r="H806" s="1421" t="b">
        <v>0</v>
      </c>
      <c r="I806" s="1421" t="b">
        <v>0</v>
      </c>
      <c r="J806" s="1421" t="b">
        <v>0</v>
      </c>
      <c r="K806" s="1463"/>
      <c r="L806" s="1464"/>
      <c r="M806" s="1477"/>
      <c r="N806" s="1478"/>
      <c r="O806" s="1466" t="b">
        <v>0</v>
      </c>
      <c r="P806" s="1466" t="b">
        <v>0</v>
      </c>
      <c r="Q806" s="1467"/>
      <c r="R806" s="1467"/>
      <c r="S806" s="1467" t="b">
        <v>0</v>
      </c>
      <c r="T806" s="1467" t="b">
        <v>0</v>
      </c>
      <c r="U806" s="1467" t="b">
        <v>0</v>
      </c>
      <c r="V806" s="1467"/>
      <c r="W806" s="1467"/>
      <c r="X806" s="1467"/>
      <c r="Y806" s="1442"/>
    </row>
    <row r="807">
      <c r="A807" s="1474" t="s">
        <v>2461</v>
      </c>
      <c r="B807" s="1468" t="b">
        <v>0</v>
      </c>
      <c r="C807" s="1429" t="b">
        <v>0</v>
      </c>
      <c r="D807" s="1429" t="b">
        <v>0</v>
      </c>
      <c r="E807" s="1429" t="b">
        <v>0</v>
      </c>
      <c r="F807" s="1429" t="b">
        <v>0</v>
      </c>
      <c r="G807" s="1429" t="b">
        <v>0</v>
      </c>
      <c r="H807" s="1429" t="b">
        <v>0</v>
      </c>
      <c r="I807" s="1429" t="b">
        <v>0</v>
      </c>
      <c r="J807" s="1429" t="b">
        <v>0</v>
      </c>
      <c r="K807" s="1469"/>
      <c r="L807" s="1470"/>
      <c r="M807" s="1479"/>
      <c r="N807" s="1480"/>
      <c r="O807" s="1459" t="b">
        <v>0</v>
      </c>
      <c r="P807" s="1459" t="b">
        <v>0</v>
      </c>
      <c r="Q807" s="1460"/>
      <c r="R807" s="1460"/>
      <c r="S807" s="1460" t="b">
        <v>0</v>
      </c>
      <c r="T807" s="1460" t="b">
        <v>0</v>
      </c>
      <c r="U807" s="1460" t="b">
        <v>0</v>
      </c>
      <c r="V807" s="1460"/>
      <c r="W807" s="1460"/>
      <c r="X807" s="1460"/>
      <c r="Y807" s="1441"/>
    </row>
    <row r="808">
      <c r="A808" s="1474" t="s">
        <v>2461</v>
      </c>
      <c r="B808" s="1462" t="b">
        <v>0</v>
      </c>
      <c r="C808" s="1421" t="b">
        <v>0</v>
      </c>
      <c r="D808" s="1421" t="b">
        <v>0</v>
      </c>
      <c r="E808" s="1421" t="b">
        <v>0</v>
      </c>
      <c r="F808" s="1421" t="b">
        <v>0</v>
      </c>
      <c r="G808" s="1421" t="b">
        <v>0</v>
      </c>
      <c r="H808" s="1421" t="b">
        <v>0</v>
      </c>
      <c r="I808" s="1421" t="b">
        <v>0</v>
      </c>
      <c r="J808" s="1421" t="b">
        <v>0</v>
      </c>
      <c r="K808" s="1463"/>
      <c r="L808" s="1464"/>
      <c r="M808" s="1477"/>
      <c r="N808" s="1478"/>
      <c r="O808" s="1466" t="b">
        <v>0</v>
      </c>
      <c r="P808" s="1466" t="b">
        <v>0</v>
      </c>
      <c r="Q808" s="1467"/>
      <c r="R808" s="1467"/>
      <c r="S808" s="1467" t="b">
        <v>0</v>
      </c>
      <c r="T808" s="1467" t="b">
        <v>0</v>
      </c>
      <c r="U808" s="1467" t="b">
        <v>0</v>
      </c>
      <c r="V808" s="1467"/>
      <c r="W808" s="1467"/>
      <c r="X808" s="1467"/>
      <c r="Y808" s="1442"/>
    </row>
    <row r="809">
      <c r="A809" s="1474" t="s">
        <v>2461</v>
      </c>
      <c r="B809" s="1468" t="b">
        <v>0</v>
      </c>
      <c r="C809" s="1429" t="b">
        <v>0</v>
      </c>
      <c r="D809" s="1429" t="b">
        <v>0</v>
      </c>
      <c r="E809" s="1429" t="b">
        <v>0</v>
      </c>
      <c r="F809" s="1429" t="b">
        <v>0</v>
      </c>
      <c r="G809" s="1429" t="b">
        <v>0</v>
      </c>
      <c r="H809" s="1429" t="b">
        <v>0</v>
      </c>
      <c r="I809" s="1429" t="b">
        <v>0</v>
      </c>
      <c r="J809" s="1429" t="b">
        <v>0</v>
      </c>
      <c r="K809" s="1469"/>
      <c r="L809" s="1470"/>
      <c r="M809" s="1479"/>
      <c r="N809" s="1480"/>
      <c r="O809" s="1459" t="b">
        <v>0</v>
      </c>
      <c r="P809" s="1459" t="b">
        <v>0</v>
      </c>
      <c r="Q809" s="1460"/>
      <c r="R809" s="1460"/>
      <c r="S809" s="1460" t="b">
        <v>0</v>
      </c>
      <c r="T809" s="1460" t="b">
        <v>0</v>
      </c>
      <c r="U809" s="1460" t="b">
        <v>0</v>
      </c>
      <c r="V809" s="1460"/>
      <c r="W809" s="1460"/>
      <c r="X809" s="1460"/>
      <c r="Y809" s="1441"/>
    </row>
    <row r="810">
      <c r="A810" s="1474" t="s">
        <v>2461</v>
      </c>
      <c r="B810" s="1462" t="b">
        <v>0</v>
      </c>
      <c r="C810" s="1421" t="b">
        <v>0</v>
      </c>
      <c r="D810" s="1421" t="b">
        <v>0</v>
      </c>
      <c r="E810" s="1421" t="b">
        <v>0</v>
      </c>
      <c r="F810" s="1421" t="b">
        <v>0</v>
      </c>
      <c r="G810" s="1421" t="b">
        <v>0</v>
      </c>
      <c r="H810" s="1421" t="b">
        <v>0</v>
      </c>
      <c r="I810" s="1421" t="b">
        <v>0</v>
      </c>
      <c r="J810" s="1421" t="b">
        <v>0</v>
      </c>
      <c r="K810" s="1463"/>
      <c r="L810" s="1464"/>
      <c r="M810" s="1477"/>
      <c r="N810" s="1478"/>
      <c r="O810" s="1466" t="b">
        <v>0</v>
      </c>
      <c r="P810" s="1466" t="b">
        <v>0</v>
      </c>
      <c r="Q810" s="1467"/>
      <c r="R810" s="1467"/>
      <c r="S810" s="1467" t="b">
        <v>0</v>
      </c>
      <c r="T810" s="1467" t="b">
        <v>0</v>
      </c>
      <c r="U810" s="1467" t="b">
        <v>0</v>
      </c>
      <c r="V810" s="1467"/>
      <c r="W810" s="1467"/>
      <c r="X810" s="1467"/>
      <c r="Y810" s="1442"/>
    </row>
    <row r="811">
      <c r="A811" s="1474" t="s">
        <v>2461</v>
      </c>
      <c r="B811" s="1468" t="b">
        <v>0</v>
      </c>
      <c r="C811" s="1429" t="b">
        <v>0</v>
      </c>
      <c r="D811" s="1429" t="b">
        <v>0</v>
      </c>
      <c r="E811" s="1429" t="b">
        <v>0</v>
      </c>
      <c r="F811" s="1429" t="b">
        <v>0</v>
      </c>
      <c r="G811" s="1429" t="b">
        <v>0</v>
      </c>
      <c r="H811" s="1429" t="b">
        <v>0</v>
      </c>
      <c r="I811" s="1429" t="b">
        <v>0</v>
      </c>
      <c r="J811" s="1429" t="b">
        <v>0</v>
      </c>
      <c r="K811" s="1469"/>
      <c r="L811" s="1470"/>
      <c r="M811" s="1479"/>
      <c r="N811" s="1480"/>
      <c r="O811" s="1459" t="b">
        <v>0</v>
      </c>
      <c r="P811" s="1459" t="b">
        <v>0</v>
      </c>
      <c r="Q811" s="1460"/>
      <c r="R811" s="1460"/>
      <c r="S811" s="1460" t="b">
        <v>0</v>
      </c>
      <c r="T811" s="1460" t="b">
        <v>0</v>
      </c>
      <c r="U811" s="1460" t="b">
        <v>0</v>
      </c>
      <c r="V811" s="1460"/>
      <c r="W811" s="1460"/>
      <c r="X811" s="1460"/>
      <c r="Y811" s="1441"/>
    </row>
    <row r="812">
      <c r="A812" s="1474" t="s">
        <v>2461</v>
      </c>
      <c r="B812" s="1462" t="b">
        <v>0</v>
      </c>
      <c r="C812" s="1421" t="b">
        <v>0</v>
      </c>
      <c r="D812" s="1421" t="b">
        <v>0</v>
      </c>
      <c r="E812" s="1421" t="b">
        <v>0</v>
      </c>
      <c r="F812" s="1421" t="b">
        <v>0</v>
      </c>
      <c r="G812" s="1421" t="b">
        <v>0</v>
      </c>
      <c r="H812" s="1421" t="b">
        <v>0</v>
      </c>
      <c r="I812" s="1421" t="b">
        <v>0</v>
      </c>
      <c r="J812" s="1421" t="b">
        <v>0</v>
      </c>
      <c r="K812" s="1463"/>
      <c r="L812" s="1464"/>
      <c r="M812" s="1477"/>
      <c r="N812" s="1478"/>
      <c r="O812" s="1466" t="b">
        <v>0</v>
      </c>
      <c r="P812" s="1466" t="b">
        <v>0</v>
      </c>
      <c r="Q812" s="1467"/>
      <c r="R812" s="1467"/>
      <c r="S812" s="1467" t="b">
        <v>0</v>
      </c>
      <c r="T812" s="1467" t="b">
        <v>0</v>
      </c>
      <c r="U812" s="1467" t="b">
        <v>0</v>
      </c>
      <c r="V812" s="1467"/>
      <c r="W812" s="1467"/>
      <c r="X812" s="1467"/>
      <c r="Y812" s="1442"/>
    </row>
    <row r="813">
      <c r="A813" s="1474" t="s">
        <v>2461</v>
      </c>
      <c r="B813" s="1468" t="b">
        <v>0</v>
      </c>
      <c r="C813" s="1429" t="b">
        <v>0</v>
      </c>
      <c r="D813" s="1429" t="b">
        <v>0</v>
      </c>
      <c r="E813" s="1429" t="b">
        <v>0</v>
      </c>
      <c r="F813" s="1429" t="b">
        <v>0</v>
      </c>
      <c r="G813" s="1429" t="b">
        <v>0</v>
      </c>
      <c r="H813" s="1429" t="b">
        <v>0</v>
      </c>
      <c r="I813" s="1429" t="b">
        <v>0</v>
      </c>
      <c r="J813" s="1429" t="b">
        <v>0</v>
      </c>
      <c r="K813" s="1469"/>
      <c r="L813" s="1470"/>
      <c r="M813" s="1479"/>
      <c r="N813" s="1480"/>
      <c r="O813" s="1459" t="b">
        <v>0</v>
      </c>
      <c r="P813" s="1459" t="b">
        <v>0</v>
      </c>
      <c r="Q813" s="1460"/>
      <c r="R813" s="1460"/>
      <c r="S813" s="1460" t="b">
        <v>0</v>
      </c>
      <c r="T813" s="1460" t="b">
        <v>0</v>
      </c>
      <c r="U813" s="1460" t="b">
        <v>0</v>
      </c>
      <c r="V813" s="1460"/>
      <c r="W813" s="1460"/>
      <c r="X813" s="1460"/>
      <c r="Y813" s="1441"/>
    </row>
    <row r="814">
      <c r="A814" s="1474" t="s">
        <v>2461</v>
      </c>
      <c r="B814" s="1462" t="b">
        <v>0</v>
      </c>
      <c r="C814" s="1421" t="b">
        <v>0</v>
      </c>
      <c r="D814" s="1421" t="b">
        <v>0</v>
      </c>
      <c r="E814" s="1421" t="b">
        <v>0</v>
      </c>
      <c r="F814" s="1421" t="b">
        <v>0</v>
      </c>
      <c r="G814" s="1421" t="b">
        <v>0</v>
      </c>
      <c r="H814" s="1421" t="b">
        <v>0</v>
      </c>
      <c r="I814" s="1421" t="b">
        <v>0</v>
      </c>
      <c r="J814" s="1421" t="b">
        <v>0</v>
      </c>
      <c r="K814" s="1463"/>
      <c r="L814" s="1464"/>
      <c r="M814" s="1477"/>
      <c r="N814" s="1478"/>
      <c r="O814" s="1466" t="b">
        <v>0</v>
      </c>
      <c r="P814" s="1466" t="b">
        <v>0</v>
      </c>
      <c r="Q814" s="1467"/>
      <c r="R814" s="1467"/>
      <c r="S814" s="1467" t="b">
        <v>0</v>
      </c>
      <c r="T814" s="1467" t="b">
        <v>0</v>
      </c>
      <c r="U814" s="1467" t="b">
        <v>0</v>
      </c>
      <c r="V814" s="1467"/>
      <c r="W814" s="1467"/>
      <c r="X814" s="1467"/>
      <c r="Y814" s="1442"/>
    </row>
    <row r="815">
      <c r="A815" s="1474" t="s">
        <v>2461</v>
      </c>
      <c r="B815" s="1468" t="b">
        <v>0</v>
      </c>
      <c r="C815" s="1429" t="b">
        <v>0</v>
      </c>
      <c r="D815" s="1429" t="b">
        <v>0</v>
      </c>
      <c r="E815" s="1429" t="b">
        <v>0</v>
      </c>
      <c r="F815" s="1429" t="b">
        <v>0</v>
      </c>
      <c r="G815" s="1429" t="b">
        <v>0</v>
      </c>
      <c r="H815" s="1429" t="b">
        <v>0</v>
      </c>
      <c r="I815" s="1429" t="b">
        <v>0</v>
      </c>
      <c r="J815" s="1429" t="b">
        <v>0</v>
      </c>
      <c r="K815" s="1469"/>
      <c r="L815" s="1470"/>
      <c r="M815" s="1479"/>
      <c r="N815" s="1480"/>
      <c r="O815" s="1459" t="b">
        <v>0</v>
      </c>
      <c r="P815" s="1459" t="b">
        <v>0</v>
      </c>
      <c r="Q815" s="1460"/>
      <c r="R815" s="1460"/>
      <c r="S815" s="1460" t="b">
        <v>0</v>
      </c>
      <c r="T815" s="1460" t="b">
        <v>0</v>
      </c>
      <c r="U815" s="1460" t="b">
        <v>0</v>
      </c>
      <c r="V815" s="1460"/>
      <c r="W815" s="1460"/>
      <c r="X815" s="1460"/>
      <c r="Y815" s="1441"/>
    </row>
    <row r="816">
      <c r="A816" s="1474" t="s">
        <v>2461</v>
      </c>
      <c r="B816" s="1462" t="b">
        <v>0</v>
      </c>
      <c r="C816" s="1421" t="b">
        <v>0</v>
      </c>
      <c r="D816" s="1421" t="b">
        <v>0</v>
      </c>
      <c r="E816" s="1421" t="b">
        <v>0</v>
      </c>
      <c r="F816" s="1421" t="b">
        <v>0</v>
      </c>
      <c r="G816" s="1421" t="b">
        <v>0</v>
      </c>
      <c r="H816" s="1421" t="b">
        <v>0</v>
      </c>
      <c r="I816" s="1421" t="b">
        <v>0</v>
      </c>
      <c r="J816" s="1421" t="b">
        <v>0</v>
      </c>
      <c r="K816" s="1463"/>
      <c r="L816" s="1464"/>
      <c r="M816" s="1477"/>
      <c r="N816" s="1478"/>
      <c r="O816" s="1466" t="b">
        <v>0</v>
      </c>
      <c r="P816" s="1466" t="b">
        <v>0</v>
      </c>
      <c r="Q816" s="1467"/>
      <c r="R816" s="1467"/>
      <c r="S816" s="1467" t="b">
        <v>0</v>
      </c>
      <c r="T816" s="1467" t="b">
        <v>0</v>
      </c>
      <c r="U816" s="1467" t="b">
        <v>0</v>
      </c>
      <c r="V816" s="1467"/>
      <c r="W816" s="1467"/>
      <c r="X816" s="1467"/>
      <c r="Y816" s="1442"/>
    </row>
    <row r="817">
      <c r="A817" s="1474" t="s">
        <v>2461</v>
      </c>
      <c r="B817" s="1468" t="b">
        <v>0</v>
      </c>
      <c r="C817" s="1429" t="b">
        <v>0</v>
      </c>
      <c r="D817" s="1429" t="b">
        <v>0</v>
      </c>
      <c r="E817" s="1429" t="b">
        <v>0</v>
      </c>
      <c r="F817" s="1429" t="b">
        <v>0</v>
      </c>
      <c r="G817" s="1429" t="b">
        <v>0</v>
      </c>
      <c r="H817" s="1429" t="b">
        <v>0</v>
      </c>
      <c r="I817" s="1429" t="b">
        <v>0</v>
      </c>
      <c r="J817" s="1429" t="b">
        <v>0</v>
      </c>
      <c r="K817" s="1469"/>
      <c r="L817" s="1470"/>
      <c r="M817" s="1479"/>
      <c r="N817" s="1480"/>
      <c r="O817" s="1459" t="b">
        <v>0</v>
      </c>
      <c r="P817" s="1459" t="b">
        <v>0</v>
      </c>
      <c r="Q817" s="1460"/>
      <c r="R817" s="1460"/>
      <c r="S817" s="1460" t="b">
        <v>0</v>
      </c>
      <c r="T817" s="1460" t="b">
        <v>0</v>
      </c>
      <c r="U817" s="1460" t="b">
        <v>0</v>
      </c>
      <c r="V817" s="1460"/>
      <c r="W817" s="1460"/>
      <c r="X817" s="1460"/>
      <c r="Y817" s="1441"/>
    </row>
    <row r="818">
      <c r="A818" s="1474" t="s">
        <v>2461</v>
      </c>
      <c r="B818" s="1462" t="b">
        <v>0</v>
      </c>
      <c r="C818" s="1421" t="b">
        <v>0</v>
      </c>
      <c r="D818" s="1421" t="b">
        <v>0</v>
      </c>
      <c r="E818" s="1421" t="b">
        <v>0</v>
      </c>
      <c r="F818" s="1421" t="b">
        <v>0</v>
      </c>
      <c r="G818" s="1421" t="b">
        <v>0</v>
      </c>
      <c r="H818" s="1421" t="b">
        <v>0</v>
      </c>
      <c r="I818" s="1421" t="b">
        <v>0</v>
      </c>
      <c r="J818" s="1421" t="b">
        <v>0</v>
      </c>
      <c r="K818" s="1463"/>
      <c r="L818" s="1464"/>
      <c r="M818" s="1477"/>
      <c r="N818" s="1478"/>
      <c r="O818" s="1466" t="b">
        <v>0</v>
      </c>
      <c r="P818" s="1466" t="b">
        <v>0</v>
      </c>
      <c r="Q818" s="1467"/>
      <c r="R818" s="1467"/>
      <c r="S818" s="1467" t="b">
        <v>0</v>
      </c>
      <c r="T818" s="1467" t="b">
        <v>0</v>
      </c>
      <c r="U818" s="1467" t="b">
        <v>0</v>
      </c>
      <c r="V818" s="1467"/>
      <c r="W818" s="1467"/>
      <c r="X818" s="1467"/>
      <c r="Y818" s="1442"/>
    </row>
    <row r="819">
      <c r="A819" s="1474" t="s">
        <v>2461</v>
      </c>
      <c r="B819" s="1468" t="b">
        <v>0</v>
      </c>
      <c r="C819" s="1429" t="b">
        <v>0</v>
      </c>
      <c r="D819" s="1429" t="b">
        <v>0</v>
      </c>
      <c r="E819" s="1429" t="b">
        <v>0</v>
      </c>
      <c r="F819" s="1429" t="b">
        <v>0</v>
      </c>
      <c r="G819" s="1429" t="b">
        <v>0</v>
      </c>
      <c r="H819" s="1429" t="b">
        <v>0</v>
      </c>
      <c r="I819" s="1429" t="b">
        <v>0</v>
      </c>
      <c r="J819" s="1429" t="b">
        <v>0</v>
      </c>
      <c r="K819" s="1469"/>
      <c r="L819" s="1470"/>
      <c r="M819" s="1479"/>
      <c r="N819" s="1480"/>
      <c r="O819" s="1459" t="b">
        <v>0</v>
      </c>
      <c r="P819" s="1459" t="b">
        <v>0</v>
      </c>
      <c r="Q819" s="1460"/>
      <c r="R819" s="1460"/>
      <c r="S819" s="1460" t="b">
        <v>0</v>
      </c>
      <c r="T819" s="1460" t="b">
        <v>0</v>
      </c>
      <c r="U819" s="1460" t="b">
        <v>0</v>
      </c>
      <c r="V819" s="1460"/>
      <c r="W819" s="1460"/>
      <c r="X819" s="1460"/>
      <c r="Y819" s="1441"/>
    </row>
    <row r="820">
      <c r="A820" s="1474" t="s">
        <v>2461</v>
      </c>
      <c r="B820" s="1462" t="b">
        <v>0</v>
      </c>
      <c r="C820" s="1421" t="b">
        <v>0</v>
      </c>
      <c r="D820" s="1421" t="b">
        <v>0</v>
      </c>
      <c r="E820" s="1421" t="b">
        <v>0</v>
      </c>
      <c r="F820" s="1421" t="b">
        <v>0</v>
      </c>
      <c r="G820" s="1421" t="b">
        <v>0</v>
      </c>
      <c r="H820" s="1421" t="b">
        <v>0</v>
      </c>
      <c r="I820" s="1421" t="b">
        <v>0</v>
      </c>
      <c r="J820" s="1421" t="b">
        <v>0</v>
      </c>
      <c r="K820" s="1463"/>
      <c r="L820" s="1464"/>
      <c r="M820" s="1477"/>
      <c r="N820" s="1478"/>
      <c r="O820" s="1466" t="b">
        <v>0</v>
      </c>
      <c r="P820" s="1466" t="b">
        <v>0</v>
      </c>
      <c r="Q820" s="1467"/>
      <c r="R820" s="1467"/>
      <c r="S820" s="1467" t="b">
        <v>0</v>
      </c>
      <c r="T820" s="1467" t="b">
        <v>0</v>
      </c>
      <c r="U820" s="1467" t="b">
        <v>0</v>
      </c>
      <c r="V820" s="1467"/>
      <c r="W820" s="1467"/>
      <c r="X820" s="1467"/>
      <c r="Y820" s="1442"/>
    </row>
    <row r="821">
      <c r="A821" s="1474" t="s">
        <v>2461</v>
      </c>
      <c r="B821" s="1468" t="b">
        <v>0</v>
      </c>
      <c r="C821" s="1429" t="b">
        <v>0</v>
      </c>
      <c r="D821" s="1429" t="b">
        <v>0</v>
      </c>
      <c r="E821" s="1429" t="b">
        <v>0</v>
      </c>
      <c r="F821" s="1429" t="b">
        <v>0</v>
      </c>
      <c r="G821" s="1429" t="b">
        <v>0</v>
      </c>
      <c r="H821" s="1429" t="b">
        <v>0</v>
      </c>
      <c r="I821" s="1429" t="b">
        <v>0</v>
      </c>
      <c r="J821" s="1429" t="b">
        <v>0</v>
      </c>
      <c r="K821" s="1469"/>
      <c r="L821" s="1470"/>
      <c r="M821" s="1479"/>
      <c r="N821" s="1480"/>
      <c r="O821" s="1459" t="b">
        <v>0</v>
      </c>
      <c r="P821" s="1459" t="b">
        <v>0</v>
      </c>
      <c r="Q821" s="1460"/>
      <c r="R821" s="1460"/>
      <c r="S821" s="1460" t="b">
        <v>0</v>
      </c>
      <c r="T821" s="1460" t="b">
        <v>0</v>
      </c>
      <c r="U821" s="1460" t="b">
        <v>0</v>
      </c>
      <c r="V821" s="1460"/>
      <c r="W821" s="1460"/>
      <c r="X821" s="1460"/>
      <c r="Y821" s="1441"/>
    </row>
    <row r="822">
      <c r="A822" s="1474" t="s">
        <v>2461</v>
      </c>
      <c r="B822" s="1462" t="b">
        <v>0</v>
      </c>
      <c r="C822" s="1421" t="b">
        <v>0</v>
      </c>
      <c r="D822" s="1421" t="b">
        <v>0</v>
      </c>
      <c r="E822" s="1421" t="b">
        <v>0</v>
      </c>
      <c r="F822" s="1421" t="b">
        <v>0</v>
      </c>
      <c r="G822" s="1421" t="b">
        <v>0</v>
      </c>
      <c r="H822" s="1421" t="b">
        <v>0</v>
      </c>
      <c r="I822" s="1421" t="b">
        <v>0</v>
      </c>
      <c r="J822" s="1421" t="b">
        <v>0</v>
      </c>
      <c r="K822" s="1463"/>
      <c r="L822" s="1464"/>
      <c r="M822" s="1477"/>
      <c r="N822" s="1478"/>
      <c r="O822" s="1466" t="b">
        <v>0</v>
      </c>
      <c r="P822" s="1466" t="b">
        <v>0</v>
      </c>
      <c r="Q822" s="1467"/>
      <c r="R822" s="1467"/>
      <c r="S822" s="1467" t="b">
        <v>0</v>
      </c>
      <c r="T822" s="1467" t="b">
        <v>0</v>
      </c>
      <c r="U822" s="1467" t="b">
        <v>0</v>
      </c>
      <c r="V822" s="1467"/>
      <c r="W822" s="1467"/>
      <c r="X822" s="1467"/>
      <c r="Y822" s="1442"/>
    </row>
    <row r="823">
      <c r="A823" s="1474" t="s">
        <v>2461</v>
      </c>
      <c r="B823" s="1468" t="b">
        <v>0</v>
      </c>
      <c r="C823" s="1429" t="b">
        <v>0</v>
      </c>
      <c r="D823" s="1429" t="b">
        <v>0</v>
      </c>
      <c r="E823" s="1429" t="b">
        <v>0</v>
      </c>
      <c r="F823" s="1429" t="b">
        <v>0</v>
      </c>
      <c r="G823" s="1429" t="b">
        <v>0</v>
      </c>
      <c r="H823" s="1429" t="b">
        <v>0</v>
      </c>
      <c r="I823" s="1429" t="b">
        <v>0</v>
      </c>
      <c r="J823" s="1429" t="b">
        <v>0</v>
      </c>
      <c r="K823" s="1469"/>
      <c r="L823" s="1470"/>
      <c r="M823" s="1479"/>
      <c r="N823" s="1480"/>
      <c r="O823" s="1459" t="b">
        <v>0</v>
      </c>
      <c r="P823" s="1459" t="b">
        <v>0</v>
      </c>
      <c r="Q823" s="1460"/>
      <c r="R823" s="1460"/>
      <c r="S823" s="1460" t="b">
        <v>0</v>
      </c>
      <c r="T823" s="1460" t="b">
        <v>0</v>
      </c>
      <c r="U823" s="1460" t="b">
        <v>0</v>
      </c>
      <c r="V823" s="1460"/>
      <c r="W823" s="1460"/>
      <c r="X823" s="1460"/>
      <c r="Y823" s="1441"/>
    </row>
    <row r="824">
      <c r="A824" s="1474" t="s">
        <v>2461</v>
      </c>
      <c r="B824" s="1462" t="b">
        <v>0</v>
      </c>
      <c r="C824" s="1421" t="b">
        <v>0</v>
      </c>
      <c r="D824" s="1421" t="b">
        <v>0</v>
      </c>
      <c r="E824" s="1421" t="b">
        <v>0</v>
      </c>
      <c r="F824" s="1421" t="b">
        <v>0</v>
      </c>
      <c r="G824" s="1421" t="b">
        <v>0</v>
      </c>
      <c r="H824" s="1421" t="b">
        <v>0</v>
      </c>
      <c r="I824" s="1421" t="b">
        <v>0</v>
      </c>
      <c r="J824" s="1421" t="b">
        <v>0</v>
      </c>
      <c r="K824" s="1463"/>
      <c r="L824" s="1464"/>
      <c r="M824" s="1477"/>
      <c r="N824" s="1478"/>
      <c r="O824" s="1466" t="b">
        <v>0</v>
      </c>
      <c r="P824" s="1466" t="b">
        <v>0</v>
      </c>
      <c r="Q824" s="1467"/>
      <c r="R824" s="1467"/>
      <c r="S824" s="1467" t="b">
        <v>0</v>
      </c>
      <c r="T824" s="1467" t="b">
        <v>0</v>
      </c>
      <c r="U824" s="1467" t="b">
        <v>0</v>
      </c>
      <c r="V824" s="1467"/>
      <c r="W824" s="1467"/>
      <c r="X824" s="1467"/>
      <c r="Y824" s="1442"/>
    </row>
    <row r="825">
      <c r="A825" s="1474" t="s">
        <v>2461</v>
      </c>
      <c r="B825" s="1468" t="b">
        <v>0</v>
      </c>
      <c r="C825" s="1429" t="b">
        <v>0</v>
      </c>
      <c r="D825" s="1429" t="b">
        <v>0</v>
      </c>
      <c r="E825" s="1429" t="b">
        <v>0</v>
      </c>
      <c r="F825" s="1429" t="b">
        <v>0</v>
      </c>
      <c r="G825" s="1429" t="b">
        <v>0</v>
      </c>
      <c r="H825" s="1429" t="b">
        <v>0</v>
      </c>
      <c r="I825" s="1429" t="b">
        <v>0</v>
      </c>
      <c r="J825" s="1429" t="b">
        <v>0</v>
      </c>
      <c r="K825" s="1469"/>
      <c r="L825" s="1470"/>
      <c r="M825" s="1479"/>
      <c r="N825" s="1480"/>
      <c r="O825" s="1459" t="b">
        <v>0</v>
      </c>
      <c r="P825" s="1459" t="b">
        <v>0</v>
      </c>
      <c r="Q825" s="1460"/>
      <c r="R825" s="1460"/>
      <c r="S825" s="1460" t="b">
        <v>0</v>
      </c>
      <c r="T825" s="1460" t="b">
        <v>0</v>
      </c>
      <c r="U825" s="1460" t="b">
        <v>0</v>
      </c>
      <c r="V825" s="1460"/>
      <c r="W825" s="1460"/>
      <c r="X825" s="1460"/>
      <c r="Y825" s="1441"/>
    </row>
    <row r="826">
      <c r="A826" s="1474" t="s">
        <v>2461</v>
      </c>
      <c r="B826" s="1462" t="b">
        <v>0</v>
      </c>
      <c r="C826" s="1421" t="b">
        <v>0</v>
      </c>
      <c r="D826" s="1421" t="b">
        <v>0</v>
      </c>
      <c r="E826" s="1421" t="b">
        <v>0</v>
      </c>
      <c r="F826" s="1421" t="b">
        <v>0</v>
      </c>
      <c r="G826" s="1421" t="b">
        <v>0</v>
      </c>
      <c r="H826" s="1421" t="b">
        <v>0</v>
      </c>
      <c r="I826" s="1421" t="b">
        <v>0</v>
      </c>
      <c r="J826" s="1421" t="b">
        <v>0</v>
      </c>
      <c r="K826" s="1463"/>
      <c r="L826" s="1464"/>
      <c r="M826" s="1477"/>
      <c r="N826" s="1478"/>
      <c r="O826" s="1466" t="b">
        <v>0</v>
      </c>
      <c r="P826" s="1466" t="b">
        <v>0</v>
      </c>
      <c r="Q826" s="1467"/>
      <c r="R826" s="1467"/>
      <c r="S826" s="1467" t="b">
        <v>0</v>
      </c>
      <c r="T826" s="1467" t="b">
        <v>0</v>
      </c>
      <c r="U826" s="1467" t="b">
        <v>0</v>
      </c>
      <c r="V826" s="1467"/>
      <c r="W826" s="1467"/>
      <c r="X826" s="1467"/>
      <c r="Y826" s="1442"/>
    </row>
    <row r="827">
      <c r="A827" s="1474" t="s">
        <v>2461</v>
      </c>
      <c r="B827" s="1468" t="b">
        <v>0</v>
      </c>
      <c r="C827" s="1429" t="b">
        <v>0</v>
      </c>
      <c r="D827" s="1429" t="b">
        <v>0</v>
      </c>
      <c r="E827" s="1429" t="b">
        <v>0</v>
      </c>
      <c r="F827" s="1429" t="b">
        <v>0</v>
      </c>
      <c r="G827" s="1429" t="b">
        <v>0</v>
      </c>
      <c r="H827" s="1429" t="b">
        <v>0</v>
      </c>
      <c r="I827" s="1429" t="b">
        <v>0</v>
      </c>
      <c r="J827" s="1429" t="b">
        <v>0</v>
      </c>
      <c r="K827" s="1469"/>
      <c r="L827" s="1470"/>
      <c r="M827" s="1479"/>
      <c r="N827" s="1480"/>
      <c r="O827" s="1459" t="b">
        <v>0</v>
      </c>
      <c r="P827" s="1459" t="b">
        <v>0</v>
      </c>
      <c r="Q827" s="1460"/>
      <c r="R827" s="1460"/>
      <c r="S827" s="1460" t="b">
        <v>0</v>
      </c>
      <c r="T827" s="1460" t="b">
        <v>0</v>
      </c>
      <c r="U827" s="1460" t="b">
        <v>0</v>
      </c>
      <c r="V827" s="1460"/>
      <c r="W827" s="1460"/>
      <c r="X827" s="1460"/>
      <c r="Y827" s="1441"/>
    </row>
    <row r="828">
      <c r="A828" s="1474" t="s">
        <v>2461</v>
      </c>
      <c r="B828" s="1462" t="b">
        <v>0</v>
      </c>
      <c r="C828" s="1421" t="b">
        <v>0</v>
      </c>
      <c r="D828" s="1421" t="b">
        <v>0</v>
      </c>
      <c r="E828" s="1421" t="b">
        <v>0</v>
      </c>
      <c r="F828" s="1421" t="b">
        <v>0</v>
      </c>
      <c r="G828" s="1421" t="b">
        <v>0</v>
      </c>
      <c r="H828" s="1421" t="b">
        <v>0</v>
      </c>
      <c r="I828" s="1421" t="b">
        <v>0</v>
      </c>
      <c r="J828" s="1421" t="b">
        <v>0</v>
      </c>
      <c r="K828" s="1463"/>
      <c r="L828" s="1464"/>
      <c r="M828" s="1477"/>
      <c r="N828" s="1478"/>
      <c r="O828" s="1466" t="b">
        <v>0</v>
      </c>
      <c r="P828" s="1466" t="b">
        <v>0</v>
      </c>
      <c r="Q828" s="1467"/>
      <c r="R828" s="1467"/>
      <c r="S828" s="1467" t="b">
        <v>0</v>
      </c>
      <c r="T828" s="1467" t="b">
        <v>0</v>
      </c>
      <c r="U828" s="1467" t="b">
        <v>0</v>
      </c>
      <c r="V828" s="1467"/>
      <c r="W828" s="1467"/>
      <c r="X828" s="1467"/>
      <c r="Y828" s="1442"/>
    </row>
    <row r="829">
      <c r="A829" s="1474" t="s">
        <v>2461</v>
      </c>
      <c r="B829" s="1468" t="b">
        <v>0</v>
      </c>
      <c r="C829" s="1429" t="b">
        <v>0</v>
      </c>
      <c r="D829" s="1429" t="b">
        <v>0</v>
      </c>
      <c r="E829" s="1429" t="b">
        <v>0</v>
      </c>
      <c r="F829" s="1429" t="b">
        <v>0</v>
      </c>
      <c r="G829" s="1429" t="b">
        <v>0</v>
      </c>
      <c r="H829" s="1429" t="b">
        <v>0</v>
      </c>
      <c r="I829" s="1429" t="b">
        <v>0</v>
      </c>
      <c r="J829" s="1429" t="b">
        <v>0</v>
      </c>
      <c r="K829" s="1469"/>
      <c r="L829" s="1470"/>
      <c r="M829" s="1479"/>
      <c r="N829" s="1480"/>
      <c r="O829" s="1459" t="b">
        <v>0</v>
      </c>
      <c r="P829" s="1459" t="b">
        <v>0</v>
      </c>
      <c r="Q829" s="1460"/>
      <c r="R829" s="1460"/>
      <c r="S829" s="1460" t="b">
        <v>0</v>
      </c>
      <c r="T829" s="1460" t="b">
        <v>0</v>
      </c>
      <c r="U829" s="1460" t="b">
        <v>0</v>
      </c>
      <c r="V829" s="1460"/>
      <c r="W829" s="1460"/>
      <c r="X829" s="1460"/>
      <c r="Y829" s="1441"/>
    </row>
    <row r="830">
      <c r="A830" s="1474" t="s">
        <v>2461</v>
      </c>
      <c r="B830" s="1462" t="b">
        <v>0</v>
      </c>
      <c r="C830" s="1421" t="b">
        <v>0</v>
      </c>
      <c r="D830" s="1421" t="b">
        <v>0</v>
      </c>
      <c r="E830" s="1421" t="b">
        <v>0</v>
      </c>
      <c r="F830" s="1421" t="b">
        <v>0</v>
      </c>
      <c r="G830" s="1421" t="b">
        <v>0</v>
      </c>
      <c r="H830" s="1421" t="b">
        <v>0</v>
      </c>
      <c r="I830" s="1421" t="b">
        <v>0</v>
      </c>
      <c r="J830" s="1421" t="b">
        <v>0</v>
      </c>
      <c r="K830" s="1463"/>
      <c r="L830" s="1464"/>
      <c r="M830" s="1477"/>
      <c r="N830" s="1478"/>
      <c r="O830" s="1466" t="b">
        <v>0</v>
      </c>
      <c r="P830" s="1466" t="b">
        <v>0</v>
      </c>
      <c r="Q830" s="1467"/>
      <c r="R830" s="1467"/>
      <c r="S830" s="1467" t="b">
        <v>0</v>
      </c>
      <c r="T830" s="1467" t="b">
        <v>0</v>
      </c>
      <c r="U830" s="1467" t="b">
        <v>0</v>
      </c>
      <c r="V830" s="1467"/>
      <c r="W830" s="1467"/>
      <c r="X830" s="1467"/>
      <c r="Y830" s="1442"/>
    </row>
    <row r="831">
      <c r="A831" s="1474" t="s">
        <v>2461</v>
      </c>
      <c r="B831" s="1468" t="b">
        <v>0</v>
      </c>
      <c r="C831" s="1429" t="b">
        <v>0</v>
      </c>
      <c r="D831" s="1429" t="b">
        <v>0</v>
      </c>
      <c r="E831" s="1429" t="b">
        <v>0</v>
      </c>
      <c r="F831" s="1429" t="b">
        <v>0</v>
      </c>
      <c r="G831" s="1429" t="b">
        <v>0</v>
      </c>
      <c r="H831" s="1429" t="b">
        <v>0</v>
      </c>
      <c r="I831" s="1429" t="b">
        <v>0</v>
      </c>
      <c r="J831" s="1429" t="b">
        <v>0</v>
      </c>
      <c r="K831" s="1469"/>
      <c r="L831" s="1470"/>
      <c r="M831" s="1479"/>
      <c r="N831" s="1480"/>
      <c r="O831" s="1459" t="b">
        <v>0</v>
      </c>
      <c r="P831" s="1459" t="b">
        <v>0</v>
      </c>
      <c r="Q831" s="1460"/>
      <c r="R831" s="1460"/>
      <c r="S831" s="1460" t="b">
        <v>0</v>
      </c>
      <c r="T831" s="1460" t="b">
        <v>0</v>
      </c>
      <c r="U831" s="1460" t="b">
        <v>0</v>
      </c>
      <c r="V831" s="1460"/>
      <c r="W831" s="1460"/>
      <c r="X831" s="1460"/>
      <c r="Y831" s="1441"/>
    </row>
    <row r="832">
      <c r="A832" s="1474" t="s">
        <v>2461</v>
      </c>
      <c r="B832" s="1462" t="b">
        <v>0</v>
      </c>
      <c r="C832" s="1421" t="b">
        <v>0</v>
      </c>
      <c r="D832" s="1421" t="b">
        <v>0</v>
      </c>
      <c r="E832" s="1421" t="b">
        <v>0</v>
      </c>
      <c r="F832" s="1421" t="b">
        <v>0</v>
      </c>
      <c r="G832" s="1421" t="b">
        <v>0</v>
      </c>
      <c r="H832" s="1421" t="b">
        <v>0</v>
      </c>
      <c r="I832" s="1421" t="b">
        <v>0</v>
      </c>
      <c r="J832" s="1421" t="b">
        <v>0</v>
      </c>
      <c r="K832" s="1463"/>
      <c r="L832" s="1464"/>
      <c r="M832" s="1477"/>
      <c r="N832" s="1478"/>
      <c r="O832" s="1466" t="b">
        <v>0</v>
      </c>
      <c r="P832" s="1466" t="b">
        <v>0</v>
      </c>
      <c r="Q832" s="1467"/>
      <c r="R832" s="1467"/>
      <c r="S832" s="1467" t="b">
        <v>0</v>
      </c>
      <c r="T832" s="1467" t="b">
        <v>0</v>
      </c>
      <c r="U832" s="1467" t="b">
        <v>0</v>
      </c>
      <c r="V832" s="1467"/>
      <c r="W832" s="1467"/>
      <c r="X832" s="1467"/>
      <c r="Y832" s="1442"/>
    </row>
    <row r="833">
      <c r="A833" s="1474" t="s">
        <v>2461</v>
      </c>
      <c r="B833" s="1468" t="b">
        <v>0</v>
      </c>
      <c r="C833" s="1429" t="b">
        <v>0</v>
      </c>
      <c r="D833" s="1429" t="b">
        <v>0</v>
      </c>
      <c r="E833" s="1429" t="b">
        <v>0</v>
      </c>
      <c r="F833" s="1429" t="b">
        <v>0</v>
      </c>
      <c r="G833" s="1429" t="b">
        <v>0</v>
      </c>
      <c r="H833" s="1429" t="b">
        <v>0</v>
      </c>
      <c r="I833" s="1429" t="b">
        <v>0</v>
      </c>
      <c r="J833" s="1429" t="b">
        <v>0</v>
      </c>
      <c r="K833" s="1469"/>
      <c r="L833" s="1470"/>
      <c r="M833" s="1479"/>
      <c r="N833" s="1480"/>
      <c r="O833" s="1459" t="b">
        <v>0</v>
      </c>
      <c r="P833" s="1459" t="b">
        <v>0</v>
      </c>
      <c r="Q833" s="1460"/>
      <c r="R833" s="1460"/>
      <c r="S833" s="1460" t="b">
        <v>0</v>
      </c>
      <c r="T833" s="1460" t="b">
        <v>0</v>
      </c>
      <c r="U833" s="1460" t="b">
        <v>0</v>
      </c>
      <c r="V833" s="1460"/>
      <c r="W833" s="1460"/>
      <c r="X833" s="1460"/>
      <c r="Y833" s="1441"/>
    </row>
    <row r="834">
      <c r="A834" s="1474" t="s">
        <v>2461</v>
      </c>
      <c r="B834" s="1462" t="b">
        <v>0</v>
      </c>
      <c r="C834" s="1421" t="b">
        <v>0</v>
      </c>
      <c r="D834" s="1421" t="b">
        <v>0</v>
      </c>
      <c r="E834" s="1421" t="b">
        <v>0</v>
      </c>
      <c r="F834" s="1421" t="b">
        <v>0</v>
      </c>
      <c r="G834" s="1421" t="b">
        <v>0</v>
      </c>
      <c r="H834" s="1421" t="b">
        <v>0</v>
      </c>
      <c r="I834" s="1421" t="b">
        <v>0</v>
      </c>
      <c r="J834" s="1421" t="b">
        <v>0</v>
      </c>
      <c r="K834" s="1463"/>
      <c r="L834" s="1464"/>
      <c r="M834" s="1477"/>
      <c r="N834" s="1478"/>
      <c r="O834" s="1466" t="b">
        <v>0</v>
      </c>
      <c r="P834" s="1466" t="b">
        <v>0</v>
      </c>
      <c r="Q834" s="1467"/>
      <c r="R834" s="1467"/>
      <c r="S834" s="1467" t="b">
        <v>0</v>
      </c>
      <c r="T834" s="1467" t="b">
        <v>0</v>
      </c>
      <c r="U834" s="1467" t="b">
        <v>0</v>
      </c>
      <c r="V834" s="1467"/>
      <c r="W834" s="1467"/>
      <c r="X834" s="1467"/>
      <c r="Y834" s="1442"/>
    </row>
    <row r="835">
      <c r="A835" s="1474" t="s">
        <v>2461</v>
      </c>
      <c r="B835" s="1468" t="b">
        <v>0</v>
      </c>
      <c r="C835" s="1429" t="b">
        <v>0</v>
      </c>
      <c r="D835" s="1429" t="b">
        <v>0</v>
      </c>
      <c r="E835" s="1429" t="b">
        <v>0</v>
      </c>
      <c r="F835" s="1429" t="b">
        <v>0</v>
      </c>
      <c r="G835" s="1429" t="b">
        <v>0</v>
      </c>
      <c r="H835" s="1429" t="b">
        <v>0</v>
      </c>
      <c r="I835" s="1429" t="b">
        <v>0</v>
      </c>
      <c r="J835" s="1429" t="b">
        <v>0</v>
      </c>
      <c r="K835" s="1469"/>
      <c r="L835" s="1470"/>
      <c r="M835" s="1479"/>
      <c r="N835" s="1480"/>
      <c r="O835" s="1459" t="b">
        <v>0</v>
      </c>
      <c r="P835" s="1459" t="b">
        <v>0</v>
      </c>
      <c r="Q835" s="1460"/>
      <c r="R835" s="1460"/>
      <c r="S835" s="1460" t="b">
        <v>0</v>
      </c>
      <c r="T835" s="1460" t="b">
        <v>0</v>
      </c>
      <c r="U835" s="1460" t="b">
        <v>0</v>
      </c>
      <c r="V835" s="1460"/>
      <c r="W835" s="1460"/>
      <c r="X835" s="1460"/>
      <c r="Y835" s="1441"/>
    </row>
    <row r="836">
      <c r="A836" s="1474" t="s">
        <v>2461</v>
      </c>
      <c r="B836" s="1462" t="b">
        <v>0</v>
      </c>
      <c r="C836" s="1421" t="b">
        <v>0</v>
      </c>
      <c r="D836" s="1421" t="b">
        <v>0</v>
      </c>
      <c r="E836" s="1421" t="b">
        <v>0</v>
      </c>
      <c r="F836" s="1421" t="b">
        <v>0</v>
      </c>
      <c r="G836" s="1421" t="b">
        <v>0</v>
      </c>
      <c r="H836" s="1421" t="b">
        <v>0</v>
      </c>
      <c r="I836" s="1421" t="b">
        <v>0</v>
      </c>
      <c r="J836" s="1421" t="b">
        <v>0</v>
      </c>
      <c r="K836" s="1463"/>
      <c r="L836" s="1464"/>
      <c r="M836" s="1477"/>
      <c r="N836" s="1478"/>
      <c r="O836" s="1466" t="b">
        <v>0</v>
      </c>
      <c r="P836" s="1466" t="b">
        <v>0</v>
      </c>
      <c r="Q836" s="1467"/>
      <c r="R836" s="1467"/>
      <c r="S836" s="1467" t="b">
        <v>0</v>
      </c>
      <c r="T836" s="1467" t="b">
        <v>0</v>
      </c>
      <c r="U836" s="1467" t="b">
        <v>0</v>
      </c>
      <c r="V836" s="1467"/>
      <c r="W836" s="1467"/>
      <c r="X836" s="1467"/>
      <c r="Y836" s="1442"/>
    </row>
    <row r="837">
      <c r="A837" s="1474" t="s">
        <v>2461</v>
      </c>
      <c r="B837" s="1468" t="b">
        <v>0</v>
      </c>
      <c r="C837" s="1429" t="b">
        <v>0</v>
      </c>
      <c r="D837" s="1429" t="b">
        <v>0</v>
      </c>
      <c r="E837" s="1429" t="b">
        <v>0</v>
      </c>
      <c r="F837" s="1429" t="b">
        <v>0</v>
      </c>
      <c r="G837" s="1429" t="b">
        <v>0</v>
      </c>
      <c r="H837" s="1429" t="b">
        <v>0</v>
      </c>
      <c r="I837" s="1429" t="b">
        <v>0</v>
      </c>
      <c r="J837" s="1429" t="b">
        <v>0</v>
      </c>
      <c r="K837" s="1469"/>
      <c r="L837" s="1470"/>
      <c r="M837" s="1479"/>
      <c r="N837" s="1480"/>
      <c r="O837" s="1459" t="b">
        <v>0</v>
      </c>
      <c r="P837" s="1459" t="b">
        <v>0</v>
      </c>
      <c r="Q837" s="1460"/>
      <c r="R837" s="1460"/>
      <c r="S837" s="1460" t="b">
        <v>0</v>
      </c>
      <c r="T837" s="1460" t="b">
        <v>0</v>
      </c>
      <c r="U837" s="1460" t="b">
        <v>0</v>
      </c>
      <c r="V837" s="1460"/>
      <c r="W837" s="1460"/>
      <c r="X837" s="1460"/>
      <c r="Y837" s="1441"/>
    </row>
    <row r="838">
      <c r="A838" s="1474" t="s">
        <v>2461</v>
      </c>
      <c r="B838" s="1462" t="b">
        <v>0</v>
      </c>
      <c r="C838" s="1421" t="b">
        <v>0</v>
      </c>
      <c r="D838" s="1421" t="b">
        <v>0</v>
      </c>
      <c r="E838" s="1421" t="b">
        <v>0</v>
      </c>
      <c r="F838" s="1421" t="b">
        <v>0</v>
      </c>
      <c r="G838" s="1421" t="b">
        <v>0</v>
      </c>
      <c r="H838" s="1421" t="b">
        <v>0</v>
      </c>
      <c r="I838" s="1421" t="b">
        <v>0</v>
      </c>
      <c r="J838" s="1421" t="b">
        <v>0</v>
      </c>
      <c r="K838" s="1463"/>
      <c r="L838" s="1464"/>
      <c r="M838" s="1477"/>
      <c r="N838" s="1478"/>
      <c r="O838" s="1466" t="b">
        <v>0</v>
      </c>
      <c r="P838" s="1466" t="b">
        <v>0</v>
      </c>
      <c r="Q838" s="1467"/>
      <c r="R838" s="1467"/>
      <c r="S838" s="1467" t="b">
        <v>0</v>
      </c>
      <c r="T838" s="1467" t="b">
        <v>0</v>
      </c>
      <c r="U838" s="1467" t="b">
        <v>0</v>
      </c>
      <c r="V838" s="1467"/>
      <c r="W838" s="1467"/>
      <c r="X838" s="1467"/>
      <c r="Y838" s="1442"/>
    </row>
    <row r="839">
      <c r="A839" s="1474" t="s">
        <v>2461</v>
      </c>
      <c r="B839" s="1468" t="b">
        <v>0</v>
      </c>
      <c r="C839" s="1429" t="b">
        <v>0</v>
      </c>
      <c r="D839" s="1429" t="b">
        <v>0</v>
      </c>
      <c r="E839" s="1429" t="b">
        <v>0</v>
      </c>
      <c r="F839" s="1429" t="b">
        <v>0</v>
      </c>
      <c r="G839" s="1429" t="b">
        <v>0</v>
      </c>
      <c r="H839" s="1429" t="b">
        <v>0</v>
      </c>
      <c r="I839" s="1429" t="b">
        <v>0</v>
      </c>
      <c r="J839" s="1429" t="b">
        <v>0</v>
      </c>
      <c r="K839" s="1469"/>
      <c r="L839" s="1470"/>
      <c r="M839" s="1479"/>
      <c r="N839" s="1480"/>
      <c r="O839" s="1459" t="b">
        <v>0</v>
      </c>
      <c r="P839" s="1459" t="b">
        <v>0</v>
      </c>
      <c r="Q839" s="1460"/>
      <c r="R839" s="1460"/>
      <c r="S839" s="1460" t="b">
        <v>0</v>
      </c>
      <c r="T839" s="1460" t="b">
        <v>0</v>
      </c>
      <c r="U839" s="1460" t="b">
        <v>0</v>
      </c>
      <c r="V839" s="1460"/>
      <c r="W839" s="1460"/>
      <c r="X839" s="1460"/>
      <c r="Y839" s="1441"/>
    </row>
    <row r="840">
      <c r="A840" s="1474" t="s">
        <v>2461</v>
      </c>
      <c r="B840" s="1462" t="b">
        <v>0</v>
      </c>
      <c r="C840" s="1421" t="b">
        <v>0</v>
      </c>
      <c r="D840" s="1421" t="b">
        <v>0</v>
      </c>
      <c r="E840" s="1421" t="b">
        <v>0</v>
      </c>
      <c r="F840" s="1421" t="b">
        <v>0</v>
      </c>
      <c r="G840" s="1421" t="b">
        <v>0</v>
      </c>
      <c r="H840" s="1421" t="b">
        <v>0</v>
      </c>
      <c r="I840" s="1421" t="b">
        <v>0</v>
      </c>
      <c r="J840" s="1421" t="b">
        <v>0</v>
      </c>
      <c r="K840" s="1463"/>
      <c r="L840" s="1464"/>
      <c r="M840" s="1477"/>
      <c r="N840" s="1478"/>
      <c r="O840" s="1466" t="b">
        <v>0</v>
      </c>
      <c r="P840" s="1466" t="b">
        <v>0</v>
      </c>
      <c r="Q840" s="1467"/>
      <c r="R840" s="1467"/>
      <c r="S840" s="1467" t="b">
        <v>0</v>
      </c>
      <c r="T840" s="1467" t="b">
        <v>0</v>
      </c>
      <c r="U840" s="1467" t="b">
        <v>0</v>
      </c>
      <c r="V840" s="1467"/>
      <c r="W840" s="1467"/>
      <c r="X840" s="1467"/>
      <c r="Y840" s="1442"/>
    </row>
    <row r="841">
      <c r="A841" s="1474" t="s">
        <v>2461</v>
      </c>
      <c r="B841" s="1468" t="b">
        <v>0</v>
      </c>
      <c r="C841" s="1429" t="b">
        <v>0</v>
      </c>
      <c r="D841" s="1429" t="b">
        <v>0</v>
      </c>
      <c r="E841" s="1429" t="b">
        <v>0</v>
      </c>
      <c r="F841" s="1429" t="b">
        <v>0</v>
      </c>
      <c r="G841" s="1429" t="b">
        <v>0</v>
      </c>
      <c r="H841" s="1429" t="b">
        <v>0</v>
      </c>
      <c r="I841" s="1429" t="b">
        <v>0</v>
      </c>
      <c r="J841" s="1429" t="b">
        <v>0</v>
      </c>
      <c r="K841" s="1469"/>
      <c r="L841" s="1470"/>
      <c r="M841" s="1479"/>
      <c r="N841" s="1480"/>
      <c r="O841" s="1459" t="b">
        <v>0</v>
      </c>
      <c r="P841" s="1459" t="b">
        <v>0</v>
      </c>
      <c r="Q841" s="1460"/>
      <c r="R841" s="1460"/>
      <c r="S841" s="1460" t="b">
        <v>0</v>
      </c>
      <c r="T841" s="1460" t="b">
        <v>0</v>
      </c>
      <c r="U841" s="1460" t="b">
        <v>0</v>
      </c>
      <c r="V841" s="1460"/>
      <c r="W841" s="1460"/>
      <c r="X841" s="1460"/>
      <c r="Y841" s="1441"/>
    </row>
    <row r="842">
      <c r="A842" s="1474" t="s">
        <v>2461</v>
      </c>
      <c r="B842" s="1462" t="b">
        <v>0</v>
      </c>
      <c r="C842" s="1421" t="b">
        <v>0</v>
      </c>
      <c r="D842" s="1421" t="b">
        <v>0</v>
      </c>
      <c r="E842" s="1421" t="b">
        <v>0</v>
      </c>
      <c r="F842" s="1421" t="b">
        <v>0</v>
      </c>
      <c r="G842" s="1421" t="b">
        <v>0</v>
      </c>
      <c r="H842" s="1421" t="b">
        <v>0</v>
      </c>
      <c r="I842" s="1421" t="b">
        <v>0</v>
      </c>
      <c r="J842" s="1421" t="b">
        <v>0</v>
      </c>
      <c r="K842" s="1463"/>
      <c r="L842" s="1464"/>
      <c r="M842" s="1477"/>
      <c r="N842" s="1478"/>
      <c r="O842" s="1466" t="b">
        <v>0</v>
      </c>
      <c r="P842" s="1466" t="b">
        <v>0</v>
      </c>
      <c r="Q842" s="1467"/>
      <c r="R842" s="1467"/>
      <c r="S842" s="1467" t="b">
        <v>0</v>
      </c>
      <c r="T842" s="1467" t="b">
        <v>0</v>
      </c>
      <c r="U842" s="1467" t="b">
        <v>0</v>
      </c>
      <c r="V842" s="1467"/>
      <c r="W842" s="1467"/>
      <c r="X842" s="1467"/>
      <c r="Y842" s="1442"/>
    </row>
    <row r="843">
      <c r="A843" s="1474" t="s">
        <v>2461</v>
      </c>
      <c r="B843" s="1468" t="b">
        <v>0</v>
      </c>
      <c r="C843" s="1429" t="b">
        <v>0</v>
      </c>
      <c r="D843" s="1429" t="b">
        <v>0</v>
      </c>
      <c r="E843" s="1429" t="b">
        <v>0</v>
      </c>
      <c r="F843" s="1429" t="b">
        <v>0</v>
      </c>
      <c r="G843" s="1429" t="b">
        <v>0</v>
      </c>
      <c r="H843" s="1429" t="b">
        <v>0</v>
      </c>
      <c r="I843" s="1429" t="b">
        <v>0</v>
      </c>
      <c r="J843" s="1429" t="b">
        <v>0</v>
      </c>
      <c r="K843" s="1469"/>
      <c r="L843" s="1470"/>
      <c r="M843" s="1479"/>
      <c r="N843" s="1480"/>
      <c r="O843" s="1459" t="b">
        <v>0</v>
      </c>
      <c r="P843" s="1459" t="b">
        <v>0</v>
      </c>
      <c r="Q843" s="1460"/>
      <c r="R843" s="1460"/>
      <c r="S843" s="1460" t="b">
        <v>0</v>
      </c>
      <c r="T843" s="1460" t="b">
        <v>0</v>
      </c>
      <c r="U843" s="1460" t="b">
        <v>0</v>
      </c>
      <c r="V843" s="1460"/>
      <c r="W843" s="1460"/>
      <c r="X843" s="1460"/>
      <c r="Y843" s="1441"/>
    </row>
    <row r="844">
      <c r="A844" s="1474" t="s">
        <v>2461</v>
      </c>
      <c r="B844" s="1462" t="b">
        <v>0</v>
      </c>
      <c r="C844" s="1421" t="b">
        <v>0</v>
      </c>
      <c r="D844" s="1421" t="b">
        <v>0</v>
      </c>
      <c r="E844" s="1421" t="b">
        <v>0</v>
      </c>
      <c r="F844" s="1421" t="b">
        <v>0</v>
      </c>
      <c r="G844" s="1421" t="b">
        <v>0</v>
      </c>
      <c r="H844" s="1421" t="b">
        <v>0</v>
      </c>
      <c r="I844" s="1421" t="b">
        <v>0</v>
      </c>
      <c r="J844" s="1421" t="b">
        <v>0</v>
      </c>
      <c r="K844" s="1463"/>
      <c r="L844" s="1464"/>
      <c r="M844" s="1477"/>
      <c r="N844" s="1478"/>
      <c r="O844" s="1466" t="b">
        <v>0</v>
      </c>
      <c r="P844" s="1466" t="b">
        <v>0</v>
      </c>
      <c r="Q844" s="1467"/>
      <c r="R844" s="1467"/>
      <c r="S844" s="1467" t="b">
        <v>0</v>
      </c>
      <c r="T844" s="1467" t="b">
        <v>0</v>
      </c>
      <c r="U844" s="1467" t="b">
        <v>0</v>
      </c>
      <c r="V844" s="1467"/>
      <c r="W844" s="1467"/>
      <c r="X844" s="1467"/>
      <c r="Y844" s="1442"/>
    </row>
    <row r="845">
      <c r="A845" s="1474" t="s">
        <v>2461</v>
      </c>
      <c r="B845" s="1468" t="b">
        <v>0</v>
      </c>
      <c r="C845" s="1429" t="b">
        <v>0</v>
      </c>
      <c r="D845" s="1429" t="b">
        <v>0</v>
      </c>
      <c r="E845" s="1429" t="b">
        <v>0</v>
      </c>
      <c r="F845" s="1429" t="b">
        <v>0</v>
      </c>
      <c r="G845" s="1429" t="b">
        <v>0</v>
      </c>
      <c r="H845" s="1429" t="b">
        <v>0</v>
      </c>
      <c r="I845" s="1429" t="b">
        <v>0</v>
      </c>
      <c r="J845" s="1429" t="b">
        <v>0</v>
      </c>
      <c r="K845" s="1469"/>
      <c r="L845" s="1470"/>
      <c r="M845" s="1479"/>
      <c r="N845" s="1480"/>
      <c r="O845" s="1459" t="b">
        <v>0</v>
      </c>
      <c r="P845" s="1459" t="b">
        <v>0</v>
      </c>
      <c r="Q845" s="1460"/>
      <c r="R845" s="1460"/>
      <c r="S845" s="1460" t="b">
        <v>0</v>
      </c>
      <c r="T845" s="1460" t="b">
        <v>0</v>
      </c>
      <c r="U845" s="1460" t="b">
        <v>0</v>
      </c>
      <c r="V845" s="1460"/>
      <c r="W845" s="1460"/>
      <c r="X845" s="1460"/>
      <c r="Y845" s="1441"/>
    </row>
    <row r="846">
      <c r="A846" s="1474" t="s">
        <v>2461</v>
      </c>
      <c r="B846" s="1462" t="b">
        <v>0</v>
      </c>
      <c r="C846" s="1421" t="b">
        <v>0</v>
      </c>
      <c r="D846" s="1421" t="b">
        <v>0</v>
      </c>
      <c r="E846" s="1421" t="b">
        <v>0</v>
      </c>
      <c r="F846" s="1421" t="b">
        <v>0</v>
      </c>
      <c r="G846" s="1421" t="b">
        <v>0</v>
      </c>
      <c r="H846" s="1421" t="b">
        <v>0</v>
      </c>
      <c r="I846" s="1421" t="b">
        <v>0</v>
      </c>
      <c r="J846" s="1421" t="b">
        <v>0</v>
      </c>
      <c r="K846" s="1463"/>
      <c r="L846" s="1464"/>
      <c r="M846" s="1477"/>
      <c r="N846" s="1478"/>
      <c r="O846" s="1466" t="b">
        <v>0</v>
      </c>
      <c r="P846" s="1466" t="b">
        <v>0</v>
      </c>
      <c r="Q846" s="1467"/>
      <c r="R846" s="1467"/>
      <c r="S846" s="1467" t="b">
        <v>0</v>
      </c>
      <c r="T846" s="1467" t="b">
        <v>0</v>
      </c>
      <c r="U846" s="1467" t="b">
        <v>0</v>
      </c>
      <c r="V846" s="1467"/>
      <c r="W846" s="1467"/>
      <c r="X846" s="1467"/>
      <c r="Y846" s="1442"/>
    </row>
    <row r="847">
      <c r="A847" s="1474" t="s">
        <v>2461</v>
      </c>
      <c r="B847" s="1468" t="b">
        <v>0</v>
      </c>
      <c r="C847" s="1429" t="b">
        <v>0</v>
      </c>
      <c r="D847" s="1429" t="b">
        <v>0</v>
      </c>
      <c r="E847" s="1429" t="b">
        <v>0</v>
      </c>
      <c r="F847" s="1429" t="b">
        <v>0</v>
      </c>
      <c r="G847" s="1429" t="b">
        <v>0</v>
      </c>
      <c r="H847" s="1429" t="b">
        <v>0</v>
      </c>
      <c r="I847" s="1429" t="b">
        <v>0</v>
      </c>
      <c r="J847" s="1429" t="b">
        <v>0</v>
      </c>
      <c r="K847" s="1469"/>
      <c r="L847" s="1470"/>
      <c r="M847" s="1479"/>
      <c r="N847" s="1480"/>
      <c r="O847" s="1459" t="b">
        <v>0</v>
      </c>
      <c r="P847" s="1459" t="b">
        <v>0</v>
      </c>
      <c r="Q847" s="1460"/>
      <c r="R847" s="1460"/>
      <c r="S847" s="1460" t="b">
        <v>0</v>
      </c>
      <c r="T847" s="1460" t="b">
        <v>0</v>
      </c>
      <c r="U847" s="1460" t="b">
        <v>0</v>
      </c>
      <c r="V847" s="1460"/>
      <c r="W847" s="1460"/>
      <c r="X847" s="1460"/>
      <c r="Y847" s="1441"/>
    </row>
    <row r="848">
      <c r="A848" s="1474" t="s">
        <v>2461</v>
      </c>
      <c r="B848" s="1462" t="b">
        <v>0</v>
      </c>
      <c r="C848" s="1421" t="b">
        <v>0</v>
      </c>
      <c r="D848" s="1421" t="b">
        <v>0</v>
      </c>
      <c r="E848" s="1421" t="b">
        <v>0</v>
      </c>
      <c r="F848" s="1421" t="b">
        <v>0</v>
      </c>
      <c r="G848" s="1421" t="b">
        <v>0</v>
      </c>
      <c r="H848" s="1421" t="b">
        <v>0</v>
      </c>
      <c r="I848" s="1421" t="b">
        <v>0</v>
      </c>
      <c r="J848" s="1421" t="b">
        <v>0</v>
      </c>
      <c r="K848" s="1463"/>
      <c r="L848" s="1464"/>
      <c r="M848" s="1477"/>
      <c r="N848" s="1478"/>
      <c r="O848" s="1466" t="b">
        <v>0</v>
      </c>
      <c r="P848" s="1466" t="b">
        <v>0</v>
      </c>
      <c r="Q848" s="1467"/>
      <c r="R848" s="1467"/>
      <c r="S848" s="1467" t="b">
        <v>0</v>
      </c>
      <c r="T848" s="1467" t="b">
        <v>0</v>
      </c>
      <c r="U848" s="1467" t="b">
        <v>0</v>
      </c>
      <c r="V848" s="1467"/>
      <c r="W848" s="1467"/>
      <c r="X848" s="1467"/>
      <c r="Y848" s="1442"/>
    </row>
    <row r="849">
      <c r="A849" s="1474" t="s">
        <v>2461</v>
      </c>
      <c r="B849" s="1468" t="b">
        <v>0</v>
      </c>
      <c r="C849" s="1429" t="b">
        <v>0</v>
      </c>
      <c r="D849" s="1429" t="b">
        <v>0</v>
      </c>
      <c r="E849" s="1429" t="b">
        <v>0</v>
      </c>
      <c r="F849" s="1429" t="b">
        <v>0</v>
      </c>
      <c r="G849" s="1429" t="b">
        <v>0</v>
      </c>
      <c r="H849" s="1429" t="b">
        <v>0</v>
      </c>
      <c r="I849" s="1429" t="b">
        <v>0</v>
      </c>
      <c r="J849" s="1429" t="b">
        <v>0</v>
      </c>
      <c r="K849" s="1469"/>
      <c r="L849" s="1470"/>
      <c r="M849" s="1479"/>
      <c r="N849" s="1480"/>
      <c r="O849" s="1459" t="b">
        <v>0</v>
      </c>
      <c r="P849" s="1459" t="b">
        <v>0</v>
      </c>
      <c r="Q849" s="1460"/>
      <c r="R849" s="1460"/>
      <c r="S849" s="1460" t="b">
        <v>0</v>
      </c>
      <c r="T849" s="1460" t="b">
        <v>0</v>
      </c>
      <c r="U849" s="1460" t="b">
        <v>0</v>
      </c>
      <c r="V849" s="1460"/>
      <c r="W849" s="1460"/>
      <c r="X849" s="1460"/>
      <c r="Y849" s="1441"/>
    </row>
    <row r="850">
      <c r="A850" s="1474" t="s">
        <v>2461</v>
      </c>
      <c r="B850" s="1462" t="b">
        <v>0</v>
      </c>
      <c r="C850" s="1421" t="b">
        <v>0</v>
      </c>
      <c r="D850" s="1421" t="b">
        <v>0</v>
      </c>
      <c r="E850" s="1421" t="b">
        <v>0</v>
      </c>
      <c r="F850" s="1421" t="b">
        <v>0</v>
      </c>
      <c r="G850" s="1421" t="b">
        <v>0</v>
      </c>
      <c r="H850" s="1421" t="b">
        <v>0</v>
      </c>
      <c r="I850" s="1421" t="b">
        <v>0</v>
      </c>
      <c r="J850" s="1421" t="b">
        <v>0</v>
      </c>
      <c r="K850" s="1463"/>
      <c r="L850" s="1464"/>
      <c r="M850" s="1477"/>
      <c r="N850" s="1478"/>
      <c r="O850" s="1466" t="b">
        <v>0</v>
      </c>
      <c r="P850" s="1466" t="b">
        <v>0</v>
      </c>
      <c r="Q850" s="1467"/>
      <c r="R850" s="1467"/>
      <c r="S850" s="1467" t="b">
        <v>0</v>
      </c>
      <c r="T850" s="1467" t="b">
        <v>0</v>
      </c>
      <c r="U850" s="1467" t="b">
        <v>0</v>
      </c>
      <c r="V850" s="1467"/>
      <c r="W850" s="1467"/>
      <c r="X850" s="1467"/>
      <c r="Y850" s="1442"/>
    </row>
    <row r="851">
      <c r="A851" s="1474" t="s">
        <v>2461</v>
      </c>
      <c r="B851" s="1468" t="b">
        <v>0</v>
      </c>
      <c r="C851" s="1429" t="b">
        <v>0</v>
      </c>
      <c r="D851" s="1429" t="b">
        <v>0</v>
      </c>
      <c r="E851" s="1429" t="b">
        <v>0</v>
      </c>
      <c r="F851" s="1429" t="b">
        <v>0</v>
      </c>
      <c r="G851" s="1429" t="b">
        <v>0</v>
      </c>
      <c r="H851" s="1429" t="b">
        <v>0</v>
      </c>
      <c r="I851" s="1429" t="b">
        <v>0</v>
      </c>
      <c r="J851" s="1429" t="b">
        <v>0</v>
      </c>
      <c r="K851" s="1469"/>
      <c r="L851" s="1470"/>
      <c r="M851" s="1479"/>
      <c r="N851" s="1480"/>
      <c r="O851" s="1459" t="b">
        <v>0</v>
      </c>
      <c r="P851" s="1459" t="b">
        <v>0</v>
      </c>
      <c r="Q851" s="1460"/>
      <c r="R851" s="1460"/>
      <c r="S851" s="1460" t="b">
        <v>0</v>
      </c>
      <c r="T851" s="1460" t="b">
        <v>0</v>
      </c>
      <c r="U851" s="1460" t="b">
        <v>0</v>
      </c>
      <c r="V851" s="1460"/>
      <c r="W851" s="1460"/>
      <c r="X851" s="1460"/>
      <c r="Y851" s="1441"/>
    </row>
    <row r="852">
      <c r="A852" s="1474" t="s">
        <v>2461</v>
      </c>
      <c r="B852" s="1462" t="b">
        <v>0</v>
      </c>
      <c r="C852" s="1421" t="b">
        <v>0</v>
      </c>
      <c r="D852" s="1421" t="b">
        <v>0</v>
      </c>
      <c r="E852" s="1421" t="b">
        <v>0</v>
      </c>
      <c r="F852" s="1421" t="b">
        <v>0</v>
      </c>
      <c r="G852" s="1421" t="b">
        <v>0</v>
      </c>
      <c r="H852" s="1421" t="b">
        <v>0</v>
      </c>
      <c r="I852" s="1421" t="b">
        <v>0</v>
      </c>
      <c r="J852" s="1421" t="b">
        <v>0</v>
      </c>
      <c r="K852" s="1463"/>
      <c r="L852" s="1464"/>
      <c r="M852" s="1477"/>
      <c r="N852" s="1478"/>
      <c r="O852" s="1466" t="b">
        <v>0</v>
      </c>
      <c r="P852" s="1466" t="b">
        <v>0</v>
      </c>
      <c r="Q852" s="1467"/>
      <c r="R852" s="1467"/>
      <c r="S852" s="1467" t="b">
        <v>0</v>
      </c>
      <c r="T852" s="1467" t="b">
        <v>0</v>
      </c>
      <c r="U852" s="1467" t="b">
        <v>0</v>
      </c>
      <c r="V852" s="1467"/>
      <c r="W852" s="1467"/>
      <c r="X852" s="1467"/>
      <c r="Y852" s="1442"/>
    </row>
    <row r="853">
      <c r="A853" s="1474" t="s">
        <v>2461</v>
      </c>
      <c r="B853" s="1468" t="b">
        <v>0</v>
      </c>
      <c r="C853" s="1429" t="b">
        <v>0</v>
      </c>
      <c r="D853" s="1429" t="b">
        <v>0</v>
      </c>
      <c r="E853" s="1429" t="b">
        <v>0</v>
      </c>
      <c r="F853" s="1429" t="b">
        <v>0</v>
      </c>
      <c r="G853" s="1429" t="b">
        <v>0</v>
      </c>
      <c r="H853" s="1429" t="b">
        <v>0</v>
      </c>
      <c r="I853" s="1429" t="b">
        <v>0</v>
      </c>
      <c r="J853" s="1429" t="b">
        <v>0</v>
      </c>
      <c r="K853" s="1469"/>
      <c r="L853" s="1470"/>
      <c r="M853" s="1479"/>
      <c r="N853" s="1480"/>
      <c r="O853" s="1459" t="b">
        <v>0</v>
      </c>
      <c r="P853" s="1459" t="b">
        <v>0</v>
      </c>
      <c r="Q853" s="1460"/>
      <c r="R853" s="1460"/>
      <c r="S853" s="1460" t="b">
        <v>0</v>
      </c>
      <c r="T853" s="1460" t="b">
        <v>0</v>
      </c>
      <c r="U853" s="1460" t="b">
        <v>0</v>
      </c>
      <c r="V853" s="1460"/>
      <c r="W853" s="1460"/>
      <c r="X853" s="1460"/>
      <c r="Y853" s="1441"/>
    </row>
    <row r="854">
      <c r="A854" s="1474" t="s">
        <v>2461</v>
      </c>
      <c r="B854" s="1462" t="b">
        <v>0</v>
      </c>
      <c r="C854" s="1421" t="b">
        <v>0</v>
      </c>
      <c r="D854" s="1421" t="b">
        <v>0</v>
      </c>
      <c r="E854" s="1421" t="b">
        <v>0</v>
      </c>
      <c r="F854" s="1421" t="b">
        <v>0</v>
      </c>
      <c r="G854" s="1421" t="b">
        <v>0</v>
      </c>
      <c r="H854" s="1421" t="b">
        <v>0</v>
      </c>
      <c r="I854" s="1421" t="b">
        <v>0</v>
      </c>
      <c r="J854" s="1421" t="b">
        <v>0</v>
      </c>
      <c r="K854" s="1463"/>
      <c r="L854" s="1464"/>
      <c r="M854" s="1477"/>
      <c r="N854" s="1478"/>
      <c r="O854" s="1466" t="b">
        <v>0</v>
      </c>
      <c r="P854" s="1466" t="b">
        <v>0</v>
      </c>
      <c r="Q854" s="1467"/>
      <c r="R854" s="1467"/>
      <c r="S854" s="1467" t="b">
        <v>0</v>
      </c>
      <c r="T854" s="1467" t="b">
        <v>0</v>
      </c>
      <c r="U854" s="1467" t="b">
        <v>0</v>
      </c>
      <c r="V854" s="1467"/>
      <c r="W854" s="1467"/>
      <c r="X854" s="1467"/>
      <c r="Y854" s="1442"/>
    </row>
    <row r="855">
      <c r="A855" s="1474" t="s">
        <v>2461</v>
      </c>
      <c r="B855" s="1468" t="b">
        <v>0</v>
      </c>
      <c r="C855" s="1429" t="b">
        <v>0</v>
      </c>
      <c r="D855" s="1429" t="b">
        <v>0</v>
      </c>
      <c r="E855" s="1429" t="b">
        <v>0</v>
      </c>
      <c r="F855" s="1429" t="b">
        <v>0</v>
      </c>
      <c r="G855" s="1429" t="b">
        <v>0</v>
      </c>
      <c r="H855" s="1429" t="b">
        <v>0</v>
      </c>
      <c r="I855" s="1429" t="b">
        <v>0</v>
      </c>
      <c r="J855" s="1429" t="b">
        <v>0</v>
      </c>
      <c r="K855" s="1469"/>
      <c r="L855" s="1470"/>
      <c r="M855" s="1479"/>
      <c r="N855" s="1480"/>
      <c r="O855" s="1459" t="b">
        <v>0</v>
      </c>
      <c r="P855" s="1459" t="b">
        <v>0</v>
      </c>
      <c r="Q855" s="1460"/>
      <c r="R855" s="1460"/>
      <c r="S855" s="1460" t="b">
        <v>0</v>
      </c>
      <c r="T855" s="1460" t="b">
        <v>0</v>
      </c>
      <c r="U855" s="1460" t="b">
        <v>0</v>
      </c>
      <c r="V855" s="1460"/>
      <c r="W855" s="1460"/>
      <c r="X855" s="1460"/>
      <c r="Y855" s="1441"/>
    </row>
    <row r="856">
      <c r="A856" s="1474" t="s">
        <v>2461</v>
      </c>
      <c r="B856" s="1462" t="b">
        <v>0</v>
      </c>
      <c r="C856" s="1421" t="b">
        <v>0</v>
      </c>
      <c r="D856" s="1421" t="b">
        <v>0</v>
      </c>
      <c r="E856" s="1421" t="b">
        <v>0</v>
      </c>
      <c r="F856" s="1421" t="b">
        <v>0</v>
      </c>
      <c r="G856" s="1421" t="b">
        <v>0</v>
      </c>
      <c r="H856" s="1421" t="b">
        <v>0</v>
      </c>
      <c r="I856" s="1421" t="b">
        <v>0</v>
      </c>
      <c r="J856" s="1421" t="b">
        <v>0</v>
      </c>
      <c r="K856" s="1463"/>
      <c r="L856" s="1464"/>
      <c r="M856" s="1477"/>
      <c r="N856" s="1478"/>
      <c r="O856" s="1466" t="b">
        <v>0</v>
      </c>
      <c r="P856" s="1466" t="b">
        <v>0</v>
      </c>
      <c r="Q856" s="1467"/>
      <c r="R856" s="1467"/>
      <c r="S856" s="1467" t="b">
        <v>0</v>
      </c>
      <c r="T856" s="1467" t="b">
        <v>0</v>
      </c>
      <c r="U856" s="1467" t="b">
        <v>0</v>
      </c>
      <c r="V856" s="1467"/>
      <c r="W856" s="1467"/>
      <c r="X856" s="1467"/>
      <c r="Y856" s="1481"/>
    </row>
  </sheetData>
  <autoFilter ref="$B$1:$Y$856"/>
  <dataValidations>
    <dataValidation type="list" allowBlank="1" showDropDown="1" showErrorMessage="1" sqref="W2:W856">
      <formula1>"即效,1 輪,1 分鐘,10 分鐘,1 小時,8 小時,12 小時,24 小時,7 天,10 天,30 天,最多 6 輪,最多 1 分鐘,最多 10 分鐘,最多 1 小時,最多 2 小時,最多 8 小時,最多 24 小時,直到被解除,直到被解除或觸發,直到詛咒移除,特殊"</formula1>
    </dataValidation>
    <dataValidation type="list" allowBlank="1" showDropDown="1" sqref="Q2:Q856">
      <formula1>"動作,1 分鐘,10 分鐘,1 小時,8 小時,12 小時,24 小時,動作或 8 小時,附贈動作"</formula1>
    </dataValidation>
    <dataValidation type="list" allowBlank="1" showDropDown="1" sqref="R2:R856">
      <formula1>"自身,觸碰,5 呎,10 呎,15 呎,30 呎,60 呎,90 呎,100 呎,120 呎,150 呎,200 呎,300 呎,500 呎,600呎,視野,1 里,500 里,無限,特殊"</formula1>
    </dataValidation>
    <dataValidation type="list" allowBlank="1" showDropDown="1" showErrorMessage="1" sqref="N2:N856">
      <formula1>"幻術,死靈,防護,咒法,惑控,塑能,預言,變化"</formula1>
    </dataValidation>
  </dataValidations>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5.86"/>
    <col customWidth="1" min="2" max="13" width="18.71"/>
  </cols>
  <sheetData>
    <row r="1">
      <c r="A1" s="968" t="s">
        <v>179</v>
      </c>
      <c r="B1" s="968" t="s">
        <v>500</v>
      </c>
      <c r="C1" s="966" t="s">
        <v>415</v>
      </c>
      <c r="D1" s="966" t="s">
        <v>424</v>
      </c>
      <c r="E1" s="966" t="s">
        <v>1055</v>
      </c>
      <c r="F1" s="966" t="s">
        <v>440</v>
      </c>
      <c r="G1" s="966" t="s">
        <v>508</v>
      </c>
      <c r="H1" s="966" t="s">
        <v>1057</v>
      </c>
      <c r="I1" s="966" t="s">
        <v>464</v>
      </c>
      <c r="J1" s="966" t="s">
        <v>471</v>
      </c>
      <c r="K1" s="966" t="s">
        <v>1058</v>
      </c>
      <c r="L1" s="966" t="s">
        <v>1059</v>
      </c>
      <c r="M1" s="967" t="s">
        <v>245</v>
      </c>
    </row>
    <row r="2">
      <c r="A2" s="1482"/>
      <c r="B2" s="968">
        <f>IFNA(VLOOKUP(B1,'角色卡'!$AB$16:$AM$18,11,FALSE),0)</f>
        <v>0</v>
      </c>
      <c r="C2" s="968">
        <f>IFNA(VLOOKUP(C1,'角色卡'!$AB$16:$AM$18,11,FALSE),0)</f>
        <v>0</v>
      </c>
      <c r="D2" s="968">
        <f>IFNA(VLOOKUP(D1,'角色卡'!$AB$16:$AM$18,11,FALSE),0)</f>
        <v>0</v>
      </c>
      <c r="E2" s="968">
        <f>IFNA(VLOOKUP(E1,'角色卡'!$AB$16:$AM$18,11,FALSE),0)</f>
        <v>0</v>
      </c>
      <c r="F2" s="968">
        <f>IF('角色卡'!AK57="魔能騎士",'角色卡'!AL16,IF('角色卡'!BH57="魔能騎士",'角色卡'!$AL$17,IF('角色卡'!CE57="魔能騎士",'角色卡'!$AL$18,0)))</f>
        <v>0</v>
      </c>
      <c r="G2" s="968">
        <f>IF('角色卡'!AK57="咒槍客",'角色卡'!AL16,IF('角色卡'!BH57="咒槍客",'角色卡'!$AL$17,IF('角色卡'!CE57="咒槍客",'角色卡'!$AL$18,0)))</f>
        <v>0</v>
      </c>
      <c r="H2" s="968">
        <f>IFNA(VLOOKUP(H1,'角色卡'!$AB$16:$AM$18,11,FALSE),0)</f>
        <v>0</v>
      </c>
      <c r="I2" s="968">
        <f>IFNA(VLOOKUP(I1,'角色卡'!$AB$16:$AM$18,11,FALSE),0)</f>
        <v>0</v>
      </c>
      <c r="J2" s="968">
        <f>IF('角色卡'!AK57="詭術師",'角色卡'!AL16,IF('角色卡'!BH57="詭術師",'角色卡'!$AL$17,IF('角色卡'!CE57="詭術師",'角色卡'!$AL$18,0)))</f>
        <v>0</v>
      </c>
      <c r="K2" s="968">
        <f>IFNA(VLOOKUP(K1,'角色卡'!$AB$16:$AM$18,11,FALSE),0)</f>
        <v>0</v>
      </c>
      <c r="L2" s="968">
        <f>IFNA(VLOOKUP(L1,'角色卡'!$AB$16:$AM$18,11,FALSE),0)</f>
        <v>0</v>
      </c>
      <c r="M2" s="968">
        <f>IFNA(VLOOKUP(M1,'角色卡'!$AB$16:$AM$18,11,FALSE),0)</f>
        <v>3</v>
      </c>
    </row>
    <row r="3">
      <c r="A3" s="1483">
        <v>1.0</v>
      </c>
      <c r="B3" s="975">
        <v>2.0</v>
      </c>
      <c r="C3" s="975">
        <v>4.0</v>
      </c>
      <c r="D3" s="975">
        <v>4.0</v>
      </c>
      <c r="E3" s="975">
        <v>4.0</v>
      </c>
      <c r="F3" s="975">
        <v>0.0</v>
      </c>
      <c r="G3" s="975">
        <v>0.0</v>
      </c>
      <c r="H3" s="975">
        <v>2.0</v>
      </c>
      <c r="I3" s="975">
        <v>2.0</v>
      </c>
      <c r="J3" s="975">
        <v>0.0</v>
      </c>
      <c r="K3" s="975">
        <v>2.0</v>
      </c>
      <c r="L3" s="975">
        <v>2.0</v>
      </c>
      <c r="M3" s="975">
        <v>4.0</v>
      </c>
    </row>
    <row r="4">
      <c r="A4" s="1483">
        <v>2.0</v>
      </c>
      <c r="B4" s="974">
        <v>3.0</v>
      </c>
      <c r="C4" s="974">
        <v>5.0</v>
      </c>
      <c r="D4" s="974">
        <v>5.0</v>
      </c>
      <c r="E4" s="974">
        <v>5.0</v>
      </c>
      <c r="F4" s="974">
        <v>0.0</v>
      </c>
      <c r="G4" s="974">
        <v>0.0</v>
      </c>
      <c r="H4" s="974">
        <v>3.0</v>
      </c>
      <c r="I4" s="974">
        <v>3.0</v>
      </c>
      <c r="J4" s="974">
        <v>0.0</v>
      </c>
      <c r="K4" s="974">
        <v>4.0</v>
      </c>
      <c r="L4" s="974">
        <v>3.0</v>
      </c>
      <c r="M4" s="974">
        <v>5.0</v>
      </c>
    </row>
    <row r="5">
      <c r="A5" s="1483">
        <v>3.0</v>
      </c>
      <c r="B5" s="975">
        <v>4.0</v>
      </c>
      <c r="C5" s="975">
        <v>6.0</v>
      </c>
      <c r="D5" s="975">
        <v>6.0</v>
      </c>
      <c r="E5" s="975">
        <v>6.0</v>
      </c>
      <c r="F5" s="975">
        <v>3.0</v>
      </c>
      <c r="G5" s="975">
        <v>3.0</v>
      </c>
      <c r="H5" s="975">
        <v>4.0</v>
      </c>
      <c r="I5" s="975">
        <v>4.0</v>
      </c>
      <c r="J5" s="975">
        <v>3.0</v>
      </c>
      <c r="K5" s="975">
        <v>6.0</v>
      </c>
      <c r="L5" s="975">
        <v>4.0</v>
      </c>
      <c r="M5" s="975">
        <v>6.0</v>
      </c>
    </row>
    <row r="6">
      <c r="A6" s="1483">
        <v>4.0</v>
      </c>
      <c r="B6" s="974">
        <v>5.0</v>
      </c>
      <c r="C6" s="974">
        <v>7.0</v>
      </c>
      <c r="D6" s="974">
        <v>7.0</v>
      </c>
      <c r="E6" s="974">
        <v>7.0</v>
      </c>
      <c r="F6" s="974">
        <v>4.0</v>
      </c>
      <c r="G6" s="974">
        <v>4.0</v>
      </c>
      <c r="H6" s="974">
        <v>5.0</v>
      </c>
      <c r="I6" s="974">
        <v>5.0</v>
      </c>
      <c r="J6" s="974">
        <v>4.0</v>
      </c>
      <c r="K6" s="974">
        <v>7.0</v>
      </c>
      <c r="L6" s="974">
        <v>5.0</v>
      </c>
      <c r="M6" s="974">
        <v>7.0</v>
      </c>
    </row>
    <row r="7">
      <c r="A7" s="1483">
        <v>5.0</v>
      </c>
      <c r="B7" s="975">
        <v>6.0</v>
      </c>
      <c r="C7" s="975">
        <v>9.0</v>
      </c>
      <c r="D7" s="975">
        <v>9.0</v>
      </c>
      <c r="E7" s="975">
        <v>9.0</v>
      </c>
      <c r="F7" s="975">
        <v>4.0</v>
      </c>
      <c r="G7" s="975">
        <v>4.0</v>
      </c>
      <c r="H7" s="975">
        <v>6.0</v>
      </c>
      <c r="I7" s="975">
        <v>6.0</v>
      </c>
      <c r="J7" s="975">
        <v>4.0</v>
      </c>
      <c r="K7" s="975">
        <v>9.0</v>
      </c>
      <c r="L7" s="975">
        <v>6.0</v>
      </c>
      <c r="M7" s="975">
        <v>9.0</v>
      </c>
    </row>
    <row r="8">
      <c r="A8" s="1483">
        <v>6.0</v>
      </c>
      <c r="B8" s="974">
        <v>6.0</v>
      </c>
      <c r="C8" s="974">
        <v>10.0</v>
      </c>
      <c r="D8" s="974">
        <v>10.0</v>
      </c>
      <c r="E8" s="974">
        <v>10.0</v>
      </c>
      <c r="F8" s="974">
        <v>4.0</v>
      </c>
      <c r="G8" s="974">
        <v>4.0</v>
      </c>
      <c r="H8" s="974">
        <v>6.0</v>
      </c>
      <c r="I8" s="974">
        <v>6.0</v>
      </c>
      <c r="J8" s="974">
        <v>4.0</v>
      </c>
      <c r="K8" s="974">
        <v>10.0</v>
      </c>
      <c r="L8" s="974">
        <v>6.0</v>
      </c>
      <c r="M8" s="974">
        <v>10.0</v>
      </c>
    </row>
    <row r="9">
      <c r="A9" s="1483">
        <v>7.0</v>
      </c>
      <c r="B9" s="975">
        <v>7.0</v>
      </c>
      <c r="C9" s="975">
        <v>11.0</v>
      </c>
      <c r="D9" s="975">
        <v>11.0</v>
      </c>
      <c r="E9" s="975">
        <v>11.0</v>
      </c>
      <c r="F9" s="975">
        <v>5.0</v>
      </c>
      <c r="G9" s="975">
        <v>5.0</v>
      </c>
      <c r="H9" s="975">
        <v>7.0</v>
      </c>
      <c r="I9" s="975">
        <v>7.0</v>
      </c>
      <c r="J9" s="975">
        <v>5.0</v>
      </c>
      <c r="K9" s="975">
        <v>11.0</v>
      </c>
      <c r="L9" s="975">
        <v>7.0</v>
      </c>
      <c r="M9" s="975">
        <v>11.0</v>
      </c>
    </row>
    <row r="10">
      <c r="A10" s="1483">
        <v>8.0</v>
      </c>
      <c r="B10" s="974">
        <v>7.0</v>
      </c>
      <c r="C10" s="974">
        <v>12.0</v>
      </c>
      <c r="D10" s="974">
        <v>12.0</v>
      </c>
      <c r="E10" s="974">
        <v>12.0</v>
      </c>
      <c r="F10" s="974">
        <v>6.0</v>
      </c>
      <c r="G10" s="974">
        <v>6.0</v>
      </c>
      <c r="H10" s="974">
        <v>7.0</v>
      </c>
      <c r="I10" s="974">
        <v>7.0</v>
      </c>
      <c r="J10" s="974">
        <v>6.0</v>
      </c>
      <c r="K10" s="974">
        <v>12.0</v>
      </c>
      <c r="L10" s="974">
        <v>7.0</v>
      </c>
      <c r="M10" s="974">
        <v>12.0</v>
      </c>
    </row>
    <row r="11">
      <c r="A11" s="1483">
        <v>9.0</v>
      </c>
      <c r="B11" s="975">
        <v>9.0</v>
      </c>
      <c r="C11" s="975">
        <v>14.0</v>
      </c>
      <c r="D11" s="975">
        <v>14.0</v>
      </c>
      <c r="E11" s="975">
        <v>14.0</v>
      </c>
      <c r="F11" s="975">
        <v>6.0</v>
      </c>
      <c r="G11" s="975">
        <v>6.0</v>
      </c>
      <c r="H11" s="975">
        <v>9.0</v>
      </c>
      <c r="I11" s="975">
        <v>9.0</v>
      </c>
      <c r="J11" s="975">
        <v>6.0</v>
      </c>
      <c r="K11" s="975">
        <v>14.0</v>
      </c>
      <c r="L11" s="975">
        <v>9.0</v>
      </c>
      <c r="M11" s="975">
        <v>14.0</v>
      </c>
    </row>
    <row r="12">
      <c r="A12" s="1483">
        <v>10.0</v>
      </c>
      <c r="B12" s="974">
        <v>9.0</v>
      </c>
      <c r="C12" s="974">
        <v>15.0</v>
      </c>
      <c r="D12" s="974">
        <v>15.0</v>
      </c>
      <c r="E12" s="974">
        <v>15.0</v>
      </c>
      <c r="F12" s="974">
        <v>7.0</v>
      </c>
      <c r="G12" s="974">
        <v>7.0</v>
      </c>
      <c r="H12" s="974">
        <v>9.0</v>
      </c>
      <c r="I12" s="974">
        <v>9.0</v>
      </c>
      <c r="J12" s="974">
        <v>7.0</v>
      </c>
      <c r="K12" s="974">
        <v>15.0</v>
      </c>
      <c r="L12" s="974">
        <v>9.0</v>
      </c>
      <c r="M12" s="974">
        <v>15.0</v>
      </c>
    </row>
    <row r="13">
      <c r="A13" s="1483">
        <v>11.0</v>
      </c>
      <c r="B13" s="975">
        <v>10.0</v>
      </c>
      <c r="C13" s="975">
        <v>16.0</v>
      </c>
      <c r="D13" s="975">
        <v>16.0</v>
      </c>
      <c r="E13" s="975">
        <v>16.0</v>
      </c>
      <c r="F13" s="975">
        <v>8.0</v>
      </c>
      <c r="G13" s="975">
        <v>8.0</v>
      </c>
      <c r="H13" s="975">
        <v>10.0</v>
      </c>
      <c r="I13" s="975">
        <v>10.0</v>
      </c>
      <c r="J13" s="975">
        <v>8.0</v>
      </c>
      <c r="K13" s="975">
        <v>16.0</v>
      </c>
      <c r="L13" s="975">
        <v>10.0</v>
      </c>
      <c r="M13" s="975">
        <v>16.0</v>
      </c>
    </row>
    <row r="14">
      <c r="A14" s="1483">
        <v>12.0</v>
      </c>
      <c r="B14" s="974">
        <v>10.0</v>
      </c>
      <c r="C14" s="974">
        <v>16.0</v>
      </c>
      <c r="D14" s="974">
        <v>16.0</v>
      </c>
      <c r="E14" s="974">
        <v>16.0</v>
      </c>
      <c r="F14" s="974">
        <v>8.0</v>
      </c>
      <c r="G14" s="974">
        <v>8.0</v>
      </c>
      <c r="H14" s="974">
        <v>10.0</v>
      </c>
      <c r="I14" s="974">
        <v>10.0</v>
      </c>
      <c r="J14" s="974">
        <v>8.0</v>
      </c>
      <c r="K14" s="974">
        <v>16.0</v>
      </c>
      <c r="L14" s="974">
        <v>10.0</v>
      </c>
      <c r="M14" s="974">
        <v>16.0</v>
      </c>
    </row>
    <row r="15">
      <c r="A15" s="1483">
        <v>13.0</v>
      </c>
      <c r="B15" s="975">
        <v>11.0</v>
      </c>
      <c r="C15" s="975">
        <v>17.0</v>
      </c>
      <c r="D15" s="975">
        <v>17.0</v>
      </c>
      <c r="E15" s="975">
        <v>17.0</v>
      </c>
      <c r="F15" s="975">
        <v>9.0</v>
      </c>
      <c r="G15" s="975">
        <v>9.0</v>
      </c>
      <c r="H15" s="975">
        <v>11.0</v>
      </c>
      <c r="I15" s="975">
        <v>11.0</v>
      </c>
      <c r="J15" s="975">
        <v>9.0</v>
      </c>
      <c r="K15" s="975">
        <v>17.0</v>
      </c>
      <c r="L15" s="975">
        <v>11.0</v>
      </c>
      <c r="M15" s="975">
        <v>17.0</v>
      </c>
    </row>
    <row r="16">
      <c r="A16" s="1483">
        <v>14.0</v>
      </c>
      <c r="B16" s="974">
        <v>11.0</v>
      </c>
      <c r="C16" s="974">
        <v>17.0</v>
      </c>
      <c r="D16" s="974">
        <v>17.0</v>
      </c>
      <c r="E16" s="974">
        <v>17.0</v>
      </c>
      <c r="F16" s="974">
        <v>10.0</v>
      </c>
      <c r="G16" s="974">
        <v>10.0</v>
      </c>
      <c r="H16" s="974">
        <v>11.0</v>
      </c>
      <c r="I16" s="974">
        <v>11.0</v>
      </c>
      <c r="J16" s="974">
        <v>10.0</v>
      </c>
      <c r="K16" s="974">
        <v>17.0</v>
      </c>
      <c r="L16" s="974">
        <v>11.0</v>
      </c>
      <c r="M16" s="974">
        <v>18.0</v>
      </c>
    </row>
    <row r="17">
      <c r="A17" s="1483">
        <v>15.0</v>
      </c>
      <c r="B17" s="975">
        <v>12.0</v>
      </c>
      <c r="C17" s="975">
        <v>18.0</v>
      </c>
      <c r="D17" s="975">
        <v>18.0</v>
      </c>
      <c r="E17" s="975">
        <v>18.0</v>
      </c>
      <c r="F17" s="975">
        <v>10.0</v>
      </c>
      <c r="G17" s="975">
        <v>10.0</v>
      </c>
      <c r="H17" s="975">
        <v>12.0</v>
      </c>
      <c r="I17" s="975">
        <v>12.0</v>
      </c>
      <c r="J17" s="975">
        <v>10.0</v>
      </c>
      <c r="K17" s="975">
        <v>18.0</v>
      </c>
      <c r="L17" s="975">
        <v>12.0</v>
      </c>
      <c r="M17" s="975">
        <v>19.0</v>
      </c>
    </row>
    <row r="18">
      <c r="A18" s="1483">
        <v>16.0</v>
      </c>
      <c r="B18" s="974">
        <v>12.0</v>
      </c>
      <c r="C18" s="974">
        <v>18.0</v>
      </c>
      <c r="D18" s="974">
        <v>18.0</v>
      </c>
      <c r="E18" s="974">
        <v>18.0</v>
      </c>
      <c r="F18" s="974">
        <v>11.0</v>
      </c>
      <c r="G18" s="974">
        <v>11.0</v>
      </c>
      <c r="H18" s="974">
        <v>12.0</v>
      </c>
      <c r="I18" s="974">
        <v>12.0</v>
      </c>
      <c r="J18" s="974">
        <v>11.0</v>
      </c>
      <c r="K18" s="974">
        <v>18.0</v>
      </c>
      <c r="L18" s="974">
        <v>12.0</v>
      </c>
      <c r="M18" s="974">
        <v>21.0</v>
      </c>
    </row>
    <row r="19">
      <c r="A19" s="1483">
        <v>17.0</v>
      </c>
      <c r="B19" s="975">
        <v>14.0</v>
      </c>
      <c r="C19" s="975">
        <v>19.0</v>
      </c>
      <c r="D19" s="975">
        <v>19.0</v>
      </c>
      <c r="E19" s="975">
        <v>19.0</v>
      </c>
      <c r="F19" s="975">
        <v>11.0</v>
      </c>
      <c r="G19" s="975">
        <v>11.0</v>
      </c>
      <c r="H19" s="975">
        <v>14.0</v>
      </c>
      <c r="I19" s="975">
        <v>14.0</v>
      </c>
      <c r="J19" s="975">
        <v>11.0</v>
      </c>
      <c r="K19" s="975">
        <v>19.0</v>
      </c>
      <c r="L19" s="975">
        <v>14.0</v>
      </c>
      <c r="M19" s="975">
        <v>22.0</v>
      </c>
    </row>
    <row r="20">
      <c r="A20" s="1483">
        <v>18.0</v>
      </c>
      <c r="B20" s="974">
        <v>14.0</v>
      </c>
      <c r="C20" s="974">
        <v>20.0</v>
      </c>
      <c r="D20" s="974">
        <v>20.0</v>
      </c>
      <c r="E20" s="974">
        <v>20.0</v>
      </c>
      <c r="F20" s="974">
        <v>11.0</v>
      </c>
      <c r="G20" s="974">
        <v>11.0</v>
      </c>
      <c r="H20" s="974">
        <v>14.0</v>
      </c>
      <c r="I20" s="974">
        <v>14.0</v>
      </c>
      <c r="J20" s="974">
        <v>11.0</v>
      </c>
      <c r="K20" s="974">
        <v>20.0</v>
      </c>
      <c r="L20" s="974">
        <v>14.0</v>
      </c>
      <c r="M20" s="974">
        <v>23.0</v>
      </c>
    </row>
    <row r="21">
      <c r="A21" s="1483">
        <v>19.0</v>
      </c>
      <c r="B21" s="975">
        <v>15.0</v>
      </c>
      <c r="C21" s="975">
        <v>21.0</v>
      </c>
      <c r="D21" s="975">
        <v>21.0</v>
      </c>
      <c r="E21" s="975">
        <v>21.0</v>
      </c>
      <c r="F21" s="975">
        <v>12.0</v>
      </c>
      <c r="G21" s="975">
        <v>12.0</v>
      </c>
      <c r="H21" s="975">
        <v>15.0</v>
      </c>
      <c r="I21" s="975">
        <v>15.0</v>
      </c>
      <c r="J21" s="975">
        <v>12.0</v>
      </c>
      <c r="K21" s="975">
        <v>21.0</v>
      </c>
      <c r="L21" s="975">
        <v>15.0</v>
      </c>
      <c r="M21" s="975">
        <v>24.0</v>
      </c>
    </row>
    <row r="22">
      <c r="A22" s="1483">
        <v>20.0</v>
      </c>
      <c r="B22" s="974">
        <v>15.0</v>
      </c>
      <c r="C22" s="974">
        <v>22.0</v>
      </c>
      <c r="D22" s="974">
        <v>22.0</v>
      </c>
      <c r="E22" s="974">
        <v>22.0</v>
      </c>
      <c r="F22" s="974">
        <v>13.0</v>
      </c>
      <c r="G22" s="974">
        <v>13.0</v>
      </c>
      <c r="H22" s="974">
        <v>15.0</v>
      </c>
      <c r="I22" s="974">
        <v>15.0</v>
      </c>
      <c r="J22" s="974">
        <v>13.0</v>
      </c>
      <c r="K22" s="974">
        <v>22.0</v>
      </c>
      <c r="L22" s="974">
        <v>15.0</v>
      </c>
      <c r="M22" s="974">
        <v>25.0</v>
      </c>
    </row>
  </sheetData>
  <mergeCells count="1">
    <mergeCell ref="A1:A2"/>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0000"/>
    <outlinePr summaryBelow="0" summaryRight="0"/>
  </sheetPr>
  <sheetViews>
    <sheetView showGridLines="0" workbookViewId="0"/>
  </sheetViews>
  <sheetFormatPr customHeight="1" defaultColWidth="14.43" defaultRowHeight="15.0" outlineLevelCol="1"/>
  <cols>
    <col customWidth="1" min="1" max="1" width="2.29"/>
    <col customWidth="1" min="2" max="2" width="2.29" outlineLevel="1"/>
    <col customWidth="1" min="3" max="3" width="9.14" outlineLevel="1"/>
    <col customWidth="1" min="4" max="4" width="18.71" outlineLevel="1"/>
    <col customWidth="1" min="5" max="7" width="6.71" outlineLevel="1"/>
    <col customWidth="1" min="8" max="9" width="6.0" outlineLevel="1"/>
    <col customWidth="1" min="10" max="10" width="60.71" outlineLevel="1"/>
    <col customWidth="1" min="11" max="11" width="7.57" outlineLevel="1"/>
    <col customWidth="1" min="12" max="15" width="5.86" outlineLevel="1"/>
    <col customWidth="1" min="16" max="18" width="5.57" outlineLevel="1"/>
    <col customWidth="1" min="19" max="20" width="7.57" outlineLevel="1"/>
    <col customWidth="1" min="21" max="21" width="2.29" outlineLevel="1"/>
    <col collapsed="1" customWidth="1" min="22" max="22" width="2.29"/>
    <col customWidth="1" hidden="1" min="23" max="23" width="2.29" outlineLevel="1"/>
    <col customWidth="1" hidden="1" min="24" max="24" width="9.14" outlineLevel="1"/>
    <col customWidth="1" hidden="1" min="25" max="25" width="18.71" outlineLevel="1"/>
    <col customWidth="1" hidden="1" min="26" max="28" width="6.71" outlineLevel="1"/>
    <col customWidth="1" hidden="1" min="29" max="30" width="6.0" outlineLevel="1"/>
    <col customWidth="1" hidden="1" min="31" max="31" width="60.71" outlineLevel="1"/>
    <col customWidth="1" hidden="1" min="32" max="32" width="7.57" outlineLevel="1"/>
    <col customWidth="1" hidden="1" min="33" max="33" width="10.57" outlineLevel="1"/>
    <col customWidth="1" hidden="1" min="34" max="35" width="5.86" outlineLevel="1"/>
    <col customWidth="1" hidden="1" min="36" max="38" width="5.57" outlineLevel="1"/>
    <col customWidth="1" hidden="1" min="39" max="40" width="7.57" outlineLevel="1"/>
    <col customWidth="1" hidden="1" min="41" max="41" width="2.29" outlineLevel="1"/>
    <col collapsed="1" customWidth="1" min="42" max="42" width="2.29"/>
    <col customWidth="1" hidden="1" min="43" max="43" width="2.29" outlineLevel="1"/>
    <col customWidth="1" hidden="1" min="44" max="44" width="9.14" outlineLevel="1"/>
    <col customWidth="1" hidden="1" min="45" max="45" width="18.71" outlineLevel="1"/>
    <col customWidth="1" hidden="1" min="46" max="48" width="6.71" outlineLevel="1"/>
    <col customWidth="1" hidden="1" min="49" max="50" width="6.0" outlineLevel="1"/>
    <col customWidth="1" hidden="1" min="51" max="51" width="60.71" outlineLevel="1"/>
    <col customWidth="1" hidden="1" min="52" max="52" width="7.57" outlineLevel="1"/>
    <col customWidth="1" hidden="1" min="53" max="53" width="10.57" outlineLevel="1"/>
    <col customWidth="1" hidden="1" min="54" max="55" width="5.86" outlineLevel="1"/>
    <col customWidth="1" hidden="1" min="56" max="58" width="5.57" outlineLevel="1"/>
    <col customWidth="1" hidden="1" min="59" max="60" width="7.57" outlineLevel="1"/>
    <col customWidth="1" hidden="1" min="61" max="61" width="2.29" outlineLevel="1"/>
    <col collapsed="1" customWidth="1" min="62" max="62" width="2.29"/>
    <col customWidth="1" hidden="1" min="63" max="63" width="2.29" outlineLevel="1"/>
    <col customWidth="1" hidden="1" min="64" max="64" width="9.14" outlineLevel="1"/>
    <col customWidth="1" hidden="1" min="65" max="65" width="18.71" outlineLevel="1"/>
    <col customWidth="1" hidden="1" min="66" max="68" width="6.71" outlineLevel="1"/>
    <col customWidth="1" hidden="1" min="69" max="70" width="6.0" outlineLevel="1"/>
    <col customWidth="1" hidden="1" min="71" max="71" width="60.71" outlineLevel="1"/>
    <col customWidth="1" hidden="1" min="72" max="72" width="7.57" outlineLevel="1"/>
    <col customWidth="1" hidden="1" min="73" max="73" width="10.57" outlineLevel="1"/>
    <col customWidth="1" hidden="1" min="74" max="75" width="5.86" outlineLevel="1"/>
    <col customWidth="1" hidden="1" min="76" max="78" width="5.57" outlineLevel="1"/>
    <col customWidth="1" hidden="1" min="79" max="80" width="7.57" outlineLevel="1"/>
    <col customWidth="1" hidden="1" min="81" max="81" width="2.29" outlineLevel="1"/>
    <col collapsed="1" customWidth="1" min="82" max="82" width="2.29"/>
    <col customWidth="1" hidden="1" min="83" max="83" width="2.29" outlineLevel="1"/>
    <col customWidth="1" hidden="1" min="84" max="84" width="9.14" outlineLevel="1"/>
    <col customWidth="1" hidden="1" min="85" max="85" width="18.71" outlineLevel="1"/>
    <col customWidth="1" hidden="1" min="86" max="88" width="6.71" outlineLevel="1"/>
    <col customWidth="1" hidden="1" min="89" max="90" width="6.0" outlineLevel="1"/>
    <col customWidth="1" hidden="1" min="91" max="91" width="60.71" outlineLevel="1"/>
    <col customWidth="1" hidden="1" min="92" max="92" width="7.57" outlineLevel="1"/>
    <col customWidth="1" hidden="1" min="93" max="93" width="10.57" outlineLevel="1"/>
    <col customWidth="1" hidden="1" min="94" max="95" width="5.86" outlineLevel="1"/>
    <col customWidth="1" hidden="1" min="96" max="98" width="5.57" outlineLevel="1"/>
    <col customWidth="1" hidden="1" min="99" max="100" width="7.57" outlineLevel="1"/>
    <col customWidth="1" hidden="1" min="101" max="101" width="2.29" outlineLevel="1"/>
    <col collapsed="1" customWidth="1" min="102" max="102" width="2.29"/>
    <col customWidth="1" hidden="1" min="103" max="103" width="2.29" outlineLevel="1"/>
    <col customWidth="1" hidden="1" min="104" max="104" width="9.14" outlineLevel="1"/>
    <col customWidth="1" hidden="1" min="105" max="105" width="18.71" outlineLevel="1"/>
    <col customWidth="1" hidden="1" min="106" max="108" width="6.71" outlineLevel="1"/>
    <col customWidth="1" hidden="1" min="109" max="110" width="6.0" outlineLevel="1"/>
    <col customWidth="1" hidden="1" min="111" max="111" width="60.71" outlineLevel="1"/>
    <col customWidth="1" hidden="1" min="112" max="112" width="7.57" outlineLevel="1"/>
    <col customWidth="1" hidden="1" min="113" max="113" width="10.57" outlineLevel="1"/>
    <col customWidth="1" hidden="1" min="114" max="115" width="5.86" outlineLevel="1"/>
    <col customWidth="1" hidden="1" min="116" max="118" width="5.57" outlineLevel="1"/>
    <col customWidth="1" hidden="1" min="119" max="120" width="7.57" outlineLevel="1"/>
    <col customWidth="1" hidden="1" min="121" max="121" width="2.29" outlineLevel="1"/>
    <col collapsed="1" customWidth="1" min="122" max="122" width="2.29"/>
    <col customWidth="1" hidden="1" min="123" max="123" width="2.29" outlineLevel="1"/>
    <col customWidth="1" hidden="1" min="124" max="124" width="9.14" outlineLevel="1"/>
    <col customWidth="1" hidden="1" min="125" max="125" width="18.71" outlineLevel="1"/>
    <col customWidth="1" hidden="1" min="126" max="128" width="6.71" outlineLevel="1"/>
    <col customWidth="1" hidden="1" min="129" max="130" width="6.0" outlineLevel="1"/>
    <col customWidth="1" hidden="1" min="131" max="131" width="60.71" outlineLevel="1"/>
    <col customWidth="1" hidden="1" min="132" max="132" width="7.57" outlineLevel="1"/>
    <col customWidth="1" hidden="1" min="133" max="133" width="10.57" outlineLevel="1"/>
    <col customWidth="1" hidden="1" min="134" max="135" width="5.86" outlineLevel="1"/>
    <col customWidth="1" hidden="1" min="136" max="138" width="5.57" outlineLevel="1"/>
    <col customWidth="1" hidden="1" min="139" max="140" width="7.57" outlineLevel="1"/>
    <col customWidth="1" hidden="1" min="141" max="141" width="2.29" outlineLevel="1"/>
    <col collapsed="1" customWidth="1" min="142" max="142" width="2.29"/>
    <col customWidth="1" hidden="1" min="143" max="143" width="2.29" outlineLevel="1"/>
    <col customWidth="1" hidden="1" min="144" max="144" width="9.14" outlineLevel="1"/>
    <col customWidth="1" hidden="1" min="145" max="145" width="18.71" outlineLevel="1"/>
    <col customWidth="1" hidden="1" min="146" max="148" width="6.71" outlineLevel="1"/>
    <col customWidth="1" hidden="1" min="149" max="150" width="6.0" outlineLevel="1"/>
    <col customWidth="1" hidden="1" min="151" max="151" width="60.71" outlineLevel="1"/>
    <col customWidth="1" hidden="1" min="152" max="152" width="7.57" outlineLevel="1"/>
    <col customWidth="1" hidden="1" min="153" max="153" width="10.57" outlineLevel="1"/>
    <col customWidth="1" hidden="1" min="154" max="155" width="5.86" outlineLevel="1"/>
    <col customWidth="1" hidden="1" min="156" max="158" width="5.57" outlineLevel="1"/>
    <col customWidth="1" hidden="1" min="159" max="160" width="7.57" outlineLevel="1"/>
    <col customWidth="1" hidden="1" min="161" max="161" width="2.29" outlineLevel="1"/>
    <col collapsed="1" customWidth="1" min="162" max="162" width="2.29"/>
    <col customWidth="1" hidden="1" min="163" max="163" width="2.29" outlineLevel="1"/>
    <col customWidth="1" hidden="1" min="164" max="164" width="9.14" outlineLevel="1"/>
    <col customWidth="1" hidden="1" min="165" max="165" width="18.71" outlineLevel="1"/>
    <col customWidth="1" hidden="1" min="166" max="168" width="6.71" outlineLevel="1"/>
    <col customWidth="1" hidden="1" min="169" max="170" width="6.0" outlineLevel="1"/>
    <col customWidth="1" hidden="1" min="171" max="171" width="60.71" outlineLevel="1"/>
    <col customWidth="1" hidden="1" min="172" max="172" width="7.57" outlineLevel="1"/>
    <col customWidth="1" hidden="1" min="173" max="173" width="10.57" outlineLevel="1"/>
    <col customWidth="1" hidden="1" min="174" max="175" width="5.86" outlineLevel="1"/>
    <col customWidth="1" hidden="1" min="176" max="178" width="5.57" outlineLevel="1"/>
    <col customWidth="1" hidden="1" min="179" max="180" width="7.57" outlineLevel="1"/>
    <col customWidth="1" hidden="1" min="181" max="182" width="2.29" outlineLevel="1"/>
  </cols>
  <sheetData>
    <row r="1" ht="18.0" customHeight="1">
      <c r="A1" s="337">
        <v>1.0</v>
      </c>
      <c r="B1" s="1484"/>
      <c r="C1" s="1484"/>
      <c r="D1" s="1484"/>
      <c r="E1" s="1484"/>
      <c r="F1" s="1484"/>
      <c r="G1" s="1484"/>
      <c r="H1" s="1484"/>
      <c r="I1" s="1484"/>
      <c r="J1" s="1484"/>
      <c r="K1" s="1484"/>
      <c r="L1" s="1484"/>
      <c r="M1" s="1484"/>
      <c r="N1" s="1484"/>
      <c r="O1" s="1484"/>
      <c r="P1" s="1484"/>
      <c r="Q1" s="1484"/>
      <c r="R1" s="1484"/>
      <c r="S1" s="1484"/>
      <c r="T1" s="1484"/>
      <c r="U1" s="1484"/>
      <c r="V1" s="1485">
        <v>2.0</v>
      </c>
      <c r="W1" s="1484"/>
      <c r="X1" s="1484"/>
      <c r="Y1" s="1484"/>
      <c r="Z1" s="1484"/>
      <c r="AA1" s="1484"/>
      <c r="AB1" s="1484"/>
      <c r="AC1" s="1484"/>
      <c r="AD1" s="1484"/>
      <c r="AE1" s="1484"/>
      <c r="AF1" s="1484"/>
      <c r="AG1" s="1484"/>
      <c r="AH1" s="1484"/>
      <c r="AI1" s="1484"/>
      <c r="AJ1" s="1484"/>
      <c r="AK1" s="1484"/>
      <c r="AL1" s="1484"/>
      <c r="AM1" s="1484"/>
      <c r="AN1" s="1484"/>
      <c r="AO1" s="1484"/>
      <c r="AP1" s="1485">
        <v>3.0</v>
      </c>
      <c r="AQ1" s="1484"/>
      <c r="AR1" s="1484"/>
      <c r="AS1" s="1484"/>
      <c r="AT1" s="1484"/>
      <c r="AU1" s="1484"/>
      <c r="AV1" s="1484"/>
      <c r="AW1" s="1484"/>
      <c r="AX1" s="1484"/>
      <c r="AY1" s="1484"/>
      <c r="AZ1" s="1484"/>
      <c r="BA1" s="1484"/>
      <c r="BB1" s="1484"/>
      <c r="BC1" s="1484"/>
      <c r="BD1" s="1484"/>
      <c r="BE1" s="1484"/>
      <c r="BF1" s="1484"/>
      <c r="BG1" s="1484"/>
      <c r="BH1" s="1484"/>
      <c r="BI1" s="1484"/>
      <c r="BJ1" s="1485">
        <v>4.0</v>
      </c>
      <c r="BK1" s="1484"/>
      <c r="BL1" s="1484"/>
      <c r="BM1" s="1484"/>
      <c r="BN1" s="1484"/>
      <c r="BO1" s="1484"/>
      <c r="BP1" s="1484"/>
      <c r="BQ1" s="1484"/>
      <c r="BR1" s="1484"/>
      <c r="BS1" s="1484"/>
      <c r="BT1" s="1484"/>
      <c r="BU1" s="1484"/>
      <c r="BV1" s="1484"/>
      <c r="BW1" s="1484"/>
      <c r="BX1" s="1484"/>
      <c r="BY1" s="1484"/>
      <c r="BZ1" s="1484"/>
      <c r="CA1" s="1484"/>
      <c r="CB1" s="1484"/>
      <c r="CC1" s="1484"/>
      <c r="CD1" s="1485">
        <v>5.0</v>
      </c>
      <c r="CE1" s="1484"/>
      <c r="CF1" s="1484"/>
      <c r="CG1" s="1484"/>
      <c r="CH1" s="1484"/>
      <c r="CI1" s="1484"/>
      <c r="CJ1" s="1484"/>
      <c r="CK1" s="1484"/>
      <c r="CL1" s="1484"/>
      <c r="CM1" s="1484"/>
      <c r="CN1" s="1484"/>
      <c r="CO1" s="1484"/>
      <c r="CP1" s="1484"/>
      <c r="CQ1" s="1484"/>
      <c r="CR1" s="1484"/>
      <c r="CS1" s="1484"/>
      <c r="CT1" s="1484"/>
      <c r="CU1" s="1484"/>
      <c r="CV1" s="1484"/>
      <c r="CW1" s="1484"/>
      <c r="CX1" s="1485">
        <v>6.0</v>
      </c>
      <c r="CY1" s="1484"/>
      <c r="CZ1" s="1484"/>
      <c r="DA1" s="1484"/>
      <c r="DB1" s="1484"/>
      <c r="DC1" s="1484"/>
      <c r="DD1" s="1484"/>
      <c r="DE1" s="1484"/>
      <c r="DF1" s="1484"/>
      <c r="DG1" s="1484"/>
      <c r="DH1" s="1484"/>
      <c r="DI1" s="1484"/>
      <c r="DJ1" s="1484"/>
      <c r="DK1" s="1484"/>
      <c r="DL1" s="1484"/>
      <c r="DM1" s="1484"/>
      <c r="DN1" s="1484"/>
      <c r="DO1" s="1484"/>
      <c r="DP1" s="1484"/>
      <c r="DQ1" s="1484"/>
      <c r="DR1" s="1485">
        <v>7.0</v>
      </c>
      <c r="DS1" s="1484"/>
      <c r="DT1" s="1484"/>
      <c r="DU1" s="1484"/>
      <c r="DV1" s="1484"/>
      <c r="DW1" s="1484"/>
      <c r="DX1" s="1484"/>
      <c r="DY1" s="1484"/>
      <c r="DZ1" s="1484"/>
      <c r="EA1" s="1484"/>
      <c r="EB1" s="1484"/>
      <c r="EC1" s="1484"/>
      <c r="ED1" s="1484"/>
      <c r="EE1" s="1484"/>
      <c r="EF1" s="1484"/>
      <c r="EG1" s="1484"/>
      <c r="EH1" s="1484"/>
      <c r="EI1" s="1484"/>
      <c r="EJ1" s="1484"/>
      <c r="EK1" s="1484"/>
      <c r="EL1" s="1485">
        <v>8.0</v>
      </c>
      <c r="EM1" s="1484"/>
      <c r="EN1" s="1484"/>
      <c r="EO1" s="1484"/>
      <c r="EP1" s="1484"/>
      <c r="EQ1" s="1484"/>
      <c r="ER1" s="1484"/>
      <c r="ES1" s="1484"/>
      <c r="ET1" s="1484"/>
      <c r="EU1" s="1484"/>
      <c r="EV1" s="1484"/>
      <c r="EW1" s="1484"/>
      <c r="EX1" s="1484"/>
      <c r="EY1" s="1484"/>
      <c r="EZ1" s="1484"/>
      <c r="FA1" s="1484"/>
      <c r="FB1" s="1484"/>
      <c r="FC1" s="1484"/>
      <c r="FD1" s="1484"/>
      <c r="FE1" s="1484"/>
      <c r="FF1" s="1485">
        <v>9.0</v>
      </c>
      <c r="FG1" s="1484"/>
      <c r="FH1" s="1484"/>
      <c r="FI1" s="1484"/>
      <c r="FJ1" s="1484"/>
      <c r="FK1" s="1484"/>
      <c r="FL1" s="1484"/>
      <c r="FM1" s="1484"/>
      <c r="FN1" s="1484"/>
      <c r="FO1" s="1484"/>
      <c r="FP1" s="1484"/>
      <c r="FQ1" s="1484"/>
      <c r="FR1" s="1484"/>
      <c r="FS1" s="1484"/>
      <c r="FT1" s="1484"/>
      <c r="FU1" s="1484"/>
      <c r="FV1" s="1484"/>
      <c r="FW1" s="1484"/>
      <c r="FX1" s="1484"/>
      <c r="FY1" s="1484"/>
      <c r="FZ1" s="1486"/>
    </row>
    <row r="2" ht="18.0" customHeight="1">
      <c r="A2" s="1294"/>
      <c r="B2" s="1298" t="s">
        <v>1609</v>
      </c>
      <c r="C2" s="19"/>
      <c r="D2" s="19"/>
      <c r="E2" s="19"/>
      <c r="F2" s="19"/>
      <c r="G2" s="19"/>
      <c r="H2" s="19"/>
      <c r="I2" s="19"/>
      <c r="J2" s="19"/>
      <c r="K2" s="19"/>
      <c r="L2" s="19"/>
      <c r="M2" s="19"/>
      <c r="N2" s="19"/>
      <c r="O2" s="19"/>
      <c r="P2" s="19"/>
      <c r="Q2" s="19"/>
      <c r="R2" s="19"/>
      <c r="S2" s="19"/>
      <c r="T2" s="19"/>
      <c r="U2" s="20"/>
      <c r="V2" s="455"/>
      <c r="W2" s="1298" t="str">
        <f>B2</f>
        <v>法術書</v>
      </c>
      <c r="X2" s="19"/>
      <c r="Y2" s="19"/>
      <c r="Z2" s="19"/>
      <c r="AA2" s="19"/>
      <c r="AB2" s="19"/>
      <c r="AC2" s="19"/>
      <c r="AD2" s="19"/>
      <c r="AE2" s="19"/>
      <c r="AF2" s="19"/>
      <c r="AG2" s="19"/>
      <c r="AH2" s="19"/>
      <c r="AI2" s="19"/>
      <c r="AJ2" s="19"/>
      <c r="AK2" s="19"/>
      <c r="AL2" s="19"/>
      <c r="AM2" s="19"/>
      <c r="AN2" s="19"/>
      <c r="AO2" s="20"/>
      <c r="AP2" s="455"/>
      <c r="AQ2" s="1298" t="str">
        <f>W2</f>
        <v>法術書</v>
      </c>
      <c r="AR2" s="19"/>
      <c r="AS2" s="19"/>
      <c r="AT2" s="19"/>
      <c r="AU2" s="19"/>
      <c r="AV2" s="19"/>
      <c r="AW2" s="19"/>
      <c r="AX2" s="19"/>
      <c r="AY2" s="19"/>
      <c r="AZ2" s="19"/>
      <c r="BA2" s="19"/>
      <c r="BB2" s="19"/>
      <c r="BC2" s="19"/>
      <c r="BD2" s="19"/>
      <c r="BE2" s="19"/>
      <c r="BF2" s="19"/>
      <c r="BG2" s="19"/>
      <c r="BH2" s="19"/>
      <c r="BI2" s="20"/>
      <c r="BJ2" s="455"/>
      <c r="BK2" s="1298" t="str">
        <f>AQ2</f>
        <v>法術書</v>
      </c>
      <c r="BL2" s="19"/>
      <c r="BM2" s="19"/>
      <c r="BN2" s="19"/>
      <c r="BO2" s="19"/>
      <c r="BP2" s="19"/>
      <c r="BQ2" s="19"/>
      <c r="BR2" s="19"/>
      <c r="BS2" s="19"/>
      <c r="BT2" s="19"/>
      <c r="BU2" s="19"/>
      <c r="BV2" s="19"/>
      <c r="BW2" s="19"/>
      <c r="BX2" s="19"/>
      <c r="BY2" s="19"/>
      <c r="BZ2" s="19"/>
      <c r="CA2" s="19"/>
      <c r="CB2" s="19"/>
      <c r="CC2" s="20"/>
      <c r="CD2" s="455"/>
      <c r="CE2" s="1298" t="str">
        <f>BK2</f>
        <v>法術書</v>
      </c>
      <c r="CF2" s="19"/>
      <c r="CG2" s="19"/>
      <c r="CH2" s="19"/>
      <c r="CI2" s="19"/>
      <c r="CJ2" s="19"/>
      <c r="CK2" s="19"/>
      <c r="CL2" s="19"/>
      <c r="CM2" s="19"/>
      <c r="CN2" s="19"/>
      <c r="CO2" s="19"/>
      <c r="CP2" s="19"/>
      <c r="CQ2" s="19"/>
      <c r="CR2" s="19"/>
      <c r="CS2" s="19"/>
      <c r="CT2" s="19"/>
      <c r="CU2" s="19"/>
      <c r="CV2" s="19"/>
      <c r="CW2" s="20"/>
      <c r="CX2" s="455"/>
      <c r="CY2" s="1298" t="str">
        <f>CE2</f>
        <v>法術書</v>
      </c>
      <c r="CZ2" s="19"/>
      <c r="DA2" s="19"/>
      <c r="DB2" s="19"/>
      <c r="DC2" s="19"/>
      <c r="DD2" s="19"/>
      <c r="DE2" s="19"/>
      <c r="DF2" s="19"/>
      <c r="DG2" s="19"/>
      <c r="DH2" s="19"/>
      <c r="DI2" s="19"/>
      <c r="DJ2" s="19"/>
      <c r="DK2" s="19"/>
      <c r="DL2" s="19"/>
      <c r="DM2" s="19"/>
      <c r="DN2" s="19"/>
      <c r="DO2" s="19"/>
      <c r="DP2" s="19"/>
      <c r="DQ2" s="20"/>
      <c r="DR2" s="455"/>
      <c r="DS2" s="1298" t="str">
        <f>CY2</f>
        <v>法術書</v>
      </c>
      <c r="DT2" s="19"/>
      <c r="DU2" s="19"/>
      <c r="DV2" s="19"/>
      <c r="DW2" s="19"/>
      <c r="DX2" s="19"/>
      <c r="DY2" s="19"/>
      <c r="DZ2" s="19"/>
      <c r="EA2" s="19"/>
      <c r="EB2" s="19"/>
      <c r="EC2" s="19"/>
      <c r="ED2" s="19"/>
      <c r="EE2" s="19"/>
      <c r="EF2" s="19"/>
      <c r="EG2" s="19"/>
      <c r="EH2" s="19"/>
      <c r="EI2" s="19"/>
      <c r="EJ2" s="19"/>
      <c r="EK2" s="20"/>
      <c r="EL2" s="455"/>
      <c r="EM2" s="1298" t="str">
        <f>DS2</f>
        <v>法術書</v>
      </c>
      <c r="EN2" s="19"/>
      <c r="EO2" s="19"/>
      <c r="EP2" s="19"/>
      <c r="EQ2" s="19"/>
      <c r="ER2" s="19"/>
      <c r="ES2" s="19"/>
      <c r="ET2" s="19"/>
      <c r="EU2" s="19"/>
      <c r="EV2" s="19"/>
      <c r="EW2" s="19"/>
      <c r="EX2" s="19"/>
      <c r="EY2" s="19"/>
      <c r="EZ2" s="19"/>
      <c r="FA2" s="19"/>
      <c r="FB2" s="19"/>
      <c r="FC2" s="19"/>
      <c r="FD2" s="19"/>
      <c r="FE2" s="20"/>
      <c r="FF2" s="455"/>
      <c r="FG2" s="1298" t="str">
        <f>EM2</f>
        <v>法術書</v>
      </c>
      <c r="FH2" s="19"/>
      <c r="FI2" s="19"/>
      <c r="FJ2" s="19"/>
      <c r="FK2" s="19"/>
      <c r="FL2" s="19"/>
      <c r="FM2" s="19"/>
      <c r="FN2" s="19"/>
      <c r="FO2" s="19"/>
      <c r="FP2" s="19"/>
      <c r="FQ2" s="19"/>
      <c r="FR2" s="19"/>
      <c r="FS2" s="19"/>
      <c r="FT2" s="19"/>
      <c r="FU2" s="19"/>
      <c r="FV2" s="19"/>
      <c r="FW2" s="19"/>
      <c r="FX2" s="19"/>
      <c r="FY2" s="20"/>
      <c r="FZ2" s="455"/>
    </row>
    <row r="3" ht="15.0" customHeight="1">
      <c r="A3" s="455"/>
      <c r="B3" s="1299"/>
      <c r="C3" s="1487" t="s">
        <v>173</v>
      </c>
      <c r="U3" s="1302"/>
      <c r="V3" s="455"/>
      <c r="W3" s="1299"/>
      <c r="X3" s="1487" t="s">
        <v>180</v>
      </c>
      <c r="AO3" s="1302"/>
      <c r="AP3" s="455"/>
      <c r="AQ3" s="1299"/>
      <c r="AR3" s="1487" t="s">
        <v>181</v>
      </c>
      <c r="BI3" s="1302"/>
      <c r="BJ3" s="455"/>
      <c r="BK3" s="1299"/>
      <c r="BL3" s="1487" t="s">
        <v>187</v>
      </c>
      <c r="CC3" s="1302"/>
      <c r="CD3" s="455"/>
      <c r="CE3" s="1299"/>
      <c r="CF3" s="1487" t="s">
        <v>192</v>
      </c>
      <c r="CW3" s="1302"/>
      <c r="CX3" s="455"/>
      <c r="CY3" s="1299"/>
      <c r="CZ3" s="1487" t="s">
        <v>198</v>
      </c>
      <c r="DQ3" s="1302"/>
      <c r="DR3" s="455"/>
      <c r="DS3" s="1299"/>
      <c r="DT3" s="1487" t="s">
        <v>204</v>
      </c>
      <c r="EK3" s="1302"/>
      <c r="EL3" s="455"/>
      <c r="EM3" s="1299"/>
      <c r="EN3" s="1487" t="s">
        <v>209</v>
      </c>
      <c r="FE3" s="1302"/>
      <c r="FF3" s="455"/>
      <c r="FG3" s="1299"/>
      <c r="FH3" s="1487" t="s">
        <v>217</v>
      </c>
      <c r="FY3" s="1302"/>
      <c r="FZ3" s="455"/>
    </row>
    <row r="4" ht="15.75" customHeight="1">
      <c r="A4" s="455"/>
      <c r="B4" s="1302"/>
      <c r="U4" s="1302"/>
      <c r="V4" s="455"/>
      <c r="W4" s="1302"/>
      <c r="AO4" s="1302"/>
      <c r="AP4" s="455"/>
      <c r="AQ4" s="1302"/>
      <c r="BI4" s="1302"/>
      <c r="BJ4" s="455"/>
      <c r="BK4" s="1302"/>
      <c r="CC4" s="1302"/>
      <c r="CD4" s="455"/>
      <c r="CE4" s="1302"/>
      <c r="CW4" s="1302"/>
      <c r="CX4" s="455"/>
      <c r="CY4" s="1302"/>
      <c r="DQ4" s="1302"/>
      <c r="DR4" s="455"/>
      <c r="DS4" s="1302"/>
      <c r="EK4" s="1302"/>
      <c r="EL4" s="455"/>
      <c r="EM4" s="1302"/>
      <c r="FE4" s="1302"/>
      <c r="FF4" s="455"/>
      <c r="FG4" s="1302"/>
      <c r="FY4" s="1302"/>
      <c r="FZ4" s="455"/>
    </row>
    <row r="5" ht="15.75" customHeight="1">
      <c r="A5" s="455"/>
      <c r="B5" s="1302"/>
      <c r="U5" s="1302"/>
      <c r="V5" s="455"/>
      <c r="W5" s="1302"/>
      <c r="AO5" s="1302"/>
      <c r="AP5" s="455"/>
      <c r="AQ5" s="1302"/>
      <c r="BI5" s="1302"/>
      <c r="BJ5" s="455"/>
      <c r="BK5" s="1302"/>
      <c r="CC5" s="1302"/>
      <c r="CD5" s="455"/>
      <c r="CE5" s="1302"/>
      <c r="CW5" s="1302"/>
      <c r="CX5" s="455"/>
      <c r="CY5" s="1302"/>
      <c r="DQ5" s="1302"/>
      <c r="DR5" s="455"/>
      <c r="DS5" s="1302"/>
      <c r="EK5" s="1302"/>
      <c r="EL5" s="455"/>
      <c r="EM5" s="1302"/>
      <c r="FE5" s="1302"/>
      <c r="FF5" s="455"/>
      <c r="FG5" s="1302"/>
      <c r="FY5" s="1302"/>
      <c r="FZ5" s="455"/>
    </row>
    <row r="6" ht="15.75" customHeight="1">
      <c r="A6" s="455"/>
      <c r="B6" s="1302"/>
      <c r="U6" s="1302"/>
      <c r="V6" s="455"/>
      <c r="W6" s="1302"/>
      <c r="AO6" s="1302"/>
      <c r="AP6" s="455"/>
      <c r="AQ6" s="1302"/>
      <c r="BI6" s="1302"/>
      <c r="BJ6" s="455"/>
      <c r="BK6" s="1302"/>
      <c r="CC6" s="1302"/>
      <c r="CD6" s="455"/>
      <c r="CE6" s="1302"/>
      <c r="CW6" s="1302"/>
      <c r="CX6" s="455"/>
      <c r="CY6" s="1302"/>
      <c r="DQ6" s="1302"/>
      <c r="DR6" s="455"/>
      <c r="DS6" s="1302"/>
      <c r="EK6" s="1302"/>
      <c r="EL6" s="455"/>
      <c r="EM6" s="1302"/>
      <c r="FE6" s="1302"/>
      <c r="FF6" s="455"/>
      <c r="FG6" s="1302"/>
      <c r="FY6" s="1302"/>
      <c r="FZ6" s="455"/>
    </row>
    <row r="7" ht="15.75" customHeight="1">
      <c r="A7" s="455"/>
      <c r="B7" s="1302"/>
      <c r="U7" s="1302"/>
      <c r="V7" s="455"/>
      <c r="W7" s="1302"/>
      <c r="AO7" s="1302"/>
      <c r="AP7" s="455"/>
      <c r="AQ7" s="1302"/>
      <c r="BI7" s="1302"/>
      <c r="BJ7" s="455"/>
      <c r="BK7" s="1302"/>
      <c r="CC7" s="1302"/>
      <c r="CD7" s="455"/>
      <c r="CE7" s="1302"/>
      <c r="CW7" s="1302"/>
      <c r="CX7" s="455"/>
      <c r="CY7" s="1302"/>
      <c r="DQ7" s="1302"/>
      <c r="DR7" s="455"/>
      <c r="DS7" s="1302"/>
      <c r="EK7" s="1302"/>
      <c r="EL7" s="455"/>
      <c r="EM7" s="1302"/>
      <c r="FE7" s="1302"/>
      <c r="FF7" s="455"/>
      <c r="FG7" s="1302"/>
      <c r="FY7" s="1302"/>
      <c r="FZ7" s="455"/>
    </row>
    <row r="8" ht="15.75" customHeight="1">
      <c r="A8" s="455"/>
      <c r="B8" s="1302"/>
      <c r="U8" s="1302"/>
      <c r="V8" s="455"/>
      <c r="W8" s="1302"/>
      <c r="AO8" s="1302"/>
      <c r="AP8" s="455"/>
      <c r="AQ8" s="1302"/>
      <c r="BI8" s="1302"/>
      <c r="BJ8" s="455"/>
      <c r="BK8" s="1302"/>
      <c r="CC8" s="1302"/>
      <c r="CD8" s="455"/>
      <c r="CE8" s="1302"/>
      <c r="CW8" s="1302"/>
      <c r="CX8" s="455"/>
      <c r="CY8" s="1302"/>
      <c r="DQ8" s="1302"/>
      <c r="DR8" s="455"/>
      <c r="DS8" s="1302"/>
      <c r="EK8" s="1302"/>
      <c r="EL8" s="455"/>
      <c r="EM8" s="1302"/>
      <c r="FE8" s="1302"/>
      <c r="FF8" s="455"/>
      <c r="FG8" s="1302"/>
      <c r="FY8" s="1302"/>
      <c r="FZ8" s="455"/>
    </row>
    <row r="9" ht="16.5" customHeight="1">
      <c r="A9" s="455"/>
      <c r="B9" s="1338"/>
      <c r="C9" s="1488" t="s">
        <v>4095</v>
      </c>
      <c r="D9" s="19"/>
      <c r="E9" s="19"/>
      <c r="F9" s="19"/>
      <c r="G9" s="19"/>
      <c r="H9" s="19"/>
      <c r="I9" s="19"/>
      <c r="J9" s="19"/>
      <c r="K9" s="19"/>
      <c r="L9" s="19"/>
      <c r="M9" s="19"/>
      <c r="N9" s="19"/>
      <c r="O9" s="19"/>
      <c r="P9" s="19"/>
      <c r="Q9" s="19"/>
      <c r="R9" s="19"/>
      <c r="S9" s="19"/>
      <c r="T9" s="20"/>
      <c r="U9" s="1338"/>
      <c r="V9" s="455"/>
      <c r="W9" s="1338"/>
      <c r="X9" s="1488" t="s">
        <v>4096</v>
      </c>
      <c r="Y9" s="19"/>
      <c r="Z9" s="19"/>
      <c r="AA9" s="19"/>
      <c r="AB9" s="19"/>
      <c r="AC9" s="19"/>
      <c r="AD9" s="19"/>
      <c r="AE9" s="19"/>
      <c r="AF9" s="19"/>
      <c r="AG9" s="19"/>
      <c r="AH9" s="19"/>
      <c r="AI9" s="19"/>
      <c r="AJ9" s="19"/>
      <c r="AK9" s="19"/>
      <c r="AL9" s="19"/>
      <c r="AM9" s="19"/>
      <c r="AN9" s="20"/>
      <c r="AO9" s="1338"/>
      <c r="AP9" s="455"/>
      <c r="AQ9" s="1338"/>
      <c r="AR9" s="1488" t="s">
        <v>4097</v>
      </c>
      <c r="AS9" s="19"/>
      <c r="AT9" s="19"/>
      <c r="AU9" s="19"/>
      <c r="AV9" s="19"/>
      <c r="AW9" s="19"/>
      <c r="AX9" s="19"/>
      <c r="AY9" s="19"/>
      <c r="AZ9" s="19"/>
      <c r="BA9" s="19"/>
      <c r="BB9" s="19"/>
      <c r="BC9" s="19"/>
      <c r="BD9" s="19"/>
      <c r="BE9" s="19"/>
      <c r="BF9" s="19"/>
      <c r="BG9" s="19"/>
      <c r="BH9" s="20"/>
      <c r="BI9" s="1338"/>
      <c r="BJ9" s="455"/>
      <c r="BK9" s="1338"/>
      <c r="BL9" s="1488" t="s">
        <v>4098</v>
      </c>
      <c r="BM9" s="19"/>
      <c r="BN9" s="19"/>
      <c r="BO9" s="19"/>
      <c r="BP9" s="19"/>
      <c r="BQ9" s="19"/>
      <c r="BR9" s="19"/>
      <c r="BS9" s="19"/>
      <c r="BT9" s="19"/>
      <c r="BU9" s="19"/>
      <c r="BV9" s="19"/>
      <c r="BW9" s="19"/>
      <c r="BX9" s="19"/>
      <c r="BY9" s="19"/>
      <c r="BZ9" s="19"/>
      <c r="CA9" s="19"/>
      <c r="CB9" s="20"/>
      <c r="CC9" s="1338"/>
      <c r="CD9" s="455"/>
      <c r="CE9" s="1338"/>
      <c r="CF9" s="1488" t="s">
        <v>4099</v>
      </c>
      <c r="CG9" s="19"/>
      <c r="CH9" s="19"/>
      <c r="CI9" s="19"/>
      <c r="CJ9" s="19"/>
      <c r="CK9" s="19"/>
      <c r="CL9" s="19"/>
      <c r="CM9" s="19"/>
      <c r="CN9" s="19"/>
      <c r="CO9" s="19"/>
      <c r="CP9" s="19"/>
      <c r="CQ9" s="19"/>
      <c r="CR9" s="19"/>
      <c r="CS9" s="19"/>
      <c r="CT9" s="19"/>
      <c r="CU9" s="19"/>
      <c r="CV9" s="20"/>
      <c r="CW9" s="1338"/>
      <c r="CX9" s="455"/>
      <c r="CY9" s="1338"/>
      <c r="CZ9" s="1488" t="s">
        <v>4100</v>
      </c>
      <c r="DA9" s="19"/>
      <c r="DB9" s="19"/>
      <c r="DC9" s="19"/>
      <c r="DD9" s="19"/>
      <c r="DE9" s="19"/>
      <c r="DF9" s="19"/>
      <c r="DG9" s="19"/>
      <c r="DH9" s="19"/>
      <c r="DI9" s="19"/>
      <c r="DJ9" s="19"/>
      <c r="DK9" s="19"/>
      <c r="DL9" s="19"/>
      <c r="DM9" s="19"/>
      <c r="DN9" s="19"/>
      <c r="DO9" s="19"/>
      <c r="DP9" s="20"/>
      <c r="DQ9" s="1338"/>
      <c r="DR9" s="455"/>
      <c r="DS9" s="1338"/>
      <c r="DT9" s="1488" t="s">
        <v>4101</v>
      </c>
      <c r="DU9" s="19"/>
      <c r="DV9" s="19"/>
      <c r="DW9" s="19"/>
      <c r="DX9" s="19"/>
      <c r="DY9" s="19"/>
      <c r="DZ9" s="19"/>
      <c r="EA9" s="19"/>
      <c r="EB9" s="19"/>
      <c r="EC9" s="19"/>
      <c r="ED9" s="19"/>
      <c r="EE9" s="19"/>
      <c r="EF9" s="19"/>
      <c r="EG9" s="19"/>
      <c r="EH9" s="19"/>
      <c r="EI9" s="19"/>
      <c r="EJ9" s="20"/>
      <c r="EK9" s="1338"/>
      <c r="EL9" s="455"/>
      <c r="EM9" s="1338"/>
      <c r="EN9" s="1488" t="s">
        <v>4102</v>
      </c>
      <c r="EO9" s="19"/>
      <c r="EP9" s="19"/>
      <c r="EQ9" s="19"/>
      <c r="ER9" s="19"/>
      <c r="ES9" s="19"/>
      <c r="ET9" s="19"/>
      <c r="EU9" s="19"/>
      <c r="EV9" s="19"/>
      <c r="EW9" s="19"/>
      <c r="EX9" s="19"/>
      <c r="EY9" s="19"/>
      <c r="EZ9" s="19"/>
      <c r="FA9" s="19"/>
      <c r="FB9" s="19"/>
      <c r="FC9" s="19"/>
      <c r="FD9" s="20"/>
      <c r="FE9" s="1338"/>
      <c r="FF9" s="455"/>
      <c r="FG9" s="1338"/>
      <c r="FH9" s="1488" t="s">
        <v>4103</v>
      </c>
      <c r="FI9" s="19"/>
      <c r="FJ9" s="19"/>
      <c r="FK9" s="19"/>
      <c r="FL9" s="19"/>
      <c r="FM9" s="19"/>
      <c r="FN9" s="19"/>
      <c r="FO9" s="19"/>
      <c r="FP9" s="19"/>
      <c r="FQ9" s="19"/>
      <c r="FR9" s="19"/>
      <c r="FS9" s="19"/>
      <c r="FT9" s="19"/>
      <c r="FU9" s="19"/>
      <c r="FV9" s="19"/>
      <c r="FW9" s="19"/>
      <c r="FX9" s="20"/>
      <c r="FY9" s="1338"/>
      <c r="FZ9" s="455"/>
    </row>
    <row r="10" ht="15.0" customHeight="1">
      <c r="A10" s="455"/>
      <c r="B10" s="1340"/>
      <c r="C10" s="1341" t="s">
        <v>1834</v>
      </c>
      <c r="D10" s="1489" t="s">
        <v>1836</v>
      </c>
      <c r="E10" s="1347" t="s">
        <v>1837</v>
      </c>
      <c r="F10" s="1345" t="s">
        <v>1838</v>
      </c>
      <c r="G10" s="1344"/>
      <c r="H10" s="511" t="s">
        <v>1839</v>
      </c>
      <c r="I10" s="1344"/>
      <c r="J10" s="1490" t="s">
        <v>1241</v>
      </c>
      <c r="K10" s="1344"/>
      <c r="L10" s="1345" t="s">
        <v>1841</v>
      </c>
      <c r="M10" s="1344"/>
      <c r="N10" s="1348" t="s">
        <v>1842</v>
      </c>
      <c r="O10" s="1347" t="s">
        <v>1843</v>
      </c>
      <c r="P10" s="1349" t="s">
        <v>1844</v>
      </c>
      <c r="Q10" s="354"/>
      <c r="R10" s="1350"/>
      <c r="S10" s="1345" t="s">
        <v>1845</v>
      </c>
      <c r="T10" s="175"/>
      <c r="U10" s="1340"/>
      <c r="V10" s="455"/>
      <c r="W10" s="1340"/>
      <c r="X10" s="1341" t="s">
        <v>1834</v>
      </c>
      <c r="Y10" s="1489" t="s">
        <v>1836</v>
      </c>
      <c r="Z10" s="1347" t="s">
        <v>1837</v>
      </c>
      <c r="AA10" s="1345" t="s">
        <v>1838</v>
      </c>
      <c r="AB10" s="1344"/>
      <c r="AC10" s="511" t="s">
        <v>1839</v>
      </c>
      <c r="AD10" s="1344"/>
      <c r="AE10" s="1490" t="s">
        <v>1241</v>
      </c>
      <c r="AF10" s="1344"/>
      <c r="AG10" s="1347" t="s">
        <v>1841</v>
      </c>
      <c r="AH10" s="1348" t="s">
        <v>1842</v>
      </c>
      <c r="AI10" s="1347" t="s">
        <v>1843</v>
      </c>
      <c r="AJ10" s="1349" t="s">
        <v>1844</v>
      </c>
      <c r="AK10" s="354"/>
      <c r="AL10" s="1350"/>
      <c r="AM10" s="1345" t="s">
        <v>1845</v>
      </c>
      <c r="AN10" s="175"/>
      <c r="AO10" s="1340"/>
      <c r="AP10" s="455"/>
      <c r="AQ10" s="1340"/>
      <c r="AR10" s="1341" t="s">
        <v>1834</v>
      </c>
      <c r="AS10" s="1489" t="s">
        <v>1836</v>
      </c>
      <c r="AT10" s="1347" t="s">
        <v>1837</v>
      </c>
      <c r="AU10" s="1345" t="s">
        <v>1838</v>
      </c>
      <c r="AV10" s="1344"/>
      <c r="AW10" s="511" t="s">
        <v>1839</v>
      </c>
      <c r="AX10" s="1344"/>
      <c r="AY10" s="1490" t="s">
        <v>1241</v>
      </c>
      <c r="AZ10" s="1344"/>
      <c r="BA10" s="1347" t="s">
        <v>1841</v>
      </c>
      <c r="BB10" s="1348" t="s">
        <v>1842</v>
      </c>
      <c r="BC10" s="1347" t="s">
        <v>1843</v>
      </c>
      <c r="BD10" s="1349" t="s">
        <v>1844</v>
      </c>
      <c r="BE10" s="354"/>
      <c r="BF10" s="1350"/>
      <c r="BG10" s="1345" t="s">
        <v>1845</v>
      </c>
      <c r="BH10" s="175"/>
      <c r="BI10" s="1340"/>
      <c r="BJ10" s="455"/>
      <c r="BK10" s="1340"/>
      <c r="BL10" s="1341" t="s">
        <v>1834</v>
      </c>
      <c r="BM10" s="1489" t="s">
        <v>1836</v>
      </c>
      <c r="BN10" s="1347" t="s">
        <v>1837</v>
      </c>
      <c r="BO10" s="1345" t="s">
        <v>1838</v>
      </c>
      <c r="BP10" s="1344"/>
      <c r="BQ10" s="511" t="s">
        <v>1839</v>
      </c>
      <c r="BR10" s="1344"/>
      <c r="BS10" s="1490" t="s">
        <v>1241</v>
      </c>
      <c r="BT10" s="1344"/>
      <c r="BU10" s="1347" t="s">
        <v>1841</v>
      </c>
      <c r="BV10" s="1348" t="s">
        <v>1842</v>
      </c>
      <c r="BW10" s="1347" t="s">
        <v>1843</v>
      </c>
      <c r="BX10" s="1349" t="s">
        <v>1844</v>
      </c>
      <c r="BY10" s="354"/>
      <c r="BZ10" s="1350"/>
      <c r="CA10" s="1345" t="s">
        <v>1845</v>
      </c>
      <c r="CB10" s="175"/>
      <c r="CC10" s="1340"/>
      <c r="CD10" s="455"/>
      <c r="CE10" s="1340"/>
      <c r="CF10" s="1341" t="s">
        <v>1834</v>
      </c>
      <c r="CG10" s="1489" t="s">
        <v>1836</v>
      </c>
      <c r="CH10" s="1347" t="s">
        <v>1837</v>
      </c>
      <c r="CI10" s="1345" t="s">
        <v>1838</v>
      </c>
      <c r="CJ10" s="1344"/>
      <c r="CK10" s="511" t="s">
        <v>1839</v>
      </c>
      <c r="CL10" s="1344"/>
      <c r="CM10" s="1490" t="s">
        <v>1241</v>
      </c>
      <c r="CN10" s="1344"/>
      <c r="CO10" s="1347" t="s">
        <v>1841</v>
      </c>
      <c r="CP10" s="1348" t="s">
        <v>1842</v>
      </c>
      <c r="CQ10" s="1347" t="s">
        <v>1843</v>
      </c>
      <c r="CR10" s="1349" t="s">
        <v>1844</v>
      </c>
      <c r="CS10" s="354"/>
      <c r="CT10" s="1350"/>
      <c r="CU10" s="1345" t="s">
        <v>1845</v>
      </c>
      <c r="CV10" s="175"/>
      <c r="CW10" s="1340"/>
      <c r="CX10" s="455"/>
      <c r="CY10" s="1340"/>
      <c r="CZ10" s="1341" t="s">
        <v>1834</v>
      </c>
      <c r="DA10" s="1489" t="s">
        <v>1836</v>
      </c>
      <c r="DB10" s="1347" t="s">
        <v>1837</v>
      </c>
      <c r="DC10" s="1345" t="s">
        <v>1838</v>
      </c>
      <c r="DD10" s="1344"/>
      <c r="DE10" s="511" t="s">
        <v>1839</v>
      </c>
      <c r="DF10" s="1344"/>
      <c r="DG10" s="1490" t="s">
        <v>1241</v>
      </c>
      <c r="DH10" s="1344"/>
      <c r="DI10" s="1347" t="s">
        <v>1841</v>
      </c>
      <c r="DJ10" s="1348" t="s">
        <v>1842</v>
      </c>
      <c r="DK10" s="1347" t="s">
        <v>1843</v>
      </c>
      <c r="DL10" s="1349" t="s">
        <v>1844</v>
      </c>
      <c r="DM10" s="354"/>
      <c r="DN10" s="1350"/>
      <c r="DO10" s="1345" t="s">
        <v>1845</v>
      </c>
      <c r="DP10" s="175"/>
      <c r="DQ10" s="1340"/>
      <c r="DR10" s="455"/>
      <c r="DS10" s="1340"/>
      <c r="DT10" s="1341" t="s">
        <v>1834</v>
      </c>
      <c r="DU10" s="1489" t="s">
        <v>1836</v>
      </c>
      <c r="DV10" s="1347" t="s">
        <v>1837</v>
      </c>
      <c r="DW10" s="1345" t="s">
        <v>1838</v>
      </c>
      <c r="DX10" s="1344"/>
      <c r="DY10" s="511" t="s">
        <v>1839</v>
      </c>
      <c r="DZ10" s="1344"/>
      <c r="EA10" s="1490" t="s">
        <v>1241</v>
      </c>
      <c r="EB10" s="1344"/>
      <c r="EC10" s="1347" t="s">
        <v>1841</v>
      </c>
      <c r="ED10" s="1348" t="s">
        <v>1842</v>
      </c>
      <c r="EE10" s="1347" t="s">
        <v>1843</v>
      </c>
      <c r="EF10" s="1349" t="s">
        <v>1844</v>
      </c>
      <c r="EG10" s="354"/>
      <c r="EH10" s="1350"/>
      <c r="EI10" s="1345" t="s">
        <v>1845</v>
      </c>
      <c r="EJ10" s="175"/>
      <c r="EK10" s="1340"/>
      <c r="EL10" s="455"/>
      <c r="EM10" s="1340"/>
      <c r="EN10" s="1341" t="s">
        <v>1834</v>
      </c>
      <c r="EO10" s="1489" t="s">
        <v>1836</v>
      </c>
      <c r="EP10" s="1347" t="s">
        <v>1837</v>
      </c>
      <c r="EQ10" s="1345" t="s">
        <v>1838</v>
      </c>
      <c r="ER10" s="1344"/>
      <c r="ES10" s="511" t="s">
        <v>1839</v>
      </c>
      <c r="ET10" s="1344"/>
      <c r="EU10" s="1490" t="s">
        <v>1241</v>
      </c>
      <c r="EV10" s="1344"/>
      <c r="EW10" s="1347" t="s">
        <v>1841</v>
      </c>
      <c r="EX10" s="1348" t="s">
        <v>1842</v>
      </c>
      <c r="EY10" s="1347" t="s">
        <v>1843</v>
      </c>
      <c r="EZ10" s="1349" t="s">
        <v>1844</v>
      </c>
      <c r="FA10" s="354"/>
      <c r="FB10" s="1350"/>
      <c r="FC10" s="1345" t="s">
        <v>1845</v>
      </c>
      <c r="FD10" s="175"/>
      <c r="FE10" s="1340"/>
      <c r="FF10" s="455"/>
      <c r="FG10" s="1340"/>
      <c r="FH10" s="1341" t="s">
        <v>1834</v>
      </c>
      <c r="FI10" s="1489" t="s">
        <v>1836</v>
      </c>
      <c r="FJ10" s="1347" t="s">
        <v>1837</v>
      </c>
      <c r="FK10" s="1345" t="s">
        <v>1838</v>
      </c>
      <c r="FL10" s="1344"/>
      <c r="FM10" s="511" t="s">
        <v>1839</v>
      </c>
      <c r="FN10" s="1344"/>
      <c r="FO10" s="1490" t="s">
        <v>1241</v>
      </c>
      <c r="FP10" s="1344"/>
      <c r="FQ10" s="1347" t="s">
        <v>1841</v>
      </c>
      <c r="FR10" s="1348" t="s">
        <v>1842</v>
      </c>
      <c r="FS10" s="1347" t="s">
        <v>1843</v>
      </c>
      <c r="FT10" s="1349" t="s">
        <v>1844</v>
      </c>
      <c r="FU10" s="354"/>
      <c r="FV10" s="1350"/>
      <c r="FW10" s="1345" t="s">
        <v>1845</v>
      </c>
      <c r="FX10" s="175"/>
      <c r="FY10" s="1340"/>
      <c r="FZ10" s="455"/>
    </row>
    <row r="11" ht="15.0" customHeight="1">
      <c r="A11" s="455"/>
      <c r="B11" s="1340"/>
      <c r="C11" s="1187"/>
      <c r="D11" s="1187"/>
      <c r="E11" s="1491"/>
      <c r="F11" s="1352"/>
      <c r="G11" s="1187"/>
      <c r="I11" s="1187"/>
      <c r="J11" s="1352"/>
      <c r="K11" s="1187"/>
      <c r="L11" s="1352"/>
      <c r="M11" s="1187"/>
      <c r="N11" s="1353"/>
      <c r="O11" s="1353"/>
      <c r="P11" s="1354" t="s">
        <v>1846</v>
      </c>
      <c r="Q11" s="1355" t="s">
        <v>1847</v>
      </c>
      <c r="R11" s="1355" t="s">
        <v>1848</v>
      </c>
      <c r="S11" s="1352"/>
      <c r="T11" s="318"/>
      <c r="U11" s="1340"/>
      <c r="V11" s="455"/>
      <c r="W11" s="1340"/>
      <c r="X11" s="1187"/>
      <c r="Y11" s="1187"/>
      <c r="Z11" s="1491"/>
      <c r="AA11" s="1352"/>
      <c r="AB11" s="1187"/>
      <c r="AD11" s="1187"/>
      <c r="AE11" s="1352"/>
      <c r="AF11" s="1187"/>
      <c r="AG11" s="1353"/>
      <c r="AH11" s="1353"/>
      <c r="AI11" s="1353"/>
      <c r="AJ11" s="1354" t="s">
        <v>1846</v>
      </c>
      <c r="AK11" s="1355" t="s">
        <v>1847</v>
      </c>
      <c r="AL11" s="1355" t="s">
        <v>1848</v>
      </c>
      <c r="AM11" s="1352"/>
      <c r="AN11" s="318"/>
      <c r="AO11" s="1340"/>
      <c r="AP11" s="455"/>
      <c r="AQ11" s="1340"/>
      <c r="AR11" s="1187"/>
      <c r="AS11" s="1187"/>
      <c r="AT11" s="1353"/>
      <c r="AU11" s="1352"/>
      <c r="AV11" s="1187"/>
      <c r="AX11" s="1187"/>
      <c r="AY11" s="1352"/>
      <c r="AZ11" s="1187"/>
      <c r="BA11" s="1353"/>
      <c r="BB11" s="1353"/>
      <c r="BC11" s="1353"/>
      <c r="BD11" s="1354" t="s">
        <v>1846</v>
      </c>
      <c r="BE11" s="1355" t="s">
        <v>1847</v>
      </c>
      <c r="BF11" s="1355" t="s">
        <v>1848</v>
      </c>
      <c r="BG11" s="1352"/>
      <c r="BH11" s="318"/>
      <c r="BI11" s="1340"/>
      <c r="BJ11" s="455"/>
      <c r="BK11" s="1340"/>
      <c r="BL11" s="1187"/>
      <c r="BM11" s="1187"/>
      <c r="BN11" s="1353"/>
      <c r="BO11" s="1352"/>
      <c r="BP11" s="1187"/>
      <c r="BR11" s="1187"/>
      <c r="BS11" s="1352"/>
      <c r="BT11" s="1187"/>
      <c r="BU11" s="1353"/>
      <c r="BV11" s="1353"/>
      <c r="BW11" s="1353"/>
      <c r="BX11" s="1354" t="s">
        <v>1846</v>
      </c>
      <c r="BY11" s="1355" t="s">
        <v>1847</v>
      </c>
      <c r="BZ11" s="1355" t="s">
        <v>1848</v>
      </c>
      <c r="CA11" s="1352"/>
      <c r="CB11" s="318"/>
      <c r="CC11" s="1340"/>
      <c r="CD11" s="455"/>
      <c r="CE11" s="1340"/>
      <c r="CF11" s="1187"/>
      <c r="CG11" s="1187"/>
      <c r="CH11" s="1353"/>
      <c r="CI11" s="1352"/>
      <c r="CJ11" s="1187"/>
      <c r="CL11" s="1187"/>
      <c r="CM11" s="1352"/>
      <c r="CN11" s="1187"/>
      <c r="CO11" s="1353"/>
      <c r="CP11" s="1353"/>
      <c r="CQ11" s="1353"/>
      <c r="CR11" s="1354" t="s">
        <v>1846</v>
      </c>
      <c r="CS11" s="1355" t="s">
        <v>1847</v>
      </c>
      <c r="CT11" s="1355" t="s">
        <v>1848</v>
      </c>
      <c r="CU11" s="1352"/>
      <c r="CV11" s="318"/>
      <c r="CW11" s="1340"/>
      <c r="CX11" s="455"/>
      <c r="CY11" s="1340"/>
      <c r="CZ11" s="1187"/>
      <c r="DA11" s="1187"/>
      <c r="DB11" s="1353"/>
      <c r="DC11" s="1352"/>
      <c r="DD11" s="1187"/>
      <c r="DF11" s="1187"/>
      <c r="DG11" s="1352"/>
      <c r="DH11" s="1187"/>
      <c r="DI11" s="1353"/>
      <c r="DJ11" s="1353"/>
      <c r="DK11" s="1353"/>
      <c r="DL11" s="1354" t="s">
        <v>1846</v>
      </c>
      <c r="DM11" s="1355" t="s">
        <v>1847</v>
      </c>
      <c r="DN11" s="1355" t="s">
        <v>1848</v>
      </c>
      <c r="DO11" s="1352"/>
      <c r="DP11" s="318"/>
      <c r="DQ11" s="1340"/>
      <c r="DR11" s="455"/>
      <c r="DS11" s="1340"/>
      <c r="DT11" s="1187"/>
      <c r="DU11" s="1187"/>
      <c r="DV11" s="1353"/>
      <c r="DW11" s="1352"/>
      <c r="DX11" s="1187"/>
      <c r="DZ11" s="1187"/>
      <c r="EA11" s="1352"/>
      <c r="EB11" s="1187"/>
      <c r="EC11" s="1353"/>
      <c r="ED11" s="1353"/>
      <c r="EE11" s="1353"/>
      <c r="EF11" s="1354" t="s">
        <v>1846</v>
      </c>
      <c r="EG11" s="1355" t="s">
        <v>1847</v>
      </c>
      <c r="EH11" s="1355" t="s">
        <v>1848</v>
      </c>
      <c r="EI11" s="1352"/>
      <c r="EJ11" s="318"/>
      <c r="EK11" s="1340"/>
      <c r="EL11" s="455"/>
      <c r="EM11" s="1340"/>
      <c r="EN11" s="1187"/>
      <c r="EO11" s="1187"/>
      <c r="EP11" s="1353"/>
      <c r="EQ11" s="1352"/>
      <c r="ER11" s="1187"/>
      <c r="ET11" s="1187"/>
      <c r="EU11" s="1352"/>
      <c r="EV11" s="1187"/>
      <c r="EW11" s="1353"/>
      <c r="EX11" s="1353"/>
      <c r="EY11" s="1353"/>
      <c r="EZ11" s="1354" t="s">
        <v>1846</v>
      </c>
      <c r="FA11" s="1355" t="s">
        <v>1847</v>
      </c>
      <c r="FB11" s="1355" t="s">
        <v>1848</v>
      </c>
      <c r="FC11" s="1352"/>
      <c r="FD11" s="318"/>
      <c r="FE11" s="1340"/>
      <c r="FF11" s="455"/>
      <c r="FG11" s="1340"/>
      <c r="FH11" s="1187"/>
      <c r="FI11" s="1187"/>
      <c r="FJ11" s="1353"/>
      <c r="FK11" s="1352"/>
      <c r="FL11" s="1187"/>
      <c r="FN11" s="1187"/>
      <c r="FO11" s="1352"/>
      <c r="FP11" s="1187"/>
      <c r="FQ11" s="1353"/>
      <c r="FR11" s="1353"/>
      <c r="FS11" s="1353"/>
      <c r="FT11" s="1354" t="s">
        <v>1846</v>
      </c>
      <c r="FU11" s="1355" t="s">
        <v>1847</v>
      </c>
      <c r="FV11" s="1355" t="s">
        <v>1848</v>
      </c>
      <c r="FW11" s="1352"/>
      <c r="FX11" s="318"/>
      <c r="FY11" s="1340"/>
      <c r="FZ11" s="455"/>
    </row>
    <row r="12">
      <c r="A12" s="455"/>
      <c r="B12" s="1356"/>
      <c r="C12" s="1492" t="b">
        <v>0</v>
      </c>
      <c r="D12" s="1493"/>
      <c r="E12" s="1494" t="str">
        <f>IFNA(VLOOKUP(D12,'法術資料'!$K$2:$X$805,4,FALSE),"")
</f>
        <v/>
      </c>
      <c r="F12" s="1495" t="str">
        <f>IFNA(VLOOKUP($D12,'法術資料'!$K$2:$X$805,7,FALSE),"")</f>
        <v/>
      </c>
      <c r="G12" s="1102"/>
      <c r="H12" s="1495" t="str">
        <f>IFNA(VLOOKUP($D12,'法術資料'!$K$2:$X$805,8,FALSE),"")</f>
        <v/>
      </c>
      <c r="I12" s="1102"/>
      <c r="J12" s="1495" t="str">
        <f>IFNA(VLOOKUP($D12,'法術資料'!$K$2:$X$805,14,FALSE),"")</f>
        <v/>
      </c>
      <c r="K12" s="1102"/>
      <c r="L12" s="1495" t="str">
        <f>IFNA(VLOOKUP($D12,'法術資料'!$K$2:$X$805,13,FALSE),"")</f>
        <v/>
      </c>
      <c r="M12" s="1102"/>
      <c r="N12" s="1496" t="str">
        <f>IFNA(VLOOKUP($D12,'法術資料'!$K$2:$X$805,5,FALSE),"")</f>
        <v/>
      </c>
      <c r="O12" s="1496" t="str">
        <f>IFNA(VLOOKUP($D12,'法術資料'!$K$2:$X$805,6,FALSE),"")</f>
        <v/>
      </c>
      <c r="P12" s="1497" t="str">
        <f>IFNA(VLOOKUP($D12,'法術資料'!$K$2:$X$805,9,FALSE),"")</f>
        <v/>
      </c>
      <c r="Q12" s="1498" t="str">
        <f>IFNA(VLOOKUP($D12,'法術資料'!$K$2:$X$805,10,FALSE),"")</f>
        <v/>
      </c>
      <c r="R12" s="1498" t="str">
        <f>IFNA(VLOOKUP($D12,'法術資料'!$K$2:$X$805,11,FALSE),"")</f>
        <v/>
      </c>
      <c r="S12" s="1495" t="str">
        <f>IFNA(VLOOKUP($D12,'法術資料'!$K$2:$X$805,12,FALSE),"")</f>
        <v/>
      </c>
      <c r="T12" s="357"/>
      <c r="U12" s="1369"/>
      <c r="V12" s="455"/>
      <c r="W12" s="1356"/>
      <c r="X12" s="1492" t="b">
        <v>0</v>
      </c>
      <c r="Y12" s="1499"/>
      <c r="Z12" s="1500" t="str">
        <f>IFNA(VLOOKUP(Y12,'法術資料'!$K$2:$X$805,4,FALSE),"")
</f>
        <v/>
      </c>
      <c r="AA12" s="1495" t="str">
        <f>IFNA(VLOOKUP($Y12,'法術資料'!$K$2:$X$805,7,FALSE),"")</f>
        <v/>
      </c>
      <c r="AB12" s="1102"/>
      <c r="AC12" s="1495" t="str">
        <f>IFNA(VLOOKUP($Y12,'法術資料'!$K$2:$X$805,8,FALSE),"")</f>
        <v/>
      </c>
      <c r="AD12" s="1102"/>
      <c r="AE12" s="1495" t="str">
        <f>IFNA(VLOOKUP($Y12,'法術資料'!$K$2:$X$805,14,FALSE),"")</f>
        <v/>
      </c>
      <c r="AF12" s="1102"/>
      <c r="AG12" s="1501" t="str">
        <f>IFNA(VLOOKUP($Y12,'法術資料'!$K$2:$X$805,13,FALSE),"")</f>
        <v/>
      </c>
      <c r="AH12" s="1496" t="str">
        <f>IFNA(VLOOKUP($Y12,'法術資料'!$K$2:$X$805,5,FALSE),"")</f>
        <v/>
      </c>
      <c r="AI12" s="1496" t="str">
        <f>IFNA(VLOOKUP($Y12,'法術資料'!$K$2:$X$805,6,FALSE),"")</f>
        <v/>
      </c>
      <c r="AJ12" s="1497" t="str">
        <f>IFNA(VLOOKUP($Y12,'法術資料'!$K$2:$X$805,9,FALSE),"")</f>
        <v/>
      </c>
      <c r="AK12" s="1498" t="str">
        <f>IFNA(VLOOKUP($Y12,'法術資料'!$K$2:$X$805,10,FALSE),"")</f>
        <v/>
      </c>
      <c r="AL12" s="1498" t="str">
        <f>IFNA(VLOOKUP($Y12,'法術資料'!$K$2:$X$805,11,FALSE),"")</f>
        <v/>
      </c>
      <c r="AM12" s="1495" t="str">
        <f>IFNA(VLOOKUP($Y12,'法術資料'!$K$2:$X$805,12,FALSE),"")</f>
        <v/>
      </c>
      <c r="AN12" s="357"/>
      <c r="AO12" s="1369"/>
      <c r="AP12" s="455"/>
      <c r="AQ12" s="1356"/>
      <c r="AR12" s="1492" t="b">
        <v>0</v>
      </c>
      <c r="AS12" s="1499"/>
      <c r="AT12" s="1500" t="str">
        <f>IFNA(VLOOKUP(AS12,'法術資料'!$K$2:$X$805,4,FALSE),"")
</f>
        <v/>
      </c>
      <c r="AU12" s="1495" t="str">
        <f>IFNA(VLOOKUP(AS12,'法術資料'!$K$2:$X$805,7,FALSE),"")</f>
        <v/>
      </c>
      <c r="AV12" s="1102"/>
      <c r="AW12" s="1495" t="str">
        <f>IFNA(VLOOKUP(AS12,'法術資料'!$K$2:$X$805,8,FALSE),"")</f>
        <v/>
      </c>
      <c r="AX12" s="1102"/>
      <c r="AY12" s="1495" t="str">
        <f>IFNA(VLOOKUP(AS12,'法術資料'!$K$2:$X$805,14,FALSE),"")</f>
        <v/>
      </c>
      <c r="AZ12" s="1102"/>
      <c r="BA12" s="1501" t="str">
        <f>IFNA(VLOOKUP(AS12,'法術資料'!$K$2:$X$805,13,FALSE),"")</f>
        <v/>
      </c>
      <c r="BB12" s="1496" t="str">
        <f>IFNA(VLOOKUP(AS12,'法術資料'!$K$2:$X$805,5,FALSE),"")</f>
        <v/>
      </c>
      <c r="BC12" s="1496" t="str">
        <f>IFNA(VLOOKUP(AS12,'法術資料'!$K$2:$X$805,6,FALSE),"")</f>
        <v/>
      </c>
      <c r="BD12" s="1497" t="str">
        <f>IFNA(VLOOKUP(AS12,'法術資料'!$K$2:$X$805,9,FALSE),"")</f>
        <v/>
      </c>
      <c r="BE12" s="1498" t="str">
        <f>IFNA(VLOOKUP(AS12,'法術資料'!$K$2:$X$805,10,FALSE),"")</f>
        <v/>
      </c>
      <c r="BF12" s="1498" t="str">
        <f>IFNA(VLOOKUP($Y12,'法術資料'!$K$2:$X$805,11,FALSE),"")</f>
        <v/>
      </c>
      <c r="BG12" s="1495" t="str">
        <f>IFNA(VLOOKUP(AS12,'法術資料'!$K$2:$X$805,12,FALSE),"")</f>
        <v/>
      </c>
      <c r="BH12" s="357"/>
      <c r="BI12" s="1369"/>
      <c r="BJ12" s="455"/>
      <c r="BK12" s="1356"/>
      <c r="BL12" s="1492" t="b">
        <v>0</v>
      </c>
      <c r="BM12" s="1499"/>
      <c r="BN12" s="1500" t="str">
        <f>IFNA(VLOOKUP(BM12,'法術資料'!$K$2:$X$805,4,FALSE),"")
</f>
        <v/>
      </c>
      <c r="BO12" s="1495" t="str">
        <f>IFNA(VLOOKUP(BM12,'法術資料'!$K$2:$X$805,7,FALSE),"")</f>
        <v/>
      </c>
      <c r="BP12" s="1102"/>
      <c r="BQ12" s="1495" t="str">
        <f>IFNA(VLOOKUP(BM12,'法術資料'!$K$2:$X$805,8,FALSE),"")</f>
        <v/>
      </c>
      <c r="BR12" s="1102"/>
      <c r="BS12" s="1495" t="str">
        <f>IFNA(VLOOKUP(BM12,'法術資料'!$K$2:$X$805,14,FALSE),"")</f>
        <v/>
      </c>
      <c r="BT12" s="1102"/>
      <c r="BU12" s="1501" t="str">
        <f>IFNA(VLOOKUP(BM12,'法術資料'!$K$2:$X$805,13,FALSE),"")</f>
        <v/>
      </c>
      <c r="BV12" s="1496" t="str">
        <f>IFNA(VLOOKUP(BM12,'法術資料'!$K$2:$X$805,5,FALSE),"")</f>
        <v/>
      </c>
      <c r="BW12" s="1496" t="str">
        <f>IFNA(VLOOKUP(BM12,'法術資料'!$K$2:$X$805,6,FALSE),"")</f>
        <v/>
      </c>
      <c r="BX12" s="1497" t="str">
        <f>IFNA(VLOOKUP(BM12,'法術資料'!$K$2:$X$805,9,FALSE),"")</f>
        <v/>
      </c>
      <c r="BY12" s="1498" t="str">
        <f>IFNA(VLOOKUP(BM12,'法術資料'!$K$2:$X$805,10,FALSE),"")</f>
        <v/>
      </c>
      <c r="BZ12" s="1498" t="str">
        <f>IFNA(VLOOKUP($Y12,'法術資料'!$K$2:$X$805,11,FALSE),"")</f>
        <v/>
      </c>
      <c r="CA12" s="1495" t="str">
        <f>IFNA(VLOOKUP(BM12,'法術資料'!$K$2:$X$805,12,FALSE),"")</f>
        <v/>
      </c>
      <c r="CB12" s="357"/>
      <c r="CC12" s="1369"/>
      <c r="CD12" s="455"/>
      <c r="CE12" s="1356"/>
      <c r="CF12" s="1492" t="b">
        <v>0</v>
      </c>
      <c r="CG12" s="1499"/>
      <c r="CH12" s="1500" t="str">
        <f>IFNA(VLOOKUP(CG12,'法術資料'!$K$2:$X$805,4,FALSE),"")
</f>
        <v/>
      </c>
      <c r="CI12" s="1495" t="str">
        <f>IFNA(VLOOKUP(CG12,'法術資料'!$K$2:$X$805,7,FALSE),"")</f>
        <v/>
      </c>
      <c r="CJ12" s="1102"/>
      <c r="CK12" s="1495" t="str">
        <f>IFNA(VLOOKUP(CG12,'法術資料'!$K$2:$X$805,8,FALSE),"")</f>
        <v/>
      </c>
      <c r="CL12" s="1102"/>
      <c r="CM12" s="1495" t="str">
        <f>IFNA(VLOOKUP(CG12,'法術資料'!$K$2:$X$805,14,FALSE),"")</f>
        <v/>
      </c>
      <c r="CN12" s="1102"/>
      <c r="CO12" s="1501" t="str">
        <f>IFNA(VLOOKUP(CG12,'法術資料'!$K$2:$X$805,13,FALSE),"")</f>
        <v/>
      </c>
      <c r="CP12" s="1496" t="str">
        <f>IFNA(VLOOKUP(CG12,'法術資料'!$K$2:$X$805,5,FALSE),"")</f>
        <v/>
      </c>
      <c r="CQ12" s="1496" t="str">
        <f>IFNA(VLOOKUP(CG12,'法術資料'!$K$2:$X$805,6,FALSE),"")</f>
        <v/>
      </c>
      <c r="CR12" s="1497" t="str">
        <f>IFNA(VLOOKUP(CG12,'法術資料'!$K$2:$X$805,9,FALSE),"")</f>
        <v/>
      </c>
      <c r="CS12" s="1498" t="str">
        <f>IFNA(VLOOKUP(CG12,'法術資料'!$K$2:$X$805,10,FALSE),"")</f>
        <v/>
      </c>
      <c r="CT12" s="1498" t="str">
        <f>IFNA(VLOOKUP($Y12,'法術資料'!$K$2:$X$805,11,FALSE),"")</f>
        <v/>
      </c>
      <c r="CU12" s="1495" t="str">
        <f>IFNA(VLOOKUP(CG12,'法術資料'!$K$2:$X$805,12,FALSE),"")</f>
        <v/>
      </c>
      <c r="CV12" s="357"/>
      <c r="CW12" s="1369"/>
      <c r="CX12" s="455"/>
      <c r="CY12" s="1356"/>
      <c r="CZ12" s="1492" t="b">
        <v>0</v>
      </c>
      <c r="DA12" s="1499"/>
      <c r="DB12" s="1500" t="str">
        <f>IFNA(VLOOKUP(DA12,'法術資料'!$K$2:$X$805,4,FALSE),"")
</f>
        <v/>
      </c>
      <c r="DC12" s="1495" t="str">
        <f>IFNA(VLOOKUP(DA12,'法術資料'!$K$2:$X$805,7,FALSE),"")</f>
        <v/>
      </c>
      <c r="DD12" s="1102"/>
      <c r="DE12" s="1495" t="str">
        <f>IFNA(VLOOKUP(DA12,'法術資料'!$K$2:$X$805,8,FALSE),"")</f>
        <v/>
      </c>
      <c r="DF12" s="1102"/>
      <c r="DG12" s="1495" t="str">
        <f>IFNA(VLOOKUP(DA12,'法術資料'!$K$2:$X$805,14,FALSE),"")</f>
        <v/>
      </c>
      <c r="DH12" s="1102"/>
      <c r="DI12" s="1501" t="str">
        <f>IFNA(VLOOKUP(DA12,'法術資料'!$K$2:$X$805,13,FALSE),"")</f>
        <v/>
      </c>
      <c r="DJ12" s="1496" t="str">
        <f>IFNA(VLOOKUP(DA12,'法術資料'!$K$2:$X$805,5,FALSE),"")</f>
        <v/>
      </c>
      <c r="DK12" s="1496" t="str">
        <f>IFNA(VLOOKUP(DA12,'法術資料'!$K$2:$X$805,6,FALSE),"")</f>
        <v/>
      </c>
      <c r="DL12" s="1497" t="str">
        <f>IFNA(VLOOKUP(DA12,'法術資料'!$K$2:$X$805,9,FALSE),"")</f>
        <v/>
      </c>
      <c r="DM12" s="1498" t="str">
        <f>IFNA(VLOOKUP(DA12,'法術資料'!$K$2:$X$805,10,FALSE),"")</f>
        <v/>
      </c>
      <c r="DN12" s="1498" t="str">
        <f>IFNA(VLOOKUP($Y12,'法術資料'!$K$2:$X$805,11,FALSE),"")</f>
        <v/>
      </c>
      <c r="DO12" s="1495" t="str">
        <f>IFNA(VLOOKUP(DA12,'法術資料'!$K$2:$X$805,12,FALSE),"")</f>
        <v/>
      </c>
      <c r="DP12" s="357"/>
      <c r="DQ12" s="1369"/>
      <c r="DR12" s="455"/>
      <c r="DS12" s="1356"/>
      <c r="DT12" s="1492" t="b">
        <v>0</v>
      </c>
      <c r="DU12" s="1499"/>
      <c r="DV12" s="1500" t="str">
        <f>IFNA(VLOOKUP(DU12,'法術資料'!$K$2:$X$805,4,FALSE),"")
</f>
        <v/>
      </c>
      <c r="DW12" s="1495" t="str">
        <f>IFNA(VLOOKUP(DU12,'法術資料'!$K$2:$X$805,7,FALSE),"")</f>
        <v/>
      </c>
      <c r="DX12" s="1102"/>
      <c r="DY12" s="1495" t="str">
        <f>IFNA(VLOOKUP(DU12,'法術資料'!$K$2:$X$805,8,FALSE),"")</f>
        <v/>
      </c>
      <c r="DZ12" s="1102"/>
      <c r="EA12" s="1495" t="str">
        <f>IFNA(VLOOKUP(DU12,'法術資料'!$K$2:$X$805,14,FALSE),"")</f>
        <v/>
      </c>
      <c r="EB12" s="1102"/>
      <c r="EC12" s="1501" t="str">
        <f>IFNA(VLOOKUP(DU12,'法術資料'!$K$2:$X$805,13,FALSE),"")</f>
        <v/>
      </c>
      <c r="ED12" s="1496" t="str">
        <f>IFNA(VLOOKUP(DU12,'法術資料'!$K$2:$X$805,5,FALSE),"")</f>
        <v/>
      </c>
      <c r="EE12" s="1496" t="str">
        <f>IFNA(VLOOKUP(DU12,'法術資料'!$K$2:$X$805,6,FALSE),"")</f>
        <v/>
      </c>
      <c r="EF12" s="1497" t="str">
        <f>IFNA(VLOOKUP(DU12,'法術資料'!$K$2:$X$805,9,FALSE),"")</f>
        <v/>
      </c>
      <c r="EG12" s="1498" t="str">
        <f>IFNA(VLOOKUP(DU12,'法術資料'!$K$2:$X$805,10,FALSE),"")</f>
        <v/>
      </c>
      <c r="EH12" s="1498" t="str">
        <f>IFNA(VLOOKUP($Y12,'法術資料'!$K$2:$X$805,11,FALSE),"")</f>
        <v/>
      </c>
      <c r="EI12" s="1495" t="str">
        <f>IFNA(VLOOKUP(DU12,'法術資料'!$K$2:$X$805,12,FALSE),"")</f>
        <v/>
      </c>
      <c r="EJ12" s="357"/>
      <c r="EK12" s="1369"/>
      <c r="EL12" s="455"/>
      <c r="EM12" s="1356"/>
      <c r="EN12" s="1492" t="b">
        <v>0</v>
      </c>
      <c r="EO12" s="1502"/>
      <c r="EP12" s="1500" t="str">
        <f>IFNA(VLOOKUP(EO12,'法術資料'!$K$2:$X$805,4,FALSE),"")
</f>
        <v/>
      </c>
      <c r="EQ12" s="1495" t="str">
        <f>IFNA(VLOOKUP(EO12,'法術資料'!$K$2:$X$805,7,FALSE),"")</f>
        <v/>
      </c>
      <c r="ER12" s="1102"/>
      <c r="ES12" s="1495" t="str">
        <f>IFNA(VLOOKUP(EO12,'法術資料'!$K$2:$X$805,8,FALSE),"")</f>
        <v/>
      </c>
      <c r="ET12" s="1102"/>
      <c r="EU12" s="1495" t="str">
        <f>IFNA(VLOOKUP(EO12,'法術資料'!$K$2:$X$805,14,FALSE),"")</f>
        <v/>
      </c>
      <c r="EV12" s="1102"/>
      <c r="EW12" s="1501" t="str">
        <f>IFNA(VLOOKUP(EO12,'法術資料'!$K$2:$X$805,13,FALSE),"")</f>
        <v/>
      </c>
      <c r="EX12" s="1496" t="str">
        <f>IFNA(VLOOKUP(EO12,'法術資料'!$K$2:$X$805,5,FALSE),"")</f>
        <v/>
      </c>
      <c r="EY12" s="1496" t="str">
        <f>IFNA(VLOOKUP(EO12,'法術資料'!$K$2:$X$805,6,FALSE),"")</f>
        <v/>
      </c>
      <c r="EZ12" s="1497" t="str">
        <f>IFNA(VLOOKUP(EO12,'法術資料'!$K$2:$X$805,9,FALSE),"")</f>
        <v/>
      </c>
      <c r="FA12" s="1498" t="str">
        <f>IFNA(VLOOKUP(EO12,'法術資料'!$K$2:$X$805,10,FALSE),"")</f>
        <v/>
      </c>
      <c r="FB12" s="1498" t="str">
        <f>IFNA(VLOOKUP($Y12,'法術資料'!$K$2:$X$805,11,FALSE),"")</f>
        <v/>
      </c>
      <c r="FC12" s="1495" t="str">
        <f>IFNA(VLOOKUP(EO12,'法術資料'!$K$2:$X$805,12,FALSE),"")</f>
        <v/>
      </c>
      <c r="FD12" s="357"/>
      <c r="FE12" s="1369"/>
      <c r="FF12" s="455"/>
      <c r="FG12" s="1356"/>
      <c r="FH12" s="1492" t="b">
        <v>0</v>
      </c>
      <c r="FI12" s="1499"/>
      <c r="FJ12" s="1500" t="str">
        <f>IFNA(VLOOKUP(FI12,'法術資料'!$K$2:$X$805,4,FALSE),"")
</f>
        <v/>
      </c>
      <c r="FK12" s="1495" t="str">
        <f>IFNA(VLOOKUP(FI12,'法術資料'!$K$2:$X$805,7,FALSE),"")</f>
        <v/>
      </c>
      <c r="FL12" s="1102"/>
      <c r="FM12" s="1495" t="str">
        <f>IFNA(VLOOKUP(FI12,'法術資料'!$K$2:$X$805,8,FALSE),"")</f>
        <v/>
      </c>
      <c r="FN12" s="1102"/>
      <c r="FO12" s="1495" t="str">
        <f>IFNA(VLOOKUP(FI12,'法術資料'!$K$2:$X$805,14,FALSE),"")</f>
        <v/>
      </c>
      <c r="FP12" s="1102"/>
      <c r="FQ12" s="1501" t="str">
        <f>IFNA(VLOOKUP(FI12,'法術資料'!$K$2:$X$805,13,FALSE),"")</f>
        <v/>
      </c>
      <c r="FR12" s="1496" t="str">
        <f>IFNA(VLOOKUP(FI12,'法術資料'!$K$2:$X$805,5,FALSE),"")</f>
        <v/>
      </c>
      <c r="FS12" s="1496" t="str">
        <f>IFNA(VLOOKUP(FI12,'法術資料'!$K$2:$X$805,6,FALSE),"")</f>
        <v/>
      </c>
      <c r="FT12" s="1497" t="str">
        <f>IFNA(VLOOKUP(FI12,'法術資料'!$K$2:$X$805,9,FALSE),"")</f>
        <v/>
      </c>
      <c r="FU12" s="1498" t="str">
        <f>IFNA(VLOOKUP(FI12,'法術資料'!$K$2:$X$805,10,FALSE),"")</f>
        <v/>
      </c>
      <c r="FV12" s="1498" t="str">
        <f>IFNA(VLOOKUP($Y12,'法術資料'!$K$2:$X$805,11,FALSE),"")</f>
        <v/>
      </c>
      <c r="FW12" s="1495" t="str">
        <f>IFNA(VLOOKUP(FI12,'法術資料'!$K$2:$X$805,12,FALSE),"")</f>
        <v/>
      </c>
      <c r="FX12" s="357"/>
      <c r="FY12" s="1369"/>
      <c r="FZ12" s="455"/>
    </row>
    <row r="13">
      <c r="A13" s="455"/>
      <c r="B13" s="1356"/>
      <c r="C13" s="1503" t="b">
        <v>0</v>
      </c>
      <c r="D13" s="1504"/>
      <c r="E13" s="1505" t="str">
        <f>IFNA(VLOOKUP($D13,'法術資料'!$K$2:$X$805,4,FALSE),"")
</f>
        <v/>
      </c>
      <c r="F13" s="1506" t="str">
        <f>IFNA(VLOOKUP($D13,'法術資料'!$K$2:$X$805,7,FALSE),"")</f>
        <v/>
      </c>
      <c r="G13" s="1141"/>
      <c r="H13" s="1506" t="str">
        <f>IFNA(VLOOKUP($D13,'法術資料'!$K$2:$X$805,8,FALSE),"")</f>
        <v/>
      </c>
      <c r="I13" s="1141"/>
      <c r="J13" s="1506" t="str">
        <f>IFNA(VLOOKUP($D13,'法術資料'!$K$2:$X$805,14,FALSE),"")</f>
        <v/>
      </c>
      <c r="K13" s="1141"/>
      <c r="L13" s="1506" t="str">
        <f>IFNA(VLOOKUP($D13,'法術資料'!$K$2:$X$805,13,FALSE),"")</f>
        <v/>
      </c>
      <c r="M13" s="1141"/>
      <c r="N13" s="1377" t="str">
        <f>IFNA(VLOOKUP($D13,'法術資料'!$K$2:$X$805,5,FALSE),"")</f>
        <v/>
      </c>
      <c r="O13" s="1377" t="str">
        <f>IFNA(VLOOKUP($D13,'法術資料'!$K$2:$X$805,6,FALSE),"")</f>
        <v/>
      </c>
      <c r="P13" s="1378" t="str">
        <f>IFNA(VLOOKUP($D13,'法術資料'!$K$2:$X$805,9,FALSE),"")</f>
        <v/>
      </c>
      <c r="Q13" s="1379" t="str">
        <f>IFNA(VLOOKUP($D13,'法術資料'!$K$2:$X$805,10,FALSE),"")</f>
        <v/>
      </c>
      <c r="R13" s="1379" t="str">
        <f>IFNA(VLOOKUP($D13,'法術資料'!$K$2:$X$805,11,FALSE),"")</f>
        <v/>
      </c>
      <c r="S13" s="1506" t="str">
        <f>IFNA(VLOOKUP($D13,'法術資料'!$K$2:$X$805,12,FALSE),"")</f>
        <v/>
      </c>
      <c r="T13" s="376"/>
      <c r="U13" s="1369"/>
      <c r="V13" s="455"/>
      <c r="W13" s="1356"/>
      <c r="X13" s="1503" t="b">
        <v>0</v>
      </c>
      <c r="Y13" s="1504"/>
      <c r="Z13" s="1507" t="str">
        <f>IFNA(VLOOKUP(Y13,'法術資料'!$K$2:$X$805,4,FALSE),"")
</f>
        <v/>
      </c>
      <c r="AA13" s="1506" t="str">
        <f>IFNA(VLOOKUP($Y13,'法術資料'!$K$2:$X$805,7,FALSE),"")</f>
        <v/>
      </c>
      <c r="AB13" s="1141"/>
      <c r="AC13" s="1506" t="str">
        <f>IFNA(VLOOKUP($Y13,'法術資料'!$K$2:$X$805,8,FALSE),"")</f>
        <v/>
      </c>
      <c r="AD13" s="1141"/>
      <c r="AE13" s="1506" t="str">
        <f>IFNA(VLOOKUP($Y13,'法術資料'!$K$2:$X$805,14,FALSE),"")</f>
        <v/>
      </c>
      <c r="AF13" s="1141"/>
      <c r="AG13" s="1377" t="str">
        <f>IFNA(VLOOKUP($Y13,'法術資料'!$K$2:$X$805,13,FALSE),"")</f>
        <v/>
      </c>
      <c r="AH13" s="1377" t="str">
        <f>IFNA(VLOOKUP($Y13,'法術資料'!$K$2:$X$805,5,FALSE),"")</f>
        <v/>
      </c>
      <c r="AI13" s="1377" t="str">
        <f>IFNA(VLOOKUP($Y13,'法術資料'!$K$2:$X$805,6,FALSE),"")</f>
        <v/>
      </c>
      <c r="AJ13" s="1378" t="str">
        <f>IFNA(VLOOKUP($Y13,'法術資料'!$K$2:$X$805,9,FALSE),"")</f>
        <v/>
      </c>
      <c r="AK13" s="1379" t="str">
        <f>IFNA(VLOOKUP($Y13,'法術資料'!$K$2:$X$805,10,FALSE),"")</f>
        <v/>
      </c>
      <c r="AL13" s="1379" t="str">
        <f>IFNA(VLOOKUP($Y13,'法術資料'!$K$2:$X$805,11,FALSE),"")</f>
        <v/>
      </c>
      <c r="AM13" s="1506" t="str">
        <f>IFNA(VLOOKUP($Y13,'法術資料'!$K$2:$X$805,12,FALSE),"")</f>
        <v/>
      </c>
      <c r="AN13" s="376"/>
      <c r="AO13" s="1369"/>
      <c r="AP13" s="455"/>
      <c r="AQ13" s="1356"/>
      <c r="AR13" s="1503" t="b">
        <v>0</v>
      </c>
      <c r="AS13" s="1504"/>
      <c r="AT13" s="1507" t="str">
        <f>IFNA(VLOOKUP(AS13,'法術資料'!$K$2:$X$805,4,FALSE),"")
</f>
        <v/>
      </c>
      <c r="AU13" s="1506" t="str">
        <f>IFNA(VLOOKUP(AS13,'法術資料'!$K$2:$X$805,7,FALSE),"")</f>
        <v/>
      </c>
      <c r="AV13" s="1141"/>
      <c r="AW13" s="1506" t="str">
        <f>IFNA(VLOOKUP(AS13,'法術資料'!$K$2:$X$805,8,FALSE),"")</f>
        <v/>
      </c>
      <c r="AX13" s="1141"/>
      <c r="AY13" s="1506" t="str">
        <f>IFNA(VLOOKUP(AS13,'法術資料'!$K$2:$X$805,14,FALSE),"")</f>
        <v/>
      </c>
      <c r="AZ13" s="1141"/>
      <c r="BA13" s="1377" t="str">
        <f>IFNA(VLOOKUP(AS13,'法術資料'!$K$2:$X$805,13,FALSE),"")</f>
        <v/>
      </c>
      <c r="BB13" s="1377" t="str">
        <f>IFNA(VLOOKUP(AS13,'法術資料'!$K$2:$X$805,5,FALSE),"")</f>
        <v/>
      </c>
      <c r="BC13" s="1377" t="str">
        <f>IFNA(VLOOKUP(AS13,'法術資料'!$K$2:$X$805,6,FALSE),"")</f>
        <v/>
      </c>
      <c r="BD13" s="1378" t="str">
        <f>IFNA(VLOOKUP(AS13,'法術資料'!$K$2:$X$805,9,FALSE),"")</f>
        <v/>
      </c>
      <c r="BE13" s="1379" t="str">
        <f>IFNA(VLOOKUP(AS13,'法術資料'!$K$2:$X$805,10,FALSE),"")</f>
        <v/>
      </c>
      <c r="BF13" s="1379" t="str">
        <f>IFNA(VLOOKUP($Y13,'法術資料'!$K$2:$X$805,11,FALSE),"")</f>
        <v/>
      </c>
      <c r="BG13" s="1506" t="str">
        <f>IFNA(VLOOKUP(AS13,'法術資料'!$K$2:$X$805,12,FALSE),"")</f>
        <v/>
      </c>
      <c r="BH13" s="376"/>
      <c r="BI13" s="1369"/>
      <c r="BJ13" s="455"/>
      <c r="BK13" s="1356"/>
      <c r="BL13" s="1503" t="b">
        <v>0</v>
      </c>
      <c r="BM13" s="1504"/>
      <c r="BN13" s="1507" t="str">
        <f>IFNA(VLOOKUP(BM13,'法術資料'!$K$2:$X$805,4,FALSE),"")
</f>
        <v/>
      </c>
      <c r="BO13" s="1506" t="str">
        <f>IFNA(VLOOKUP(BM13,'法術資料'!$K$2:$X$805,7,FALSE),"")</f>
        <v/>
      </c>
      <c r="BP13" s="1141"/>
      <c r="BQ13" s="1506" t="str">
        <f>IFNA(VLOOKUP(BM13,'法術資料'!$K$2:$X$805,8,FALSE),"")</f>
        <v/>
      </c>
      <c r="BR13" s="1141"/>
      <c r="BS13" s="1506" t="str">
        <f>IFNA(VLOOKUP(BM13,'法術資料'!$K$2:$X$805,14,FALSE),"")</f>
        <v/>
      </c>
      <c r="BT13" s="1141"/>
      <c r="BU13" s="1377" t="str">
        <f>IFNA(VLOOKUP(BM13,'法術資料'!$K$2:$X$805,13,FALSE),"")</f>
        <v/>
      </c>
      <c r="BV13" s="1377" t="str">
        <f>IFNA(VLOOKUP(BM13,'法術資料'!$K$2:$X$805,5,FALSE),"")</f>
        <v/>
      </c>
      <c r="BW13" s="1377" t="str">
        <f>IFNA(VLOOKUP(BM13,'法術資料'!$K$2:$X$805,6,FALSE),"")</f>
        <v/>
      </c>
      <c r="BX13" s="1378" t="str">
        <f>IFNA(VLOOKUP(BM13,'法術資料'!$K$2:$X$805,9,FALSE),"")</f>
        <v/>
      </c>
      <c r="BY13" s="1379" t="str">
        <f>IFNA(VLOOKUP(BM13,'法術資料'!$K$2:$X$805,10,FALSE),"")</f>
        <v/>
      </c>
      <c r="BZ13" s="1379" t="str">
        <f>IFNA(VLOOKUP($Y13,'法術資料'!$K$2:$X$805,11,FALSE),"")</f>
        <v/>
      </c>
      <c r="CA13" s="1506" t="str">
        <f>IFNA(VLOOKUP(BM13,'法術資料'!$K$2:$X$805,12,FALSE),"")</f>
        <v/>
      </c>
      <c r="CB13" s="376"/>
      <c r="CC13" s="1369"/>
      <c r="CD13" s="455"/>
      <c r="CE13" s="1356"/>
      <c r="CF13" s="1503" t="b">
        <v>0</v>
      </c>
      <c r="CG13" s="1504"/>
      <c r="CH13" s="1507" t="str">
        <f>IFNA(VLOOKUP(CG13,'法術資料'!$K$2:$X$805,4,FALSE),"")
</f>
        <v/>
      </c>
      <c r="CI13" s="1506" t="str">
        <f>IFNA(VLOOKUP(CG13,'法術資料'!$K$2:$X$805,7,FALSE),"")</f>
        <v/>
      </c>
      <c r="CJ13" s="1141"/>
      <c r="CK13" s="1506" t="str">
        <f>IFNA(VLOOKUP(CG13,'法術資料'!$K$2:$X$805,8,FALSE),"")</f>
        <v/>
      </c>
      <c r="CL13" s="1141"/>
      <c r="CM13" s="1506" t="str">
        <f>IFNA(VLOOKUP(CG13,'法術資料'!$K$2:$X$805,14,FALSE),"")</f>
        <v/>
      </c>
      <c r="CN13" s="1141"/>
      <c r="CO13" s="1377" t="str">
        <f>IFNA(VLOOKUP(CG13,'法術資料'!$K$2:$X$805,13,FALSE),"")</f>
        <v/>
      </c>
      <c r="CP13" s="1377" t="str">
        <f>IFNA(VLOOKUP(CG13,'法術資料'!$K$2:$X$805,5,FALSE),"")</f>
        <v/>
      </c>
      <c r="CQ13" s="1377" t="str">
        <f>IFNA(VLOOKUP(CG13,'法術資料'!$K$2:$X$805,6,FALSE),"")</f>
        <v/>
      </c>
      <c r="CR13" s="1378" t="str">
        <f>IFNA(VLOOKUP(CG13,'法術資料'!$K$2:$X$805,9,FALSE),"")</f>
        <v/>
      </c>
      <c r="CS13" s="1379" t="str">
        <f>IFNA(VLOOKUP(CG13,'法術資料'!$K$2:$X$805,10,FALSE),"")</f>
        <v/>
      </c>
      <c r="CT13" s="1379" t="str">
        <f>IFNA(VLOOKUP($Y13,'法術資料'!$K$2:$X$805,11,FALSE),"")</f>
        <v/>
      </c>
      <c r="CU13" s="1506" t="str">
        <f>IFNA(VLOOKUP(CG13,'法術資料'!$K$2:$X$805,12,FALSE),"")</f>
        <v/>
      </c>
      <c r="CV13" s="376"/>
      <c r="CW13" s="1369"/>
      <c r="CX13" s="455"/>
      <c r="CY13" s="1356"/>
      <c r="CZ13" s="1503" t="b">
        <v>0</v>
      </c>
      <c r="DA13" s="1504"/>
      <c r="DB13" s="1507" t="str">
        <f>IFNA(VLOOKUP(DA13,'法術資料'!$K$2:$X$805,4,FALSE),"")
</f>
        <v/>
      </c>
      <c r="DC13" s="1506" t="str">
        <f>IFNA(VLOOKUP(DA13,'法術資料'!$K$2:$X$805,7,FALSE),"")</f>
        <v/>
      </c>
      <c r="DD13" s="1141"/>
      <c r="DE13" s="1506" t="str">
        <f>IFNA(VLOOKUP(DA13,'法術資料'!$K$2:$X$805,8,FALSE),"")</f>
        <v/>
      </c>
      <c r="DF13" s="1141"/>
      <c r="DG13" s="1506" t="str">
        <f>IFNA(VLOOKUP(DA13,'法術資料'!$K$2:$X$805,14,FALSE),"")</f>
        <v/>
      </c>
      <c r="DH13" s="1141"/>
      <c r="DI13" s="1377" t="str">
        <f>IFNA(VLOOKUP(DA13,'法術資料'!$K$2:$X$805,13,FALSE),"")</f>
        <v/>
      </c>
      <c r="DJ13" s="1377" t="str">
        <f>IFNA(VLOOKUP(DA13,'法術資料'!$K$2:$X$805,5,FALSE),"")</f>
        <v/>
      </c>
      <c r="DK13" s="1377" t="str">
        <f>IFNA(VLOOKUP(DA13,'法術資料'!$K$2:$X$805,6,FALSE),"")</f>
        <v/>
      </c>
      <c r="DL13" s="1378" t="str">
        <f>IFNA(VLOOKUP(DA13,'法術資料'!$K$2:$X$805,9,FALSE),"")</f>
        <v/>
      </c>
      <c r="DM13" s="1379" t="str">
        <f>IFNA(VLOOKUP(DA13,'法術資料'!$K$2:$X$805,10,FALSE),"")</f>
        <v/>
      </c>
      <c r="DN13" s="1379" t="str">
        <f>IFNA(VLOOKUP($Y13,'法術資料'!$K$2:$X$805,11,FALSE),"")</f>
        <v/>
      </c>
      <c r="DO13" s="1506" t="str">
        <f>IFNA(VLOOKUP(DA13,'法術資料'!$K$2:$X$805,12,FALSE),"")</f>
        <v/>
      </c>
      <c r="DP13" s="376"/>
      <c r="DQ13" s="1369"/>
      <c r="DR13" s="455"/>
      <c r="DS13" s="1356"/>
      <c r="DT13" s="1503" t="b">
        <v>0</v>
      </c>
      <c r="DU13" s="1504"/>
      <c r="DV13" s="1507" t="str">
        <f>IFNA(VLOOKUP(DU13,'法術資料'!$K$2:$X$805,4,FALSE),"")
</f>
        <v/>
      </c>
      <c r="DW13" s="1506" t="str">
        <f>IFNA(VLOOKUP(DU13,'法術資料'!$K$2:$X$805,7,FALSE),"")</f>
        <v/>
      </c>
      <c r="DX13" s="1141"/>
      <c r="DY13" s="1506" t="str">
        <f>IFNA(VLOOKUP(DU13,'法術資料'!$K$2:$X$805,8,FALSE),"")</f>
        <v/>
      </c>
      <c r="DZ13" s="1141"/>
      <c r="EA13" s="1506" t="str">
        <f>IFNA(VLOOKUP(DU13,'法術資料'!$K$2:$X$805,14,FALSE),"")</f>
        <v/>
      </c>
      <c r="EB13" s="1141"/>
      <c r="EC13" s="1377" t="str">
        <f>IFNA(VLOOKUP(DU13,'法術資料'!$K$2:$X$805,13,FALSE),"")</f>
        <v/>
      </c>
      <c r="ED13" s="1377" t="str">
        <f>IFNA(VLOOKUP(DU13,'法術資料'!$K$2:$X$805,5,FALSE),"")</f>
        <v/>
      </c>
      <c r="EE13" s="1377" t="str">
        <f>IFNA(VLOOKUP(DU13,'法術資料'!$K$2:$X$805,6,FALSE),"")</f>
        <v/>
      </c>
      <c r="EF13" s="1378" t="str">
        <f>IFNA(VLOOKUP(DU13,'法術資料'!$K$2:$X$805,9,FALSE),"")</f>
        <v/>
      </c>
      <c r="EG13" s="1379" t="str">
        <f>IFNA(VLOOKUP(DU13,'法術資料'!$K$2:$X$805,10,FALSE),"")</f>
        <v/>
      </c>
      <c r="EH13" s="1379" t="str">
        <f>IFNA(VLOOKUP($Y13,'法術資料'!$K$2:$X$805,11,FALSE),"")</f>
        <v/>
      </c>
      <c r="EI13" s="1506" t="str">
        <f>IFNA(VLOOKUP(DU13,'法術資料'!$K$2:$X$805,12,FALSE),"")</f>
        <v/>
      </c>
      <c r="EJ13" s="376"/>
      <c r="EK13" s="1369"/>
      <c r="EL13" s="455"/>
      <c r="EM13" s="1356"/>
      <c r="EN13" s="1503" t="b">
        <v>0</v>
      </c>
      <c r="EO13" s="1508"/>
      <c r="EP13" s="1507" t="str">
        <f>IFNA(VLOOKUP(EO13,'法術資料'!$K$2:$X$805,4,FALSE),"")
</f>
        <v/>
      </c>
      <c r="EQ13" s="1506" t="str">
        <f>IFNA(VLOOKUP(EO13,'法術資料'!$K$2:$X$805,7,FALSE),"")</f>
        <v/>
      </c>
      <c r="ER13" s="1141"/>
      <c r="ES13" s="1506" t="str">
        <f>IFNA(VLOOKUP(EO13,'法術資料'!$K$2:$X$805,8,FALSE),"")</f>
        <v/>
      </c>
      <c r="ET13" s="1141"/>
      <c r="EU13" s="1506" t="str">
        <f>IFNA(VLOOKUP(EO13,'法術資料'!$K$2:$X$805,14,FALSE),"")</f>
        <v/>
      </c>
      <c r="EV13" s="1141"/>
      <c r="EW13" s="1377" t="str">
        <f>IFNA(VLOOKUP(EO13,'法術資料'!$K$2:$X$805,13,FALSE),"")</f>
        <v/>
      </c>
      <c r="EX13" s="1377" t="str">
        <f>IFNA(VLOOKUP(EO13,'法術資料'!$K$2:$X$805,5,FALSE),"")</f>
        <v/>
      </c>
      <c r="EY13" s="1377" t="str">
        <f>IFNA(VLOOKUP(EO13,'法術資料'!$K$2:$X$805,6,FALSE),"")</f>
        <v/>
      </c>
      <c r="EZ13" s="1378" t="str">
        <f>IFNA(VLOOKUP(EO13,'法術資料'!$K$2:$X$805,9,FALSE),"")</f>
        <v/>
      </c>
      <c r="FA13" s="1379" t="str">
        <f>IFNA(VLOOKUP(EO13,'法術資料'!$K$2:$X$805,10,FALSE),"")</f>
        <v/>
      </c>
      <c r="FB13" s="1379" t="str">
        <f>IFNA(VLOOKUP($Y13,'法術資料'!$K$2:$X$805,11,FALSE),"")</f>
        <v/>
      </c>
      <c r="FC13" s="1506" t="str">
        <f>IFNA(VLOOKUP(EO13,'法術資料'!$K$2:$X$805,12,FALSE),"")</f>
        <v/>
      </c>
      <c r="FD13" s="376"/>
      <c r="FE13" s="1369"/>
      <c r="FF13" s="455"/>
      <c r="FG13" s="1356"/>
      <c r="FH13" s="1503" t="b">
        <v>0</v>
      </c>
      <c r="FI13" s="1508"/>
      <c r="FJ13" s="1507" t="str">
        <f>IFNA(VLOOKUP(FI13,'法術資料'!$K$2:$X$805,4,FALSE),"")
</f>
        <v/>
      </c>
      <c r="FK13" s="1506" t="str">
        <f>IFNA(VLOOKUP(FI13,'法術資料'!$K$2:$X$805,7,FALSE),"")</f>
        <v/>
      </c>
      <c r="FL13" s="1141"/>
      <c r="FM13" s="1506" t="str">
        <f>IFNA(VLOOKUP(FI13,'法術資料'!$K$2:$X$805,8,FALSE),"")</f>
        <v/>
      </c>
      <c r="FN13" s="1141"/>
      <c r="FO13" s="1506" t="str">
        <f>IFNA(VLOOKUP(FI13,'法術資料'!$K$2:$X$805,14,FALSE),"")</f>
        <v/>
      </c>
      <c r="FP13" s="1141"/>
      <c r="FQ13" s="1377" t="str">
        <f>IFNA(VLOOKUP(FI13,'法術資料'!$K$2:$X$805,13,FALSE),"")</f>
        <v/>
      </c>
      <c r="FR13" s="1377" t="str">
        <f>IFNA(VLOOKUP(FI13,'法術資料'!$K$2:$X$805,5,FALSE),"")</f>
        <v/>
      </c>
      <c r="FS13" s="1377" t="str">
        <f>IFNA(VLOOKUP(FI13,'法術資料'!$K$2:$X$805,6,FALSE),"")</f>
        <v/>
      </c>
      <c r="FT13" s="1378" t="str">
        <f>IFNA(VLOOKUP(FI13,'法術資料'!$K$2:$X$805,9,FALSE),"")</f>
        <v/>
      </c>
      <c r="FU13" s="1379" t="str">
        <f>IFNA(VLOOKUP(FI13,'法術資料'!$K$2:$X$805,10,FALSE),"")</f>
        <v/>
      </c>
      <c r="FV13" s="1379" t="str">
        <f>IFNA(VLOOKUP($Y13,'法術資料'!$K$2:$X$805,11,FALSE),"")</f>
        <v/>
      </c>
      <c r="FW13" s="1506" t="str">
        <f>IFNA(VLOOKUP(FI13,'法術資料'!$K$2:$X$805,12,FALSE),"")</f>
        <v/>
      </c>
      <c r="FX13" s="376"/>
      <c r="FY13" s="1369"/>
      <c r="FZ13" s="455"/>
    </row>
    <row r="14">
      <c r="A14" s="455"/>
      <c r="B14" s="1356"/>
      <c r="C14" s="1509" t="b">
        <v>0</v>
      </c>
      <c r="D14" s="1502"/>
      <c r="E14" s="1510" t="str">
        <f>IFNA(VLOOKUP($D14,'法術資料'!$K$2:$X$805,4,FALSE),"")
</f>
        <v/>
      </c>
      <c r="F14" s="1511" t="str">
        <f>IFNA(VLOOKUP($D14,'法術資料'!$K$2:$X$805,7,FALSE),"")</f>
        <v/>
      </c>
      <c r="G14" s="1141"/>
      <c r="H14" s="1511" t="str">
        <f>IFNA(VLOOKUP($D14,'法術資料'!$K$2:$X$805,8,FALSE),"")</f>
        <v/>
      </c>
      <c r="I14" s="1141"/>
      <c r="J14" s="1511" t="str">
        <f>IFNA(VLOOKUP($D14,'法術資料'!$K$2:$X$805,14,FALSE),"")</f>
        <v/>
      </c>
      <c r="K14" s="1141"/>
      <c r="L14" s="1511" t="str">
        <f>IFNA(VLOOKUP($D14,'法術資料'!$K$2:$X$805,13,FALSE),"")</f>
        <v/>
      </c>
      <c r="M14" s="1141"/>
      <c r="N14" s="1365" t="str">
        <f>IFNA(VLOOKUP($D14,'法術資料'!$K$2:$X$805,5,FALSE),"")</f>
        <v/>
      </c>
      <c r="O14" s="1365" t="str">
        <f>IFNA(VLOOKUP($D14,'法術資料'!$K$2:$X$805,6,FALSE),"")</f>
        <v/>
      </c>
      <c r="P14" s="1366" t="str">
        <f>IFNA(VLOOKUP($D14,'法術資料'!$K$2:$X$805,9,FALSE),"")</f>
        <v/>
      </c>
      <c r="Q14" s="1367" t="str">
        <f>IFNA(VLOOKUP($D14,'法術資料'!$K$2:$X$805,10,FALSE),"")</f>
        <v/>
      </c>
      <c r="R14" s="1367" t="str">
        <f>IFNA(VLOOKUP($D14,'法術資料'!$K$2:$X$805,11,FALSE),"")</f>
        <v/>
      </c>
      <c r="S14" s="1511" t="str">
        <f>IFNA(VLOOKUP($D14,'法術資料'!$K$2:$X$805,12,FALSE),"")</f>
        <v/>
      </c>
      <c r="T14" s="376"/>
      <c r="U14" s="1369"/>
      <c r="V14" s="455"/>
      <c r="W14" s="1356"/>
      <c r="X14" s="1509" t="b">
        <v>0</v>
      </c>
      <c r="Y14" s="1502"/>
      <c r="Z14" s="1512" t="str">
        <f>IFNA(VLOOKUP(Y14,'法術資料'!$K$2:$X$805,4,FALSE),"")
</f>
        <v/>
      </c>
      <c r="AA14" s="1511" t="str">
        <f>IFNA(VLOOKUP($Y14,'法術資料'!$K$2:$X$805,7,FALSE),"")</f>
        <v/>
      </c>
      <c r="AB14" s="1141"/>
      <c r="AC14" s="1511" t="str">
        <f>IFNA(VLOOKUP($Y14,'法術資料'!$K$2:$X$805,8,FALSE),"")</f>
        <v/>
      </c>
      <c r="AD14" s="1141"/>
      <c r="AE14" s="1511" t="str">
        <f>IFNA(VLOOKUP($Y14,'法術資料'!$K$2:$X$805,14,FALSE),"")</f>
        <v/>
      </c>
      <c r="AF14" s="1141"/>
      <c r="AG14" s="1365" t="str">
        <f>IFNA(VLOOKUP($Y14,'法術資料'!$K$2:$X$805,13,FALSE),"")</f>
        <v/>
      </c>
      <c r="AH14" s="1365" t="str">
        <f>IFNA(VLOOKUP($Y14,'法術資料'!$K$2:$X$805,5,FALSE),"")</f>
        <v/>
      </c>
      <c r="AI14" s="1365" t="str">
        <f>IFNA(VLOOKUP($Y14,'法術資料'!$K$2:$X$805,6,FALSE),"")</f>
        <v/>
      </c>
      <c r="AJ14" s="1366" t="str">
        <f>IFNA(VLOOKUP($Y14,'法術資料'!$K$2:$X$805,9,FALSE),"")</f>
        <v/>
      </c>
      <c r="AK14" s="1367" t="str">
        <f>IFNA(VLOOKUP($Y14,'法術資料'!$K$2:$X$805,10,FALSE),"")</f>
        <v/>
      </c>
      <c r="AL14" s="1367" t="str">
        <f>IFNA(VLOOKUP($Y14,'法術資料'!$K$2:$X$805,11,FALSE),"")</f>
        <v/>
      </c>
      <c r="AM14" s="1511" t="str">
        <f>IFNA(VLOOKUP($Y14,'法術資料'!$K$2:$X$805,12,FALSE),"")</f>
        <v/>
      </c>
      <c r="AN14" s="376"/>
      <c r="AO14" s="1369"/>
      <c r="AP14" s="455"/>
      <c r="AQ14" s="1356"/>
      <c r="AR14" s="1509" t="b">
        <v>0</v>
      </c>
      <c r="AS14" s="1502"/>
      <c r="AT14" s="1512" t="str">
        <f>IFNA(VLOOKUP(AS14,'法術資料'!$K$2:$X$805,4,FALSE),"")
</f>
        <v/>
      </c>
      <c r="AU14" s="1511" t="str">
        <f>IFNA(VLOOKUP(AS14,'法術資料'!$K$2:$X$805,7,FALSE),"")</f>
        <v/>
      </c>
      <c r="AV14" s="1141"/>
      <c r="AW14" s="1511" t="str">
        <f>IFNA(VLOOKUP(AS14,'法術資料'!$K$2:$X$805,8,FALSE),"")</f>
        <v/>
      </c>
      <c r="AX14" s="1141"/>
      <c r="AY14" s="1511" t="str">
        <f>IFNA(VLOOKUP(AS14,'法術資料'!$K$2:$X$805,14,FALSE),"")</f>
        <v/>
      </c>
      <c r="AZ14" s="1141"/>
      <c r="BA14" s="1365" t="str">
        <f>IFNA(VLOOKUP(AS14,'法術資料'!$K$2:$X$805,13,FALSE),"")</f>
        <v/>
      </c>
      <c r="BB14" s="1365" t="str">
        <f>IFNA(VLOOKUP(AS14,'法術資料'!$K$2:$X$805,5,FALSE),"")</f>
        <v/>
      </c>
      <c r="BC14" s="1365" t="str">
        <f>IFNA(VLOOKUP(AS14,'法術資料'!$K$2:$X$805,6,FALSE),"")</f>
        <v/>
      </c>
      <c r="BD14" s="1366" t="str">
        <f>IFNA(VLOOKUP(AS14,'法術資料'!$K$2:$X$805,9,FALSE),"")</f>
        <v/>
      </c>
      <c r="BE14" s="1367" t="str">
        <f>IFNA(VLOOKUP(AS14,'法術資料'!$K$2:$X$805,10,FALSE),"")</f>
        <v/>
      </c>
      <c r="BF14" s="1367" t="str">
        <f>IFNA(VLOOKUP($Y14,'法術資料'!$K$2:$X$805,11,FALSE),"")</f>
        <v/>
      </c>
      <c r="BG14" s="1511" t="str">
        <f>IFNA(VLOOKUP(AS14,'法術資料'!$K$2:$X$805,12,FALSE),"")</f>
        <v/>
      </c>
      <c r="BH14" s="376"/>
      <c r="BI14" s="1369"/>
      <c r="BJ14" s="455"/>
      <c r="BK14" s="1356"/>
      <c r="BL14" s="1509" t="b">
        <v>0</v>
      </c>
      <c r="BM14" s="1502"/>
      <c r="BN14" s="1512" t="str">
        <f>IFNA(VLOOKUP(BM14,'法術資料'!$K$2:$X$805,4,FALSE),"")
</f>
        <v/>
      </c>
      <c r="BO14" s="1511" t="str">
        <f>IFNA(VLOOKUP(BM14,'法術資料'!$K$2:$X$805,7,FALSE),"")</f>
        <v/>
      </c>
      <c r="BP14" s="1141"/>
      <c r="BQ14" s="1511" t="str">
        <f>IFNA(VLOOKUP(BM14,'法術資料'!$K$2:$X$805,8,FALSE),"")</f>
        <v/>
      </c>
      <c r="BR14" s="1141"/>
      <c r="BS14" s="1511" t="str">
        <f>IFNA(VLOOKUP(BM14,'法術資料'!$K$2:$X$805,14,FALSE),"")</f>
        <v/>
      </c>
      <c r="BT14" s="1141"/>
      <c r="BU14" s="1365" t="str">
        <f>IFNA(VLOOKUP(BM14,'法術資料'!$K$2:$X$805,13,FALSE),"")</f>
        <v/>
      </c>
      <c r="BV14" s="1365" t="str">
        <f>IFNA(VLOOKUP(BM14,'法術資料'!$K$2:$X$805,5,FALSE),"")</f>
        <v/>
      </c>
      <c r="BW14" s="1365" t="str">
        <f>IFNA(VLOOKUP(BM14,'法術資料'!$K$2:$X$805,6,FALSE),"")</f>
        <v/>
      </c>
      <c r="BX14" s="1366" t="str">
        <f>IFNA(VLOOKUP(BM14,'法術資料'!$K$2:$X$805,9,FALSE),"")</f>
        <v/>
      </c>
      <c r="BY14" s="1367" t="str">
        <f>IFNA(VLOOKUP(BM14,'法術資料'!$K$2:$X$805,10,FALSE),"")</f>
        <v/>
      </c>
      <c r="BZ14" s="1367" t="str">
        <f>IFNA(VLOOKUP($Y14,'法術資料'!$K$2:$X$805,11,FALSE),"")</f>
        <v/>
      </c>
      <c r="CA14" s="1511" t="str">
        <f>IFNA(VLOOKUP(BM14,'法術資料'!$K$2:$X$805,12,FALSE),"")</f>
        <v/>
      </c>
      <c r="CB14" s="376"/>
      <c r="CC14" s="1369"/>
      <c r="CD14" s="455"/>
      <c r="CE14" s="1356"/>
      <c r="CF14" s="1509" t="b">
        <v>0</v>
      </c>
      <c r="CG14" s="1502"/>
      <c r="CH14" s="1512" t="str">
        <f>IFNA(VLOOKUP(CG14,'法術資料'!$K$2:$X$805,4,FALSE),"")
</f>
        <v/>
      </c>
      <c r="CI14" s="1511" t="str">
        <f>IFNA(VLOOKUP(CG14,'法術資料'!$K$2:$X$805,7,FALSE),"")</f>
        <v/>
      </c>
      <c r="CJ14" s="1141"/>
      <c r="CK14" s="1511" t="str">
        <f>IFNA(VLOOKUP(CG14,'法術資料'!$K$2:$X$805,8,FALSE),"")</f>
        <v/>
      </c>
      <c r="CL14" s="1141"/>
      <c r="CM14" s="1511" t="str">
        <f>IFNA(VLOOKUP(CG14,'法術資料'!$K$2:$X$805,14,FALSE),"")</f>
        <v/>
      </c>
      <c r="CN14" s="1141"/>
      <c r="CO14" s="1365" t="str">
        <f>IFNA(VLOOKUP(CG14,'法術資料'!$K$2:$X$805,13,FALSE),"")</f>
        <v/>
      </c>
      <c r="CP14" s="1365" t="str">
        <f>IFNA(VLOOKUP(CG14,'法術資料'!$K$2:$X$805,5,FALSE),"")</f>
        <v/>
      </c>
      <c r="CQ14" s="1365" t="str">
        <f>IFNA(VLOOKUP(CG14,'法術資料'!$K$2:$X$805,6,FALSE),"")</f>
        <v/>
      </c>
      <c r="CR14" s="1366" t="str">
        <f>IFNA(VLOOKUP(CG14,'法術資料'!$K$2:$X$805,9,FALSE),"")</f>
        <v/>
      </c>
      <c r="CS14" s="1367" t="str">
        <f>IFNA(VLOOKUP(CG14,'法術資料'!$K$2:$X$805,10,FALSE),"")</f>
        <v/>
      </c>
      <c r="CT14" s="1367" t="str">
        <f>IFNA(VLOOKUP($Y14,'法術資料'!$K$2:$X$805,11,FALSE),"")</f>
        <v/>
      </c>
      <c r="CU14" s="1511" t="str">
        <f>IFNA(VLOOKUP(CG14,'法術資料'!$K$2:$X$805,12,FALSE),"")</f>
        <v/>
      </c>
      <c r="CV14" s="376"/>
      <c r="CW14" s="1369"/>
      <c r="CX14" s="455"/>
      <c r="CY14" s="1356"/>
      <c r="CZ14" s="1509" t="b">
        <v>0</v>
      </c>
      <c r="DA14" s="1502"/>
      <c r="DB14" s="1512" t="str">
        <f>IFNA(VLOOKUP(DA14,'法術資料'!$K$2:$X$805,4,FALSE),"")
</f>
        <v/>
      </c>
      <c r="DC14" s="1511" t="str">
        <f>IFNA(VLOOKUP(DA14,'法術資料'!$K$2:$X$805,7,FALSE),"")</f>
        <v/>
      </c>
      <c r="DD14" s="1141"/>
      <c r="DE14" s="1511" t="str">
        <f>IFNA(VLOOKUP(DA14,'法術資料'!$K$2:$X$805,8,FALSE),"")</f>
        <v/>
      </c>
      <c r="DF14" s="1141"/>
      <c r="DG14" s="1511" t="str">
        <f>IFNA(VLOOKUP(DA14,'法術資料'!$K$2:$X$805,14,FALSE),"")</f>
        <v/>
      </c>
      <c r="DH14" s="1141"/>
      <c r="DI14" s="1365" t="str">
        <f>IFNA(VLOOKUP(DA14,'法術資料'!$K$2:$X$805,13,FALSE),"")</f>
        <v/>
      </c>
      <c r="DJ14" s="1365" t="str">
        <f>IFNA(VLOOKUP(DA14,'法術資料'!$K$2:$X$805,5,FALSE),"")</f>
        <v/>
      </c>
      <c r="DK14" s="1365" t="str">
        <f>IFNA(VLOOKUP(DA14,'法術資料'!$K$2:$X$805,6,FALSE),"")</f>
        <v/>
      </c>
      <c r="DL14" s="1366" t="str">
        <f>IFNA(VLOOKUP(DA14,'法術資料'!$K$2:$X$805,9,FALSE),"")</f>
        <v/>
      </c>
      <c r="DM14" s="1367" t="str">
        <f>IFNA(VLOOKUP(DA14,'法術資料'!$K$2:$X$805,10,FALSE),"")</f>
        <v/>
      </c>
      <c r="DN14" s="1367" t="str">
        <f>IFNA(VLOOKUP($Y14,'法術資料'!$K$2:$X$805,11,FALSE),"")</f>
        <v/>
      </c>
      <c r="DO14" s="1511" t="str">
        <f>IFNA(VLOOKUP(DA14,'法術資料'!$K$2:$X$805,12,FALSE),"")</f>
        <v/>
      </c>
      <c r="DP14" s="376"/>
      <c r="DQ14" s="1369"/>
      <c r="DR14" s="455"/>
      <c r="DS14" s="1356"/>
      <c r="DT14" s="1509" t="b">
        <v>0</v>
      </c>
      <c r="DU14" s="1502"/>
      <c r="DV14" s="1512" t="str">
        <f>IFNA(VLOOKUP(DU14,'法術資料'!$K$2:$X$805,4,FALSE),"")
</f>
        <v/>
      </c>
      <c r="DW14" s="1511" t="str">
        <f>IFNA(VLOOKUP(DU14,'法術資料'!$K$2:$X$805,7,FALSE),"")</f>
        <v/>
      </c>
      <c r="DX14" s="1141"/>
      <c r="DY14" s="1511" t="str">
        <f>IFNA(VLOOKUP(DU14,'法術資料'!$K$2:$X$805,8,FALSE),"")</f>
        <v/>
      </c>
      <c r="DZ14" s="1141"/>
      <c r="EA14" s="1511" t="str">
        <f>IFNA(VLOOKUP(DU14,'法術資料'!$K$2:$X$805,14,FALSE),"")</f>
        <v/>
      </c>
      <c r="EB14" s="1141"/>
      <c r="EC14" s="1365" t="str">
        <f>IFNA(VLOOKUP(DU14,'法術資料'!$K$2:$X$805,13,FALSE),"")</f>
        <v/>
      </c>
      <c r="ED14" s="1365" t="str">
        <f>IFNA(VLOOKUP(DU14,'法術資料'!$K$2:$X$805,5,FALSE),"")</f>
        <v/>
      </c>
      <c r="EE14" s="1365" t="str">
        <f>IFNA(VLOOKUP(DU14,'法術資料'!$K$2:$X$805,6,FALSE),"")</f>
        <v/>
      </c>
      <c r="EF14" s="1366" t="str">
        <f>IFNA(VLOOKUP(DU14,'法術資料'!$K$2:$X$805,9,FALSE),"")</f>
        <v/>
      </c>
      <c r="EG14" s="1367" t="str">
        <f>IFNA(VLOOKUP(DU14,'法術資料'!$K$2:$X$805,10,FALSE),"")</f>
        <v/>
      </c>
      <c r="EH14" s="1367" t="str">
        <f>IFNA(VLOOKUP($Y14,'法術資料'!$K$2:$X$805,11,FALSE),"")</f>
        <v/>
      </c>
      <c r="EI14" s="1511" t="str">
        <f>IFNA(VLOOKUP(DU14,'法術資料'!$K$2:$X$805,12,FALSE),"")</f>
        <v/>
      </c>
      <c r="EJ14" s="376"/>
      <c r="EK14" s="1369"/>
      <c r="EL14" s="455"/>
      <c r="EM14" s="1356"/>
      <c r="EN14" s="1509" t="b">
        <v>0</v>
      </c>
      <c r="EO14" s="1502"/>
      <c r="EP14" s="1512" t="str">
        <f>IFNA(VLOOKUP(EO14,'法術資料'!$K$2:$X$805,4,FALSE),"")
</f>
        <v/>
      </c>
      <c r="EQ14" s="1511" t="str">
        <f>IFNA(VLOOKUP(EO14,'法術資料'!$K$2:$X$805,7,FALSE),"")</f>
        <v/>
      </c>
      <c r="ER14" s="1141"/>
      <c r="ES14" s="1511" t="str">
        <f>IFNA(VLOOKUP(EO14,'法術資料'!$K$2:$X$805,8,FALSE),"")</f>
        <v/>
      </c>
      <c r="ET14" s="1141"/>
      <c r="EU14" s="1511" t="str">
        <f>IFNA(VLOOKUP(EO14,'法術資料'!$K$2:$X$805,14,FALSE),"")</f>
        <v/>
      </c>
      <c r="EV14" s="1141"/>
      <c r="EW14" s="1365" t="str">
        <f>IFNA(VLOOKUP(EO14,'法術資料'!$K$2:$X$805,13,FALSE),"")</f>
        <v/>
      </c>
      <c r="EX14" s="1365" t="str">
        <f>IFNA(VLOOKUP(EO14,'法術資料'!$K$2:$X$805,5,FALSE),"")</f>
        <v/>
      </c>
      <c r="EY14" s="1365" t="str">
        <f>IFNA(VLOOKUP(EO14,'法術資料'!$K$2:$X$805,6,FALSE),"")</f>
        <v/>
      </c>
      <c r="EZ14" s="1366" t="str">
        <f>IFNA(VLOOKUP(EO14,'法術資料'!$K$2:$X$805,9,FALSE),"")</f>
        <v/>
      </c>
      <c r="FA14" s="1367" t="str">
        <f>IFNA(VLOOKUP(EO14,'法術資料'!$K$2:$X$805,10,FALSE),"")</f>
        <v/>
      </c>
      <c r="FB14" s="1367" t="str">
        <f>IFNA(VLOOKUP($Y14,'法術資料'!$K$2:$X$805,11,FALSE),"")</f>
        <v/>
      </c>
      <c r="FC14" s="1511" t="str">
        <f>IFNA(VLOOKUP(EO14,'法術資料'!$K$2:$X$805,12,FALSE),"")</f>
        <v/>
      </c>
      <c r="FD14" s="376"/>
      <c r="FE14" s="1369"/>
      <c r="FF14" s="455"/>
      <c r="FG14" s="1356"/>
      <c r="FH14" s="1509" t="b">
        <v>0</v>
      </c>
      <c r="FI14" s="1502"/>
      <c r="FJ14" s="1512" t="str">
        <f>IFNA(VLOOKUP(FI14,'法術資料'!$K$2:$X$805,4,FALSE),"")
</f>
        <v/>
      </c>
      <c r="FK14" s="1511" t="str">
        <f>IFNA(VLOOKUP(FI14,'法術資料'!$K$2:$X$805,7,FALSE),"")</f>
        <v/>
      </c>
      <c r="FL14" s="1141"/>
      <c r="FM14" s="1511" t="str">
        <f>IFNA(VLOOKUP(FI14,'法術資料'!$K$2:$X$805,8,FALSE),"")</f>
        <v/>
      </c>
      <c r="FN14" s="1141"/>
      <c r="FO14" s="1511" t="str">
        <f>IFNA(VLOOKUP(FI14,'法術資料'!$K$2:$X$805,14,FALSE),"")</f>
        <v/>
      </c>
      <c r="FP14" s="1141"/>
      <c r="FQ14" s="1365" t="str">
        <f>IFNA(VLOOKUP(FI14,'法術資料'!$K$2:$X$805,13,FALSE),"")</f>
        <v/>
      </c>
      <c r="FR14" s="1365" t="str">
        <f>IFNA(VLOOKUP(FI14,'法術資料'!$K$2:$X$805,5,FALSE),"")</f>
        <v/>
      </c>
      <c r="FS14" s="1365" t="str">
        <f>IFNA(VLOOKUP(FI14,'法術資料'!$K$2:$X$805,6,FALSE),"")</f>
        <v/>
      </c>
      <c r="FT14" s="1366" t="str">
        <f>IFNA(VLOOKUP(FI14,'法術資料'!$K$2:$X$805,9,FALSE),"")</f>
        <v/>
      </c>
      <c r="FU14" s="1367" t="str">
        <f>IFNA(VLOOKUP(FI14,'法術資料'!$K$2:$X$805,10,FALSE),"")</f>
        <v/>
      </c>
      <c r="FV14" s="1367" t="str">
        <f>IFNA(VLOOKUP($Y14,'法術資料'!$K$2:$X$805,11,FALSE),"")</f>
        <v/>
      </c>
      <c r="FW14" s="1511" t="str">
        <f>IFNA(VLOOKUP(FI14,'法術資料'!$K$2:$X$805,12,FALSE),"")</f>
        <v/>
      </c>
      <c r="FX14" s="376"/>
      <c r="FY14" s="1369"/>
      <c r="FZ14" s="455"/>
    </row>
    <row r="15">
      <c r="A15" s="455"/>
      <c r="B15" s="1356"/>
      <c r="C15" s="1503" t="b">
        <v>0</v>
      </c>
      <c r="D15" s="1504"/>
      <c r="E15" s="1505" t="str">
        <f>IFNA(VLOOKUP($D15,'法術資料'!$K$2:$X$805,4,FALSE),"")
</f>
        <v/>
      </c>
      <c r="F15" s="1506" t="str">
        <f>IFNA(VLOOKUP($D15,'法術資料'!$K$2:$X$805,7,FALSE),"")</f>
        <v/>
      </c>
      <c r="G15" s="1141"/>
      <c r="H15" s="1506" t="str">
        <f>IFNA(VLOOKUP($D15,'法術資料'!$K$2:$X$805,8,FALSE),"")</f>
        <v/>
      </c>
      <c r="I15" s="1141"/>
      <c r="J15" s="1506" t="str">
        <f>IFNA(VLOOKUP($D15,'法術資料'!$K$2:$X$805,14,FALSE),"")</f>
        <v/>
      </c>
      <c r="K15" s="1141"/>
      <c r="L15" s="1506" t="str">
        <f>IFNA(VLOOKUP($D15,'法術資料'!$K$2:$X$805,13,FALSE),"")</f>
        <v/>
      </c>
      <c r="M15" s="1141"/>
      <c r="N15" s="1377" t="str">
        <f>IFNA(VLOOKUP($D15,'法術資料'!$K$2:$X$805,5,FALSE),"")</f>
        <v/>
      </c>
      <c r="O15" s="1377" t="str">
        <f>IFNA(VLOOKUP($D15,'法術資料'!$K$2:$X$805,6,FALSE),"")</f>
        <v/>
      </c>
      <c r="P15" s="1378" t="str">
        <f>IFNA(VLOOKUP($D15,'法術資料'!$K$2:$X$805,9,FALSE),"")</f>
        <v/>
      </c>
      <c r="Q15" s="1379" t="str">
        <f>IFNA(VLOOKUP($D15,'法術資料'!$K$2:$X$805,10,FALSE),"")</f>
        <v/>
      </c>
      <c r="R15" s="1379" t="str">
        <f>IFNA(VLOOKUP($D15,'法術資料'!$K$2:$X$805,11,FALSE),"")</f>
        <v/>
      </c>
      <c r="S15" s="1506" t="str">
        <f>IFNA(VLOOKUP($D15,'法術資料'!$K$2:$X$805,12,FALSE),"")</f>
        <v/>
      </c>
      <c r="T15" s="376"/>
      <c r="U15" s="1369"/>
      <c r="V15" s="455"/>
      <c r="W15" s="1356"/>
      <c r="X15" s="1503" t="b">
        <v>0</v>
      </c>
      <c r="Y15" s="1504"/>
      <c r="Z15" s="1507" t="str">
        <f>IFNA(VLOOKUP(Y15,'法術資料'!$K$2:$X$805,4,FALSE),"")
</f>
        <v/>
      </c>
      <c r="AA15" s="1506" t="str">
        <f>IFNA(VLOOKUP($Y15,'法術資料'!$K$2:$X$805,7,FALSE),"")</f>
        <v/>
      </c>
      <c r="AB15" s="1141"/>
      <c r="AC15" s="1506" t="str">
        <f>IFNA(VLOOKUP($Y15,'法術資料'!$K$2:$X$805,8,FALSE),"")</f>
        <v/>
      </c>
      <c r="AD15" s="1141"/>
      <c r="AE15" s="1506" t="str">
        <f>IFNA(VLOOKUP($Y15,'法術資料'!$K$2:$X$805,14,FALSE),"")</f>
        <v/>
      </c>
      <c r="AF15" s="1141"/>
      <c r="AG15" s="1377" t="str">
        <f>IFNA(VLOOKUP($Y15,'法術資料'!$K$2:$X$805,13,FALSE),"")</f>
        <v/>
      </c>
      <c r="AH15" s="1377" t="str">
        <f>IFNA(VLOOKUP($Y15,'法術資料'!$K$2:$X$805,5,FALSE),"")</f>
        <v/>
      </c>
      <c r="AI15" s="1377" t="str">
        <f>IFNA(VLOOKUP($Y15,'法術資料'!$K$2:$X$805,6,FALSE),"")</f>
        <v/>
      </c>
      <c r="AJ15" s="1378" t="str">
        <f>IFNA(VLOOKUP($Y15,'法術資料'!$K$2:$X$805,9,FALSE),"")</f>
        <v/>
      </c>
      <c r="AK15" s="1379" t="str">
        <f>IFNA(VLOOKUP($Y15,'法術資料'!$K$2:$X$805,10,FALSE),"")</f>
        <v/>
      </c>
      <c r="AL15" s="1379" t="str">
        <f>IFNA(VLOOKUP($Y15,'法術資料'!$K$2:$X$805,11,FALSE),"")</f>
        <v/>
      </c>
      <c r="AM15" s="1506" t="str">
        <f>IFNA(VLOOKUP($Y15,'法術資料'!$K$2:$X$805,12,FALSE),"")</f>
        <v/>
      </c>
      <c r="AN15" s="376"/>
      <c r="AO15" s="1369"/>
      <c r="AP15" s="455"/>
      <c r="AQ15" s="1356"/>
      <c r="AR15" s="1503" t="b">
        <v>0</v>
      </c>
      <c r="AS15" s="1504"/>
      <c r="AT15" s="1507" t="str">
        <f>IFNA(VLOOKUP(AS15,'法術資料'!$K$2:$X$805,4,FALSE),"")
</f>
        <v/>
      </c>
      <c r="AU15" s="1506" t="str">
        <f>IFNA(VLOOKUP(AS15,'法術資料'!$K$2:$X$805,7,FALSE),"")</f>
        <v/>
      </c>
      <c r="AV15" s="1141"/>
      <c r="AW15" s="1506" t="str">
        <f>IFNA(VLOOKUP(AS15,'法術資料'!$K$2:$X$805,8,FALSE),"")</f>
        <v/>
      </c>
      <c r="AX15" s="1141"/>
      <c r="AY15" s="1506" t="str">
        <f>IFNA(VLOOKUP(AS15,'法術資料'!$K$2:$X$805,14,FALSE),"")</f>
        <v/>
      </c>
      <c r="AZ15" s="1141"/>
      <c r="BA15" s="1377" t="str">
        <f>IFNA(VLOOKUP(AS15,'法術資料'!$K$2:$X$805,13,FALSE),"")</f>
        <v/>
      </c>
      <c r="BB15" s="1377" t="str">
        <f>IFNA(VLOOKUP(AS15,'法術資料'!$K$2:$X$805,5,FALSE),"")</f>
        <v/>
      </c>
      <c r="BC15" s="1377" t="str">
        <f>IFNA(VLOOKUP(AS15,'法術資料'!$K$2:$X$805,6,FALSE),"")</f>
        <v/>
      </c>
      <c r="BD15" s="1378" t="str">
        <f>IFNA(VLOOKUP(AS15,'法術資料'!$K$2:$X$805,9,FALSE),"")</f>
        <v/>
      </c>
      <c r="BE15" s="1379" t="str">
        <f>IFNA(VLOOKUP(AS15,'法術資料'!$K$2:$X$805,10,FALSE),"")</f>
        <v/>
      </c>
      <c r="BF15" s="1379" t="str">
        <f>IFNA(VLOOKUP($Y15,'法術資料'!$K$2:$X$805,11,FALSE),"")</f>
        <v/>
      </c>
      <c r="BG15" s="1506" t="str">
        <f>IFNA(VLOOKUP(AS15,'法術資料'!$K$2:$X$805,12,FALSE),"")</f>
        <v/>
      </c>
      <c r="BH15" s="376"/>
      <c r="BI15" s="1369"/>
      <c r="BJ15" s="455"/>
      <c r="BK15" s="1356"/>
      <c r="BL15" s="1503" t="b">
        <v>0</v>
      </c>
      <c r="BM15" s="1504"/>
      <c r="BN15" s="1507" t="str">
        <f>IFNA(VLOOKUP(BM15,'法術資料'!$K$2:$X$805,4,FALSE),"")
</f>
        <v/>
      </c>
      <c r="BO15" s="1506" t="str">
        <f>IFNA(VLOOKUP(BM15,'法術資料'!$K$2:$X$805,7,FALSE),"")</f>
        <v/>
      </c>
      <c r="BP15" s="1141"/>
      <c r="BQ15" s="1506" t="str">
        <f>IFNA(VLOOKUP(BM15,'法術資料'!$K$2:$X$805,8,FALSE),"")</f>
        <v/>
      </c>
      <c r="BR15" s="1141"/>
      <c r="BS15" s="1506" t="str">
        <f>IFNA(VLOOKUP(BM15,'法術資料'!$K$2:$X$805,14,FALSE),"")</f>
        <v/>
      </c>
      <c r="BT15" s="1141"/>
      <c r="BU15" s="1377" t="str">
        <f>IFNA(VLOOKUP(BM15,'法術資料'!$K$2:$X$805,13,FALSE),"")</f>
        <v/>
      </c>
      <c r="BV15" s="1377" t="str">
        <f>IFNA(VLOOKUP(BM15,'法術資料'!$K$2:$X$805,5,FALSE),"")</f>
        <v/>
      </c>
      <c r="BW15" s="1377" t="str">
        <f>IFNA(VLOOKUP(BM15,'法術資料'!$K$2:$X$805,6,FALSE),"")</f>
        <v/>
      </c>
      <c r="BX15" s="1378" t="str">
        <f>IFNA(VLOOKUP(BM15,'法術資料'!$K$2:$X$805,9,FALSE),"")</f>
        <v/>
      </c>
      <c r="BY15" s="1379" t="str">
        <f>IFNA(VLOOKUP(BM15,'法術資料'!$K$2:$X$805,10,FALSE),"")</f>
        <v/>
      </c>
      <c r="BZ15" s="1379" t="str">
        <f>IFNA(VLOOKUP($Y15,'法術資料'!$K$2:$X$805,11,FALSE),"")</f>
        <v/>
      </c>
      <c r="CA15" s="1506" t="str">
        <f>IFNA(VLOOKUP(BM15,'法術資料'!$K$2:$X$805,12,FALSE),"")</f>
        <v/>
      </c>
      <c r="CB15" s="376"/>
      <c r="CC15" s="1369"/>
      <c r="CD15" s="455"/>
      <c r="CE15" s="1356"/>
      <c r="CF15" s="1503" t="b">
        <v>0</v>
      </c>
      <c r="CG15" s="1504"/>
      <c r="CH15" s="1507" t="str">
        <f>IFNA(VLOOKUP(CG15,'法術資料'!$K$2:$X$805,4,FALSE),"")
</f>
        <v/>
      </c>
      <c r="CI15" s="1506" t="str">
        <f>IFNA(VLOOKUP(CG15,'法術資料'!$K$2:$X$805,7,FALSE),"")</f>
        <v/>
      </c>
      <c r="CJ15" s="1141"/>
      <c r="CK15" s="1506" t="str">
        <f>IFNA(VLOOKUP(CG15,'法術資料'!$K$2:$X$805,8,FALSE),"")</f>
        <v/>
      </c>
      <c r="CL15" s="1141"/>
      <c r="CM15" s="1506" t="str">
        <f>IFNA(VLOOKUP(CG15,'法術資料'!$K$2:$X$805,14,FALSE),"")</f>
        <v/>
      </c>
      <c r="CN15" s="1141"/>
      <c r="CO15" s="1377" t="str">
        <f>IFNA(VLOOKUP(CG15,'法術資料'!$K$2:$X$805,13,FALSE),"")</f>
        <v/>
      </c>
      <c r="CP15" s="1377" t="str">
        <f>IFNA(VLOOKUP(CG15,'法術資料'!$K$2:$X$805,5,FALSE),"")</f>
        <v/>
      </c>
      <c r="CQ15" s="1377" t="str">
        <f>IFNA(VLOOKUP(CG15,'法術資料'!$K$2:$X$805,6,FALSE),"")</f>
        <v/>
      </c>
      <c r="CR15" s="1378" t="str">
        <f>IFNA(VLOOKUP(CG15,'法術資料'!$K$2:$X$805,9,FALSE),"")</f>
        <v/>
      </c>
      <c r="CS15" s="1379" t="str">
        <f>IFNA(VLOOKUP(CG15,'法術資料'!$K$2:$X$805,10,FALSE),"")</f>
        <v/>
      </c>
      <c r="CT15" s="1379" t="str">
        <f>IFNA(VLOOKUP($Y15,'法術資料'!$K$2:$X$805,11,FALSE),"")</f>
        <v/>
      </c>
      <c r="CU15" s="1506" t="str">
        <f>IFNA(VLOOKUP(CG15,'法術資料'!$K$2:$X$805,12,FALSE),"")</f>
        <v/>
      </c>
      <c r="CV15" s="376"/>
      <c r="CW15" s="1369"/>
      <c r="CX15" s="455"/>
      <c r="CY15" s="1356"/>
      <c r="CZ15" s="1503" t="b">
        <v>0</v>
      </c>
      <c r="DA15" s="1508"/>
      <c r="DB15" s="1507" t="str">
        <f>IFNA(VLOOKUP(DA15,'法術資料'!$K$2:$X$805,4,FALSE),"")
</f>
        <v/>
      </c>
      <c r="DC15" s="1506" t="str">
        <f>IFNA(VLOOKUP(DA15,'法術資料'!$K$2:$X$805,7,FALSE),"")</f>
        <v/>
      </c>
      <c r="DD15" s="1141"/>
      <c r="DE15" s="1506" t="str">
        <f>IFNA(VLOOKUP(DA15,'法術資料'!$K$2:$X$805,8,FALSE),"")</f>
        <v/>
      </c>
      <c r="DF15" s="1141"/>
      <c r="DG15" s="1506" t="str">
        <f>IFNA(VLOOKUP(DA15,'法術資料'!$K$2:$X$805,14,FALSE),"")</f>
        <v/>
      </c>
      <c r="DH15" s="1141"/>
      <c r="DI15" s="1377" t="str">
        <f>IFNA(VLOOKUP(DA15,'法術資料'!$K$2:$X$805,13,FALSE),"")</f>
        <v/>
      </c>
      <c r="DJ15" s="1377" t="str">
        <f>IFNA(VLOOKUP(DA15,'法術資料'!$K$2:$X$805,5,FALSE),"")</f>
        <v/>
      </c>
      <c r="DK15" s="1377" t="str">
        <f>IFNA(VLOOKUP(DA15,'法術資料'!$K$2:$X$805,6,FALSE),"")</f>
        <v/>
      </c>
      <c r="DL15" s="1378" t="str">
        <f>IFNA(VLOOKUP(DA15,'法術資料'!$K$2:$X$805,9,FALSE),"")</f>
        <v/>
      </c>
      <c r="DM15" s="1379" t="str">
        <f>IFNA(VLOOKUP(DA15,'法術資料'!$K$2:$X$805,10,FALSE),"")</f>
        <v/>
      </c>
      <c r="DN15" s="1379" t="str">
        <f>IFNA(VLOOKUP($Y15,'法術資料'!$K$2:$X$805,11,FALSE),"")</f>
        <v/>
      </c>
      <c r="DO15" s="1506" t="str">
        <f>IFNA(VLOOKUP(DA15,'法術資料'!$K$2:$X$805,12,FALSE),"")</f>
        <v/>
      </c>
      <c r="DP15" s="376"/>
      <c r="DQ15" s="1369"/>
      <c r="DR15" s="455"/>
      <c r="DS15" s="1356"/>
      <c r="DT15" s="1503" t="b">
        <v>0</v>
      </c>
      <c r="DU15" s="1508"/>
      <c r="DV15" s="1507" t="str">
        <f>IFNA(VLOOKUP(DU15,'法術資料'!$K$2:$X$805,4,FALSE),"")
</f>
        <v/>
      </c>
      <c r="DW15" s="1506" t="str">
        <f>IFNA(VLOOKUP(DU15,'法術資料'!$K$2:$X$805,7,FALSE),"")</f>
        <v/>
      </c>
      <c r="DX15" s="1141"/>
      <c r="DY15" s="1506" t="str">
        <f>IFNA(VLOOKUP(DU15,'法術資料'!$K$2:$X$805,8,FALSE),"")</f>
        <v/>
      </c>
      <c r="DZ15" s="1141"/>
      <c r="EA15" s="1506" t="str">
        <f>IFNA(VLOOKUP(DU15,'法術資料'!$K$2:$X$805,14,FALSE),"")</f>
        <v/>
      </c>
      <c r="EB15" s="1141"/>
      <c r="EC15" s="1377" t="str">
        <f>IFNA(VLOOKUP(DU15,'法術資料'!$K$2:$X$805,13,FALSE),"")</f>
        <v/>
      </c>
      <c r="ED15" s="1377" t="str">
        <f>IFNA(VLOOKUP(DU15,'法術資料'!$K$2:$X$805,5,FALSE),"")</f>
        <v/>
      </c>
      <c r="EE15" s="1377" t="str">
        <f>IFNA(VLOOKUP(DU15,'法術資料'!$K$2:$X$805,6,FALSE),"")</f>
        <v/>
      </c>
      <c r="EF15" s="1378" t="str">
        <f>IFNA(VLOOKUP(DU15,'法術資料'!$K$2:$X$805,9,FALSE),"")</f>
        <v/>
      </c>
      <c r="EG15" s="1379" t="str">
        <f>IFNA(VLOOKUP(DU15,'法術資料'!$K$2:$X$805,10,FALSE),"")</f>
        <v/>
      </c>
      <c r="EH15" s="1379" t="str">
        <f>IFNA(VLOOKUP($Y15,'法術資料'!$K$2:$X$805,11,FALSE),"")</f>
        <v/>
      </c>
      <c r="EI15" s="1506" t="str">
        <f>IFNA(VLOOKUP(DU15,'法術資料'!$K$2:$X$805,12,FALSE),"")</f>
        <v/>
      </c>
      <c r="EJ15" s="376"/>
      <c r="EK15" s="1369"/>
      <c r="EL15" s="455"/>
      <c r="EM15" s="1356"/>
      <c r="EN15" s="1503" t="b">
        <v>0</v>
      </c>
      <c r="EO15" s="1508"/>
      <c r="EP15" s="1507" t="str">
        <f>IFNA(VLOOKUP(EO15,'法術資料'!$K$2:$X$805,4,FALSE),"")
</f>
        <v/>
      </c>
      <c r="EQ15" s="1506" t="str">
        <f>IFNA(VLOOKUP(EO15,'法術資料'!$K$2:$X$805,7,FALSE),"")</f>
        <v/>
      </c>
      <c r="ER15" s="1141"/>
      <c r="ES15" s="1506" t="str">
        <f>IFNA(VLOOKUP(EO15,'法術資料'!$K$2:$X$805,8,FALSE),"")</f>
        <v/>
      </c>
      <c r="ET15" s="1141"/>
      <c r="EU15" s="1506" t="str">
        <f>IFNA(VLOOKUP(EO15,'法術資料'!$K$2:$X$805,14,FALSE),"")</f>
        <v/>
      </c>
      <c r="EV15" s="1141"/>
      <c r="EW15" s="1377" t="str">
        <f>IFNA(VLOOKUP(EO15,'法術資料'!$K$2:$X$805,13,FALSE),"")</f>
        <v/>
      </c>
      <c r="EX15" s="1377" t="str">
        <f>IFNA(VLOOKUP(EO15,'法術資料'!$K$2:$X$805,5,FALSE),"")</f>
        <v/>
      </c>
      <c r="EY15" s="1377" t="str">
        <f>IFNA(VLOOKUP(EO15,'法術資料'!$K$2:$X$805,6,FALSE),"")</f>
        <v/>
      </c>
      <c r="EZ15" s="1378" t="str">
        <f>IFNA(VLOOKUP(EO15,'法術資料'!$K$2:$X$805,9,FALSE),"")</f>
        <v/>
      </c>
      <c r="FA15" s="1379" t="str">
        <f>IFNA(VLOOKUP(EO15,'法術資料'!$K$2:$X$805,10,FALSE),"")</f>
        <v/>
      </c>
      <c r="FB15" s="1379" t="str">
        <f>IFNA(VLOOKUP($Y15,'法術資料'!$K$2:$X$805,11,FALSE),"")</f>
        <v/>
      </c>
      <c r="FC15" s="1506" t="str">
        <f>IFNA(VLOOKUP(EO15,'法術資料'!$K$2:$X$805,12,FALSE),"")</f>
        <v/>
      </c>
      <c r="FD15" s="376"/>
      <c r="FE15" s="1369"/>
      <c r="FF15" s="455"/>
      <c r="FG15" s="1356"/>
      <c r="FH15" s="1503" t="b">
        <v>0</v>
      </c>
      <c r="FI15" s="1508"/>
      <c r="FJ15" s="1507" t="str">
        <f>IFNA(VLOOKUP(FI15,'法術資料'!$K$2:$X$805,4,FALSE),"")
</f>
        <v/>
      </c>
      <c r="FK15" s="1506" t="str">
        <f>IFNA(VLOOKUP(FI15,'法術資料'!$K$2:$X$805,7,FALSE),"")</f>
        <v/>
      </c>
      <c r="FL15" s="1141"/>
      <c r="FM15" s="1506" t="str">
        <f>IFNA(VLOOKUP(FI15,'法術資料'!$K$2:$X$805,8,FALSE),"")</f>
        <v/>
      </c>
      <c r="FN15" s="1141"/>
      <c r="FO15" s="1506" t="str">
        <f>IFNA(VLOOKUP(FI15,'法術資料'!$K$2:$X$805,14,FALSE),"")</f>
        <v/>
      </c>
      <c r="FP15" s="1141"/>
      <c r="FQ15" s="1377" t="str">
        <f>IFNA(VLOOKUP(FI15,'法術資料'!$K$2:$X$805,13,FALSE),"")</f>
        <v/>
      </c>
      <c r="FR15" s="1377" t="str">
        <f>IFNA(VLOOKUP(FI15,'法術資料'!$K$2:$X$805,5,FALSE),"")</f>
        <v/>
      </c>
      <c r="FS15" s="1377" t="str">
        <f>IFNA(VLOOKUP(FI15,'法術資料'!$K$2:$X$805,6,FALSE),"")</f>
        <v/>
      </c>
      <c r="FT15" s="1378" t="str">
        <f>IFNA(VLOOKUP(FI15,'法術資料'!$K$2:$X$805,9,FALSE),"")</f>
        <v/>
      </c>
      <c r="FU15" s="1379" t="str">
        <f>IFNA(VLOOKUP(FI15,'法術資料'!$K$2:$X$805,10,FALSE),"")</f>
        <v/>
      </c>
      <c r="FV15" s="1379" t="str">
        <f>IFNA(VLOOKUP($Y15,'法術資料'!$K$2:$X$805,11,FALSE),"")</f>
        <v/>
      </c>
      <c r="FW15" s="1506" t="str">
        <f>IFNA(VLOOKUP(FI15,'法術資料'!$K$2:$X$805,12,FALSE),"")</f>
        <v/>
      </c>
      <c r="FX15" s="376"/>
      <c r="FY15" s="1369"/>
      <c r="FZ15" s="455"/>
    </row>
    <row r="16">
      <c r="A16" s="455"/>
      <c r="B16" s="1356"/>
      <c r="C16" s="1509" t="b">
        <v>0</v>
      </c>
      <c r="D16" s="1502"/>
      <c r="E16" s="1510" t="str">
        <f>IFNA(VLOOKUP($D16,'法術資料'!$K$2:$X$805,4,FALSE),"")
</f>
        <v/>
      </c>
      <c r="F16" s="1511" t="str">
        <f>IFNA(VLOOKUP($D16,'法術資料'!$K$2:$X$805,7,FALSE),"")</f>
        <v/>
      </c>
      <c r="G16" s="1141"/>
      <c r="H16" s="1511" t="str">
        <f>IFNA(VLOOKUP($D16,'法術資料'!$K$2:$X$805,8,FALSE),"")</f>
        <v/>
      </c>
      <c r="I16" s="1141"/>
      <c r="J16" s="1511" t="str">
        <f>IFNA(VLOOKUP($D16,'法術資料'!$K$2:$X$805,14,FALSE),"")</f>
        <v/>
      </c>
      <c r="K16" s="1141"/>
      <c r="L16" s="1511" t="str">
        <f>IFNA(VLOOKUP($D16,'法術資料'!$K$2:$X$805,13,FALSE),"")</f>
        <v/>
      </c>
      <c r="M16" s="1141"/>
      <c r="N16" s="1365" t="str">
        <f>IFNA(VLOOKUP($D16,'法術資料'!$K$2:$X$805,5,FALSE),"")</f>
        <v/>
      </c>
      <c r="O16" s="1365" t="str">
        <f>IFNA(VLOOKUP($D16,'法術資料'!$K$2:$X$805,6,FALSE),"")</f>
        <v/>
      </c>
      <c r="P16" s="1366" t="str">
        <f>IFNA(VLOOKUP($D16,'法術資料'!$K$2:$X$805,9,FALSE),"")</f>
        <v/>
      </c>
      <c r="Q16" s="1367" t="str">
        <f>IFNA(VLOOKUP($D16,'法術資料'!$K$2:$X$805,10,FALSE),"")</f>
        <v/>
      </c>
      <c r="R16" s="1367" t="str">
        <f>IFNA(VLOOKUP($D16,'法術資料'!$K$2:$X$805,11,FALSE),"")</f>
        <v/>
      </c>
      <c r="S16" s="1511" t="str">
        <f>IFNA(VLOOKUP($D16,'法術資料'!$K$2:$X$805,12,FALSE),"")</f>
        <v/>
      </c>
      <c r="T16" s="376"/>
      <c r="U16" s="1369"/>
      <c r="V16" s="455"/>
      <c r="W16" s="1356"/>
      <c r="X16" s="1509" t="b">
        <v>0</v>
      </c>
      <c r="Y16" s="1502"/>
      <c r="Z16" s="1512" t="str">
        <f>IFNA(VLOOKUP(Y16,'法術資料'!$K$2:$X$805,4,FALSE),"")
</f>
        <v/>
      </c>
      <c r="AA16" s="1511" t="str">
        <f>IFNA(VLOOKUP($Y16,'法術資料'!$K$2:$X$805,7,FALSE),"")</f>
        <v/>
      </c>
      <c r="AB16" s="1141"/>
      <c r="AC16" s="1511" t="str">
        <f>IFNA(VLOOKUP($Y16,'法術資料'!$K$2:$X$805,8,FALSE),"")</f>
        <v/>
      </c>
      <c r="AD16" s="1141"/>
      <c r="AE16" s="1511" t="str">
        <f>IFNA(VLOOKUP($Y16,'法術資料'!$K$2:$X$805,14,FALSE),"")</f>
        <v/>
      </c>
      <c r="AF16" s="1141"/>
      <c r="AG16" s="1365" t="str">
        <f>IFNA(VLOOKUP($Y16,'法術資料'!$K$2:$X$805,13,FALSE),"")</f>
        <v/>
      </c>
      <c r="AH16" s="1365" t="str">
        <f>IFNA(VLOOKUP($Y16,'法術資料'!$K$2:$X$805,5,FALSE),"")</f>
        <v/>
      </c>
      <c r="AI16" s="1365" t="str">
        <f>IFNA(VLOOKUP($Y16,'法術資料'!$K$2:$X$805,6,FALSE),"")</f>
        <v/>
      </c>
      <c r="AJ16" s="1366" t="str">
        <f>IFNA(VLOOKUP($Y16,'法術資料'!$K$2:$X$805,9,FALSE),"")</f>
        <v/>
      </c>
      <c r="AK16" s="1367" t="str">
        <f>IFNA(VLOOKUP($Y16,'法術資料'!$K$2:$X$805,10,FALSE),"")</f>
        <v/>
      </c>
      <c r="AL16" s="1367" t="str">
        <f>IFNA(VLOOKUP($Y16,'法術資料'!$K$2:$X$805,11,FALSE),"")</f>
        <v/>
      </c>
      <c r="AM16" s="1511" t="str">
        <f>IFNA(VLOOKUP($Y16,'法術資料'!$K$2:$X$805,12,FALSE),"")</f>
        <v/>
      </c>
      <c r="AN16" s="376"/>
      <c r="AO16" s="1369"/>
      <c r="AP16" s="455"/>
      <c r="AQ16" s="1356"/>
      <c r="AR16" s="1509" t="b">
        <v>0</v>
      </c>
      <c r="AS16" s="1502"/>
      <c r="AT16" s="1512" t="str">
        <f>IFNA(VLOOKUP(AS16,'法術資料'!$K$2:$X$805,4,FALSE),"")
</f>
        <v/>
      </c>
      <c r="AU16" s="1511" t="str">
        <f>IFNA(VLOOKUP(AS16,'法術資料'!$K$2:$X$805,7,FALSE),"")</f>
        <v/>
      </c>
      <c r="AV16" s="1141"/>
      <c r="AW16" s="1511" t="str">
        <f>IFNA(VLOOKUP(AS16,'法術資料'!$K$2:$X$805,8,FALSE),"")</f>
        <v/>
      </c>
      <c r="AX16" s="1141"/>
      <c r="AY16" s="1511" t="str">
        <f>IFNA(VLOOKUP(AS16,'法術資料'!$K$2:$X$805,14,FALSE),"")</f>
        <v/>
      </c>
      <c r="AZ16" s="1141"/>
      <c r="BA16" s="1365" t="str">
        <f>IFNA(VLOOKUP(AS16,'法術資料'!$K$2:$X$805,13,FALSE),"")</f>
        <v/>
      </c>
      <c r="BB16" s="1365" t="str">
        <f>IFNA(VLOOKUP(AS16,'法術資料'!$K$2:$X$805,5,FALSE),"")</f>
        <v/>
      </c>
      <c r="BC16" s="1365" t="str">
        <f>IFNA(VLOOKUP(AS16,'法術資料'!$K$2:$X$805,6,FALSE),"")</f>
        <v/>
      </c>
      <c r="BD16" s="1366" t="str">
        <f>IFNA(VLOOKUP(AS16,'法術資料'!$K$2:$X$805,9,FALSE),"")</f>
        <v/>
      </c>
      <c r="BE16" s="1367" t="str">
        <f>IFNA(VLOOKUP(AS16,'法術資料'!$K$2:$X$805,10,FALSE),"")</f>
        <v/>
      </c>
      <c r="BF16" s="1367" t="str">
        <f>IFNA(VLOOKUP($Y16,'法術資料'!$K$2:$X$805,11,FALSE),"")</f>
        <v/>
      </c>
      <c r="BG16" s="1511" t="str">
        <f>IFNA(VLOOKUP(AS16,'法術資料'!$K$2:$X$805,12,FALSE),"")</f>
        <v/>
      </c>
      <c r="BH16" s="376"/>
      <c r="BI16" s="1369"/>
      <c r="BJ16" s="455"/>
      <c r="BK16" s="1356"/>
      <c r="BL16" s="1509" t="b">
        <v>0</v>
      </c>
      <c r="BM16" s="1502"/>
      <c r="BN16" s="1512" t="str">
        <f>IFNA(VLOOKUP(BM16,'法術資料'!$K$2:$X$805,4,FALSE),"")
</f>
        <v/>
      </c>
      <c r="BO16" s="1511" t="str">
        <f>IFNA(VLOOKUP(BM16,'法術資料'!$K$2:$X$805,7,FALSE),"")</f>
        <v/>
      </c>
      <c r="BP16" s="1141"/>
      <c r="BQ16" s="1511" t="str">
        <f>IFNA(VLOOKUP(BM16,'法術資料'!$K$2:$X$805,8,FALSE),"")</f>
        <v/>
      </c>
      <c r="BR16" s="1141"/>
      <c r="BS16" s="1511" t="str">
        <f>IFNA(VLOOKUP(BM16,'法術資料'!$K$2:$X$805,14,FALSE),"")</f>
        <v/>
      </c>
      <c r="BT16" s="1141"/>
      <c r="BU16" s="1365" t="str">
        <f>IFNA(VLOOKUP(BM16,'法術資料'!$K$2:$X$805,13,FALSE),"")</f>
        <v/>
      </c>
      <c r="BV16" s="1365" t="str">
        <f>IFNA(VLOOKUP(BM16,'法術資料'!$K$2:$X$805,5,FALSE),"")</f>
        <v/>
      </c>
      <c r="BW16" s="1365" t="str">
        <f>IFNA(VLOOKUP(BM16,'法術資料'!$K$2:$X$805,6,FALSE),"")</f>
        <v/>
      </c>
      <c r="BX16" s="1366" t="str">
        <f>IFNA(VLOOKUP(BM16,'法術資料'!$K$2:$X$805,9,FALSE),"")</f>
        <v/>
      </c>
      <c r="BY16" s="1367" t="str">
        <f>IFNA(VLOOKUP(BM16,'法術資料'!$K$2:$X$805,10,FALSE),"")</f>
        <v/>
      </c>
      <c r="BZ16" s="1367" t="str">
        <f>IFNA(VLOOKUP($Y16,'法術資料'!$K$2:$X$805,11,FALSE),"")</f>
        <v/>
      </c>
      <c r="CA16" s="1511" t="str">
        <f>IFNA(VLOOKUP(BM16,'法術資料'!$K$2:$X$805,12,FALSE),"")</f>
        <v/>
      </c>
      <c r="CB16" s="376"/>
      <c r="CC16" s="1369"/>
      <c r="CD16" s="455"/>
      <c r="CE16" s="1356"/>
      <c r="CF16" s="1509" t="b">
        <v>0</v>
      </c>
      <c r="CG16" s="1502"/>
      <c r="CH16" s="1512" t="str">
        <f>IFNA(VLOOKUP(CG16,'法術資料'!$K$2:$X$805,4,FALSE),"")
</f>
        <v/>
      </c>
      <c r="CI16" s="1511" t="str">
        <f>IFNA(VLOOKUP(CG16,'法術資料'!$K$2:$X$805,7,FALSE),"")</f>
        <v/>
      </c>
      <c r="CJ16" s="1141"/>
      <c r="CK16" s="1511" t="str">
        <f>IFNA(VLOOKUP(CG16,'法術資料'!$K$2:$X$805,8,FALSE),"")</f>
        <v/>
      </c>
      <c r="CL16" s="1141"/>
      <c r="CM16" s="1511" t="str">
        <f>IFNA(VLOOKUP(CG16,'法術資料'!$K$2:$X$805,14,FALSE),"")</f>
        <v/>
      </c>
      <c r="CN16" s="1141"/>
      <c r="CO16" s="1365" t="str">
        <f>IFNA(VLOOKUP(CG16,'法術資料'!$K$2:$X$805,13,FALSE),"")</f>
        <v/>
      </c>
      <c r="CP16" s="1365" t="str">
        <f>IFNA(VLOOKUP(CG16,'法術資料'!$K$2:$X$805,5,FALSE),"")</f>
        <v/>
      </c>
      <c r="CQ16" s="1365" t="str">
        <f>IFNA(VLOOKUP(CG16,'法術資料'!$K$2:$X$805,6,FALSE),"")</f>
        <v/>
      </c>
      <c r="CR16" s="1366" t="str">
        <f>IFNA(VLOOKUP(CG16,'法術資料'!$K$2:$X$805,9,FALSE),"")</f>
        <v/>
      </c>
      <c r="CS16" s="1367" t="str">
        <f>IFNA(VLOOKUP(CG16,'法術資料'!$K$2:$X$805,10,FALSE),"")</f>
        <v/>
      </c>
      <c r="CT16" s="1367" t="str">
        <f>IFNA(VLOOKUP($Y16,'法術資料'!$K$2:$X$805,11,FALSE),"")</f>
        <v/>
      </c>
      <c r="CU16" s="1511" t="str">
        <f>IFNA(VLOOKUP(CG16,'法術資料'!$K$2:$X$805,12,FALSE),"")</f>
        <v/>
      </c>
      <c r="CV16" s="376"/>
      <c r="CW16" s="1369"/>
      <c r="CX16" s="455"/>
      <c r="CY16" s="1356"/>
      <c r="CZ16" s="1509" t="b">
        <v>0</v>
      </c>
      <c r="DA16" s="1499"/>
      <c r="DB16" s="1512" t="str">
        <f>IFNA(VLOOKUP(DA16,'法術資料'!$K$2:$X$805,4,FALSE),"")
</f>
        <v/>
      </c>
      <c r="DC16" s="1511" t="str">
        <f>IFNA(VLOOKUP(DA16,'法術資料'!$K$2:$X$805,7,FALSE),"")</f>
        <v/>
      </c>
      <c r="DD16" s="1141"/>
      <c r="DE16" s="1511" t="str">
        <f>IFNA(VLOOKUP(DA16,'法術資料'!$K$2:$X$805,8,FALSE),"")</f>
        <v/>
      </c>
      <c r="DF16" s="1141"/>
      <c r="DG16" s="1511" t="str">
        <f>IFNA(VLOOKUP(DA16,'法術資料'!$K$2:$X$805,14,FALSE),"")</f>
        <v/>
      </c>
      <c r="DH16" s="1141"/>
      <c r="DI16" s="1365" t="str">
        <f>IFNA(VLOOKUP(DA16,'法術資料'!$K$2:$X$805,13,FALSE),"")</f>
        <v/>
      </c>
      <c r="DJ16" s="1365" t="str">
        <f>IFNA(VLOOKUP(DA16,'法術資料'!$K$2:$X$805,5,FALSE),"")</f>
        <v/>
      </c>
      <c r="DK16" s="1365" t="str">
        <f>IFNA(VLOOKUP(DA16,'法術資料'!$K$2:$X$805,6,FALSE),"")</f>
        <v/>
      </c>
      <c r="DL16" s="1366" t="str">
        <f>IFNA(VLOOKUP(DA16,'法術資料'!$K$2:$X$805,9,FALSE),"")</f>
        <v/>
      </c>
      <c r="DM16" s="1367" t="str">
        <f>IFNA(VLOOKUP(DA16,'法術資料'!$K$2:$X$805,10,FALSE),"")</f>
        <v/>
      </c>
      <c r="DN16" s="1367" t="str">
        <f>IFNA(VLOOKUP($Y16,'法術資料'!$K$2:$X$805,11,FALSE),"")</f>
        <v/>
      </c>
      <c r="DO16" s="1511" t="str">
        <f>IFNA(VLOOKUP(DA16,'法術資料'!$K$2:$X$805,12,FALSE),"")</f>
        <v/>
      </c>
      <c r="DP16" s="376"/>
      <c r="DQ16" s="1369"/>
      <c r="DR16" s="455"/>
      <c r="DS16" s="1356"/>
      <c r="DT16" s="1509" t="b">
        <v>0</v>
      </c>
      <c r="DU16" s="1499"/>
      <c r="DV16" s="1512" t="str">
        <f>IFNA(VLOOKUP(DU16,'法術資料'!$K$2:$X$805,4,FALSE),"")
</f>
        <v/>
      </c>
      <c r="DW16" s="1511" t="str">
        <f>IFNA(VLOOKUP(DU16,'法術資料'!$K$2:$X$805,7,FALSE),"")</f>
        <v/>
      </c>
      <c r="DX16" s="1141"/>
      <c r="DY16" s="1511" t="str">
        <f>IFNA(VLOOKUP(DU16,'法術資料'!$K$2:$X$805,8,FALSE),"")</f>
        <v/>
      </c>
      <c r="DZ16" s="1141"/>
      <c r="EA16" s="1511" t="str">
        <f>IFNA(VLOOKUP(DU16,'法術資料'!$K$2:$X$805,14,FALSE),"")</f>
        <v/>
      </c>
      <c r="EB16" s="1141"/>
      <c r="EC16" s="1365" t="str">
        <f>IFNA(VLOOKUP(DU16,'法術資料'!$K$2:$X$805,13,FALSE),"")</f>
        <v/>
      </c>
      <c r="ED16" s="1365" t="str">
        <f>IFNA(VLOOKUP(DU16,'法術資料'!$K$2:$X$805,5,FALSE),"")</f>
        <v/>
      </c>
      <c r="EE16" s="1365" t="str">
        <f>IFNA(VLOOKUP(DU16,'法術資料'!$K$2:$X$805,6,FALSE),"")</f>
        <v/>
      </c>
      <c r="EF16" s="1366" t="str">
        <f>IFNA(VLOOKUP(DU16,'法術資料'!$K$2:$X$805,9,FALSE),"")</f>
        <v/>
      </c>
      <c r="EG16" s="1367" t="str">
        <f>IFNA(VLOOKUP(DU16,'法術資料'!$K$2:$X$805,10,FALSE),"")</f>
        <v/>
      </c>
      <c r="EH16" s="1367" t="str">
        <f>IFNA(VLOOKUP($Y16,'法術資料'!$K$2:$X$805,11,FALSE),"")</f>
        <v/>
      </c>
      <c r="EI16" s="1511" t="str">
        <f>IFNA(VLOOKUP(DU16,'法術資料'!$K$2:$X$805,12,FALSE),"")</f>
        <v/>
      </c>
      <c r="EJ16" s="376"/>
      <c r="EK16" s="1369"/>
      <c r="EL16" s="455"/>
      <c r="EM16" s="1356"/>
      <c r="EN16" s="1509" t="b">
        <v>0</v>
      </c>
      <c r="EO16" s="1502"/>
      <c r="EP16" s="1512" t="str">
        <f>IFNA(VLOOKUP(EO16,'法術資料'!$K$2:$X$805,4,FALSE),"")
</f>
        <v/>
      </c>
      <c r="EQ16" s="1511" t="str">
        <f>IFNA(VLOOKUP(EO16,'法術資料'!$K$2:$X$805,7,FALSE),"")</f>
        <v/>
      </c>
      <c r="ER16" s="1141"/>
      <c r="ES16" s="1511" t="str">
        <f>IFNA(VLOOKUP(EO16,'法術資料'!$K$2:$X$805,8,FALSE),"")</f>
        <v/>
      </c>
      <c r="ET16" s="1141"/>
      <c r="EU16" s="1511" t="str">
        <f>IFNA(VLOOKUP(EO16,'法術資料'!$K$2:$X$805,14,FALSE),"")</f>
        <v/>
      </c>
      <c r="EV16" s="1141"/>
      <c r="EW16" s="1365" t="str">
        <f>IFNA(VLOOKUP(EO16,'法術資料'!$K$2:$X$805,13,FALSE),"")</f>
        <v/>
      </c>
      <c r="EX16" s="1365" t="str">
        <f>IFNA(VLOOKUP(EO16,'法術資料'!$K$2:$X$805,5,FALSE),"")</f>
        <v/>
      </c>
      <c r="EY16" s="1365" t="str">
        <f>IFNA(VLOOKUP(EO16,'法術資料'!$K$2:$X$805,6,FALSE),"")</f>
        <v/>
      </c>
      <c r="EZ16" s="1366" t="str">
        <f>IFNA(VLOOKUP(EO16,'法術資料'!$K$2:$X$805,9,FALSE),"")</f>
        <v/>
      </c>
      <c r="FA16" s="1367" t="str">
        <f>IFNA(VLOOKUP(EO16,'法術資料'!$K$2:$X$805,10,FALSE),"")</f>
        <v/>
      </c>
      <c r="FB16" s="1367" t="str">
        <f>IFNA(VLOOKUP($Y16,'法術資料'!$K$2:$X$805,11,FALSE),"")</f>
        <v/>
      </c>
      <c r="FC16" s="1511" t="str">
        <f>IFNA(VLOOKUP(EO16,'法術資料'!$K$2:$X$805,12,FALSE),"")</f>
        <v/>
      </c>
      <c r="FD16" s="376"/>
      <c r="FE16" s="1369"/>
      <c r="FF16" s="455"/>
      <c r="FG16" s="1356"/>
      <c r="FH16" s="1509" t="b">
        <v>0</v>
      </c>
      <c r="FI16" s="1502"/>
      <c r="FJ16" s="1512" t="str">
        <f>IFNA(VLOOKUP(FI16,'法術資料'!$K$2:$X$805,4,FALSE),"")
</f>
        <v/>
      </c>
      <c r="FK16" s="1511" t="str">
        <f>IFNA(VLOOKUP(FI16,'法術資料'!$K$2:$X$805,7,FALSE),"")</f>
        <v/>
      </c>
      <c r="FL16" s="1141"/>
      <c r="FM16" s="1511" t="str">
        <f>IFNA(VLOOKUP(FI16,'法術資料'!$K$2:$X$805,8,FALSE),"")</f>
        <v/>
      </c>
      <c r="FN16" s="1141"/>
      <c r="FO16" s="1511" t="str">
        <f>IFNA(VLOOKUP(FI16,'法術資料'!$K$2:$X$805,14,FALSE),"")</f>
        <v/>
      </c>
      <c r="FP16" s="1141"/>
      <c r="FQ16" s="1365" t="str">
        <f>IFNA(VLOOKUP(FI16,'法術資料'!$K$2:$X$805,13,FALSE),"")</f>
        <v/>
      </c>
      <c r="FR16" s="1365" t="str">
        <f>IFNA(VLOOKUP(FI16,'法術資料'!$K$2:$X$805,5,FALSE),"")</f>
        <v/>
      </c>
      <c r="FS16" s="1365" t="str">
        <f>IFNA(VLOOKUP(FI16,'法術資料'!$K$2:$X$805,6,FALSE),"")</f>
        <v/>
      </c>
      <c r="FT16" s="1366" t="str">
        <f>IFNA(VLOOKUP(FI16,'法術資料'!$K$2:$X$805,9,FALSE),"")</f>
        <v/>
      </c>
      <c r="FU16" s="1367" t="str">
        <f>IFNA(VLOOKUP(FI16,'法術資料'!$K$2:$X$805,10,FALSE),"")</f>
        <v/>
      </c>
      <c r="FV16" s="1367" t="str">
        <f>IFNA(VLOOKUP($Y16,'法術資料'!$K$2:$X$805,11,FALSE),"")</f>
        <v/>
      </c>
      <c r="FW16" s="1511" t="str">
        <f>IFNA(VLOOKUP(FI16,'法術資料'!$K$2:$X$805,12,FALSE),"")</f>
        <v/>
      </c>
      <c r="FX16" s="376"/>
      <c r="FY16" s="1369"/>
      <c r="FZ16" s="455"/>
    </row>
    <row r="17">
      <c r="A17" s="455"/>
      <c r="B17" s="1356"/>
      <c r="C17" s="1503" t="b">
        <v>0</v>
      </c>
      <c r="D17" s="1504"/>
      <c r="E17" s="1505" t="str">
        <f>IFNA(VLOOKUP($D17,'法術資料'!$K$2:$X$805,4,FALSE),"")
</f>
        <v/>
      </c>
      <c r="F17" s="1506" t="str">
        <f>IFNA(VLOOKUP($D17,'法術資料'!$K$2:$X$805,7,FALSE),"")</f>
        <v/>
      </c>
      <c r="G17" s="1141"/>
      <c r="H17" s="1506" t="str">
        <f>IFNA(VLOOKUP($D17,'法術資料'!$K$2:$X$805,8,FALSE),"")</f>
        <v/>
      </c>
      <c r="I17" s="1141"/>
      <c r="J17" s="1506" t="str">
        <f>IFNA(VLOOKUP($D17,'法術資料'!$K$2:$X$805,14,FALSE),"")</f>
        <v/>
      </c>
      <c r="K17" s="1141"/>
      <c r="L17" s="1506" t="str">
        <f>IFNA(VLOOKUP($D17,'法術資料'!$K$2:$X$805,13,FALSE),"")</f>
        <v/>
      </c>
      <c r="M17" s="1141"/>
      <c r="N17" s="1377" t="str">
        <f>IFNA(VLOOKUP($D17,'法術資料'!$K$2:$X$805,5,FALSE),"")</f>
        <v/>
      </c>
      <c r="O17" s="1377" t="str">
        <f>IFNA(VLOOKUP($D17,'法術資料'!$K$2:$X$805,6,FALSE),"")</f>
        <v/>
      </c>
      <c r="P17" s="1378" t="str">
        <f>IFNA(VLOOKUP($D17,'法術資料'!$K$2:$X$805,9,FALSE),"")</f>
        <v/>
      </c>
      <c r="Q17" s="1379" t="str">
        <f>IFNA(VLOOKUP($D17,'法術資料'!$K$2:$X$805,10,FALSE),"")</f>
        <v/>
      </c>
      <c r="R17" s="1379" t="str">
        <f>IFNA(VLOOKUP($D17,'法術資料'!$K$2:$X$805,11,FALSE),"")</f>
        <v/>
      </c>
      <c r="S17" s="1506" t="str">
        <f>IFNA(VLOOKUP($D17,'法術資料'!$K$2:$X$805,12,FALSE),"")</f>
        <v/>
      </c>
      <c r="T17" s="376"/>
      <c r="U17" s="1369"/>
      <c r="V17" s="455"/>
      <c r="W17" s="1356"/>
      <c r="X17" s="1503" t="b">
        <v>0</v>
      </c>
      <c r="Y17" s="1508"/>
      <c r="Z17" s="1507" t="str">
        <f>IFNA(VLOOKUP(Y17,'法術資料'!$K$2:$X$805,4,FALSE),"")
</f>
        <v/>
      </c>
      <c r="AA17" s="1506" t="str">
        <f>IFNA(VLOOKUP($Y17,'法術資料'!$K$2:$X$805,7,FALSE),"")</f>
        <v/>
      </c>
      <c r="AB17" s="1141"/>
      <c r="AC17" s="1506" t="str">
        <f>IFNA(VLOOKUP($Y17,'法術資料'!$K$2:$X$805,8,FALSE),"")</f>
        <v/>
      </c>
      <c r="AD17" s="1141"/>
      <c r="AE17" s="1506" t="str">
        <f>IFNA(VLOOKUP($Y17,'法術資料'!$K$2:$X$805,14,FALSE),"")</f>
        <v/>
      </c>
      <c r="AF17" s="1141"/>
      <c r="AG17" s="1377" t="str">
        <f>IFNA(VLOOKUP($Y17,'法術資料'!$K$2:$X$805,13,FALSE),"")</f>
        <v/>
      </c>
      <c r="AH17" s="1377" t="str">
        <f>IFNA(VLOOKUP($Y17,'法術資料'!$K$2:$X$805,5,FALSE),"")</f>
        <v/>
      </c>
      <c r="AI17" s="1377" t="str">
        <f>IFNA(VLOOKUP($Y17,'法術資料'!$K$2:$X$805,6,FALSE),"")</f>
        <v/>
      </c>
      <c r="AJ17" s="1378" t="str">
        <f>IFNA(VLOOKUP($Y17,'法術資料'!$K$2:$X$805,9,FALSE),"")</f>
        <v/>
      </c>
      <c r="AK17" s="1379" t="str">
        <f>IFNA(VLOOKUP($Y17,'法術資料'!$K$2:$X$805,10,FALSE),"")</f>
        <v/>
      </c>
      <c r="AL17" s="1379" t="str">
        <f>IFNA(VLOOKUP($Y17,'法術資料'!$K$2:$X$805,11,FALSE),"")</f>
        <v/>
      </c>
      <c r="AM17" s="1506" t="str">
        <f>IFNA(VLOOKUP($Y17,'法術資料'!$K$2:$X$805,12,FALSE),"")</f>
        <v/>
      </c>
      <c r="AN17" s="376"/>
      <c r="AO17" s="1369"/>
      <c r="AP17" s="455"/>
      <c r="AQ17" s="1356"/>
      <c r="AR17" s="1503" t="b">
        <v>0</v>
      </c>
      <c r="AS17" s="1508"/>
      <c r="AT17" s="1507" t="str">
        <f>IFNA(VLOOKUP(AS17,'法術資料'!$K$2:$X$805,4,FALSE),"")
</f>
        <v/>
      </c>
      <c r="AU17" s="1506" t="str">
        <f>IFNA(VLOOKUP(AS17,'法術資料'!$K$2:$X$805,7,FALSE),"")</f>
        <v/>
      </c>
      <c r="AV17" s="1141"/>
      <c r="AW17" s="1506" t="str">
        <f>IFNA(VLOOKUP(AS17,'法術資料'!$K$2:$X$805,8,FALSE),"")</f>
        <v/>
      </c>
      <c r="AX17" s="1141"/>
      <c r="AY17" s="1506" t="str">
        <f>IFNA(VLOOKUP(AS17,'法術資料'!$K$2:$X$805,14,FALSE),"")</f>
        <v/>
      </c>
      <c r="AZ17" s="1141"/>
      <c r="BA17" s="1377" t="str">
        <f>IFNA(VLOOKUP(AS17,'法術資料'!$K$2:$X$805,13,FALSE),"")</f>
        <v/>
      </c>
      <c r="BB17" s="1377" t="str">
        <f>IFNA(VLOOKUP(AS17,'法術資料'!$K$2:$X$805,5,FALSE),"")</f>
        <v/>
      </c>
      <c r="BC17" s="1377" t="str">
        <f>IFNA(VLOOKUP(AS17,'法術資料'!$K$2:$X$805,6,FALSE),"")</f>
        <v/>
      </c>
      <c r="BD17" s="1378" t="str">
        <f>IFNA(VLOOKUP(AS17,'法術資料'!$K$2:$X$805,9,FALSE),"")</f>
        <v/>
      </c>
      <c r="BE17" s="1379" t="str">
        <f>IFNA(VLOOKUP(AS17,'法術資料'!$K$2:$X$805,10,FALSE),"")</f>
        <v/>
      </c>
      <c r="BF17" s="1379" t="str">
        <f>IFNA(VLOOKUP($Y17,'法術資料'!$K$2:$X$805,11,FALSE),"")</f>
        <v/>
      </c>
      <c r="BG17" s="1506" t="str">
        <f>IFNA(VLOOKUP(AS17,'法術資料'!$K$2:$X$805,12,FALSE),"")</f>
        <v/>
      </c>
      <c r="BH17" s="376"/>
      <c r="BI17" s="1369"/>
      <c r="BJ17" s="455"/>
      <c r="BK17" s="1356"/>
      <c r="BL17" s="1503" t="b">
        <v>0</v>
      </c>
      <c r="BM17" s="1508"/>
      <c r="BN17" s="1507" t="str">
        <f>IFNA(VLOOKUP(BM17,'法術資料'!$K$2:$X$805,4,FALSE),"")
</f>
        <v/>
      </c>
      <c r="BO17" s="1506" t="str">
        <f>IFNA(VLOOKUP(BM17,'法術資料'!$K$2:$X$805,7,FALSE),"")</f>
        <v/>
      </c>
      <c r="BP17" s="1141"/>
      <c r="BQ17" s="1506" t="str">
        <f>IFNA(VLOOKUP(BM17,'法術資料'!$K$2:$X$805,8,FALSE),"")</f>
        <v/>
      </c>
      <c r="BR17" s="1141"/>
      <c r="BS17" s="1506" t="str">
        <f>IFNA(VLOOKUP(BM17,'法術資料'!$K$2:$X$805,14,FALSE),"")</f>
        <v/>
      </c>
      <c r="BT17" s="1141"/>
      <c r="BU17" s="1377" t="str">
        <f>IFNA(VLOOKUP(BM17,'法術資料'!$K$2:$X$805,13,FALSE),"")</f>
        <v/>
      </c>
      <c r="BV17" s="1377" t="str">
        <f>IFNA(VLOOKUP(BM17,'法術資料'!$K$2:$X$805,5,FALSE),"")</f>
        <v/>
      </c>
      <c r="BW17" s="1377" t="str">
        <f>IFNA(VLOOKUP(BM17,'法術資料'!$K$2:$X$805,6,FALSE),"")</f>
        <v/>
      </c>
      <c r="BX17" s="1378" t="str">
        <f>IFNA(VLOOKUP(BM17,'法術資料'!$K$2:$X$805,9,FALSE),"")</f>
        <v/>
      </c>
      <c r="BY17" s="1379" t="str">
        <f>IFNA(VLOOKUP(BM17,'法術資料'!$K$2:$X$805,10,FALSE),"")</f>
        <v/>
      </c>
      <c r="BZ17" s="1379" t="str">
        <f>IFNA(VLOOKUP($Y17,'法術資料'!$K$2:$X$805,11,FALSE),"")</f>
        <v/>
      </c>
      <c r="CA17" s="1506" t="str">
        <f>IFNA(VLOOKUP(BM17,'法術資料'!$K$2:$X$805,12,FALSE),"")</f>
        <v/>
      </c>
      <c r="CB17" s="376"/>
      <c r="CC17" s="1369"/>
      <c r="CD17" s="455"/>
      <c r="CE17" s="1356"/>
      <c r="CF17" s="1503" t="b">
        <v>0</v>
      </c>
      <c r="CG17" s="1508"/>
      <c r="CH17" s="1507" t="str">
        <f>IFNA(VLOOKUP(CG17,'法術資料'!$K$2:$X$805,4,FALSE),"")
</f>
        <v/>
      </c>
      <c r="CI17" s="1506" t="str">
        <f>IFNA(VLOOKUP(CG17,'法術資料'!$K$2:$X$805,7,FALSE),"")</f>
        <v/>
      </c>
      <c r="CJ17" s="1141"/>
      <c r="CK17" s="1506" t="str">
        <f>IFNA(VLOOKUP(CG17,'法術資料'!$K$2:$X$805,8,FALSE),"")</f>
        <v/>
      </c>
      <c r="CL17" s="1141"/>
      <c r="CM17" s="1506" t="str">
        <f>IFNA(VLOOKUP(CG17,'法術資料'!$K$2:$X$805,14,FALSE),"")</f>
        <v/>
      </c>
      <c r="CN17" s="1141"/>
      <c r="CO17" s="1377" t="str">
        <f>IFNA(VLOOKUP(CG17,'法術資料'!$K$2:$X$805,13,FALSE),"")</f>
        <v/>
      </c>
      <c r="CP17" s="1377" t="str">
        <f>IFNA(VLOOKUP(CG17,'法術資料'!$K$2:$X$805,5,FALSE),"")</f>
        <v/>
      </c>
      <c r="CQ17" s="1377" t="str">
        <f>IFNA(VLOOKUP(CG17,'法術資料'!$K$2:$X$805,6,FALSE),"")</f>
        <v/>
      </c>
      <c r="CR17" s="1378" t="str">
        <f>IFNA(VLOOKUP(CG17,'法術資料'!$K$2:$X$805,9,FALSE),"")</f>
        <v/>
      </c>
      <c r="CS17" s="1379" t="str">
        <f>IFNA(VLOOKUP(CG17,'法術資料'!$K$2:$X$805,10,FALSE),"")</f>
        <v/>
      </c>
      <c r="CT17" s="1379" t="str">
        <f>IFNA(VLOOKUP($Y17,'法術資料'!$K$2:$X$805,11,FALSE),"")</f>
        <v/>
      </c>
      <c r="CU17" s="1506" t="str">
        <f>IFNA(VLOOKUP(CG17,'法術資料'!$K$2:$X$805,12,FALSE),"")</f>
        <v/>
      </c>
      <c r="CV17" s="376"/>
      <c r="CW17" s="1369"/>
      <c r="CX17" s="455"/>
      <c r="CY17" s="1356"/>
      <c r="CZ17" s="1503" t="b">
        <v>0</v>
      </c>
      <c r="DA17" s="1504"/>
      <c r="DB17" s="1507" t="str">
        <f>IFNA(VLOOKUP(DA17,'法術資料'!$K$2:$X$805,4,FALSE),"")
</f>
        <v/>
      </c>
      <c r="DC17" s="1506" t="str">
        <f>IFNA(VLOOKUP(DA17,'法術資料'!$K$2:$X$805,7,FALSE),"")</f>
        <v/>
      </c>
      <c r="DD17" s="1141"/>
      <c r="DE17" s="1506" t="str">
        <f>IFNA(VLOOKUP(DA17,'法術資料'!$K$2:$X$805,8,FALSE),"")</f>
        <v/>
      </c>
      <c r="DF17" s="1141"/>
      <c r="DG17" s="1506" t="str">
        <f>IFNA(VLOOKUP(DA17,'法術資料'!$K$2:$X$805,14,FALSE),"")</f>
        <v/>
      </c>
      <c r="DH17" s="1141"/>
      <c r="DI17" s="1377" t="str">
        <f>IFNA(VLOOKUP(DA17,'法術資料'!$K$2:$X$805,13,FALSE),"")</f>
        <v/>
      </c>
      <c r="DJ17" s="1377" t="str">
        <f>IFNA(VLOOKUP(DA17,'法術資料'!$K$2:$X$805,5,FALSE),"")</f>
        <v/>
      </c>
      <c r="DK17" s="1377" t="str">
        <f>IFNA(VLOOKUP(DA17,'法術資料'!$K$2:$X$805,6,FALSE),"")</f>
        <v/>
      </c>
      <c r="DL17" s="1378" t="str">
        <f>IFNA(VLOOKUP(DA17,'法術資料'!$K$2:$X$805,9,FALSE),"")</f>
        <v/>
      </c>
      <c r="DM17" s="1379" t="str">
        <f>IFNA(VLOOKUP(DA17,'法術資料'!$K$2:$X$805,10,FALSE),"")</f>
        <v/>
      </c>
      <c r="DN17" s="1379" t="str">
        <f>IFNA(VLOOKUP($Y17,'法術資料'!$K$2:$X$805,11,FALSE),"")</f>
        <v/>
      </c>
      <c r="DO17" s="1506" t="str">
        <f>IFNA(VLOOKUP(DA17,'法術資料'!$K$2:$X$805,12,FALSE),"")</f>
        <v/>
      </c>
      <c r="DP17" s="376"/>
      <c r="DQ17" s="1369"/>
      <c r="DR17" s="455"/>
      <c r="DS17" s="1356"/>
      <c r="DT17" s="1503" t="b">
        <v>0</v>
      </c>
      <c r="DU17" s="1504"/>
      <c r="DV17" s="1507" t="str">
        <f>IFNA(VLOOKUP(DU17,'法術資料'!$K$2:$X$805,4,FALSE),"")
</f>
        <v/>
      </c>
      <c r="DW17" s="1506" t="str">
        <f>IFNA(VLOOKUP(DU17,'法術資料'!$K$2:$X$805,7,FALSE),"")</f>
        <v/>
      </c>
      <c r="DX17" s="1141"/>
      <c r="DY17" s="1506" t="str">
        <f>IFNA(VLOOKUP(DU17,'法術資料'!$K$2:$X$805,8,FALSE),"")</f>
        <v/>
      </c>
      <c r="DZ17" s="1141"/>
      <c r="EA17" s="1506" t="str">
        <f>IFNA(VLOOKUP(DU17,'法術資料'!$K$2:$X$805,14,FALSE),"")</f>
        <v/>
      </c>
      <c r="EB17" s="1141"/>
      <c r="EC17" s="1377" t="str">
        <f>IFNA(VLOOKUP(DU17,'法術資料'!$K$2:$X$805,13,FALSE),"")</f>
        <v/>
      </c>
      <c r="ED17" s="1377" t="str">
        <f>IFNA(VLOOKUP(DU17,'法術資料'!$K$2:$X$805,5,FALSE),"")</f>
        <v/>
      </c>
      <c r="EE17" s="1377" t="str">
        <f>IFNA(VLOOKUP(DU17,'法術資料'!$K$2:$X$805,6,FALSE),"")</f>
        <v/>
      </c>
      <c r="EF17" s="1378" t="str">
        <f>IFNA(VLOOKUP(DU17,'法術資料'!$K$2:$X$805,9,FALSE),"")</f>
        <v/>
      </c>
      <c r="EG17" s="1379" t="str">
        <f>IFNA(VLOOKUP(DU17,'法術資料'!$K$2:$X$805,10,FALSE),"")</f>
        <v/>
      </c>
      <c r="EH17" s="1379" t="str">
        <f>IFNA(VLOOKUP($Y17,'法術資料'!$K$2:$X$805,11,FALSE),"")</f>
        <v/>
      </c>
      <c r="EI17" s="1506" t="str">
        <f>IFNA(VLOOKUP(DU17,'法術資料'!$K$2:$X$805,12,FALSE),"")</f>
        <v/>
      </c>
      <c r="EJ17" s="376"/>
      <c r="EK17" s="1369"/>
      <c r="EL17" s="455"/>
      <c r="EM17" s="1356"/>
      <c r="EN17" s="1503" t="b">
        <v>0</v>
      </c>
      <c r="EO17" s="1508"/>
      <c r="EP17" s="1507" t="str">
        <f>IFNA(VLOOKUP(EO17,'法術資料'!$K$2:$X$805,4,FALSE),"")
</f>
        <v/>
      </c>
      <c r="EQ17" s="1506" t="str">
        <f>IFNA(VLOOKUP(EO17,'法術資料'!$K$2:$X$805,7,FALSE),"")</f>
        <v/>
      </c>
      <c r="ER17" s="1141"/>
      <c r="ES17" s="1506" t="str">
        <f>IFNA(VLOOKUP(EO17,'法術資料'!$K$2:$X$805,8,FALSE),"")</f>
        <v/>
      </c>
      <c r="ET17" s="1141"/>
      <c r="EU17" s="1506" t="str">
        <f>IFNA(VLOOKUP(EO17,'法術資料'!$K$2:$X$805,14,FALSE),"")</f>
        <v/>
      </c>
      <c r="EV17" s="1141"/>
      <c r="EW17" s="1377" t="str">
        <f>IFNA(VLOOKUP(EO17,'法術資料'!$K$2:$X$805,13,FALSE),"")</f>
        <v/>
      </c>
      <c r="EX17" s="1377" t="str">
        <f>IFNA(VLOOKUP(EO17,'法術資料'!$K$2:$X$805,5,FALSE),"")</f>
        <v/>
      </c>
      <c r="EY17" s="1377" t="str">
        <f>IFNA(VLOOKUP(EO17,'法術資料'!$K$2:$X$805,6,FALSE),"")</f>
        <v/>
      </c>
      <c r="EZ17" s="1378" t="str">
        <f>IFNA(VLOOKUP(EO17,'法術資料'!$K$2:$X$805,9,FALSE),"")</f>
        <v/>
      </c>
      <c r="FA17" s="1379" t="str">
        <f>IFNA(VLOOKUP(EO17,'法術資料'!$K$2:$X$805,10,FALSE),"")</f>
        <v/>
      </c>
      <c r="FB17" s="1379" t="str">
        <f>IFNA(VLOOKUP($Y17,'法術資料'!$K$2:$X$805,11,FALSE),"")</f>
        <v/>
      </c>
      <c r="FC17" s="1506" t="str">
        <f>IFNA(VLOOKUP(EO17,'法術資料'!$K$2:$X$805,12,FALSE),"")</f>
        <v/>
      </c>
      <c r="FD17" s="376"/>
      <c r="FE17" s="1369"/>
      <c r="FF17" s="455"/>
      <c r="FG17" s="1356"/>
      <c r="FH17" s="1503" t="b">
        <v>0</v>
      </c>
      <c r="FI17" s="1508"/>
      <c r="FJ17" s="1507" t="str">
        <f>IFNA(VLOOKUP(FI17,'法術資料'!$K$2:$X$805,4,FALSE),"")
</f>
        <v/>
      </c>
      <c r="FK17" s="1506" t="str">
        <f>IFNA(VLOOKUP(FI17,'法術資料'!$K$2:$X$805,7,FALSE),"")</f>
        <v/>
      </c>
      <c r="FL17" s="1141"/>
      <c r="FM17" s="1506" t="str">
        <f>IFNA(VLOOKUP(FI17,'法術資料'!$K$2:$X$805,8,FALSE),"")</f>
        <v/>
      </c>
      <c r="FN17" s="1141"/>
      <c r="FO17" s="1506" t="str">
        <f>IFNA(VLOOKUP(FI17,'法術資料'!$K$2:$X$805,14,FALSE),"")</f>
        <v/>
      </c>
      <c r="FP17" s="1141"/>
      <c r="FQ17" s="1377" t="str">
        <f>IFNA(VLOOKUP(FI17,'法術資料'!$K$2:$X$805,13,FALSE),"")</f>
        <v/>
      </c>
      <c r="FR17" s="1377" t="str">
        <f>IFNA(VLOOKUP(FI17,'法術資料'!$K$2:$X$805,5,FALSE),"")</f>
        <v/>
      </c>
      <c r="FS17" s="1377" t="str">
        <f>IFNA(VLOOKUP(FI17,'法術資料'!$K$2:$X$805,6,FALSE),"")</f>
        <v/>
      </c>
      <c r="FT17" s="1378" t="str">
        <f>IFNA(VLOOKUP(FI17,'法術資料'!$K$2:$X$805,9,FALSE),"")</f>
        <v/>
      </c>
      <c r="FU17" s="1379" t="str">
        <f>IFNA(VLOOKUP(FI17,'法術資料'!$K$2:$X$805,10,FALSE),"")</f>
        <v/>
      </c>
      <c r="FV17" s="1379" t="str">
        <f>IFNA(VLOOKUP($Y17,'法術資料'!$K$2:$X$805,11,FALSE),"")</f>
        <v/>
      </c>
      <c r="FW17" s="1506" t="str">
        <f>IFNA(VLOOKUP(FI17,'法術資料'!$K$2:$X$805,12,FALSE),"")</f>
        <v/>
      </c>
      <c r="FX17" s="376"/>
      <c r="FY17" s="1369"/>
      <c r="FZ17" s="455"/>
    </row>
    <row r="18">
      <c r="A18" s="455"/>
      <c r="B18" s="1356"/>
      <c r="C18" s="1509" t="b">
        <v>0</v>
      </c>
      <c r="D18" s="1502"/>
      <c r="E18" s="1510" t="str">
        <f>IFNA(VLOOKUP($D18,'法術資料'!$K$2:$X$805,4,FALSE),"")
</f>
        <v/>
      </c>
      <c r="F18" s="1511" t="str">
        <f>IFNA(VLOOKUP($D18,'法術資料'!$K$2:$X$805,7,FALSE),"")</f>
        <v/>
      </c>
      <c r="G18" s="1141"/>
      <c r="H18" s="1511" t="str">
        <f>IFNA(VLOOKUP($D18,'法術資料'!$K$2:$X$805,8,FALSE),"")</f>
        <v/>
      </c>
      <c r="I18" s="1141"/>
      <c r="J18" s="1511" t="str">
        <f>IFNA(VLOOKUP($D18,'法術資料'!$K$2:$X$805,14,FALSE),"")</f>
        <v/>
      </c>
      <c r="K18" s="1141"/>
      <c r="L18" s="1511" t="str">
        <f>IFNA(VLOOKUP($D18,'法術資料'!$K$2:$X$805,13,FALSE),"")</f>
        <v/>
      </c>
      <c r="M18" s="1141"/>
      <c r="N18" s="1365" t="str">
        <f>IFNA(VLOOKUP($D18,'法術資料'!$K$2:$X$805,5,FALSE),"")</f>
        <v/>
      </c>
      <c r="O18" s="1365" t="str">
        <f>IFNA(VLOOKUP($D18,'法術資料'!$K$2:$X$805,6,FALSE),"")</f>
        <v/>
      </c>
      <c r="P18" s="1366" t="str">
        <f>IFNA(VLOOKUP($D18,'法術資料'!$K$2:$X$805,9,FALSE),"")</f>
        <v/>
      </c>
      <c r="Q18" s="1367" t="str">
        <f>IFNA(VLOOKUP($D18,'法術資料'!$K$2:$X$805,10,FALSE),"")</f>
        <v/>
      </c>
      <c r="R18" s="1367" t="str">
        <f>IFNA(VLOOKUP($D18,'法術資料'!$K$2:$X$805,11,FALSE),"")</f>
        <v/>
      </c>
      <c r="S18" s="1511" t="str">
        <f>IFNA(VLOOKUP($D18,'法術資料'!$K$2:$X$805,12,FALSE),"")</f>
        <v/>
      </c>
      <c r="T18" s="376"/>
      <c r="U18" s="1369"/>
      <c r="V18" s="455"/>
      <c r="W18" s="1356"/>
      <c r="X18" s="1509" t="b">
        <v>0</v>
      </c>
      <c r="Y18" s="1499"/>
      <c r="Z18" s="1512" t="str">
        <f>IFNA(VLOOKUP(Y18,'法術資料'!$K$2:$X$805,4,FALSE),"")
</f>
        <v/>
      </c>
      <c r="AA18" s="1511" t="str">
        <f>IFNA(VLOOKUP($Y18,'法術資料'!$K$2:$X$805,7,FALSE),"")</f>
        <v/>
      </c>
      <c r="AB18" s="1141"/>
      <c r="AC18" s="1511" t="str">
        <f>IFNA(VLOOKUP($Y18,'法術資料'!$K$2:$X$805,8,FALSE),"")</f>
        <v/>
      </c>
      <c r="AD18" s="1141"/>
      <c r="AE18" s="1511" t="str">
        <f>IFNA(VLOOKUP($Y18,'法術資料'!$K$2:$X$805,14,FALSE),"")</f>
        <v/>
      </c>
      <c r="AF18" s="1141"/>
      <c r="AG18" s="1365" t="str">
        <f>IFNA(VLOOKUP($Y18,'法術資料'!$K$2:$X$805,13,FALSE),"")</f>
        <v/>
      </c>
      <c r="AH18" s="1365" t="str">
        <f>IFNA(VLOOKUP($Y18,'法術資料'!$K$2:$X$805,5,FALSE),"")</f>
        <v/>
      </c>
      <c r="AI18" s="1365" t="str">
        <f>IFNA(VLOOKUP($Y18,'法術資料'!$K$2:$X$805,6,FALSE),"")</f>
        <v/>
      </c>
      <c r="AJ18" s="1366" t="str">
        <f>IFNA(VLOOKUP($Y18,'法術資料'!$K$2:$X$805,9,FALSE),"")</f>
        <v/>
      </c>
      <c r="AK18" s="1367" t="str">
        <f>IFNA(VLOOKUP($Y18,'法術資料'!$K$2:$X$805,10,FALSE),"")</f>
        <v/>
      </c>
      <c r="AL18" s="1367" t="str">
        <f>IFNA(VLOOKUP($Y18,'法術資料'!$K$2:$X$805,11,FALSE),"")</f>
        <v/>
      </c>
      <c r="AM18" s="1511" t="str">
        <f>IFNA(VLOOKUP($Y18,'法術資料'!$K$2:$X$805,12,FALSE),"")</f>
        <v/>
      </c>
      <c r="AN18" s="376"/>
      <c r="AO18" s="1369"/>
      <c r="AP18" s="455"/>
      <c r="AQ18" s="1356"/>
      <c r="AR18" s="1509" t="b">
        <v>0</v>
      </c>
      <c r="AS18" s="1499"/>
      <c r="AT18" s="1512" t="str">
        <f>IFNA(VLOOKUP(AS18,'法術資料'!$K$2:$X$805,4,FALSE),"")
</f>
        <v/>
      </c>
      <c r="AU18" s="1511" t="str">
        <f>IFNA(VLOOKUP(AS18,'法術資料'!$K$2:$X$805,7,FALSE),"")</f>
        <v/>
      </c>
      <c r="AV18" s="1141"/>
      <c r="AW18" s="1511" t="str">
        <f>IFNA(VLOOKUP(AS18,'法術資料'!$K$2:$X$805,8,FALSE),"")</f>
        <v/>
      </c>
      <c r="AX18" s="1141"/>
      <c r="AY18" s="1511" t="str">
        <f>IFNA(VLOOKUP(AS18,'法術資料'!$K$2:$X$805,14,FALSE),"")</f>
        <v/>
      </c>
      <c r="AZ18" s="1141"/>
      <c r="BA18" s="1365" t="str">
        <f>IFNA(VLOOKUP(AS18,'法術資料'!$K$2:$X$805,13,FALSE),"")</f>
        <v/>
      </c>
      <c r="BB18" s="1365" t="str">
        <f>IFNA(VLOOKUP(AS18,'法術資料'!$K$2:$X$805,5,FALSE),"")</f>
        <v/>
      </c>
      <c r="BC18" s="1365" t="str">
        <f>IFNA(VLOOKUP(AS18,'法術資料'!$K$2:$X$805,6,FALSE),"")</f>
        <v/>
      </c>
      <c r="BD18" s="1366" t="str">
        <f>IFNA(VLOOKUP(AS18,'法術資料'!$K$2:$X$805,9,FALSE),"")</f>
        <v/>
      </c>
      <c r="BE18" s="1367" t="str">
        <f>IFNA(VLOOKUP(AS18,'法術資料'!$K$2:$X$805,10,FALSE),"")</f>
        <v/>
      </c>
      <c r="BF18" s="1367" t="str">
        <f>IFNA(VLOOKUP($Y18,'法術資料'!$K$2:$X$805,11,FALSE),"")</f>
        <v/>
      </c>
      <c r="BG18" s="1511" t="str">
        <f>IFNA(VLOOKUP(AS18,'法術資料'!$K$2:$X$805,12,FALSE),"")</f>
        <v/>
      </c>
      <c r="BH18" s="376"/>
      <c r="BI18" s="1369"/>
      <c r="BJ18" s="455"/>
      <c r="BK18" s="1356"/>
      <c r="BL18" s="1509" t="b">
        <v>0</v>
      </c>
      <c r="BM18" s="1499"/>
      <c r="BN18" s="1512" t="str">
        <f>IFNA(VLOOKUP(BM18,'法術資料'!$K$2:$X$805,4,FALSE),"")
</f>
        <v/>
      </c>
      <c r="BO18" s="1511" t="str">
        <f>IFNA(VLOOKUP(BM18,'法術資料'!$K$2:$X$805,7,FALSE),"")</f>
        <v/>
      </c>
      <c r="BP18" s="1141"/>
      <c r="BQ18" s="1511" t="str">
        <f>IFNA(VLOOKUP(BM18,'法術資料'!$K$2:$X$805,8,FALSE),"")</f>
        <v/>
      </c>
      <c r="BR18" s="1141"/>
      <c r="BS18" s="1511" t="str">
        <f>IFNA(VLOOKUP(BM18,'法術資料'!$K$2:$X$805,14,FALSE),"")</f>
        <v/>
      </c>
      <c r="BT18" s="1141"/>
      <c r="BU18" s="1365" t="str">
        <f>IFNA(VLOOKUP(BM18,'法術資料'!$K$2:$X$805,13,FALSE),"")</f>
        <v/>
      </c>
      <c r="BV18" s="1365" t="str">
        <f>IFNA(VLOOKUP(BM18,'法術資料'!$K$2:$X$805,5,FALSE),"")</f>
        <v/>
      </c>
      <c r="BW18" s="1365" t="str">
        <f>IFNA(VLOOKUP(BM18,'法術資料'!$K$2:$X$805,6,FALSE),"")</f>
        <v/>
      </c>
      <c r="BX18" s="1366" t="str">
        <f>IFNA(VLOOKUP(BM18,'法術資料'!$K$2:$X$805,9,FALSE),"")</f>
        <v/>
      </c>
      <c r="BY18" s="1367" t="str">
        <f>IFNA(VLOOKUP(BM18,'法術資料'!$K$2:$X$805,10,FALSE),"")</f>
        <v/>
      </c>
      <c r="BZ18" s="1367" t="str">
        <f>IFNA(VLOOKUP($Y18,'法術資料'!$K$2:$X$805,11,FALSE),"")</f>
        <v/>
      </c>
      <c r="CA18" s="1511" t="str">
        <f>IFNA(VLOOKUP(BM18,'法術資料'!$K$2:$X$805,12,FALSE),"")</f>
        <v/>
      </c>
      <c r="CB18" s="376"/>
      <c r="CC18" s="1369"/>
      <c r="CD18" s="455"/>
      <c r="CE18" s="1356"/>
      <c r="CF18" s="1509" t="b">
        <v>0</v>
      </c>
      <c r="CG18" s="1499"/>
      <c r="CH18" s="1512" t="str">
        <f>IFNA(VLOOKUP(CG18,'法術資料'!$K$2:$X$805,4,FALSE),"")
</f>
        <v/>
      </c>
      <c r="CI18" s="1511" t="str">
        <f>IFNA(VLOOKUP(CG18,'法術資料'!$K$2:$X$805,7,FALSE),"")</f>
        <v/>
      </c>
      <c r="CJ18" s="1141"/>
      <c r="CK18" s="1511" t="str">
        <f>IFNA(VLOOKUP(CG18,'法術資料'!$K$2:$X$805,8,FALSE),"")</f>
        <v/>
      </c>
      <c r="CL18" s="1141"/>
      <c r="CM18" s="1511" t="str">
        <f>IFNA(VLOOKUP(CG18,'法術資料'!$K$2:$X$805,14,FALSE),"")</f>
        <v/>
      </c>
      <c r="CN18" s="1141"/>
      <c r="CO18" s="1365" t="str">
        <f>IFNA(VLOOKUP(CG18,'法術資料'!$K$2:$X$805,13,FALSE),"")</f>
        <v/>
      </c>
      <c r="CP18" s="1365" t="str">
        <f>IFNA(VLOOKUP(CG18,'法術資料'!$K$2:$X$805,5,FALSE),"")</f>
        <v/>
      </c>
      <c r="CQ18" s="1365" t="str">
        <f>IFNA(VLOOKUP(CG18,'法術資料'!$K$2:$X$805,6,FALSE),"")</f>
        <v/>
      </c>
      <c r="CR18" s="1366" t="str">
        <f>IFNA(VLOOKUP(CG18,'法術資料'!$K$2:$X$805,9,FALSE),"")</f>
        <v/>
      </c>
      <c r="CS18" s="1367" t="str">
        <f>IFNA(VLOOKUP(CG18,'法術資料'!$K$2:$X$805,10,FALSE),"")</f>
        <v/>
      </c>
      <c r="CT18" s="1367" t="str">
        <f>IFNA(VLOOKUP($Y18,'法術資料'!$K$2:$X$805,11,FALSE),"")</f>
        <v/>
      </c>
      <c r="CU18" s="1511" t="str">
        <f>IFNA(VLOOKUP(CG18,'法術資料'!$K$2:$X$805,12,FALSE),"")</f>
        <v/>
      </c>
      <c r="CV18" s="376"/>
      <c r="CW18" s="1369"/>
      <c r="CX18" s="455"/>
      <c r="CY18" s="1356"/>
      <c r="CZ18" s="1509" t="b">
        <v>0</v>
      </c>
      <c r="DA18" s="1502"/>
      <c r="DB18" s="1512" t="str">
        <f>IFNA(VLOOKUP(DA18,'法術資料'!$K$2:$X$805,4,FALSE),"")
</f>
        <v/>
      </c>
      <c r="DC18" s="1511" t="str">
        <f>IFNA(VLOOKUP(DA18,'法術資料'!$K$2:$X$805,7,FALSE),"")</f>
        <v/>
      </c>
      <c r="DD18" s="1141"/>
      <c r="DE18" s="1511" t="str">
        <f>IFNA(VLOOKUP(DA18,'法術資料'!$K$2:$X$805,8,FALSE),"")</f>
        <v/>
      </c>
      <c r="DF18" s="1141"/>
      <c r="DG18" s="1511" t="str">
        <f>IFNA(VLOOKUP(DA18,'法術資料'!$K$2:$X$805,14,FALSE),"")</f>
        <v/>
      </c>
      <c r="DH18" s="1141"/>
      <c r="DI18" s="1365" t="str">
        <f>IFNA(VLOOKUP(DA18,'法術資料'!$K$2:$X$805,13,FALSE),"")</f>
        <v/>
      </c>
      <c r="DJ18" s="1365" t="str">
        <f>IFNA(VLOOKUP(DA18,'法術資料'!$K$2:$X$805,5,FALSE),"")</f>
        <v/>
      </c>
      <c r="DK18" s="1365" t="str">
        <f>IFNA(VLOOKUP(DA18,'法術資料'!$K$2:$X$805,6,FALSE),"")</f>
        <v/>
      </c>
      <c r="DL18" s="1366" t="str">
        <f>IFNA(VLOOKUP(DA18,'法術資料'!$K$2:$X$805,9,FALSE),"")</f>
        <v/>
      </c>
      <c r="DM18" s="1367" t="str">
        <f>IFNA(VLOOKUP(DA18,'法術資料'!$K$2:$X$805,10,FALSE),"")</f>
        <v/>
      </c>
      <c r="DN18" s="1367" t="str">
        <f>IFNA(VLOOKUP($Y18,'法術資料'!$K$2:$X$805,11,FALSE),"")</f>
        <v/>
      </c>
      <c r="DO18" s="1511" t="str">
        <f>IFNA(VLOOKUP(DA18,'法術資料'!$K$2:$X$805,12,FALSE),"")</f>
        <v/>
      </c>
      <c r="DP18" s="376"/>
      <c r="DQ18" s="1369"/>
      <c r="DR18" s="455"/>
      <c r="DS18" s="1356"/>
      <c r="DT18" s="1509" t="b">
        <v>0</v>
      </c>
      <c r="DU18" s="1502"/>
      <c r="DV18" s="1512" t="str">
        <f>IFNA(VLOOKUP(DU18,'法術資料'!$K$2:$X$805,4,FALSE),"")
</f>
        <v/>
      </c>
      <c r="DW18" s="1511" t="str">
        <f>IFNA(VLOOKUP(DU18,'法術資料'!$K$2:$X$805,7,FALSE),"")</f>
        <v/>
      </c>
      <c r="DX18" s="1141"/>
      <c r="DY18" s="1511" t="str">
        <f>IFNA(VLOOKUP(DU18,'法術資料'!$K$2:$X$805,8,FALSE),"")</f>
        <v/>
      </c>
      <c r="DZ18" s="1141"/>
      <c r="EA18" s="1511" t="str">
        <f>IFNA(VLOOKUP(DU18,'法術資料'!$K$2:$X$805,14,FALSE),"")</f>
        <v/>
      </c>
      <c r="EB18" s="1141"/>
      <c r="EC18" s="1365" t="str">
        <f>IFNA(VLOOKUP(DU18,'法術資料'!$K$2:$X$805,13,FALSE),"")</f>
        <v/>
      </c>
      <c r="ED18" s="1365" t="str">
        <f>IFNA(VLOOKUP(DU18,'法術資料'!$K$2:$X$805,5,FALSE),"")</f>
        <v/>
      </c>
      <c r="EE18" s="1365" t="str">
        <f>IFNA(VLOOKUP(DU18,'法術資料'!$K$2:$X$805,6,FALSE),"")</f>
        <v/>
      </c>
      <c r="EF18" s="1366" t="str">
        <f>IFNA(VLOOKUP(DU18,'法術資料'!$K$2:$X$805,9,FALSE),"")</f>
        <v/>
      </c>
      <c r="EG18" s="1367" t="str">
        <f>IFNA(VLOOKUP(DU18,'法術資料'!$K$2:$X$805,10,FALSE),"")</f>
        <v/>
      </c>
      <c r="EH18" s="1367" t="str">
        <f>IFNA(VLOOKUP($Y18,'法術資料'!$K$2:$X$805,11,FALSE),"")</f>
        <v/>
      </c>
      <c r="EI18" s="1511" t="str">
        <f>IFNA(VLOOKUP(DU18,'法術資料'!$K$2:$X$805,12,FALSE),"")</f>
        <v/>
      </c>
      <c r="EJ18" s="376"/>
      <c r="EK18" s="1369"/>
      <c r="EL18" s="455"/>
      <c r="EM18" s="1356"/>
      <c r="EN18" s="1509" t="b">
        <v>0</v>
      </c>
      <c r="EO18" s="1502"/>
      <c r="EP18" s="1512" t="str">
        <f>IFNA(VLOOKUP(EO18,'法術資料'!$K$2:$X$805,4,FALSE),"")
</f>
        <v/>
      </c>
      <c r="EQ18" s="1511" t="str">
        <f>IFNA(VLOOKUP(EO18,'法術資料'!$K$2:$X$805,7,FALSE),"")</f>
        <v/>
      </c>
      <c r="ER18" s="1141"/>
      <c r="ES18" s="1511" t="str">
        <f>IFNA(VLOOKUP(EO18,'法術資料'!$K$2:$X$805,8,FALSE),"")</f>
        <v/>
      </c>
      <c r="ET18" s="1141"/>
      <c r="EU18" s="1511" t="str">
        <f>IFNA(VLOOKUP(EO18,'法術資料'!$K$2:$X$805,14,FALSE),"")</f>
        <v/>
      </c>
      <c r="EV18" s="1141"/>
      <c r="EW18" s="1365" t="str">
        <f>IFNA(VLOOKUP(EO18,'法術資料'!$K$2:$X$805,13,FALSE),"")</f>
        <v/>
      </c>
      <c r="EX18" s="1365" t="str">
        <f>IFNA(VLOOKUP(EO18,'法術資料'!$K$2:$X$805,5,FALSE),"")</f>
        <v/>
      </c>
      <c r="EY18" s="1365" t="str">
        <f>IFNA(VLOOKUP(EO18,'法術資料'!$K$2:$X$805,6,FALSE),"")</f>
        <v/>
      </c>
      <c r="EZ18" s="1366" t="str">
        <f>IFNA(VLOOKUP(EO18,'法術資料'!$K$2:$X$805,9,FALSE),"")</f>
        <v/>
      </c>
      <c r="FA18" s="1367" t="str">
        <f>IFNA(VLOOKUP(EO18,'法術資料'!$K$2:$X$805,10,FALSE),"")</f>
        <v/>
      </c>
      <c r="FB18" s="1367" t="str">
        <f>IFNA(VLOOKUP($Y18,'法術資料'!$K$2:$X$805,11,FALSE),"")</f>
        <v/>
      </c>
      <c r="FC18" s="1511" t="str">
        <f>IFNA(VLOOKUP(EO18,'法術資料'!$K$2:$X$805,12,FALSE),"")</f>
        <v/>
      </c>
      <c r="FD18" s="376"/>
      <c r="FE18" s="1369"/>
      <c r="FF18" s="455"/>
      <c r="FG18" s="1356"/>
      <c r="FH18" s="1509" t="b">
        <v>0</v>
      </c>
      <c r="FI18" s="1502"/>
      <c r="FJ18" s="1512" t="str">
        <f>IFNA(VLOOKUP(FI18,'法術資料'!$K$2:$X$805,4,FALSE),"")
</f>
        <v/>
      </c>
      <c r="FK18" s="1511" t="str">
        <f>IFNA(VLOOKUP(FI18,'法術資料'!$K$2:$X$805,7,FALSE),"")</f>
        <v/>
      </c>
      <c r="FL18" s="1141"/>
      <c r="FM18" s="1511" t="str">
        <f>IFNA(VLOOKUP(FI18,'法術資料'!$K$2:$X$805,8,FALSE),"")</f>
        <v/>
      </c>
      <c r="FN18" s="1141"/>
      <c r="FO18" s="1511" t="str">
        <f>IFNA(VLOOKUP(FI18,'法術資料'!$K$2:$X$805,14,FALSE),"")</f>
        <v/>
      </c>
      <c r="FP18" s="1141"/>
      <c r="FQ18" s="1365" t="str">
        <f>IFNA(VLOOKUP(FI18,'法術資料'!$K$2:$X$805,13,FALSE),"")</f>
        <v/>
      </c>
      <c r="FR18" s="1365" t="str">
        <f>IFNA(VLOOKUP(FI18,'法術資料'!$K$2:$X$805,5,FALSE),"")</f>
        <v/>
      </c>
      <c r="FS18" s="1365" t="str">
        <f>IFNA(VLOOKUP(FI18,'法術資料'!$K$2:$X$805,6,FALSE),"")</f>
        <v/>
      </c>
      <c r="FT18" s="1366" t="str">
        <f>IFNA(VLOOKUP(FI18,'法術資料'!$K$2:$X$805,9,FALSE),"")</f>
        <v/>
      </c>
      <c r="FU18" s="1367" t="str">
        <f>IFNA(VLOOKUP(FI18,'法術資料'!$K$2:$X$805,10,FALSE),"")</f>
        <v/>
      </c>
      <c r="FV18" s="1367" t="str">
        <f>IFNA(VLOOKUP($Y18,'法術資料'!$K$2:$X$805,11,FALSE),"")</f>
        <v/>
      </c>
      <c r="FW18" s="1511" t="str">
        <f>IFNA(VLOOKUP(FI18,'法術資料'!$K$2:$X$805,12,FALSE),"")</f>
        <v/>
      </c>
      <c r="FX18" s="376"/>
      <c r="FY18" s="1369"/>
      <c r="FZ18" s="455"/>
    </row>
    <row r="19">
      <c r="A19" s="455"/>
      <c r="B19" s="1356"/>
      <c r="C19" s="1503" t="b">
        <v>0</v>
      </c>
      <c r="D19" s="1504"/>
      <c r="E19" s="1505" t="str">
        <f>IFNA(VLOOKUP($D19,'法術資料'!$K$2:$X$805,4,FALSE),"")
</f>
        <v/>
      </c>
      <c r="F19" s="1506" t="str">
        <f>IFNA(VLOOKUP($D19,'法術資料'!$K$2:$X$805,7,FALSE),"")</f>
        <v/>
      </c>
      <c r="G19" s="1141"/>
      <c r="H19" s="1506" t="str">
        <f>IFNA(VLOOKUP($D19,'法術資料'!$K$2:$X$805,8,FALSE),"")</f>
        <v/>
      </c>
      <c r="I19" s="1141"/>
      <c r="J19" s="1506" t="str">
        <f>IFNA(VLOOKUP($D19,'法術資料'!$K$2:$X$805,14,FALSE),"")</f>
        <v/>
      </c>
      <c r="K19" s="1141"/>
      <c r="L19" s="1506" t="str">
        <f>IFNA(VLOOKUP($D19,'法術資料'!$K$2:$X$805,13,FALSE),"")</f>
        <v/>
      </c>
      <c r="M19" s="1141"/>
      <c r="N19" s="1377" t="str">
        <f>IFNA(VLOOKUP($D19,'法術資料'!$K$2:$X$805,5,FALSE),"")</f>
        <v/>
      </c>
      <c r="O19" s="1377" t="str">
        <f>IFNA(VLOOKUP($D19,'法術資料'!$K$2:$X$805,6,FALSE),"")</f>
        <v/>
      </c>
      <c r="P19" s="1378" t="str">
        <f>IFNA(VLOOKUP($D19,'法術資料'!$K$2:$X$805,9,FALSE),"")</f>
        <v/>
      </c>
      <c r="Q19" s="1379" t="str">
        <f>IFNA(VLOOKUP($D19,'法術資料'!$K$2:$X$805,10,FALSE),"")</f>
        <v/>
      </c>
      <c r="R19" s="1379" t="str">
        <f>IFNA(VLOOKUP($D19,'法術資料'!$K$2:$X$805,11,FALSE),"")</f>
        <v/>
      </c>
      <c r="S19" s="1506" t="str">
        <f>IFNA(VLOOKUP($D19,'法術資料'!$K$2:$X$805,12,FALSE),"")</f>
        <v/>
      </c>
      <c r="T19" s="376"/>
      <c r="U19" s="1369"/>
      <c r="V19" s="455"/>
      <c r="W19" s="1356"/>
      <c r="X19" s="1503" t="b">
        <v>0</v>
      </c>
      <c r="Y19" s="1504"/>
      <c r="Z19" s="1507" t="str">
        <f>IFNA(VLOOKUP(Y19,'法術資料'!$K$2:$X$805,4,FALSE),"")
</f>
        <v/>
      </c>
      <c r="AA19" s="1506" t="str">
        <f>IFNA(VLOOKUP($Y19,'法術資料'!$K$2:$X$805,7,FALSE),"")</f>
        <v/>
      </c>
      <c r="AB19" s="1141"/>
      <c r="AC19" s="1506" t="str">
        <f>IFNA(VLOOKUP($Y19,'法術資料'!$K$2:$X$805,8,FALSE),"")</f>
        <v/>
      </c>
      <c r="AD19" s="1141"/>
      <c r="AE19" s="1506" t="str">
        <f>IFNA(VLOOKUP($Y19,'法術資料'!$K$2:$X$805,14,FALSE),"")</f>
        <v/>
      </c>
      <c r="AF19" s="1141"/>
      <c r="AG19" s="1377" t="str">
        <f>IFNA(VLOOKUP($Y19,'法術資料'!$K$2:$X$805,13,FALSE),"")</f>
        <v/>
      </c>
      <c r="AH19" s="1377" t="str">
        <f>IFNA(VLOOKUP($Y19,'法術資料'!$K$2:$X$805,5,FALSE),"")</f>
        <v/>
      </c>
      <c r="AI19" s="1377" t="str">
        <f>IFNA(VLOOKUP($Y19,'法術資料'!$K$2:$X$805,6,FALSE),"")</f>
        <v/>
      </c>
      <c r="AJ19" s="1378" t="str">
        <f>IFNA(VLOOKUP($Y19,'法術資料'!$K$2:$X$805,9,FALSE),"")</f>
        <v/>
      </c>
      <c r="AK19" s="1379" t="str">
        <f>IFNA(VLOOKUP($Y19,'法術資料'!$K$2:$X$805,10,FALSE),"")</f>
        <v/>
      </c>
      <c r="AL19" s="1379" t="str">
        <f>IFNA(VLOOKUP($Y19,'法術資料'!$K$2:$X$805,11,FALSE),"")</f>
        <v/>
      </c>
      <c r="AM19" s="1506" t="str">
        <f>IFNA(VLOOKUP($Y19,'法術資料'!$K$2:$X$805,12,FALSE),"")</f>
        <v/>
      </c>
      <c r="AN19" s="376"/>
      <c r="AO19" s="1369"/>
      <c r="AP19" s="455"/>
      <c r="AQ19" s="1356"/>
      <c r="AR19" s="1503" t="b">
        <v>0</v>
      </c>
      <c r="AS19" s="1504"/>
      <c r="AT19" s="1507" t="str">
        <f>IFNA(VLOOKUP(AS19,'法術資料'!$K$2:$X$805,4,FALSE),"")
</f>
        <v/>
      </c>
      <c r="AU19" s="1506" t="str">
        <f>IFNA(VLOOKUP(AS19,'法術資料'!$K$2:$X$805,7,FALSE),"")</f>
        <v/>
      </c>
      <c r="AV19" s="1141"/>
      <c r="AW19" s="1506" t="str">
        <f>IFNA(VLOOKUP(AS19,'法術資料'!$K$2:$X$805,8,FALSE),"")</f>
        <v/>
      </c>
      <c r="AX19" s="1141"/>
      <c r="AY19" s="1506" t="str">
        <f>IFNA(VLOOKUP(AS19,'法術資料'!$K$2:$X$805,14,FALSE),"")</f>
        <v/>
      </c>
      <c r="AZ19" s="1141"/>
      <c r="BA19" s="1377" t="str">
        <f>IFNA(VLOOKUP(AS19,'法術資料'!$K$2:$X$805,13,FALSE),"")</f>
        <v/>
      </c>
      <c r="BB19" s="1377" t="str">
        <f>IFNA(VLOOKUP(AS19,'法術資料'!$K$2:$X$805,5,FALSE),"")</f>
        <v/>
      </c>
      <c r="BC19" s="1377" t="str">
        <f>IFNA(VLOOKUP(AS19,'法術資料'!$K$2:$X$805,6,FALSE),"")</f>
        <v/>
      </c>
      <c r="BD19" s="1378" t="str">
        <f>IFNA(VLOOKUP(AS19,'法術資料'!$K$2:$X$805,9,FALSE),"")</f>
        <v/>
      </c>
      <c r="BE19" s="1379" t="str">
        <f>IFNA(VLOOKUP(AS19,'法術資料'!$K$2:$X$805,10,FALSE),"")</f>
        <v/>
      </c>
      <c r="BF19" s="1379" t="str">
        <f>IFNA(VLOOKUP($Y19,'法術資料'!$K$2:$X$805,11,FALSE),"")</f>
        <v/>
      </c>
      <c r="BG19" s="1506" t="str">
        <f>IFNA(VLOOKUP(AS19,'法術資料'!$K$2:$X$805,12,FALSE),"")</f>
        <v/>
      </c>
      <c r="BH19" s="376"/>
      <c r="BI19" s="1369"/>
      <c r="BJ19" s="455"/>
      <c r="BK19" s="1356"/>
      <c r="BL19" s="1503" t="b">
        <v>0</v>
      </c>
      <c r="BM19" s="1504"/>
      <c r="BN19" s="1507" t="str">
        <f>IFNA(VLOOKUP(BM19,'法術資料'!$K$2:$X$805,4,FALSE),"")
</f>
        <v/>
      </c>
      <c r="BO19" s="1506" t="str">
        <f>IFNA(VLOOKUP(BM19,'法術資料'!$K$2:$X$805,7,FALSE),"")</f>
        <v/>
      </c>
      <c r="BP19" s="1141"/>
      <c r="BQ19" s="1506" t="str">
        <f>IFNA(VLOOKUP(BM19,'法術資料'!$K$2:$X$805,8,FALSE),"")</f>
        <v/>
      </c>
      <c r="BR19" s="1141"/>
      <c r="BS19" s="1506" t="str">
        <f>IFNA(VLOOKUP(BM19,'法術資料'!$K$2:$X$805,14,FALSE),"")</f>
        <v/>
      </c>
      <c r="BT19" s="1141"/>
      <c r="BU19" s="1377" t="str">
        <f>IFNA(VLOOKUP(BM19,'法術資料'!$K$2:$X$805,13,FALSE),"")</f>
        <v/>
      </c>
      <c r="BV19" s="1377" t="str">
        <f>IFNA(VLOOKUP(BM19,'法術資料'!$K$2:$X$805,5,FALSE),"")</f>
        <v/>
      </c>
      <c r="BW19" s="1377" t="str">
        <f>IFNA(VLOOKUP(BM19,'法術資料'!$K$2:$X$805,6,FALSE),"")</f>
        <v/>
      </c>
      <c r="BX19" s="1378" t="str">
        <f>IFNA(VLOOKUP(BM19,'法術資料'!$K$2:$X$805,9,FALSE),"")</f>
        <v/>
      </c>
      <c r="BY19" s="1379" t="str">
        <f>IFNA(VLOOKUP(BM19,'法術資料'!$K$2:$X$805,10,FALSE),"")</f>
        <v/>
      </c>
      <c r="BZ19" s="1379" t="str">
        <f>IFNA(VLOOKUP($Y19,'法術資料'!$K$2:$X$805,11,FALSE),"")</f>
        <v/>
      </c>
      <c r="CA19" s="1506" t="str">
        <f>IFNA(VLOOKUP(BM19,'法術資料'!$K$2:$X$805,12,FALSE),"")</f>
        <v/>
      </c>
      <c r="CB19" s="376"/>
      <c r="CC19" s="1369"/>
      <c r="CD19" s="455"/>
      <c r="CE19" s="1356"/>
      <c r="CF19" s="1503" t="b">
        <v>0</v>
      </c>
      <c r="CG19" s="1504"/>
      <c r="CH19" s="1507" t="str">
        <f>IFNA(VLOOKUP(CG19,'法術資料'!$K$2:$X$805,4,FALSE),"")
</f>
        <v/>
      </c>
      <c r="CI19" s="1506" t="str">
        <f>IFNA(VLOOKUP(CG19,'法術資料'!$K$2:$X$805,7,FALSE),"")</f>
        <v/>
      </c>
      <c r="CJ19" s="1141"/>
      <c r="CK19" s="1506" t="str">
        <f>IFNA(VLOOKUP(CG19,'法術資料'!$K$2:$X$805,8,FALSE),"")</f>
        <v/>
      </c>
      <c r="CL19" s="1141"/>
      <c r="CM19" s="1506" t="str">
        <f>IFNA(VLOOKUP(CG19,'法術資料'!$K$2:$X$805,14,FALSE),"")</f>
        <v/>
      </c>
      <c r="CN19" s="1141"/>
      <c r="CO19" s="1377" t="str">
        <f>IFNA(VLOOKUP(CG19,'法術資料'!$K$2:$X$805,13,FALSE),"")</f>
        <v/>
      </c>
      <c r="CP19" s="1377" t="str">
        <f>IFNA(VLOOKUP(CG19,'法術資料'!$K$2:$X$805,5,FALSE),"")</f>
        <v/>
      </c>
      <c r="CQ19" s="1377" t="str">
        <f>IFNA(VLOOKUP(CG19,'法術資料'!$K$2:$X$805,6,FALSE),"")</f>
        <v/>
      </c>
      <c r="CR19" s="1378" t="str">
        <f>IFNA(VLOOKUP(CG19,'法術資料'!$K$2:$X$805,9,FALSE),"")</f>
        <v/>
      </c>
      <c r="CS19" s="1379" t="str">
        <f>IFNA(VLOOKUP(CG19,'法術資料'!$K$2:$X$805,10,FALSE),"")</f>
        <v/>
      </c>
      <c r="CT19" s="1379" t="str">
        <f>IFNA(VLOOKUP($Y19,'法術資料'!$K$2:$X$805,11,FALSE),"")</f>
        <v/>
      </c>
      <c r="CU19" s="1506" t="str">
        <f>IFNA(VLOOKUP(CG19,'法術資料'!$K$2:$X$805,12,FALSE),"")</f>
        <v/>
      </c>
      <c r="CV19" s="376"/>
      <c r="CW19" s="1369"/>
      <c r="CX19" s="455"/>
      <c r="CY19" s="1356"/>
      <c r="CZ19" s="1503" t="b">
        <v>0</v>
      </c>
      <c r="DA19" s="1508"/>
      <c r="DB19" s="1507" t="str">
        <f>IFNA(VLOOKUP(DA19,'法術資料'!$K$2:$X$805,4,FALSE),"")
</f>
        <v/>
      </c>
      <c r="DC19" s="1506" t="str">
        <f>IFNA(VLOOKUP(DA19,'法術資料'!$K$2:$X$805,7,FALSE),"")</f>
        <v/>
      </c>
      <c r="DD19" s="1141"/>
      <c r="DE19" s="1506" t="str">
        <f>IFNA(VLOOKUP(DA19,'法術資料'!$K$2:$X$805,8,FALSE),"")</f>
        <v/>
      </c>
      <c r="DF19" s="1141"/>
      <c r="DG19" s="1506" t="str">
        <f>IFNA(VLOOKUP(DA19,'法術資料'!$K$2:$X$805,14,FALSE),"")</f>
        <v/>
      </c>
      <c r="DH19" s="1141"/>
      <c r="DI19" s="1377" t="str">
        <f>IFNA(VLOOKUP(DA19,'法術資料'!$K$2:$X$805,13,FALSE),"")</f>
        <v/>
      </c>
      <c r="DJ19" s="1377" t="str">
        <f>IFNA(VLOOKUP(DA19,'法術資料'!$K$2:$X$805,5,FALSE),"")</f>
        <v/>
      </c>
      <c r="DK19" s="1377" t="str">
        <f>IFNA(VLOOKUP(DA19,'法術資料'!$K$2:$X$805,6,FALSE),"")</f>
        <v/>
      </c>
      <c r="DL19" s="1378" t="str">
        <f>IFNA(VLOOKUP(DA19,'法術資料'!$K$2:$X$805,9,FALSE),"")</f>
        <v/>
      </c>
      <c r="DM19" s="1379" t="str">
        <f>IFNA(VLOOKUP(DA19,'法術資料'!$K$2:$X$805,10,FALSE),"")</f>
        <v/>
      </c>
      <c r="DN19" s="1379" t="str">
        <f>IFNA(VLOOKUP($Y19,'法術資料'!$K$2:$X$805,11,FALSE),"")</f>
        <v/>
      </c>
      <c r="DO19" s="1506" t="str">
        <f>IFNA(VLOOKUP(DA19,'法術資料'!$K$2:$X$805,12,FALSE),"")</f>
        <v/>
      </c>
      <c r="DP19" s="376"/>
      <c r="DQ19" s="1369"/>
      <c r="DR19" s="455"/>
      <c r="DS19" s="1356"/>
      <c r="DT19" s="1503" t="b">
        <v>0</v>
      </c>
      <c r="DU19" s="1508"/>
      <c r="DV19" s="1507" t="str">
        <f>IFNA(VLOOKUP(DU19,'法術資料'!$K$2:$X$805,4,FALSE),"")
</f>
        <v/>
      </c>
      <c r="DW19" s="1506" t="str">
        <f>IFNA(VLOOKUP(DU19,'法術資料'!$K$2:$X$805,7,FALSE),"")</f>
        <v/>
      </c>
      <c r="DX19" s="1141"/>
      <c r="DY19" s="1506" t="str">
        <f>IFNA(VLOOKUP(DU19,'法術資料'!$K$2:$X$805,8,FALSE),"")</f>
        <v/>
      </c>
      <c r="DZ19" s="1141"/>
      <c r="EA19" s="1506" t="str">
        <f>IFNA(VLOOKUP(DU19,'法術資料'!$K$2:$X$805,14,FALSE),"")</f>
        <v/>
      </c>
      <c r="EB19" s="1141"/>
      <c r="EC19" s="1377" t="str">
        <f>IFNA(VLOOKUP(DU19,'法術資料'!$K$2:$X$805,13,FALSE),"")</f>
        <v/>
      </c>
      <c r="ED19" s="1377" t="str">
        <f>IFNA(VLOOKUP(DU19,'法術資料'!$K$2:$X$805,5,FALSE),"")</f>
        <v/>
      </c>
      <c r="EE19" s="1377" t="str">
        <f>IFNA(VLOOKUP(DU19,'法術資料'!$K$2:$X$805,6,FALSE),"")</f>
        <v/>
      </c>
      <c r="EF19" s="1378" t="str">
        <f>IFNA(VLOOKUP(DU19,'法術資料'!$K$2:$X$805,9,FALSE),"")</f>
        <v/>
      </c>
      <c r="EG19" s="1379" t="str">
        <f>IFNA(VLOOKUP(DU19,'法術資料'!$K$2:$X$805,10,FALSE),"")</f>
        <v/>
      </c>
      <c r="EH19" s="1379" t="str">
        <f>IFNA(VLOOKUP($Y19,'法術資料'!$K$2:$X$805,11,FALSE),"")</f>
        <v/>
      </c>
      <c r="EI19" s="1506" t="str">
        <f>IFNA(VLOOKUP(DU19,'法術資料'!$K$2:$X$805,12,FALSE),"")</f>
        <v/>
      </c>
      <c r="EJ19" s="376"/>
      <c r="EK19" s="1369"/>
      <c r="EL19" s="455"/>
      <c r="EM19" s="1356"/>
      <c r="EN19" s="1503" t="b">
        <v>0</v>
      </c>
      <c r="EO19" s="1508"/>
      <c r="EP19" s="1507" t="str">
        <f>IFNA(VLOOKUP(EO19,'法術資料'!$K$2:$X$805,4,FALSE),"")
</f>
        <v/>
      </c>
      <c r="EQ19" s="1506" t="str">
        <f>IFNA(VLOOKUP(EO19,'法術資料'!$K$2:$X$805,7,FALSE),"")</f>
        <v/>
      </c>
      <c r="ER19" s="1141"/>
      <c r="ES19" s="1506" t="str">
        <f>IFNA(VLOOKUP(EO19,'法術資料'!$K$2:$X$805,8,FALSE),"")</f>
        <v/>
      </c>
      <c r="ET19" s="1141"/>
      <c r="EU19" s="1506" t="str">
        <f>IFNA(VLOOKUP(EO19,'法術資料'!$K$2:$X$805,14,FALSE),"")</f>
        <v/>
      </c>
      <c r="EV19" s="1141"/>
      <c r="EW19" s="1377" t="str">
        <f>IFNA(VLOOKUP(EO19,'法術資料'!$K$2:$X$805,13,FALSE),"")</f>
        <v/>
      </c>
      <c r="EX19" s="1377" t="str">
        <f>IFNA(VLOOKUP(EO19,'法術資料'!$K$2:$X$805,5,FALSE),"")</f>
        <v/>
      </c>
      <c r="EY19" s="1377" t="str">
        <f>IFNA(VLOOKUP(EO19,'法術資料'!$K$2:$X$805,6,FALSE),"")</f>
        <v/>
      </c>
      <c r="EZ19" s="1378" t="str">
        <f>IFNA(VLOOKUP(EO19,'法術資料'!$K$2:$X$805,9,FALSE),"")</f>
        <v/>
      </c>
      <c r="FA19" s="1379" t="str">
        <f>IFNA(VLOOKUP(EO19,'法術資料'!$K$2:$X$805,10,FALSE),"")</f>
        <v/>
      </c>
      <c r="FB19" s="1379" t="str">
        <f>IFNA(VLOOKUP($Y19,'法術資料'!$K$2:$X$805,11,FALSE),"")</f>
        <v/>
      </c>
      <c r="FC19" s="1506" t="str">
        <f>IFNA(VLOOKUP(EO19,'法術資料'!$K$2:$X$805,12,FALSE),"")</f>
        <v/>
      </c>
      <c r="FD19" s="376"/>
      <c r="FE19" s="1369"/>
      <c r="FF19" s="455"/>
      <c r="FG19" s="1356"/>
      <c r="FH19" s="1503" t="b">
        <v>0</v>
      </c>
      <c r="FI19" s="1508"/>
      <c r="FJ19" s="1507" t="str">
        <f>IFNA(VLOOKUP(FI19,'法術資料'!$K$2:$X$805,4,FALSE),"")
</f>
        <v/>
      </c>
      <c r="FK19" s="1506" t="str">
        <f>IFNA(VLOOKUP(FI19,'法術資料'!$K$2:$X$805,7,FALSE),"")</f>
        <v/>
      </c>
      <c r="FL19" s="1141"/>
      <c r="FM19" s="1506" t="str">
        <f>IFNA(VLOOKUP(FI19,'法術資料'!$K$2:$X$805,8,FALSE),"")</f>
        <v/>
      </c>
      <c r="FN19" s="1141"/>
      <c r="FO19" s="1506" t="str">
        <f>IFNA(VLOOKUP(FI19,'法術資料'!$K$2:$X$805,14,FALSE),"")</f>
        <v/>
      </c>
      <c r="FP19" s="1141"/>
      <c r="FQ19" s="1377" t="str">
        <f>IFNA(VLOOKUP(FI19,'法術資料'!$K$2:$X$805,13,FALSE),"")</f>
        <v/>
      </c>
      <c r="FR19" s="1377" t="str">
        <f>IFNA(VLOOKUP(FI19,'法術資料'!$K$2:$X$805,5,FALSE),"")</f>
        <v/>
      </c>
      <c r="FS19" s="1377" t="str">
        <f>IFNA(VLOOKUP(FI19,'法術資料'!$K$2:$X$805,6,FALSE),"")</f>
        <v/>
      </c>
      <c r="FT19" s="1378" t="str">
        <f>IFNA(VLOOKUP(FI19,'法術資料'!$K$2:$X$805,9,FALSE),"")</f>
        <v/>
      </c>
      <c r="FU19" s="1379" t="str">
        <f>IFNA(VLOOKUP(FI19,'法術資料'!$K$2:$X$805,10,FALSE),"")</f>
        <v/>
      </c>
      <c r="FV19" s="1379" t="str">
        <f>IFNA(VLOOKUP($Y19,'法術資料'!$K$2:$X$805,11,FALSE),"")</f>
        <v/>
      </c>
      <c r="FW19" s="1506" t="str">
        <f>IFNA(VLOOKUP(FI19,'法術資料'!$K$2:$X$805,12,FALSE),"")</f>
        <v/>
      </c>
      <c r="FX19" s="376"/>
      <c r="FY19" s="1369"/>
      <c r="FZ19" s="455"/>
    </row>
    <row r="20">
      <c r="A20" s="455"/>
      <c r="B20" s="1356"/>
      <c r="C20" s="1509" t="b">
        <v>0</v>
      </c>
      <c r="D20" s="1502"/>
      <c r="E20" s="1510" t="str">
        <f>IFNA(VLOOKUP($D20,'法術資料'!$K$2:$X$805,4,FALSE),"")
</f>
        <v/>
      </c>
      <c r="F20" s="1511" t="str">
        <f>IFNA(VLOOKUP($D20,'法術資料'!$K$2:$X$805,7,FALSE),"")</f>
        <v/>
      </c>
      <c r="G20" s="1141"/>
      <c r="H20" s="1511" t="str">
        <f>IFNA(VLOOKUP($D20,'法術資料'!$K$2:$X$805,8,FALSE),"")</f>
        <v/>
      </c>
      <c r="I20" s="1141"/>
      <c r="J20" s="1511" t="str">
        <f>IFNA(VLOOKUP($D20,'法術資料'!$K$2:$X$805,14,FALSE),"")</f>
        <v/>
      </c>
      <c r="K20" s="1141"/>
      <c r="L20" s="1511" t="str">
        <f>IFNA(VLOOKUP($D20,'法術資料'!$K$2:$X$805,13,FALSE),"")</f>
        <v/>
      </c>
      <c r="M20" s="1141"/>
      <c r="N20" s="1365" t="str">
        <f>IFNA(VLOOKUP($D20,'法術資料'!$K$2:$X$805,5,FALSE),"")</f>
        <v/>
      </c>
      <c r="O20" s="1365" t="str">
        <f>IFNA(VLOOKUP($D20,'法術資料'!$K$2:$X$805,6,FALSE),"")</f>
        <v/>
      </c>
      <c r="P20" s="1366" t="str">
        <f>IFNA(VLOOKUP($D20,'法術資料'!$K$2:$X$805,9,FALSE),"")</f>
        <v/>
      </c>
      <c r="Q20" s="1367" t="str">
        <f>IFNA(VLOOKUP($D20,'法術資料'!$K$2:$X$805,10,FALSE),"")</f>
        <v/>
      </c>
      <c r="R20" s="1367" t="str">
        <f>IFNA(VLOOKUP($D20,'法術資料'!$K$2:$X$805,11,FALSE),"")</f>
        <v/>
      </c>
      <c r="S20" s="1511" t="str">
        <f>IFNA(VLOOKUP($D20,'法術資料'!$K$2:$X$805,12,FALSE),"")</f>
        <v/>
      </c>
      <c r="T20" s="376"/>
      <c r="U20" s="1369"/>
      <c r="V20" s="455"/>
      <c r="W20" s="1356"/>
      <c r="X20" s="1509" t="b">
        <v>0</v>
      </c>
      <c r="Y20" s="1502"/>
      <c r="Z20" s="1512" t="str">
        <f>IFNA(VLOOKUP(Y20,'法術資料'!$K$2:$X$805,4,FALSE),"")
</f>
        <v/>
      </c>
      <c r="AA20" s="1511" t="str">
        <f>IFNA(VLOOKUP($Y20,'法術資料'!$K$2:$X$805,7,FALSE),"")</f>
        <v/>
      </c>
      <c r="AB20" s="1141"/>
      <c r="AC20" s="1511" t="str">
        <f>IFNA(VLOOKUP($Y20,'法術資料'!$K$2:$X$805,8,FALSE),"")</f>
        <v/>
      </c>
      <c r="AD20" s="1141"/>
      <c r="AE20" s="1511" t="str">
        <f>IFNA(VLOOKUP($Y20,'法術資料'!$K$2:$X$805,14,FALSE),"")</f>
        <v/>
      </c>
      <c r="AF20" s="1141"/>
      <c r="AG20" s="1365" t="str">
        <f>IFNA(VLOOKUP($Y20,'法術資料'!$K$2:$X$805,13,FALSE),"")</f>
        <v/>
      </c>
      <c r="AH20" s="1365" t="str">
        <f>IFNA(VLOOKUP($Y20,'法術資料'!$K$2:$X$805,5,FALSE),"")</f>
        <v/>
      </c>
      <c r="AI20" s="1365" t="str">
        <f>IFNA(VLOOKUP($Y20,'法術資料'!$K$2:$X$805,6,FALSE),"")</f>
        <v/>
      </c>
      <c r="AJ20" s="1366" t="str">
        <f>IFNA(VLOOKUP($Y20,'法術資料'!$K$2:$X$805,9,FALSE),"")</f>
        <v/>
      </c>
      <c r="AK20" s="1367" t="str">
        <f>IFNA(VLOOKUP($Y20,'法術資料'!$K$2:$X$805,10,FALSE),"")</f>
        <v/>
      </c>
      <c r="AL20" s="1367" t="str">
        <f>IFNA(VLOOKUP($Y20,'法術資料'!$K$2:$X$805,11,FALSE),"")</f>
        <v/>
      </c>
      <c r="AM20" s="1511" t="str">
        <f>IFNA(VLOOKUP($Y20,'法術資料'!$K$2:$X$805,12,FALSE),"")</f>
        <v/>
      </c>
      <c r="AN20" s="376"/>
      <c r="AO20" s="1369"/>
      <c r="AP20" s="455"/>
      <c r="AQ20" s="1356"/>
      <c r="AR20" s="1509" t="b">
        <v>0</v>
      </c>
      <c r="AS20" s="1502"/>
      <c r="AT20" s="1512" t="str">
        <f>IFNA(VLOOKUP(AS20,'法術資料'!$K$2:$X$805,4,FALSE),"")
</f>
        <v/>
      </c>
      <c r="AU20" s="1511" t="str">
        <f>IFNA(VLOOKUP(AS20,'法術資料'!$K$2:$X$805,7,FALSE),"")</f>
        <v/>
      </c>
      <c r="AV20" s="1141"/>
      <c r="AW20" s="1511" t="str">
        <f>IFNA(VLOOKUP(AS20,'法術資料'!$K$2:$X$805,8,FALSE),"")</f>
        <v/>
      </c>
      <c r="AX20" s="1141"/>
      <c r="AY20" s="1511" t="str">
        <f>IFNA(VLOOKUP(AS20,'法術資料'!$K$2:$X$805,14,FALSE),"")</f>
        <v/>
      </c>
      <c r="AZ20" s="1141"/>
      <c r="BA20" s="1365" t="str">
        <f>IFNA(VLOOKUP(AS20,'法術資料'!$K$2:$X$805,13,FALSE),"")</f>
        <v/>
      </c>
      <c r="BB20" s="1365" t="str">
        <f>IFNA(VLOOKUP(AS20,'法術資料'!$K$2:$X$805,5,FALSE),"")</f>
        <v/>
      </c>
      <c r="BC20" s="1365" t="str">
        <f>IFNA(VLOOKUP(AS20,'法術資料'!$K$2:$X$805,6,FALSE),"")</f>
        <v/>
      </c>
      <c r="BD20" s="1366" t="str">
        <f>IFNA(VLOOKUP(AS20,'法術資料'!$K$2:$X$805,9,FALSE),"")</f>
        <v/>
      </c>
      <c r="BE20" s="1367" t="str">
        <f>IFNA(VLOOKUP(AS20,'法術資料'!$K$2:$X$805,10,FALSE),"")</f>
        <v/>
      </c>
      <c r="BF20" s="1367" t="str">
        <f>IFNA(VLOOKUP($Y20,'法術資料'!$K$2:$X$805,11,FALSE),"")</f>
        <v/>
      </c>
      <c r="BG20" s="1511" t="str">
        <f>IFNA(VLOOKUP(AS20,'法術資料'!$K$2:$X$805,12,FALSE),"")</f>
        <v/>
      </c>
      <c r="BH20" s="376"/>
      <c r="BI20" s="1369"/>
      <c r="BJ20" s="455"/>
      <c r="BK20" s="1356"/>
      <c r="BL20" s="1509" t="b">
        <v>0</v>
      </c>
      <c r="BM20" s="1502"/>
      <c r="BN20" s="1512" t="str">
        <f>IFNA(VLOOKUP(BM20,'法術資料'!$K$2:$X$805,4,FALSE),"")
</f>
        <v/>
      </c>
      <c r="BO20" s="1511" t="str">
        <f>IFNA(VLOOKUP(BM20,'法術資料'!$K$2:$X$805,7,FALSE),"")</f>
        <v/>
      </c>
      <c r="BP20" s="1141"/>
      <c r="BQ20" s="1511" t="str">
        <f>IFNA(VLOOKUP(BM20,'法術資料'!$K$2:$X$805,8,FALSE),"")</f>
        <v/>
      </c>
      <c r="BR20" s="1141"/>
      <c r="BS20" s="1511" t="str">
        <f>IFNA(VLOOKUP(BM20,'法術資料'!$K$2:$X$805,14,FALSE),"")</f>
        <v/>
      </c>
      <c r="BT20" s="1141"/>
      <c r="BU20" s="1365" t="str">
        <f>IFNA(VLOOKUP(BM20,'法術資料'!$K$2:$X$805,13,FALSE),"")</f>
        <v/>
      </c>
      <c r="BV20" s="1365" t="str">
        <f>IFNA(VLOOKUP(BM20,'法術資料'!$K$2:$X$805,5,FALSE),"")</f>
        <v/>
      </c>
      <c r="BW20" s="1365" t="str">
        <f>IFNA(VLOOKUP(BM20,'法術資料'!$K$2:$X$805,6,FALSE),"")</f>
        <v/>
      </c>
      <c r="BX20" s="1366" t="str">
        <f>IFNA(VLOOKUP(BM20,'法術資料'!$K$2:$X$805,9,FALSE),"")</f>
        <v/>
      </c>
      <c r="BY20" s="1367" t="str">
        <f>IFNA(VLOOKUP(BM20,'法術資料'!$K$2:$X$805,10,FALSE),"")</f>
        <v/>
      </c>
      <c r="BZ20" s="1367" t="str">
        <f>IFNA(VLOOKUP($Y20,'法術資料'!$K$2:$X$805,11,FALSE),"")</f>
        <v/>
      </c>
      <c r="CA20" s="1511" t="str">
        <f>IFNA(VLOOKUP(BM20,'法術資料'!$K$2:$X$805,12,FALSE),"")</f>
        <v/>
      </c>
      <c r="CB20" s="376"/>
      <c r="CC20" s="1369"/>
      <c r="CD20" s="455"/>
      <c r="CE20" s="1356"/>
      <c r="CF20" s="1509" t="b">
        <v>0</v>
      </c>
      <c r="CG20" s="1502"/>
      <c r="CH20" s="1512" t="str">
        <f>IFNA(VLOOKUP(CG20,'法術資料'!$K$2:$X$805,4,FALSE),"")
</f>
        <v/>
      </c>
      <c r="CI20" s="1511" t="str">
        <f>IFNA(VLOOKUP(CG20,'法術資料'!$K$2:$X$805,7,FALSE),"")</f>
        <v/>
      </c>
      <c r="CJ20" s="1141"/>
      <c r="CK20" s="1511" t="str">
        <f>IFNA(VLOOKUP(CG20,'法術資料'!$K$2:$X$805,8,FALSE),"")</f>
        <v/>
      </c>
      <c r="CL20" s="1141"/>
      <c r="CM20" s="1511" t="str">
        <f>IFNA(VLOOKUP(CG20,'法術資料'!$K$2:$X$805,14,FALSE),"")</f>
        <v/>
      </c>
      <c r="CN20" s="1141"/>
      <c r="CO20" s="1365" t="str">
        <f>IFNA(VLOOKUP(CG20,'法術資料'!$K$2:$X$805,13,FALSE),"")</f>
        <v/>
      </c>
      <c r="CP20" s="1365" t="str">
        <f>IFNA(VLOOKUP(CG20,'法術資料'!$K$2:$X$805,5,FALSE),"")</f>
        <v/>
      </c>
      <c r="CQ20" s="1365" t="str">
        <f>IFNA(VLOOKUP(CG20,'法術資料'!$K$2:$X$805,6,FALSE),"")</f>
        <v/>
      </c>
      <c r="CR20" s="1366" t="str">
        <f>IFNA(VLOOKUP(CG20,'法術資料'!$K$2:$X$805,9,FALSE),"")</f>
        <v/>
      </c>
      <c r="CS20" s="1367" t="str">
        <f>IFNA(VLOOKUP(CG20,'法術資料'!$K$2:$X$805,10,FALSE),"")</f>
        <v/>
      </c>
      <c r="CT20" s="1367" t="str">
        <f>IFNA(VLOOKUP($Y20,'法術資料'!$K$2:$X$805,11,FALSE),"")</f>
        <v/>
      </c>
      <c r="CU20" s="1511" t="str">
        <f>IFNA(VLOOKUP(CG20,'法術資料'!$K$2:$X$805,12,FALSE),"")</f>
        <v/>
      </c>
      <c r="CV20" s="376"/>
      <c r="CW20" s="1369"/>
      <c r="CX20" s="455"/>
      <c r="CY20" s="1356"/>
      <c r="CZ20" s="1509" t="b">
        <v>0</v>
      </c>
      <c r="DA20" s="1499"/>
      <c r="DB20" s="1512" t="str">
        <f>IFNA(VLOOKUP(DA20,'法術資料'!$K$2:$X$805,4,FALSE),"")
</f>
        <v/>
      </c>
      <c r="DC20" s="1511" t="str">
        <f>IFNA(VLOOKUP(DA20,'法術資料'!$K$2:$X$805,7,FALSE),"")</f>
        <v/>
      </c>
      <c r="DD20" s="1141"/>
      <c r="DE20" s="1511" t="str">
        <f>IFNA(VLOOKUP(DA20,'法術資料'!$K$2:$X$805,8,FALSE),"")</f>
        <v/>
      </c>
      <c r="DF20" s="1141"/>
      <c r="DG20" s="1511" t="str">
        <f>IFNA(VLOOKUP(DA20,'法術資料'!$K$2:$X$805,14,FALSE),"")</f>
        <v/>
      </c>
      <c r="DH20" s="1141"/>
      <c r="DI20" s="1365" t="str">
        <f>IFNA(VLOOKUP(DA20,'法術資料'!$K$2:$X$805,13,FALSE),"")</f>
        <v/>
      </c>
      <c r="DJ20" s="1365" t="str">
        <f>IFNA(VLOOKUP(DA20,'法術資料'!$K$2:$X$805,5,FALSE),"")</f>
        <v/>
      </c>
      <c r="DK20" s="1365" t="str">
        <f>IFNA(VLOOKUP(DA20,'法術資料'!$K$2:$X$805,6,FALSE),"")</f>
        <v/>
      </c>
      <c r="DL20" s="1366" t="str">
        <f>IFNA(VLOOKUP(DA20,'法術資料'!$K$2:$X$805,9,FALSE),"")</f>
        <v/>
      </c>
      <c r="DM20" s="1367" t="str">
        <f>IFNA(VLOOKUP(DA20,'法術資料'!$K$2:$X$805,10,FALSE),"")</f>
        <v/>
      </c>
      <c r="DN20" s="1367" t="str">
        <f>IFNA(VLOOKUP($Y20,'法術資料'!$K$2:$X$805,11,FALSE),"")</f>
        <v/>
      </c>
      <c r="DO20" s="1511" t="str">
        <f>IFNA(VLOOKUP(DA20,'法術資料'!$K$2:$X$805,12,FALSE),"")</f>
        <v/>
      </c>
      <c r="DP20" s="376"/>
      <c r="DQ20" s="1369"/>
      <c r="DR20" s="455"/>
      <c r="DS20" s="1356"/>
      <c r="DT20" s="1509" t="b">
        <v>0</v>
      </c>
      <c r="DU20" s="1499"/>
      <c r="DV20" s="1512" t="str">
        <f>IFNA(VLOOKUP(DU20,'法術資料'!$K$2:$X$805,4,FALSE),"")
</f>
        <v/>
      </c>
      <c r="DW20" s="1511" t="str">
        <f>IFNA(VLOOKUP(DU20,'法術資料'!$K$2:$X$805,7,FALSE),"")</f>
        <v/>
      </c>
      <c r="DX20" s="1141"/>
      <c r="DY20" s="1511" t="str">
        <f>IFNA(VLOOKUP(DU20,'法術資料'!$K$2:$X$805,8,FALSE),"")</f>
        <v/>
      </c>
      <c r="DZ20" s="1141"/>
      <c r="EA20" s="1511" t="str">
        <f>IFNA(VLOOKUP(DU20,'法術資料'!$K$2:$X$805,14,FALSE),"")</f>
        <v/>
      </c>
      <c r="EB20" s="1141"/>
      <c r="EC20" s="1365" t="str">
        <f>IFNA(VLOOKUP(DU20,'法術資料'!$K$2:$X$805,13,FALSE),"")</f>
        <v/>
      </c>
      <c r="ED20" s="1365" t="str">
        <f>IFNA(VLOOKUP(DU20,'法術資料'!$K$2:$X$805,5,FALSE),"")</f>
        <v/>
      </c>
      <c r="EE20" s="1365" t="str">
        <f>IFNA(VLOOKUP(DU20,'法術資料'!$K$2:$X$805,6,FALSE),"")</f>
        <v/>
      </c>
      <c r="EF20" s="1366" t="str">
        <f>IFNA(VLOOKUP(DU20,'法術資料'!$K$2:$X$805,9,FALSE),"")</f>
        <v/>
      </c>
      <c r="EG20" s="1367" t="str">
        <f>IFNA(VLOOKUP(DU20,'法術資料'!$K$2:$X$805,10,FALSE),"")</f>
        <v/>
      </c>
      <c r="EH20" s="1367" t="str">
        <f>IFNA(VLOOKUP($Y20,'法術資料'!$K$2:$X$805,11,FALSE),"")</f>
        <v/>
      </c>
      <c r="EI20" s="1511" t="str">
        <f>IFNA(VLOOKUP(DU20,'法術資料'!$K$2:$X$805,12,FALSE),"")</f>
        <v/>
      </c>
      <c r="EJ20" s="376"/>
      <c r="EK20" s="1369"/>
      <c r="EL20" s="455"/>
      <c r="EM20" s="1356"/>
      <c r="EN20" s="1509" t="b">
        <v>0</v>
      </c>
      <c r="EO20" s="1502"/>
      <c r="EP20" s="1512" t="str">
        <f>IFNA(VLOOKUP(EO20,'法術資料'!$K$2:$X$805,4,FALSE),"")
</f>
        <v/>
      </c>
      <c r="EQ20" s="1511" t="str">
        <f>IFNA(VLOOKUP(EO20,'法術資料'!$K$2:$X$805,7,FALSE),"")</f>
        <v/>
      </c>
      <c r="ER20" s="1141"/>
      <c r="ES20" s="1511" t="str">
        <f>IFNA(VLOOKUP(EO20,'法術資料'!$K$2:$X$805,8,FALSE),"")</f>
        <v/>
      </c>
      <c r="ET20" s="1141"/>
      <c r="EU20" s="1511" t="str">
        <f>IFNA(VLOOKUP(EO20,'法術資料'!$K$2:$X$805,14,FALSE),"")</f>
        <v/>
      </c>
      <c r="EV20" s="1141"/>
      <c r="EW20" s="1365" t="str">
        <f>IFNA(VLOOKUP(EO20,'法術資料'!$K$2:$X$805,13,FALSE),"")</f>
        <v/>
      </c>
      <c r="EX20" s="1365" t="str">
        <f>IFNA(VLOOKUP(EO20,'法術資料'!$K$2:$X$805,5,FALSE),"")</f>
        <v/>
      </c>
      <c r="EY20" s="1365" t="str">
        <f>IFNA(VLOOKUP(EO20,'法術資料'!$K$2:$X$805,6,FALSE),"")</f>
        <v/>
      </c>
      <c r="EZ20" s="1366" t="str">
        <f>IFNA(VLOOKUP(EO20,'法術資料'!$K$2:$X$805,9,FALSE),"")</f>
        <v/>
      </c>
      <c r="FA20" s="1367" t="str">
        <f>IFNA(VLOOKUP(EO20,'法術資料'!$K$2:$X$805,10,FALSE),"")</f>
        <v/>
      </c>
      <c r="FB20" s="1367" t="str">
        <f>IFNA(VLOOKUP($Y20,'法術資料'!$K$2:$X$805,11,FALSE),"")</f>
        <v/>
      </c>
      <c r="FC20" s="1511" t="str">
        <f>IFNA(VLOOKUP(EO20,'法術資料'!$K$2:$X$805,12,FALSE),"")</f>
        <v/>
      </c>
      <c r="FD20" s="376"/>
      <c r="FE20" s="1369"/>
      <c r="FF20" s="455"/>
      <c r="FG20" s="1356"/>
      <c r="FH20" s="1509" t="b">
        <v>0</v>
      </c>
      <c r="FI20" s="1502"/>
      <c r="FJ20" s="1512" t="str">
        <f>IFNA(VLOOKUP(FI20,'法術資料'!$K$2:$X$805,4,FALSE),"")
</f>
        <v/>
      </c>
      <c r="FK20" s="1511" t="str">
        <f>IFNA(VLOOKUP(FI20,'法術資料'!$K$2:$X$805,7,FALSE),"")</f>
        <v/>
      </c>
      <c r="FL20" s="1141"/>
      <c r="FM20" s="1511" t="str">
        <f>IFNA(VLOOKUP(FI20,'法術資料'!$K$2:$X$805,8,FALSE),"")</f>
        <v/>
      </c>
      <c r="FN20" s="1141"/>
      <c r="FO20" s="1511" t="str">
        <f>IFNA(VLOOKUP(FI20,'法術資料'!$K$2:$X$805,14,FALSE),"")</f>
        <v/>
      </c>
      <c r="FP20" s="1141"/>
      <c r="FQ20" s="1365" t="str">
        <f>IFNA(VLOOKUP(FI20,'法術資料'!$K$2:$X$805,13,FALSE),"")</f>
        <v/>
      </c>
      <c r="FR20" s="1365" t="str">
        <f>IFNA(VLOOKUP(FI20,'法術資料'!$K$2:$X$805,5,FALSE),"")</f>
        <v/>
      </c>
      <c r="FS20" s="1365" t="str">
        <f>IFNA(VLOOKUP(FI20,'法術資料'!$K$2:$X$805,6,FALSE),"")</f>
        <v/>
      </c>
      <c r="FT20" s="1366" t="str">
        <f>IFNA(VLOOKUP(FI20,'法術資料'!$K$2:$X$805,9,FALSE),"")</f>
        <v/>
      </c>
      <c r="FU20" s="1367" t="str">
        <f>IFNA(VLOOKUP(FI20,'法術資料'!$K$2:$X$805,10,FALSE),"")</f>
        <v/>
      </c>
      <c r="FV20" s="1367" t="str">
        <f>IFNA(VLOOKUP($Y20,'法術資料'!$K$2:$X$805,11,FALSE),"")</f>
        <v/>
      </c>
      <c r="FW20" s="1511" t="str">
        <f>IFNA(VLOOKUP(FI20,'法術資料'!$K$2:$X$805,12,FALSE),"")</f>
        <v/>
      </c>
      <c r="FX20" s="376"/>
      <c r="FY20" s="1369"/>
      <c r="FZ20" s="455"/>
    </row>
    <row r="21">
      <c r="A21" s="455"/>
      <c r="B21" s="1356"/>
      <c r="C21" s="1503" t="b">
        <v>0</v>
      </c>
      <c r="D21" s="1504"/>
      <c r="E21" s="1505" t="str">
        <f>IFNA(VLOOKUP($D21,'法術資料'!$K$2:$X$805,4,FALSE),"")
</f>
        <v/>
      </c>
      <c r="F21" s="1506" t="str">
        <f>IFNA(VLOOKUP($D21,'法術資料'!$K$2:$X$805,7,FALSE),"")</f>
        <v/>
      </c>
      <c r="G21" s="1141"/>
      <c r="H21" s="1506" t="str">
        <f>IFNA(VLOOKUP($D21,'法術資料'!$K$2:$X$805,8,FALSE),"")</f>
        <v/>
      </c>
      <c r="I21" s="1141"/>
      <c r="J21" s="1506" t="str">
        <f>IFNA(VLOOKUP($D21,'法術資料'!$K$2:$X$805,14,FALSE),"")</f>
        <v/>
      </c>
      <c r="K21" s="1141"/>
      <c r="L21" s="1506" t="str">
        <f>IFNA(VLOOKUP($D21,'法術資料'!$K$2:$X$805,13,FALSE),"")</f>
        <v/>
      </c>
      <c r="M21" s="1141"/>
      <c r="N21" s="1377" t="str">
        <f>IFNA(VLOOKUP($D21,'法術資料'!$K$2:$X$805,5,FALSE),"")</f>
        <v/>
      </c>
      <c r="O21" s="1377" t="str">
        <f>IFNA(VLOOKUP($D21,'法術資料'!$K$2:$X$805,6,FALSE),"")</f>
        <v/>
      </c>
      <c r="P21" s="1378" t="str">
        <f>IFNA(VLOOKUP($D21,'法術資料'!$K$2:$X$805,9,FALSE),"")</f>
        <v/>
      </c>
      <c r="Q21" s="1379" t="str">
        <f>IFNA(VLOOKUP($D21,'法術資料'!$K$2:$X$805,10,FALSE),"")</f>
        <v/>
      </c>
      <c r="R21" s="1379" t="str">
        <f>IFNA(VLOOKUP($D21,'法術資料'!$K$2:$X$805,11,FALSE),"")</f>
        <v/>
      </c>
      <c r="S21" s="1506" t="str">
        <f>IFNA(VLOOKUP($D21,'法術資料'!$K$2:$X$805,12,FALSE),"")</f>
        <v/>
      </c>
      <c r="T21" s="376"/>
      <c r="U21" s="1369"/>
      <c r="V21" s="455"/>
      <c r="W21" s="1356"/>
      <c r="X21" s="1503" t="b">
        <v>0</v>
      </c>
      <c r="Y21" s="1504"/>
      <c r="Z21" s="1507" t="str">
        <f>IFNA(VLOOKUP(Y21,'法術資料'!$K$2:$X$805,4,FALSE),"")
</f>
        <v/>
      </c>
      <c r="AA21" s="1506" t="str">
        <f>IFNA(VLOOKUP($Y21,'法術資料'!$K$2:$X$805,7,FALSE),"")</f>
        <v/>
      </c>
      <c r="AB21" s="1141"/>
      <c r="AC21" s="1506" t="str">
        <f>IFNA(VLOOKUP($Y21,'法術資料'!$K$2:$X$805,8,FALSE),"")</f>
        <v/>
      </c>
      <c r="AD21" s="1141"/>
      <c r="AE21" s="1506" t="str">
        <f>IFNA(VLOOKUP($Y21,'法術資料'!$K$2:$X$805,14,FALSE),"")</f>
        <v/>
      </c>
      <c r="AF21" s="1141"/>
      <c r="AG21" s="1377" t="str">
        <f>IFNA(VLOOKUP($Y21,'法術資料'!$K$2:$X$805,13,FALSE),"")</f>
        <v/>
      </c>
      <c r="AH21" s="1377" t="str">
        <f>IFNA(VLOOKUP($Y21,'法術資料'!$K$2:$X$805,5,FALSE),"")</f>
        <v/>
      </c>
      <c r="AI21" s="1377" t="str">
        <f>IFNA(VLOOKUP($Y21,'法術資料'!$K$2:$X$805,6,FALSE),"")</f>
        <v/>
      </c>
      <c r="AJ21" s="1378" t="str">
        <f>IFNA(VLOOKUP($Y21,'法術資料'!$K$2:$X$805,9,FALSE),"")</f>
        <v/>
      </c>
      <c r="AK21" s="1379" t="str">
        <f>IFNA(VLOOKUP($Y21,'法術資料'!$K$2:$X$805,10,FALSE),"")</f>
        <v/>
      </c>
      <c r="AL21" s="1379" t="str">
        <f>IFNA(VLOOKUP($Y21,'法術資料'!$K$2:$X$805,11,FALSE),"")</f>
        <v/>
      </c>
      <c r="AM21" s="1506" t="str">
        <f>IFNA(VLOOKUP($Y21,'法術資料'!$K$2:$X$805,12,FALSE),"")</f>
        <v/>
      </c>
      <c r="AN21" s="376"/>
      <c r="AO21" s="1369"/>
      <c r="AP21" s="455"/>
      <c r="AQ21" s="1356"/>
      <c r="AR21" s="1503" t="b">
        <v>0</v>
      </c>
      <c r="AS21" s="1504"/>
      <c r="AT21" s="1507" t="str">
        <f>IFNA(VLOOKUP(AS21,'法術資料'!$K$2:$X$805,4,FALSE),"")
</f>
        <v/>
      </c>
      <c r="AU21" s="1506" t="str">
        <f>IFNA(VLOOKUP(AS21,'法術資料'!$K$2:$X$805,7,FALSE),"")</f>
        <v/>
      </c>
      <c r="AV21" s="1141"/>
      <c r="AW21" s="1506" t="str">
        <f>IFNA(VLOOKUP(AS21,'法術資料'!$K$2:$X$805,8,FALSE),"")</f>
        <v/>
      </c>
      <c r="AX21" s="1141"/>
      <c r="AY21" s="1506" t="str">
        <f>IFNA(VLOOKUP(AS21,'法術資料'!$K$2:$X$805,14,FALSE),"")</f>
        <v/>
      </c>
      <c r="AZ21" s="1141"/>
      <c r="BA21" s="1377" t="str">
        <f>IFNA(VLOOKUP(AS21,'法術資料'!$K$2:$X$805,13,FALSE),"")</f>
        <v/>
      </c>
      <c r="BB21" s="1377" t="str">
        <f>IFNA(VLOOKUP(AS21,'法術資料'!$K$2:$X$805,5,FALSE),"")</f>
        <v/>
      </c>
      <c r="BC21" s="1377" t="str">
        <f>IFNA(VLOOKUP(AS21,'法術資料'!$K$2:$X$805,6,FALSE),"")</f>
        <v/>
      </c>
      <c r="BD21" s="1378" t="str">
        <f>IFNA(VLOOKUP(AS21,'法術資料'!$K$2:$X$805,9,FALSE),"")</f>
        <v/>
      </c>
      <c r="BE21" s="1379" t="str">
        <f>IFNA(VLOOKUP(AS21,'法術資料'!$K$2:$X$805,10,FALSE),"")</f>
        <v/>
      </c>
      <c r="BF21" s="1379" t="str">
        <f>IFNA(VLOOKUP($Y21,'法術資料'!$K$2:$X$805,11,FALSE),"")</f>
        <v/>
      </c>
      <c r="BG21" s="1506" t="str">
        <f>IFNA(VLOOKUP(AS21,'法術資料'!$K$2:$X$805,12,FALSE),"")</f>
        <v/>
      </c>
      <c r="BH21" s="376"/>
      <c r="BI21" s="1369"/>
      <c r="BJ21" s="455"/>
      <c r="BK21" s="1356"/>
      <c r="BL21" s="1503" t="b">
        <v>0</v>
      </c>
      <c r="BM21" s="1504"/>
      <c r="BN21" s="1507" t="str">
        <f>IFNA(VLOOKUP(BM21,'法術資料'!$K$2:$X$805,4,FALSE),"")
</f>
        <v/>
      </c>
      <c r="BO21" s="1506" t="str">
        <f>IFNA(VLOOKUP(BM21,'法術資料'!$K$2:$X$805,7,FALSE),"")</f>
        <v/>
      </c>
      <c r="BP21" s="1141"/>
      <c r="BQ21" s="1506" t="str">
        <f>IFNA(VLOOKUP(BM21,'法術資料'!$K$2:$X$805,8,FALSE),"")</f>
        <v/>
      </c>
      <c r="BR21" s="1141"/>
      <c r="BS21" s="1506" t="str">
        <f>IFNA(VLOOKUP(BM21,'法術資料'!$K$2:$X$805,14,FALSE),"")</f>
        <v/>
      </c>
      <c r="BT21" s="1141"/>
      <c r="BU21" s="1377" t="str">
        <f>IFNA(VLOOKUP(BM21,'法術資料'!$K$2:$X$805,13,FALSE),"")</f>
        <v/>
      </c>
      <c r="BV21" s="1377" t="str">
        <f>IFNA(VLOOKUP(BM21,'法術資料'!$K$2:$X$805,5,FALSE),"")</f>
        <v/>
      </c>
      <c r="BW21" s="1377" t="str">
        <f>IFNA(VLOOKUP(BM21,'法術資料'!$K$2:$X$805,6,FALSE),"")</f>
        <v/>
      </c>
      <c r="BX21" s="1378" t="str">
        <f>IFNA(VLOOKUP(BM21,'法術資料'!$K$2:$X$805,9,FALSE),"")</f>
        <v/>
      </c>
      <c r="BY21" s="1379" t="str">
        <f>IFNA(VLOOKUP(BM21,'法術資料'!$K$2:$X$805,10,FALSE),"")</f>
        <v/>
      </c>
      <c r="BZ21" s="1379" t="str">
        <f>IFNA(VLOOKUP($Y21,'法術資料'!$K$2:$X$805,11,FALSE),"")</f>
        <v/>
      </c>
      <c r="CA21" s="1506" t="str">
        <f>IFNA(VLOOKUP(BM21,'法術資料'!$K$2:$X$805,12,FALSE),"")</f>
        <v/>
      </c>
      <c r="CB21" s="376"/>
      <c r="CC21" s="1369"/>
      <c r="CD21" s="455"/>
      <c r="CE21" s="1356"/>
      <c r="CF21" s="1503" t="b">
        <v>0</v>
      </c>
      <c r="CG21" s="1504"/>
      <c r="CH21" s="1507" t="str">
        <f>IFNA(VLOOKUP(CG21,'法術資料'!$K$2:$X$805,4,FALSE),"")
</f>
        <v/>
      </c>
      <c r="CI21" s="1506" t="str">
        <f>IFNA(VLOOKUP(CG21,'法術資料'!$K$2:$X$805,7,FALSE),"")</f>
        <v/>
      </c>
      <c r="CJ21" s="1141"/>
      <c r="CK21" s="1506" t="str">
        <f>IFNA(VLOOKUP(CG21,'法術資料'!$K$2:$X$805,8,FALSE),"")</f>
        <v/>
      </c>
      <c r="CL21" s="1141"/>
      <c r="CM21" s="1506" t="str">
        <f>IFNA(VLOOKUP(CG21,'法術資料'!$K$2:$X$805,14,FALSE),"")</f>
        <v/>
      </c>
      <c r="CN21" s="1141"/>
      <c r="CO21" s="1377" t="str">
        <f>IFNA(VLOOKUP(CG21,'法術資料'!$K$2:$X$805,13,FALSE),"")</f>
        <v/>
      </c>
      <c r="CP21" s="1377" t="str">
        <f>IFNA(VLOOKUP(CG21,'法術資料'!$K$2:$X$805,5,FALSE),"")</f>
        <v/>
      </c>
      <c r="CQ21" s="1377" t="str">
        <f>IFNA(VLOOKUP(CG21,'法術資料'!$K$2:$X$805,6,FALSE),"")</f>
        <v/>
      </c>
      <c r="CR21" s="1378" t="str">
        <f>IFNA(VLOOKUP(CG21,'法術資料'!$K$2:$X$805,9,FALSE),"")</f>
        <v/>
      </c>
      <c r="CS21" s="1379" t="str">
        <f>IFNA(VLOOKUP(CG21,'法術資料'!$K$2:$X$805,10,FALSE),"")</f>
        <v/>
      </c>
      <c r="CT21" s="1379" t="str">
        <f>IFNA(VLOOKUP($Y21,'法術資料'!$K$2:$X$805,11,FALSE),"")</f>
        <v/>
      </c>
      <c r="CU21" s="1506" t="str">
        <f>IFNA(VLOOKUP(CG21,'法術資料'!$K$2:$X$805,12,FALSE),"")</f>
        <v/>
      </c>
      <c r="CV21" s="376"/>
      <c r="CW21" s="1369"/>
      <c r="CX21" s="455"/>
      <c r="CY21" s="1356"/>
      <c r="CZ21" s="1503" t="b">
        <v>0</v>
      </c>
      <c r="DA21" s="1504"/>
      <c r="DB21" s="1507" t="str">
        <f>IFNA(VLOOKUP(DA21,'法術資料'!$K$2:$X$805,4,FALSE),"")
</f>
        <v/>
      </c>
      <c r="DC21" s="1506" t="str">
        <f>IFNA(VLOOKUP(DA21,'法術資料'!$K$2:$X$805,7,FALSE),"")</f>
        <v/>
      </c>
      <c r="DD21" s="1141"/>
      <c r="DE21" s="1506" t="str">
        <f>IFNA(VLOOKUP(DA21,'法術資料'!$K$2:$X$805,8,FALSE),"")</f>
        <v/>
      </c>
      <c r="DF21" s="1141"/>
      <c r="DG21" s="1506" t="str">
        <f>IFNA(VLOOKUP(DA21,'法術資料'!$K$2:$X$805,14,FALSE),"")</f>
        <v/>
      </c>
      <c r="DH21" s="1141"/>
      <c r="DI21" s="1377" t="str">
        <f>IFNA(VLOOKUP(DA21,'法術資料'!$K$2:$X$805,13,FALSE),"")</f>
        <v/>
      </c>
      <c r="DJ21" s="1377" t="str">
        <f>IFNA(VLOOKUP(DA21,'法術資料'!$K$2:$X$805,5,FALSE),"")</f>
        <v/>
      </c>
      <c r="DK21" s="1377" t="str">
        <f>IFNA(VLOOKUP(DA21,'法術資料'!$K$2:$X$805,6,FALSE),"")</f>
        <v/>
      </c>
      <c r="DL21" s="1378" t="str">
        <f>IFNA(VLOOKUP(DA21,'法術資料'!$K$2:$X$805,9,FALSE),"")</f>
        <v/>
      </c>
      <c r="DM21" s="1379" t="str">
        <f>IFNA(VLOOKUP(DA21,'法術資料'!$K$2:$X$805,10,FALSE),"")</f>
        <v/>
      </c>
      <c r="DN21" s="1379" t="str">
        <f>IFNA(VLOOKUP($Y21,'法術資料'!$K$2:$X$805,11,FALSE),"")</f>
        <v/>
      </c>
      <c r="DO21" s="1506" t="str">
        <f>IFNA(VLOOKUP(DA21,'法術資料'!$K$2:$X$805,12,FALSE),"")</f>
        <v/>
      </c>
      <c r="DP21" s="376"/>
      <c r="DQ21" s="1369"/>
      <c r="DR21" s="455"/>
      <c r="DS21" s="1356"/>
      <c r="DT21" s="1503" t="b">
        <v>0</v>
      </c>
      <c r="DU21" s="1504"/>
      <c r="DV21" s="1507" t="str">
        <f>IFNA(VLOOKUP(DU21,'法術資料'!$K$2:$X$805,4,FALSE),"")
</f>
        <v/>
      </c>
      <c r="DW21" s="1506" t="str">
        <f>IFNA(VLOOKUP(DU21,'法術資料'!$K$2:$X$805,7,FALSE),"")</f>
        <v/>
      </c>
      <c r="DX21" s="1141"/>
      <c r="DY21" s="1506" t="str">
        <f>IFNA(VLOOKUP(DU21,'法術資料'!$K$2:$X$805,8,FALSE),"")</f>
        <v/>
      </c>
      <c r="DZ21" s="1141"/>
      <c r="EA21" s="1506" t="str">
        <f>IFNA(VLOOKUP(DU21,'法術資料'!$K$2:$X$805,14,FALSE),"")</f>
        <v/>
      </c>
      <c r="EB21" s="1141"/>
      <c r="EC21" s="1377" t="str">
        <f>IFNA(VLOOKUP(DU21,'法術資料'!$K$2:$X$805,13,FALSE),"")</f>
        <v/>
      </c>
      <c r="ED21" s="1377" t="str">
        <f>IFNA(VLOOKUP(DU21,'法術資料'!$K$2:$X$805,5,FALSE),"")</f>
        <v/>
      </c>
      <c r="EE21" s="1377" t="str">
        <f>IFNA(VLOOKUP(DU21,'法術資料'!$K$2:$X$805,6,FALSE),"")</f>
        <v/>
      </c>
      <c r="EF21" s="1378" t="str">
        <f>IFNA(VLOOKUP(DU21,'法術資料'!$K$2:$X$805,9,FALSE),"")</f>
        <v/>
      </c>
      <c r="EG21" s="1379" t="str">
        <f>IFNA(VLOOKUP(DU21,'法術資料'!$K$2:$X$805,10,FALSE),"")</f>
        <v/>
      </c>
      <c r="EH21" s="1379" t="str">
        <f>IFNA(VLOOKUP($Y21,'法術資料'!$K$2:$X$805,11,FALSE),"")</f>
        <v/>
      </c>
      <c r="EI21" s="1506" t="str">
        <f>IFNA(VLOOKUP(DU21,'法術資料'!$K$2:$X$805,12,FALSE),"")</f>
        <v/>
      </c>
      <c r="EJ21" s="376"/>
      <c r="EK21" s="1369"/>
      <c r="EL21" s="455"/>
      <c r="EM21" s="1356"/>
      <c r="EN21" s="1503" t="b">
        <v>0</v>
      </c>
      <c r="EO21" s="1508"/>
      <c r="EP21" s="1507" t="str">
        <f>IFNA(VLOOKUP(EO21,'法術資料'!$K$2:$X$805,4,FALSE),"")
</f>
        <v/>
      </c>
      <c r="EQ21" s="1506" t="str">
        <f>IFNA(VLOOKUP(EO21,'法術資料'!$K$2:$X$805,7,FALSE),"")</f>
        <v/>
      </c>
      <c r="ER21" s="1141"/>
      <c r="ES21" s="1506" t="str">
        <f>IFNA(VLOOKUP(EO21,'法術資料'!$K$2:$X$805,8,FALSE),"")</f>
        <v/>
      </c>
      <c r="ET21" s="1141"/>
      <c r="EU21" s="1506" t="str">
        <f>IFNA(VLOOKUP(EO21,'法術資料'!$K$2:$X$805,14,FALSE),"")</f>
        <v/>
      </c>
      <c r="EV21" s="1141"/>
      <c r="EW21" s="1377" t="str">
        <f>IFNA(VLOOKUP(EO21,'法術資料'!$K$2:$X$805,13,FALSE),"")</f>
        <v/>
      </c>
      <c r="EX21" s="1377" t="str">
        <f>IFNA(VLOOKUP(EO21,'法術資料'!$K$2:$X$805,5,FALSE),"")</f>
        <v/>
      </c>
      <c r="EY21" s="1377" t="str">
        <f>IFNA(VLOOKUP(EO21,'法術資料'!$K$2:$X$805,6,FALSE),"")</f>
        <v/>
      </c>
      <c r="EZ21" s="1378" t="str">
        <f>IFNA(VLOOKUP(EO21,'法術資料'!$K$2:$X$805,9,FALSE),"")</f>
        <v/>
      </c>
      <c r="FA21" s="1379" t="str">
        <f>IFNA(VLOOKUP(EO21,'法術資料'!$K$2:$X$805,10,FALSE),"")</f>
        <v/>
      </c>
      <c r="FB21" s="1379" t="str">
        <f>IFNA(VLOOKUP($Y21,'法術資料'!$K$2:$X$805,11,FALSE),"")</f>
        <v/>
      </c>
      <c r="FC21" s="1506" t="str">
        <f>IFNA(VLOOKUP(EO21,'法術資料'!$K$2:$X$805,12,FALSE),"")</f>
        <v/>
      </c>
      <c r="FD21" s="376"/>
      <c r="FE21" s="1369"/>
      <c r="FF21" s="455"/>
      <c r="FG21" s="1356"/>
      <c r="FH21" s="1503" t="b">
        <v>0</v>
      </c>
      <c r="FI21" s="1508"/>
      <c r="FJ21" s="1507" t="str">
        <f>IFNA(VLOOKUP(FI21,'法術資料'!$K$2:$X$805,4,FALSE),"")
</f>
        <v/>
      </c>
      <c r="FK21" s="1506" t="str">
        <f>IFNA(VLOOKUP(FI21,'法術資料'!$K$2:$X$805,7,FALSE),"")</f>
        <v/>
      </c>
      <c r="FL21" s="1141"/>
      <c r="FM21" s="1506" t="str">
        <f>IFNA(VLOOKUP(FI21,'法術資料'!$K$2:$X$805,8,FALSE),"")</f>
        <v/>
      </c>
      <c r="FN21" s="1141"/>
      <c r="FO21" s="1506" t="str">
        <f>IFNA(VLOOKUP(FI21,'法術資料'!$K$2:$X$805,14,FALSE),"")</f>
        <v/>
      </c>
      <c r="FP21" s="1141"/>
      <c r="FQ21" s="1377" t="str">
        <f>IFNA(VLOOKUP(FI21,'法術資料'!$K$2:$X$805,13,FALSE),"")</f>
        <v/>
      </c>
      <c r="FR21" s="1377" t="str">
        <f>IFNA(VLOOKUP(FI21,'法術資料'!$K$2:$X$805,5,FALSE),"")</f>
        <v/>
      </c>
      <c r="FS21" s="1377" t="str">
        <f>IFNA(VLOOKUP(FI21,'法術資料'!$K$2:$X$805,6,FALSE),"")</f>
        <v/>
      </c>
      <c r="FT21" s="1378" t="str">
        <f>IFNA(VLOOKUP(FI21,'法術資料'!$K$2:$X$805,9,FALSE),"")</f>
        <v/>
      </c>
      <c r="FU21" s="1379" t="str">
        <f>IFNA(VLOOKUP(FI21,'法術資料'!$K$2:$X$805,10,FALSE),"")</f>
        <v/>
      </c>
      <c r="FV21" s="1379" t="str">
        <f>IFNA(VLOOKUP($Y21,'法術資料'!$K$2:$X$805,11,FALSE),"")</f>
        <v/>
      </c>
      <c r="FW21" s="1506" t="str">
        <f>IFNA(VLOOKUP(FI21,'法術資料'!$K$2:$X$805,12,FALSE),"")</f>
        <v/>
      </c>
      <c r="FX21" s="376"/>
      <c r="FY21" s="1369"/>
      <c r="FZ21" s="455"/>
    </row>
    <row r="22">
      <c r="A22" s="455"/>
      <c r="B22" s="1356"/>
      <c r="C22" s="1509" t="b">
        <v>0</v>
      </c>
      <c r="D22" s="1502"/>
      <c r="E22" s="1510" t="str">
        <f>IFNA(VLOOKUP($D22,'法術資料'!$K$2:$X$805,4,FALSE),"")
</f>
        <v/>
      </c>
      <c r="F22" s="1511" t="str">
        <f>IFNA(VLOOKUP($D22,'法術資料'!$K$2:$X$805,7,FALSE),"")</f>
        <v/>
      </c>
      <c r="G22" s="1141"/>
      <c r="H22" s="1511" t="str">
        <f>IFNA(VLOOKUP($D22,'法術資料'!$K$2:$X$805,8,FALSE),"")</f>
        <v/>
      </c>
      <c r="I22" s="1141"/>
      <c r="J22" s="1511" t="str">
        <f>IFNA(VLOOKUP($D22,'法術資料'!$K$2:$X$805,14,FALSE),"")</f>
        <v/>
      </c>
      <c r="K22" s="1141"/>
      <c r="L22" s="1511" t="str">
        <f>IFNA(VLOOKUP($D22,'法術資料'!$K$2:$X$805,13,FALSE),"")</f>
        <v/>
      </c>
      <c r="M22" s="1141"/>
      <c r="N22" s="1365" t="str">
        <f>IFNA(VLOOKUP($D22,'法術資料'!$K$2:$X$805,5,FALSE),"")</f>
        <v/>
      </c>
      <c r="O22" s="1365" t="str">
        <f>IFNA(VLOOKUP($D22,'法術資料'!$K$2:$X$805,6,FALSE),"")</f>
        <v/>
      </c>
      <c r="P22" s="1366" t="str">
        <f>IFNA(VLOOKUP($D22,'法術資料'!$K$2:$X$805,9,FALSE),"")</f>
        <v/>
      </c>
      <c r="Q22" s="1367" t="str">
        <f>IFNA(VLOOKUP($D22,'法術資料'!$K$2:$X$805,10,FALSE),"")</f>
        <v/>
      </c>
      <c r="R22" s="1367" t="str">
        <f>IFNA(VLOOKUP($D22,'法術資料'!$K$2:$X$805,11,FALSE),"")</f>
        <v/>
      </c>
      <c r="S22" s="1511" t="str">
        <f>IFNA(VLOOKUP($D22,'法術資料'!$K$2:$X$805,12,FALSE),"")</f>
        <v/>
      </c>
      <c r="T22" s="376"/>
      <c r="U22" s="1369"/>
      <c r="V22" s="455"/>
      <c r="W22" s="1356"/>
      <c r="X22" s="1509" t="b">
        <v>0</v>
      </c>
      <c r="Y22" s="1502"/>
      <c r="Z22" s="1512" t="str">
        <f>IFNA(VLOOKUP(Y22,'法術資料'!$K$2:$X$805,4,FALSE),"")
</f>
        <v/>
      </c>
      <c r="AA22" s="1511" t="str">
        <f>IFNA(VLOOKUP($Y22,'法術資料'!$K$2:$X$805,7,FALSE),"")</f>
        <v/>
      </c>
      <c r="AB22" s="1141"/>
      <c r="AC22" s="1511" t="str">
        <f>IFNA(VLOOKUP($Y22,'法術資料'!$K$2:$X$805,8,FALSE),"")</f>
        <v/>
      </c>
      <c r="AD22" s="1141"/>
      <c r="AE22" s="1511" t="str">
        <f>IFNA(VLOOKUP($Y22,'法術資料'!$K$2:$X$805,14,FALSE),"")</f>
        <v/>
      </c>
      <c r="AF22" s="1141"/>
      <c r="AG22" s="1365" t="str">
        <f>IFNA(VLOOKUP($Y22,'法術資料'!$K$2:$X$805,13,FALSE),"")</f>
        <v/>
      </c>
      <c r="AH22" s="1365" t="str">
        <f>IFNA(VLOOKUP($Y22,'法術資料'!$K$2:$X$805,5,FALSE),"")</f>
        <v/>
      </c>
      <c r="AI22" s="1365" t="str">
        <f>IFNA(VLOOKUP($Y22,'法術資料'!$K$2:$X$805,6,FALSE),"")</f>
        <v/>
      </c>
      <c r="AJ22" s="1366" t="str">
        <f>IFNA(VLOOKUP($Y22,'法術資料'!$K$2:$X$805,9,FALSE),"")</f>
        <v/>
      </c>
      <c r="AK22" s="1367" t="str">
        <f>IFNA(VLOOKUP($Y22,'法術資料'!$K$2:$X$805,10,FALSE),"")</f>
        <v/>
      </c>
      <c r="AL22" s="1367" t="str">
        <f>IFNA(VLOOKUP($Y22,'法術資料'!$K$2:$X$805,11,FALSE),"")</f>
        <v/>
      </c>
      <c r="AM22" s="1511" t="str">
        <f>IFNA(VLOOKUP($Y22,'法術資料'!$K$2:$X$805,12,FALSE),"")</f>
        <v/>
      </c>
      <c r="AN22" s="376"/>
      <c r="AO22" s="1369"/>
      <c r="AP22" s="455"/>
      <c r="AQ22" s="1356"/>
      <c r="AR22" s="1509" t="b">
        <v>0</v>
      </c>
      <c r="AS22" s="1502"/>
      <c r="AT22" s="1512" t="str">
        <f>IFNA(VLOOKUP(AS22,'法術資料'!$K$2:$X$805,4,FALSE),"")
</f>
        <v/>
      </c>
      <c r="AU22" s="1511" t="str">
        <f>IFNA(VLOOKUP(AS22,'法術資料'!$K$2:$X$805,7,FALSE),"")</f>
        <v/>
      </c>
      <c r="AV22" s="1141"/>
      <c r="AW22" s="1511" t="str">
        <f>IFNA(VLOOKUP(AS22,'法術資料'!$K$2:$X$805,8,FALSE),"")</f>
        <v/>
      </c>
      <c r="AX22" s="1141"/>
      <c r="AY22" s="1511" t="str">
        <f>IFNA(VLOOKUP(AS22,'法術資料'!$K$2:$X$805,14,FALSE),"")</f>
        <v/>
      </c>
      <c r="AZ22" s="1141"/>
      <c r="BA22" s="1365" t="str">
        <f>IFNA(VLOOKUP(AS22,'法術資料'!$K$2:$X$805,13,FALSE),"")</f>
        <v/>
      </c>
      <c r="BB22" s="1365" t="str">
        <f>IFNA(VLOOKUP(AS22,'法術資料'!$K$2:$X$805,5,FALSE),"")</f>
        <v/>
      </c>
      <c r="BC22" s="1365" t="str">
        <f>IFNA(VLOOKUP(AS22,'法術資料'!$K$2:$X$805,6,FALSE),"")</f>
        <v/>
      </c>
      <c r="BD22" s="1366" t="str">
        <f>IFNA(VLOOKUP(AS22,'法術資料'!$K$2:$X$805,9,FALSE),"")</f>
        <v/>
      </c>
      <c r="BE22" s="1367" t="str">
        <f>IFNA(VLOOKUP(AS22,'法術資料'!$K$2:$X$805,10,FALSE),"")</f>
        <v/>
      </c>
      <c r="BF22" s="1367" t="str">
        <f>IFNA(VLOOKUP($Y22,'法術資料'!$K$2:$X$805,11,FALSE),"")</f>
        <v/>
      </c>
      <c r="BG22" s="1511" t="str">
        <f>IFNA(VLOOKUP(AS22,'法術資料'!$K$2:$X$805,12,FALSE),"")</f>
        <v/>
      </c>
      <c r="BH22" s="376"/>
      <c r="BI22" s="1369"/>
      <c r="BJ22" s="455"/>
      <c r="BK22" s="1356"/>
      <c r="BL22" s="1509" t="b">
        <v>0</v>
      </c>
      <c r="BM22" s="1502"/>
      <c r="BN22" s="1512" t="str">
        <f>IFNA(VLOOKUP(BM22,'法術資料'!$K$2:$X$805,4,FALSE),"")
</f>
        <v/>
      </c>
      <c r="BO22" s="1511" t="str">
        <f>IFNA(VLOOKUP(BM22,'法術資料'!$K$2:$X$805,7,FALSE),"")</f>
        <v/>
      </c>
      <c r="BP22" s="1141"/>
      <c r="BQ22" s="1511" t="str">
        <f>IFNA(VLOOKUP(BM22,'法術資料'!$K$2:$X$805,8,FALSE),"")</f>
        <v/>
      </c>
      <c r="BR22" s="1141"/>
      <c r="BS22" s="1511" t="str">
        <f>IFNA(VLOOKUP(BM22,'法術資料'!$K$2:$X$805,14,FALSE),"")</f>
        <v/>
      </c>
      <c r="BT22" s="1141"/>
      <c r="BU22" s="1365" t="str">
        <f>IFNA(VLOOKUP(BM22,'法術資料'!$K$2:$X$805,13,FALSE),"")</f>
        <v/>
      </c>
      <c r="BV22" s="1365" t="str">
        <f>IFNA(VLOOKUP(BM22,'法術資料'!$K$2:$X$805,5,FALSE),"")</f>
        <v/>
      </c>
      <c r="BW22" s="1365" t="str">
        <f>IFNA(VLOOKUP(BM22,'法術資料'!$K$2:$X$805,6,FALSE),"")</f>
        <v/>
      </c>
      <c r="BX22" s="1366" t="str">
        <f>IFNA(VLOOKUP(BM22,'法術資料'!$K$2:$X$805,9,FALSE),"")</f>
        <v/>
      </c>
      <c r="BY22" s="1367" t="str">
        <f>IFNA(VLOOKUP(BM22,'法術資料'!$K$2:$X$805,10,FALSE),"")</f>
        <v/>
      </c>
      <c r="BZ22" s="1367" t="str">
        <f>IFNA(VLOOKUP($Y22,'法術資料'!$K$2:$X$805,11,FALSE),"")</f>
        <v/>
      </c>
      <c r="CA22" s="1511" t="str">
        <f>IFNA(VLOOKUP(BM22,'法術資料'!$K$2:$X$805,12,FALSE),"")</f>
        <v/>
      </c>
      <c r="CB22" s="376"/>
      <c r="CC22" s="1369"/>
      <c r="CD22" s="455"/>
      <c r="CE22" s="1356"/>
      <c r="CF22" s="1509" t="b">
        <v>0</v>
      </c>
      <c r="CG22" s="1502"/>
      <c r="CH22" s="1512" t="str">
        <f>IFNA(VLOOKUP(CG22,'法術資料'!$K$2:$X$805,4,FALSE),"")
</f>
        <v/>
      </c>
      <c r="CI22" s="1511" t="str">
        <f>IFNA(VLOOKUP(CG22,'法術資料'!$K$2:$X$805,7,FALSE),"")</f>
        <v/>
      </c>
      <c r="CJ22" s="1141"/>
      <c r="CK22" s="1511" t="str">
        <f>IFNA(VLOOKUP(CG22,'法術資料'!$K$2:$X$805,8,FALSE),"")</f>
        <v/>
      </c>
      <c r="CL22" s="1141"/>
      <c r="CM22" s="1511" t="str">
        <f>IFNA(VLOOKUP(CG22,'法術資料'!$K$2:$X$805,14,FALSE),"")</f>
        <v/>
      </c>
      <c r="CN22" s="1141"/>
      <c r="CO22" s="1365" t="str">
        <f>IFNA(VLOOKUP(CG22,'法術資料'!$K$2:$X$805,13,FALSE),"")</f>
        <v/>
      </c>
      <c r="CP22" s="1365" t="str">
        <f>IFNA(VLOOKUP(CG22,'法術資料'!$K$2:$X$805,5,FALSE),"")</f>
        <v/>
      </c>
      <c r="CQ22" s="1365" t="str">
        <f>IFNA(VLOOKUP(CG22,'法術資料'!$K$2:$X$805,6,FALSE),"")</f>
        <v/>
      </c>
      <c r="CR22" s="1366" t="str">
        <f>IFNA(VLOOKUP(CG22,'法術資料'!$K$2:$X$805,9,FALSE),"")</f>
        <v/>
      </c>
      <c r="CS22" s="1367" t="str">
        <f>IFNA(VLOOKUP(CG22,'法術資料'!$K$2:$X$805,10,FALSE),"")</f>
        <v/>
      </c>
      <c r="CT22" s="1367" t="str">
        <f>IFNA(VLOOKUP($Y22,'法術資料'!$K$2:$X$805,11,FALSE),"")</f>
        <v/>
      </c>
      <c r="CU22" s="1511" t="str">
        <f>IFNA(VLOOKUP(CG22,'法術資料'!$K$2:$X$805,12,FALSE),"")</f>
        <v/>
      </c>
      <c r="CV22" s="376"/>
      <c r="CW22" s="1369"/>
      <c r="CX22" s="455"/>
      <c r="CY22" s="1356"/>
      <c r="CZ22" s="1509" t="b">
        <v>0</v>
      </c>
      <c r="DA22" s="1502"/>
      <c r="DB22" s="1512" t="str">
        <f>IFNA(VLOOKUP(DA22,'法術資料'!$K$2:$X$805,4,FALSE),"")
</f>
        <v/>
      </c>
      <c r="DC22" s="1511" t="str">
        <f>IFNA(VLOOKUP(DA22,'法術資料'!$K$2:$X$805,7,FALSE),"")</f>
        <v/>
      </c>
      <c r="DD22" s="1141"/>
      <c r="DE22" s="1511" t="str">
        <f>IFNA(VLOOKUP(DA22,'法術資料'!$K$2:$X$805,8,FALSE),"")</f>
        <v/>
      </c>
      <c r="DF22" s="1141"/>
      <c r="DG22" s="1511" t="str">
        <f>IFNA(VLOOKUP(DA22,'法術資料'!$K$2:$X$805,14,FALSE),"")</f>
        <v/>
      </c>
      <c r="DH22" s="1141"/>
      <c r="DI22" s="1365" t="str">
        <f>IFNA(VLOOKUP(DA22,'法術資料'!$K$2:$X$805,13,FALSE),"")</f>
        <v/>
      </c>
      <c r="DJ22" s="1365" t="str">
        <f>IFNA(VLOOKUP(DA22,'法術資料'!$K$2:$X$805,5,FALSE),"")</f>
        <v/>
      </c>
      <c r="DK22" s="1365" t="str">
        <f>IFNA(VLOOKUP(DA22,'法術資料'!$K$2:$X$805,6,FALSE),"")</f>
        <v/>
      </c>
      <c r="DL22" s="1366" t="str">
        <f>IFNA(VLOOKUP(DA22,'法術資料'!$K$2:$X$805,9,FALSE),"")</f>
        <v/>
      </c>
      <c r="DM22" s="1367" t="str">
        <f>IFNA(VLOOKUP(DA22,'法術資料'!$K$2:$X$805,10,FALSE),"")</f>
        <v/>
      </c>
      <c r="DN22" s="1367" t="str">
        <f>IFNA(VLOOKUP($Y22,'法術資料'!$K$2:$X$805,11,FALSE),"")</f>
        <v/>
      </c>
      <c r="DO22" s="1511" t="str">
        <f>IFNA(VLOOKUP(DA22,'法術資料'!$K$2:$X$805,12,FALSE),"")</f>
        <v/>
      </c>
      <c r="DP22" s="376"/>
      <c r="DQ22" s="1369"/>
      <c r="DR22" s="455"/>
      <c r="DS22" s="1356"/>
      <c r="DT22" s="1509" t="b">
        <v>0</v>
      </c>
      <c r="DU22" s="1502"/>
      <c r="DV22" s="1512" t="str">
        <f>IFNA(VLOOKUP(DU22,'法術資料'!$K$2:$X$805,4,FALSE),"")
</f>
        <v/>
      </c>
      <c r="DW22" s="1511" t="str">
        <f>IFNA(VLOOKUP(DU22,'法術資料'!$K$2:$X$805,7,FALSE),"")</f>
        <v/>
      </c>
      <c r="DX22" s="1141"/>
      <c r="DY22" s="1511" t="str">
        <f>IFNA(VLOOKUP(DU22,'法術資料'!$K$2:$X$805,8,FALSE),"")</f>
        <v/>
      </c>
      <c r="DZ22" s="1141"/>
      <c r="EA22" s="1511" t="str">
        <f>IFNA(VLOOKUP(DU22,'法術資料'!$K$2:$X$805,14,FALSE),"")</f>
        <v/>
      </c>
      <c r="EB22" s="1141"/>
      <c r="EC22" s="1365" t="str">
        <f>IFNA(VLOOKUP(DU22,'法術資料'!$K$2:$X$805,13,FALSE),"")</f>
        <v/>
      </c>
      <c r="ED22" s="1365" t="str">
        <f>IFNA(VLOOKUP(DU22,'法術資料'!$K$2:$X$805,5,FALSE),"")</f>
        <v/>
      </c>
      <c r="EE22" s="1365" t="str">
        <f>IFNA(VLOOKUP(DU22,'法術資料'!$K$2:$X$805,6,FALSE),"")</f>
        <v/>
      </c>
      <c r="EF22" s="1366" t="str">
        <f>IFNA(VLOOKUP(DU22,'法術資料'!$K$2:$X$805,9,FALSE),"")</f>
        <v/>
      </c>
      <c r="EG22" s="1367" t="str">
        <f>IFNA(VLOOKUP(DU22,'法術資料'!$K$2:$X$805,10,FALSE),"")</f>
        <v/>
      </c>
      <c r="EH22" s="1367" t="str">
        <f>IFNA(VLOOKUP($Y22,'法術資料'!$K$2:$X$805,11,FALSE),"")</f>
        <v/>
      </c>
      <c r="EI22" s="1511" t="str">
        <f>IFNA(VLOOKUP(DU22,'法術資料'!$K$2:$X$805,12,FALSE),"")</f>
        <v/>
      </c>
      <c r="EJ22" s="376"/>
      <c r="EK22" s="1369"/>
      <c r="EL22" s="455"/>
      <c r="EM22" s="1356"/>
      <c r="EN22" s="1509" t="b">
        <v>0</v>
      </c>
      <c r="EO22" s="1502"/>
      <c r="EP22" s="1512" t="str">
        <f>IFNA(VLOOKUP(EO22,'法術資料'!$K$2:$X$805,4,FALSE),"")
</f>
        <v/>
      </c>
      <c r="EQ22" s="1511" t="str">
        <f>IFNA(VLOOKUP(EO22,'法術資料'!$K$2:$X$805,7,FALSE),"")</f>
        <v/>
      </c>
      <c r="ER22" s="1141"/>
      <c r="ES22" s="1511" t="str">
        <f>IFNA(VLOOKUP(EO22,'法術資料'!$K$2:$X$805,8,FALSE),"")</f>
        <v/>
      </c>
      <c r="ET22" s="1141"/>
      <c r="EU22" s="1511" t="str">
        <f>IFNA(VLOOKUP(EO22,'法術資料'!$K$2:$X$805,14,FALSE),"")</f>
        <v/>
      </c>
      <c r="EV22" s="1141"/>
      <c r="EW22" s="1365" t="str">
        <f>IFNA(VLOOKUP(EO22,'法術資料'!$K$2:$X$805,13,FALSE),"")</f>
        <v/>
      </c>
      <c r="EX22" s="1365" t="str">
        <f>IFNA(VLOOKUP(EO22,'法術資料'!$K$2:$X$805,5,FALSE),"")</f>
        <v/>
      </c>
      <c r="EY22" s="1365" t="str">
        <f>IFNA(VLOOKUP(EO22,'法術資料'!$K$2:$X$805,6,FALSE),"")</f>
        <v/>
      </c>
      <c r="EZ22" s="1366" t="str">
        <f>IFNA(VLOOKUP(EO22,'法術資料'!$K$2:$X$805,9,FALSE),"")</f>
        <v/>
      </c>
      <c r="FA22" s="1367" t="str">
        <f>IFNA(VLOOKUP(EO22,'法術資料'!$K$2:$X$805,10,FALSE),"")</f>
        <v/>
      </c>
      <c r="FB22" s="1367" t="str">
        <f>IFNA(VLOOKUP($Y22,'法術資料'!$K$2:$X$805,11,FALSE),"")</f>
        <v/>
      </c>
      <c r="FC22" s="1511" t="str">
        <f>IFNA(VLOOKUP(EO22,'法術資料'!$K$2:$X$805,12,FALSE),"")</f>
        <v/>
      </c>
      <c r="FD22" s="376"/>
      <c r="FE22" s="1369"/>
      <c r="FF22" s="455"/>
      <c r="FG22" s="1356"/>
      <c r="FH22" s="1509" t="b">
        <v>0</v>
      </c>
      <c r="FI22" s="1502"/>
      <c r="FJ22" s="1512" t="str">
        <f>IFNA(VLOOKUP(FI22,'法術資料'!$K$2:$X$805,4,FALSE),"")
</f>
        <v/>
      </c>
      <c r="FK22" s="1511" t="str">
        <f>IFNA(VLOOKUP(FI22,'法術資料'!$K$2:$X$805,7,FALSE),"")</f>
        <v/>
      </c>
      <c r="FL22" s="1141"/>
      <c r="FM22" s="1511" t="str">
        <f>IFNA(VLOOKUP(FI22,'法術資料'!$K$2:$X$805,8,FALSE),"")</f>
        <v/>
      </c>
      <c r="FN22" s="1141"/>
      <c r="FO22" s="1511" t="str">
        <f>IFNA(VLOOKUP(FI22,'法術資料'!$K$2:$X$805,14,FALSE),"")</f>
        <v/>
      </c>
      <c r="FP22" s="1141"/>
      <c r="FQ22" s="1365" t="str">
        <f>IFNA(VLOOKUP(FI22,'法術資料'!$K$2:$X$805,13,FALSE),"")</f>
        <v/>
      </c>
      <c r="FR22" s="1365" t="str">
        <f>IFNA(VLOOKUP(FI22,'法術資料'!$K$2:$X$805,5,FALSE),"")</f>
        <v/>
      </c>
      <c r="FS22" s="1365" t="str">
        <f>IFNA(VLOOKUP(FI22,'法術資料'!$K$2:$X$805,6,FALSE),"")</f>
        <v/>
      </c>
      <c r="FT22" s="1366" t="str">
        <f>IFNA(VLOOKUP(FI22,'法術資料'!$K$2:$X$805,9,FALSE),"")</f>
        <v/>
      </c>
      <c r="FU22" s="1367" t="str">
        <f>IFNA(VLOOKUP(FI22,'法術資料'!$K$2:$X$805,10,FALSE),"")</f>
        <v/>
      </c>
      <c r="FV22" s="1367" t="str">
        <f>IFNA(VLOOKUP($Y22,'法術資料'!$K$2:$X$805,11,FALSE),"")</f>
        <v/>
      </c>
      <c r="FW22" s="1511" t="str">
        <f>IFNA(VLOOKUP(FI22,'法術資料'!$K$2:$X$805,12,FALSE),"")</f>
        <v/>
      </c>
      <c r="FX22" s="376"/>
      <c r="FY22" s="1369"/>
      <c r="FZ22" s="455"/>
    </row>
    <row r="23">
      <c r="A23" s="455"/>
      <c r="B23" s="1356"/>
      <c r="C23" s="1503" t="b">
        <v>0</v>
      </c>
      <c r="D23" s="1504"/>
      <c r="E23" s="1505" t="str">
        <f>IFNA(VLOOKUP($D23,'法術資料'!$K$2:$X$805,4,FALSE),"")
</f>
        <v/>
      </c>
      <c r="F23" s="1506" t="str">
        <f>IFNA(VLOOKUP($D23,'法術資料'!$K$2:$X$805,7,FALSE),"")</f>
        <v/>
      </c>
      <c r="G23" s="1141"/>
      <c r="H23" s="1506" t="str">
        <f>IFNA(VLOOKUP($D23,'法術資料'!$K$2:$X$805,8,FALSE),"")</f>
        <v/>
      </c>
      <c r="I23" s="1141"/>
      <c r="J23" s="1506" t="str">
        <f>IFNA(VLOOKUP($D23,'法術資料'!$K$2:$X$805,14,FALSE),"")</f>
        <v/>
      </c>
      <c r="K23" s="1141"/>
      <c r="L23" s="1506" t="str">
        <f>IFNA(VLOOKUP($D23,'法術資料'!$K$2:$X$805,13,FALSE),"")</f>
        <v/>
      </c>
      <c r="M23" s="1141"/>
      <c r="N23" s="1377" t="str">
        <f>IFNA(VLOOKUP($D23,'法術資料'!$K$2:$X$805,5,FALSE),"")</f>
        <v/>
      </c>
      <c r="O23" s="1377" t="str">
        <f>IFNA(VLOOKUP($D23,'法術資料'!$K$2:$X$805,6,FALSE),"")</f>
        <v/>
      </c>
      <c r="P23" s="1378" t="str">
        <f>IFNA(VLOOKUP($D23,'法術資料'!$K$2:$X$805,9,FALSE),"")</f>
        <v/>
      </c>
      <c r="Q23" s="1379" t="str">
        <f>IFNA(VLOOKUP($D23,'法術資料'!$K$2:$X$805,10,FALSE),"")</f>
        <v/>
      </c>
      <c r="R23" s="1379" t="str">
        <f>IFNA(VLOOKUP($D23,'法術資料'!$K$2:$X$805,11,FALSE),"")</f>
        <v/>
      </c>
      <c r="S23" s="1506" t="str">
        <f>IFNA(VLOOKUP($D23,'法術資料'!$K$2:$X$805,12,FALSE),"")</f>
        <v/>
      </c>
      <c r="T23" s="376"/>
      <c r="U23" s="1369"/>
      <c r="V23" s="455"/>
      <c r="W23" s="1356"/>
      <c r="X23" s="1503" t="b">
        <v>0</v>
      </c>
      <c r="Y23" s="1508"/>
      <c r="Z23" s="1507" t="str">
        <f>IFNA(VLOOKUP(Y23,'法術資料'!$K$2:$X$805,4,FALSE),"")
</f>
        <v/>
      </c>
      <c r="AA23" s="1506" t="str">
        <f>IFNA(VLOOKUP($Y23,'法術資料'!$K$2:$X$805,7,FALSE),"")</f>
        <v/>
      </c>
      <c r="AB23" s="1141"/>
      <c r="AC23" s="1506" t="str">
        <f>IFNA(VLOOKUP($Y23,'法術資料'!$K$2:$X$805,8,FALSE),"")</f>
        <v/>
      </c>
      <c r="AD23" s="1141"/>
      <c r="AE23" s="1506" t="str">
        <f>IFNA(VLOOKUP($Y23,'法術資料'!$K$2:$X$805,14,FALSE),"")</f>
        <v/>
      </c>
      <c r="AF23" s="1141"/>
      <c r="AG23" s="1377" t="str">
        <f>IFNA(VLOOKUP($Y23,'法術資料'!$K$2:$X$805,13,FALSE),"")</f>
        <v/>
      </c>
      <c r="AH23" s="1377" t="str">
        <f>IFNA(VLOOKUP($Y23,'法術資料'!$K$2:$X$805,5,FALSE),"")</f>
        <v/>
      </c>
      <c r="AI23" s="1377" t="str">
        <f>IFNA(VLOOKUP($Y23,'法術資料'!$K$2:$X$805,6,FALSE),"")</f>
        <v/>
      </c>
      <c r="AJ23" s="1378" t="str">
        <f>IFNA(VLOOKUP($Y23,'法術資料'!$K$2:$X$805,9,FALSE),"")</f>
        <v/>
      </c>
      <c r="AK23" s="1379" t="str">
        <f>IFNA(VLOOKUP($Y23,'法術資料'!$K$2:$X$805,10,FALSE),"")</f>
        <v/>
      </c>
      <c r="AL23" s="1379" t="str">
        <f>IFNA(VLOOKUP($Y23,'法術資料'!$K$2:$X$805,11,FALSE),"")</f>
        <v/>
      </c>
      <c r="AM23" s="1506" t="str">
        <f>IFNA(VLOOKUP($Y23,'法術資料'!$K$2:$X$805,12,FALSE),"")</f>
        <v/>
      </c>
      <c r="AN23" s="376"/>
      <c r="AO23" s="1369"/>
      <c r="AP23" s="455"/>
      <c r="AQ23" s="1356"/>
      <c r="AR23" s="1503" t="b">
        <v>0</v>
      </c>
      <c r="AS23" s="1508"/>
      <c r="AT23" s="1507" t="str">
        <f>IFNA(VLOOKUP(AS23,'法術資料'!$K$2:$X$805,4,FALSE),"")
</f>
        <v/>
      </c>
      <c r="AU23" s="1506" t="str">
        <f>IFNA(VLOOKUP(AS23,'法術資料'!$K$2:$X$805,7,FALSE),"")</f>
        <v/>
      </c>
      <c r="AV23" s="1141"/>
      <c r="AW23" s="1506" t="str">
        <f>IFNA(VLOOKUP(AS23,'法術資料'!$K$2:$X$805,8,FALSE),"")</f>
        <v/>
      </c>
      <c r="AX23" s="1141"/>
      <c r="AY23" s="1506" t="str">
        <f>IFNA(VLOOKUP(AS23,'法術資料'!$K$2:$X$805,14,FALSE),"")</f>
        <v/>
      </c>
      <c r="AZ23" s="1141"/>
      <c r="BA23" s="1377" t="str">
        <f>IFNA(VLOOKUP(AS23,'法術資料'!$K$2:$X$805,13,FALSE),"")</f>
        <v/>
      </c>
      <c r="BB23" s="1377" t="str">
        <f>IFNA(VLOOKUP(AS23,'法術資料'!$K$2:$X$805,5,FALSE),"")</f>
        <v/>
      </c>
      <c r="BC23" s="1377" t="str">
        <f>IFNA(VLOOKUP(AS23,'法術資料'!$K$2:$X$805,6,FALSE),"")</f>
        <v/>
      </c>
      <c r="BD23" s="1378" t="str">
        <f>IFNA(VLOOKUP(AS23,'法術資料'!$K$2:$X$805,9,FALSE),"")</f>
        <v/>
      </c>
      <c r="BE23" s="1379" t="str">
        <f>IFNA(VLOOKUP(AS23,'法術資料'!$K$2:$X$805,10,FALSE),"")</f>
        <v/>
      </c>
      <c r="BF23" s="1379" t="str">
        <f>IFNA(VLOOKUP($Y23,'法術資料'!$K$2:$X$805,11,FALSE),"")</f>
        <v/>
      </c>
      <c r="BG23" s="1506" t="str">
        <f>IFNA(VLOOKUP(AS23,'法術資料'!$K$2:$X$805,12,FALSE),"")</f>
        <v/>
      </c>
      <c r="BH23" s="376"/>
      <c r="BI23" s="1369"/>
      <c r="BJ23" s="455"/>
      <c r="BK23" s="1356"/>
      <c r="BL23" s="1503" t="b">
        <v>0</v>
      </c>
      <c r="BM23" s="1508"/>
      <c r="BN23" s="1507" t="str">
        <f>IFNA(VLOOKUP(BM23,'法術資料'!$K$2:$X$805,4,FALSE),"")
</f>
        <v/>
      </c>
      <c r="BO23" s="1506" t="str">
        <f>IFNA(VLOOKUP(BM23,'法術資料'!$K$2:$X$805,7,FALSE),"")</f>
        <v/>
      </c>
      <c r="BP23" s="1141"/>
      <c r="BQ23" s="1506" t="str">
        <f>IFNA(VLOOKUP(BM23,'法術資料'!$K$2:$X$805,8,FALSE),"")</f>
        <v/>
      </c>
      <c r="BR23" s="1141"/>
      <c r="BS23" s="1506" t="str">
        <f>IFNA(VLOOKUP(BM23,'法術資料'!$K$2:$X$805,14,FALSE),"")</f>
        <v/>
      </c>
      <c r="BT23" s="1141"/>
      <c r="BU23" s="1377" t="str">
        <f>IFNA(VLOOKUP(BM23,'法術資料'!$K$2:$X$805,13,FALSE),"")</f>
        <v/>
      </c>
      <c r="BV23" s="1377" t="str">
        <f>IFNA(VLOOKUP(BM23,'法術資料'!$K$2:$X$805,5,FALSE),"")</f>
        <v/>
      </c>
      <c r="BW23" s="1377" t="str">
        <f>IFNA(VLOOKUP(BM23,'法術資料'!$K$2:$X$805,6,FALSE),"")</f>
        <v/>
      </c>
      <c r="BX23" s="1378" t="str">
        <f>IFNA(VLOOKUP(BM23,'法術資料'!$K$2:$X$805,9,FALSE),"")</f>
        <v/>
      </c>
      <c r="BY23" s="1379" t="str">
        <f>IFNA(VLOOKUP(BM23,'法術資料'!$K$2:$X$805,10,FALSE),"")</f>
        <v/>
      </c>
      <c r="BZ23" s="1379" t="str">
        <f>IFNA(VLOOKUP($Y23,'法術資料'!$K$2:$X$805,11,FALSE),"")</f>
        <v/>
      </c>
      <c r="CA23" s="1506" t="str">
        <f>IFNA(VLOOKUP(BM23,'法術資料'!$K$2:$X$805,12,FALSE),"")</f>
        <v/>
      </c>
      <c r="CB23" s="376"/>
      <c r="CC23" s="1369"/>
      <c r="CD23" s="455"/>
      <c r="CE23" s="1356"/>
      <c r="CF23" s="1503" t="b">
        <v>0</v>
      </c>
      <c r="CG23" s="1508"/>
      <c r="CH23" s="1507" t="str">
        <f>IFNA(VLOOKUP(CG23,'法術資料'!$K$2:$X$805,4,FALSE),"")
</f>
        <v/>
      </c>
      <c r="CI23" s="1506" t="str">
        <f>IFNA(VLOOKUP(CG23,'法術資料'!$K$2:$X$805,7,FALSE),"")</f>
        <v/>
      </c>
      <c r="CJ23" s="1141"/>
      <c r="CK23" s="1506" t="str">
        <f>IFNA(VLOOKUP(CG23,'法術資料'!$K$2:$X$805,8,FALSE),"")</f>
        <v/>
      </c>
      <c r="CL23" s="1141"/>
      <c r="CM23" s="1506" t="str">
        <f>IFNA(VLOOKUP(CG23,'法術資料'!$K$2:$X$805,14,FALSE),"")</f>
        <v/>
      </c>
      <c r="CN23" s="1141"/>
      <c r="CO23" s="1377" t="str">
        <f>IFNA(VLOOKUP(CG23,'法術資料'!$K$2:$X$805,13,FALSE),"")</f>
        <v/>
      </c>
      <c r="CP23" s="1377" t="str">
        <f>IFNA(VLOOKUP(CG23,'法術資料'!$K$2:$X$805,5,FALSE),"")</f>
        <v/>
      </c>
      <c r="CQ23" s="1377" t="str">
        <f>IFNA(VLOOKUP(CG23,'法術資料'!$K$2:$X$805,6,FALSE),"")</f>
        <v/>
      </c>
      <c r="CR23" s="1378" t="str">
        <f>IFNA(VLOOKUP(CG23,'法術資料'!$K$2:$X$805,9,FALSE),"")</f>
        <v/>
      </c>
      <c r="CS23" s="1379" t="str">
        <f>IFNA(VLOOKUP(CG23,'法術資料'!$K$2:$X$805,10,FALSE),"")</f>
        <v/>
      </c>
      <c r="CT23" s="1379" t="str">
        <f>IFNA(VLOOKUP($Y23,'法術資料'!$K$2:$X$805,11,FALSE),"")</f>
        <v/>
      </c>
      <c r="CU23" s="1506" t="str">
        <f>IFNA(VLOOKUP(CG23,'法術資料'!$K$2:$X$805,12,FALSE),"")</f>
        <v/>
      </c>
      <c r="CV23" s="376"/>
      <c r="CW23" s="1369"/>
      <c r="CX23" s="455"/>
      <c r="CY23" s="1356"/>
      <c r="CZ23" s="1503" t="b">
        <v>0</v>
      </c>
      <c r="DA23" s="1508"/>
      <c r="DB23" s="1507" t="str">
        <f>IFNA(VLOOKUP(DA23,'法術資料'!$K$2:$X$805,4,FALSE),"")
</f>
        <v/>
      </c>
      <c r="DC23" s="1506" t="str">
        <f>IFNA(VLOOKUP(DA23,'法術資料'!$K$2:$X$805,7,FALSE),"")</f>
        <v/>
      </c>
      <c r="DD23" s="1141"/>
      <c r="DE23" s="1506" t="str">
        <f>IFNA(VLOOKUP(DA23,'法術資料'!$K$2:$X$805,8,FALSE),"")</f>
        <v/>
      </c>
      <c r="DF23" s="1141"/>
      <c r="DG23" s="1506" t="str">
        <f>IFNA(VLOOKUP(DA23,'法術資料'!$K$2:$X$805,14,FALSE),"")</f>
        <v/>
      </c>
      <c r="DH23" s="1141"/>
      <c r="DI23" s="1377" t="str">
        <f>IFNA(VLOOKUP(DA23,'法術資料'!$K$2:$X$805,13,FALSE),"")</f>
        <v/>
      </c>
      <c r="DJ23" s="1377" t="str">
        <f>IFNA(VLOOKUP(DA23,'法術資料'!$K$2:$X$805,5,FALSE),"")</f>
        <v/>
      </c>
      <c r="DK23" s="1377" t="str">
        <f>IFNA(VLOOKUP(DA23,'法術資料'!$K$2:$X$805,6,FALSE),"")</f>
        <v/>
      </c>
      <c r="DL23" s="1378" t="str">
        <f>IFNA(VLOOKUP(DA23,'法術資料'!$K$2:$X$805,9,FALSE),"")</f>
        <v/>
      </c>
      <c r="DM23" s="1379" t="str">
        <f>IFNA(VLOOKUP(DA23,'法術資料'!$K$2:$X$805,10,FALSE),"")</f>
        <v/>
      </c>
      <c r="DN23" s="1379" t="str">
        <f>IFNA(VLOOKUP($Y23,'法術資料'!$K$2:$X$805,11,FALSE),"")</f>
        <v/>
      </c>
      <c r="DO23" s="1506" t="str">
        <f>IFNA(VLOOKUP(DA23,'法術資料'!$K$2:$X$805,12,FALSE),"")</f>
        <v/>
      </c>
      <c r="DP23" s="376"/>
      <c r="DQ23" s="1369"/>
      <c r="DR23" s="455"/>
      <c r="DS23" s="1356"/>
      <c r="DT23" s="1503" t="b">
        <v>0</v>
      </c>
      <c r="DU23" s="1508"/>
      <c r="DV23" s="1507" t="str">
        <f>IFNA(VLOOKUP(DU23,'法術資料'!$K$2:$X$805,4,FALSE),"")
</f>
        <v/>
      </c>
      <c r="DW23" s="1506" t="str">
        <f>IFNA(VLOOKUP(DU23,'法術資料'!$K$2:$X$805,7,FALSE),"")</f>
        <v/>
      </c>
      <c r="DX23" s="1141"/>
      <c r="DY23" s="1506" t="str">
        <f>IFNA(VLOOKUP(DU23,'法術資料'!$K$2:$X$805,8,FALSE),"")</f>
        <v/>
      </c>
      <c r="DZ23" s="1141"/>
      <c r="EA23" s="1506" t="str">
        <f>IFNA(VLOOKUP(DU23,'法術資料'!$K$2:$X$805,14,FALSE),"")</f>
        <v/>
      </c>
      <c r="EB23" s="1141"/>
      <c r="EC23" s="1377" t="str">
        <f>IFNA(VLOOKUP(DU23,'法術資料'!$K$2:$X$805,13,FALSE),"")</f>
        <v/>
      </c>
      <c r="ED23" s="1377" t="str">
        <f>IFNA(VLOOKUP(DU23,'法術資料'!$K$2:$X$805,5,FALSE),"")</f>
        <v/>
      </c>
      <c r="EE23" s="1377" t="str">
        <f>IFNA(VLOOKUP(DU23,'法術資料'!$K$2:$X$805,6,FALSE),"")</f>
        <v/>
      </c>
      <c r="EF23" s="1378" t="str">
        <f>IFNA(VLOOKUP(DU23,'法術資料'!$K$2:$X$805,9,FALSE),"")</f>
        <v/>
      </c>
      <c r="EG23" s="1379" t="str">
        <f>IFNA(VLOOKUP(DU23,'法術資料'!$K$2:$X$805,10,FALSE),"")</f>
        <v/>
      </c>
      <c r="EH23" s="1379" t="str">
        <f>IFNA(VLOOKUP($Y23,'法術資料'!$K$2:$X$805,11,FALSE),"")</f>
        <v/>
      </c>
      <c r="EI23" s="1506" t="str">
        <f>IFNA(VLOOKUP(DU23,'法術資料'!$K$2:$X$805,12,FALSE),"")</f>
        <v/>
      </c>
      <c r="EJ23" s="376"/>
      <c r="EK23" s="1369"/>
      <c r="EL23" s="455"/>
      <c r="EM23" s="1356"/>
      <c r="EN23" s="1503" t="b">
        <v>0</v>
      </c>
      <c r="EO23" s="1508"/>
      <c r="EP23" s="1507" t="str">
        <f>IFNA(VLOOKUP(EO23,'法術資料'!$K$2:$X$805,4,FALSE),"")
</f>
        <v/>
      </c>
      <c r="EQ23" s="1506" t="str">
        <f>IFNA(VLOOKUP(EO23,'法術資料'!$K$2:$X$805,7,FALSE),"")</f>
        <v/>
      </c>
      <c r="ER23" s="1141"/>
      <c r="ES23" s="1506" t="str">
        <f>IFNA(VLOOKUP(EO23,'法術資料'!$K$2:$X$805,8,FALSE),"")</f>
        <v/>
      </c>
      <c r="ET23" s="1141"/>
      <c r="EU23" s="1506" t="str">
        <f>IFNA(VLOOKUP(EO23,'法術資料'!$K$2:$X$805,14,FALSE),"")</f>
        <v/>
      </c>
      <c r="EV23" s="1141"/>
      <c r="EW23" s="1377" t="str">
        <f>IFNA(VLOOKUP(EO23,'法術資料'!$K$2:$X$805,13,FALSE),"")</f>
        <v/>
      </c>
      <c r="EX23" s="1377" t="str">
        <f>IFNA(VLOOKUP(EO23,'法術資料'!$K$2:$X$805,5,FALSE),"")</f>
        <v/>
      </c>
      <c r="EY23" s="1377" t="str">
        <f>IFNA(VLOOKUP(EO23,'法術資料'!$K$2:$X$805,6,FALSE),"")</f>
        <v/>
      </c>
      <c r="EZ23" s="1378" t="str">
        <f>IFNA(VLOOKUP(EO23,'法術資料'!$K$2:$X$805,9,FALSE),"")</f>
        <v/>
      </c>
      <c r="FA23" s="1379" t="str">
        <f>IFNA(VLOOKUP(EO23,'法術資料'!$K$2:$X$805,10,FALSE),"")</f>
        <v/>
      </c>
      <c r="FB23" s="1379" t="str">
        <f>IFNA(VLOOKUP($Y23,'法術資料'!$K$2:$X$805,11,FALSE),"")</f>
        <v/>
      </c>
      <c r="FC23" s="1506" t="str">
        <f>IFNA(VLOOKUP(EO23,'法術資料'!$K$2:$X$805,12,FALSE),"")</f>
        <v/>
      </c>
      <c r="FD23" s="376"/>
      <c r="FE23" s="1369"/>
      <c r="FF23" s="455"/>
      <c r="FG23" s="1356"/>
      <c r="FH23" s="1503" t="b">
        <v>0</v>
      </c>
      <c r="FI23" s="1508"/>
      <c r="FJ23" s="1507" t="str">
        <f>IFNA(VLOOKUP(FI23,'法術資料'!$K$2:$X$805,4,FALSE),"")
</f>
        <v/>
      </c>
      <c r="FK23" s="1506" t="str">
        <f>IFNA(VLOOKUP(FI23,'法術資料'!$K$2:$X$805,7,FALSE),"")</f>
        <v/>
      </c>
      <c r="FL23" s="1141"/>
      <c r="FM23" s="1506" t="str">
        <f>IFNA(VLOOKUP(FI23,'法術資料'!$K$2:$X$805,8,FALSE),"")</f>
        <v/>
      </c>
      <c r="FN23" s="1141"/>
      <c r="FO23" s="1506" t="str">
        <f>IFNA(VLOOKUP(FI23,'法術資料'!$K$2:$X$805,14,FALSE),"")</f>
        <v/>
      </c>
      <c r="FP23" s="1141"/>
      <c r="FQ23" s="1377" t="str">
        <f>IFNA(VLOOKUP(FI23,'法術資料'!$K$2:$X$805,13,FALSE),"")</f>
        <v/>
      </c>
      <c r="FR23" s="1377" t="str">
        <f>IFNA(VLOOKUP(FI23,'法術資料'!$K$2:$X$805,5,FALSE),"")</f>
        <v/>
      </c>
      <c r="FS23" s="1377" t="str">
        <f>IFNA(VLOOKUP(FI23,'法術資料'!$K$2:$X$805,6,FALSE),"")</f>
        <v/>
      </c>
      <c r="FT23" s="1378" t="str">
        <f>IFNA(VLOOKUP(FI23,'法術資料'!$K$2:$X$805,9,FALSE),"")</f>
        <v/>
      </c>
      <c r="FU23" s="1379" t="str">
        <f>IFNA(VLOOKUP(FI23,'法術資料'!$K$2:$X$805,10,FALSE),"")</f>
        <v/>
      </c>
      <c r="FV23" s="1379" t="str">
        <f>IFNA(VLOOKUP($Y23,'法術資料'!$K$2:$X$805,11,FALSE),"")</f>
        <v/>
      </c>
      <c r="FW23" s="1506" t="str">
        <f>IFNA(VLOOKUP(FI23,'法術資料'!$K$2:$X$805,12,FALSE),"")</f>
        <v/>
      </c>
      <c r="FX23" s="376"/>
      <c r="FY23" s="1369"/>
      <c r="FZ23" s="455"/>
    </row>
    <row r="24">
      <c r="A24" s="455"/>
      <c r="B24" s="1356"/>
      <c r="C24" s="1509" t="b">
        <v>0</v>
      </c>
      <c r="D24" s="1502"/>
      <c r="E24" s="1510" t="str">
        <f>IFNA(VLOOKUP($D24,'法術資料'!$K$2:$X$805,4,FALSE),"")
</f>
        <v/>
      </c>
      <c r="F24" s="1511" t="str">
        <f>IFNA(VLOOKUP($D24,'法術資料'!$K$2:$X$805,7,FALSE),"")</f>
        <v/>
      </c>
      <c r="G24" s="1141"/>
      <c r="H24" s="1511" t="str">
        <f>IFNA(VLOOKUP($D24,'法術資料'!$K$2:$X$805,8,FALSE),"")</f>
        <v/>
      </c>
      <c r="I24" s="1141"/>
      <c r="J24" s="1511" t="str">
        <f>IFNA(VLOOKUP($D24,'法術資料'!$K$2:$X$805,14,FALSE),"")</f>
        <v/>
      </c>
      <c r="K24" s="1141"/>
      <c r="L24" s="1511" t="str">
        <f>IFNA(VLOOKUP($D24,'法術資料'!$K$2:$X$805,13,FALSE),"")</f>
        <v/>
      </c>
      <c r="M24" s="1141"/>
      <c r="N24" s="1365" t="str">
        <f>IFNA(VLOOKUP($D24,'法術資料'!$K$2:$X$805,5,FALSE),"")</f>
        <v/>
      </c>
      <c r="O24" s="1365" t="str">
        <f>IFNA(VLOOKUP($D24,'法術資料'!$K$2:$X$805,6,FALSE),"")</f>
        <v/>
      </c>
      <c r="P24" s="1366" t="str">
        <f>IFNA(VLOOKUP($D24,'法術資料'!$K$2:$X$805,9,FALSE),"")</f>
        <v/>
      </c>
      <c r="Q24" s="1367" t="str">
        <f>IFNA(VLOOKUP($D24,'法術資料'!$K$2:$X$805,10,FALSE),"")</f>
        <v/>
      </c>
      <c r="R24" s="1367" t="str">
        <f>IFNA(VLOOKUP($D24,'法術資料'!$K$2:$X$805,11,FALSE),"")</f>
        <v/>
      </c>
      <c r="S24" s="1511" t="str">
        <f>IFNA(VLOOKUP($D24,'法術資料'!$K$2:$X$805,12,FALSE),"")</f>
        <v/>
      </c>
      <c r="T24" s="376"/>
      <c r="U24" s="1369"/>
      <c r="V24" s="455"/>
      <c r="W24" s="1356"/>
      <c r="X24" s="1509" t="b">
        <v>0</v>
      </c>
      <c r="Y24" s="1499"/>
      <c r="Z24" s="1512" t="str">
        <f>IFNA(VLOOKUP(Y24,'法術資料'!$K$2:$X$805,4,FALSE),"")
</f>
        <v/>
      </c>
      <c r="AA24" s="1511" t="str">
        <f>IFNA(VLOOKUP($Y24,'法術資料'!$K$2:$X$805,7,FALSE),"")</f>
        <v/>
      </c>
      <c r="AB24" s="1141"/>
      <c r="AC24" s="1511" t="str">
        <f>IFNA(VLOOKUP($Y24,'法術資料'!$K$2:$X$805,8,FALSE),"")</f>
        <v/>
      </c>
      <c r="AD24" s="1141"/>
      <c r="AE24" s="1511" t="str">
        <f>IFNA(VLOOKUP($Y24,'法術資料'!$K$2:$X$805,14,FALSE),"")</f>
        <v/>
      </c>
      <c r="AF24" s="1141"/>
      <c r="AG24" s="1365" t="str">
        <f>IFNA(VLOOKUP($Y24,'法術資料'!$K$2:$X$805,13,FALSE),"")</f>
        <v/>
      </c>
      <c r="AH24" s="1365" t="str">
        <f>IFNA(VLOOKUP($Y24,'法術資料'!$K$2:$X$805,5,FALSE),"")</f>
        <v/>
      </c>
      <c r="AI24" s="1365" t="str">
        <f>IFNA(VLOOKUP($Y24,'法術資料'!$K$2:$X$805,6,FALSE),"")</f>
        <v/>
      </c>
      <c r="AJ24" s="1366" t="str">
        <f>IFNA(VLOOKUP($Y24,'法術資料'!$K$2:$X$805,9,FALSE),"")</f>
        <v/>
      </c>
      <c r="AK24" s="1367" t="str">
        <f>IFNA(VLOOKUP($Y24,'法術資料'!$K$2:$X$805,10,FALSE),"")</f>
        <v/>
      </c>
      <c r="AL24" s="1367" t="str">
        <f>IFNA(VLOOKUP($Y24,'法術資料'!$K$2:$X$805,11,FALSE),"")</f>
        <v/>
      </c>
      <c r="AM24" s="1511" t="str">
        <f>IFNA(VLOOKUP($Y24,'法術資料'!$K$2:$X$805,12,FALSE),"")</f>
        <v/>
      </c>
      <c r="AN24" s="376"/>
      <c r="AO24" s="1369"/>
      <c r="AP24" s="455"/>
      <c r="AQ24" s="1356"/>
      <c r="AR24" s="1509" t="b">
        <v>0</v>
      </c>
      <c r="AS24" s="1499"/>
      <c r="AT24" s="1512" t="str">
        <f>IFNA(VLOOKUP(AS24,'法術資料'!$K$2:$X$805,4,FALSE),"")
</f>
        <v/>
      </c>
      <c r="AU24" s="1511" t="str">
        <f>IFNA(VLOOKUP(AS24,'法術資料'!$K$2:$X$805,7,FALSE),"")</f>
        <v/>
      </c>
      <c r="AV24" s="1141"/>
      <c r="AW24" s="1511" t="str">
        <f>IFNA(VLOOKUP(AS24,'法術資料'!$K$2:$X$805,8,FALSE),"")</f>
        <v/>
      </c>
      <c r="AX24" s="1141"/>
      <c r="AY24" s="1511" t="str">
        <f>IFNA(VLOOKUP(AS24,'法術資料'!$K$2:$X$805,14,FALSE),"")</f>
        <v/>
      </c>
      <c r="AZ24" s="1141"/>
      <c r="BA24" s="1365" t="str">
        <f>IFNA(VLOOKUP(AS24,'法術資料'!$K$2:$X$805,13,FALSE),"")</f>
        <v/>
      </c>
      <c r="BB24" s="1365" t="str">
        <f>IFNA(VLOOKUP(AS24,'法術資料'!$K$2:$X$805,5,FALSE),"")</f>
        <v/>
      </c>
      <c r="BC24" s="1365" t="str">
        <f>IFNA(VLOOKUP(AS24,'法術資料'!$K$2:$X$805,6,FALSE),"")</f>
        <v/>
      </c>
      <c r="BD24" s="1366" t="str">
        <f>IFNA(VLOOKUP(AS24,'法術資料'!$K$2:$X$805,9,FALSE),"")</f>
        <v/>
      </c>
      <c r="BE24" s="1367" t="str">
        <f>IFNA(VLOOKUP(AS24,'法術資料'!$K$2:$X$805,10,FALSE),"")</f>
        <v/>
      </c>
      <c r="BF24" s="1367" t="str">
        <f>IFNA(VLOOKUP($Y24,'法術資料'!$K$2:$X$805,11,FALSE),"")</f>
        <v/>
      </c>
      <c r="BG24" s="1511" t="str">
        <f>IFNA(VLOOKUP(AS24,'法術資料'!$K$2:$X$805,12,FALSE),"")</f>
        <v/>
      </c>
      <c r="BH24" s="376"/>
      <c r="BI24" s="1369"/>
      <c r="BJ24" s="455"/>
      <c r="BK24" s="1356"/>
      <c r="BL24" s="1509" t="b">
        <v>0</v>
      </c>
      <c r="BM24" s="1499"/>
      <c r="BN24" s="1512" t="str">
        <f>IFNA(VLOOKUP(BM24,'法術資料'!$K$2:$X$805,4,FALSE),"")
</f>
        <v/>
      </c>
      <c r="BO24" s="1511" t="str">
        <f>IFNA(VLOOKUP(BM24,'法術資料'!$K$2:$X$805,7,FALSE),"")</f>
        <v/>
      </c>
      <c r="BP24" s="1141"/>
      <c r="BQ24" s="1511" t="str">
        <f>IFNA(VLOOKUP(BM24,'法術資料'!$K$2:$X$805,8,FALSE),"")</f>
        <v/>
      </c>
      <c r="BR24" s="1141"/>
      <c r="BS24" s="1511" t="str">
        <f>IFNA(VLOOKUP(BM24,'法術資料'!$K$2:$X$805,14,FALSE),"")</f>
        <v/>
      </c>
      <c r="BT24" s="1141"/>
      <c r="BU24" s="1365" t="str">
        <f>IFNA(VLOOKUP(BM24,'法術資料'!$K$2:$X$805,13,FALSE),"")</f>
        <v/>
      </c>
      <c r="BV24" s="1365" t="str">
        <f>IFNA(VLOOKUP(BM24,'法術資料'!$K$2:$X$805,5,FALSE),"")</f>
        <v/>
      </c>
      <c r="BW24" s="1365" t="str">
        <f>IFNA(VLOOKUP(BM24,'法術資料'!$K$2:$X$805,6,FALSE),"")</f>
        <v/>
      </c>
      <c r="BX24" s="1366" t="str">
        <f>IFNA(VLOOKUP(BM24,'法術資料'!$K$2:$X$805,9,FALSE),"")</f>
        <v/>
      </c>
      <c r="BY24" s="1367" t="str">
        <f>IFNA(VLOOKUP(BM24,'法術資料'!$K$2:$X$805,10,FALSE),"")</f>
        <v/>
      </c>
      <c r="BZ24" s="1367" t="str">
        <f>IFNA(VLOOKUP($Y24,'法術資料'!$K$2:$X$805,11,FALSE),"")</f>
        <v/>
      </c>
      <c r="CA24" s="1511" t="str">
        <f>IFNA(VLOOKUP(BM24,'法術資料'!$K$2:$X$805,12,FALSE),"")</f>
        <v/>
      </c>
      <c r="CB24" s="376"/>
      <c r="CC24" s="1369"/>
      <c r="CD24" s="455"/>
      <c r="CE24" s="1356"/>
      <c r="CF24" s="1509" t="b">
        <v>0</v>
      </c>
      <c r="CG24" s="1499"/>
      <c r="CH24" s="1512" t="str">
        <f>IFNA(VLOOKUP(CG24,'法術資料'!$K$2:$X$805,4,FALSE),"")
</f>
        <v/>
      </c>
      <c r="CI24" s="1511" t="str">
        <f>IFNA(VLOOKUP(CG24,'法術資料'!$K$2:$X$805,7,FALSE),"")</f>
        <v/>
      </c>
      <c r="CJ24" s="1141"/>
      <c r="CK24" s="1511" t="str">
        <f>IFNA(VLOOKUP(CG24,'法術資料'!$K$2:$X$805,8,FALSE),"")</f>
        <v/>
      </c>
      <c r="CL24" s="1141"/>
      <c r="CM24" s="1511" t="str">
        <f>IFNA(VLOOKUP(CG24,'法術資料'!$K$2:$X$805,14,FALSE),"")</f>
        <v/>
      </c>
      <c r="CN24" s="1141"/>
      <c r="CO24" s="1365" t="str">
        <f>IFNA(VLOOKUP(CG24,'法術資料'!$K$2:$X$805,13,FALSE),"")</f>
        <v/>
      </c>
      <c r="CP24" s="1365" t="str">
        <f>IFNA(VLOOKUP(CG24,'法術資料'!$K$2:$X$805,5,FALSE),"")</f>
        <v/>
      </c>
      <c r="CQ24" s="1365" t="str">
        <f>IFNA(VLOOKUP(CG24,'法術資料'!$K$2:$X$805,6,FALSE),"")</f>
        <v/>
      </c>
      <c r="CR24" s="1366" t="str">
        <f>IFNA(VLOOKUP(CG24,'法術資料'!$K$2:$X$805,9,FALSE),"")</f>
        <v/>
      </c>
      <c r="CS24" s="1367" t="str">
        <f>IFNA(VLOOKUP(CG24,'法術資料'!$K$2:$X$805,10,FALSE),"")</f>
        <v/>
      </c>
      <c r="CT24" s="1367" t="str">
        <f>IFNA(VLOOKUP($Y24,'法術資料'!$K$2:$X$805,11,FALSE),"")</f>
        <v/>
      </c>
      <c r="CU24" s="1511" t="str">
        <f>IFNA(VLOOKUP(CG24,'法術資料'!$K$2:$X$805,12,FALSE),"")</f>
        <v/>
      </c>
      <c r="CV24" s="376"/>
      <c r="CW24" s="1369"/>
      <c r="CX24" s="455"/>
      <c r="CY24" s="1356"/>
      <c r="CZ24" s="1509" t="b">
        <v>0</v>
      </c>
      <c r="DA24" s="1499"/>
      <c r="DB24" s="1512" t="str">
        <f>IFNA(VLOOKUP(DA24,'法術資料'!$K$2:$X$805,4,FALSE),"")
</f>
        <v/>
      </c>
      <c r="DC24" s="1511" t="str">
        <f>IFNA(VLOOKUP(DA24,'法術資料'!$K$2:$X$805,7,FALSE),"")</f>
        <v/>
      </c>
      <c r="DD24" s="1141"/>
      <c r="DE24" s="1511" t="str">
        <f>IFNA(VLOOKUP(DA24,'法術資料'!$K$2:$X$805,8,FALSE),"")</f>
        <v/>
      </c>
      <c r="DF24" s="1141"/>
      <c r="DG24" s="1511" t="str">
        <f>IFNA(VLOOKUP(DA24,'法術資料'!$K$2:$X$805,14,FALSE),"")</f>
        <v/>
      </c>
      <c r="DH24" s="1141"/>
      <c r="DI24" s="1365" t="str">
        <f>IFNA(VLOOKUP(DA24,'法術資料'!$K$2:$X$805,13,FALSE),"")</f>
        <v/>
      </c>
      <c r="DJ24" s="1365" t="str">
        <f>IFNA(VLOOKUP(DA24,'法術資料'!$K$2:$X$805,5,FALSE),"")</f>
        <v/>
      </c>
      <c r="DK24" s="1365" t="str">
        <f>IFNA(VLOOKUP(DA24,'法術資料'!$K$2:$X$805,6,FALSE),"")</f>
        <v/>
      </c>
      <c r="DL24" s="1366" t="str">
        <f>IFNA(VLOOKUP(DA24,'法術資料'!$K$2:$X$805,9,FALSE),"")</f>
        <v/>
      </c>
      <c r="DM24" s="1367" t="str">
        <f>IFNA(VLOOKUP(DA24,'法術資料'!$K$2:$X$805,10,FALSE),"")</f>
        <v/>
      </c>
      <c r="DN24" s="1367" t="str">
        <f>IFNA(VLOOKUP($Y24,'法術資料'!$K$2:$X$805,11,FALSE),"")</f>
        <v/>
      </c>
      <c r="DO24" s="1511" t="str">
        <f>IFNA(VLOOKUP(DA24,'法術資料'!$K$2:$X$805,12,FALSE),"")</f>
        <v/>
      </c>
      <c r="DP24" s="376"/>
      <c r="DQ24" s="1369"/>
      <c r="DR24" s="455"/>
      <c r="DS24" s="1356"/>
      <c r="DT24" s="1509" t="b">
        <v>0</v>
      </c>
      <c r="DU24" s="1499"/>
      <c r="DV24" s="1512" t="str">
        <f>IFNA(VLOOKUP(DU24,'法術資料'!$K$2:$X$805,4,FALSE),"")
</f>
        <v/>
      </c>
      <c r="DW24" s="1511" t="str">
        <f>IFNA(VLOOKUP(DU24,'法術資料'!$K$2:$X$805,7,FALSE),"")</f>
        <v/>
      </c>
      <c r="DX24" s="1141"/>
      <c r="DY24" s="1511" t="str">
        <f>IFNA(VLOOKUP(DU24,'法術資料'!$K$2:$X$805,8,FALSE),"")</f>
        <v/>
      </c>
      <c r="DZ24" s="1141"/>
      <c r="EA24" s="1511" t="str">
        <f>IFNA(VLOOKUP(DU24,'法術資料'!$K$2:$X$805,14,FALSE),"")</f>
        <v/>
      </c>
      <c r="EB24" s="1141"/>
      <c r="EC24" s="1365" t="str">
        <f>IFNA(VLOOKUP(DU24,'法術資料'!$K$2:$X$805,13,FALSE),"")</f>
        <v/>
      </c>
      <c r="ED24" s="1365" t="str">
        <f>IFNA(VLOOKUP(DU24,'法術資料'!$K$2:$X$805,5,FALSE),"")</f>
        <v/>
      </c>
      <c r="EE24" s="1365" t="str">
        <f>IFNA(VLOOKUP(DU24,'法術資料'!$K$2:$X$805,6,FALSE),"")</f>
        <v/>
      </c>
      <c r="EF24" s="1366" t="str">
        <f>IFNA(VLOOKUP(DU24,'法術資料'!$K$2:$X$805,9,FALSE),"")</f>
        <v/>
      </c>
      <c r="EG24" s="1367" t="str">
        <f>IFNA(VLOOKUP(DU24,'法術資料'!$K$2:$X$805,10,FALSE),"")</f>
        <v/>
      </c>
      <c r="EH24" s="1367" t="str">
        <f>IFNA(VLOOKUP($Y24,'法術資料'!$K$2:$X$805,11,FALSE),"")</f>
        <v/>
      </c>
      <c r="EI24" s="1511" t="str">
        <f>IFNA(VLOOKUP(DU24,'法術資料'!$K$2:$X$805,12,FALSE),"")</f>
        <v/>
      </c>
      <c r="EJ24" s="376"/>
      <c r="EK24" s="1369"/>
      <c r="EL24" s="455"/>
      <c r="EM24" s="1356"/>
      <c r="EN24" s="1509" t="b">
        <v>0</v>
      </c>
      <c r="EO24" s="1502"/>
      <c r="EP24" s="1512" t="str">
        <f>IFNA(VLOOKUP(EO24,'法術資料'!$K$2:$X$805,4,FALSE),"")
</f>
        <v/>
      </c>
      <c r="EQ24" s="1511" t="str">
        <f>IFNA(VLOOKUP(EO24,'法術資料'!$K$2:$X$805,7,FALSE),"")</f>
        <v/>
      </c>
      <c r="ER24" s="1141"/>
      <c r="ES24" s="1511" t="str">
        <f>IFNA(VLOOKUP(EO24,'法術資料'!$K$2:$X$805,8,FALSE),"")</f>
        <v/>
      </c>
      <c r="ET24" s="1141"/>
      <c r="EU24" s="1511" t="str">
        <f>IFNA(VLOOKUP(EO24,'法術資料'!$K$2:$X$805,14,FALSE),"")</f>
        <v/>
      </c>
      <c r="EV24" s="1141"/>
      <c r="EW24" s="1365" t="str">
        <f>IFNA(VLOOKUP(EO24,'法術資料'!$K$2:$X$805,13,FALSE),"")</f>
        <v/>
      </c>
      <c r="EX24" s="1365" t="str">
        <f>IFNA(VLOOKUP(EO24,'法術資料'!$K$2:$X$805,5,FALSE),"")</f>
        <v/>
      </c>
      <c r="EY24" s="1365" t="str">
        <f>IFNA(VLOOKUP(EO24,'法術資料'!$K$2:$X$805,6,FALSE),"")</f>
        <v/>
      </c>
      <c r="EZ24" s="1366" t="str">
        <f>IFNA(VLOOKUP(EO24,'法術資料'!$K$2:$X$805,9,FALSE),"")</f>
        <v/>
      </c>
      <c r="FA24" s="1367" t="str">
        <f>IFNA(VLOOKUP(EO24,'法術資料'!$K$2:$X$805,10,FALSE),"")</f>
        <v/>
      </c>
      <c r="FB24" s="1367" t="str">
        <f>IFNA(VLOOKUP($Y24,'法術資料'!$K$2:$X$805,11,FALSE),"")</f>
        <v/>
      </c>
      <c r="FC24" s="1511" t="str">
        <f>IFNA(VLOOKUP(EO24,'法術資料'!$K$2:$X$805,12,FALSE),"")</f>
        <v/>
      </c>
      <c r="FD24" s="376"/>
      <c r="FE24" s="1369"/>
      <c r="FF24" s="455"/>
      <c r="FG24" s="1356"/>
      <c r="FH24" s="1509" t="b">
        <v>0</v>
      </c>
      <c r="FI24" s="1502"/>
      <c r="FJ24" s="1512" t="str">
        <f>IFNA(VLOOKUP(FI24,'法術資料'!$K$2:$X$805,4,FALSE),"")
</f>
        <v/>
      </c>
      <c r="FK24" s="1511" t="str">
        <f>IFNA(VLOOKUP(FI24,'法術資料'!$K$2:$X$805,7,FALSE),"")</f>
        <v/>
      </c>
      <c r="FL24" s="1141"/>
      <c r="FM24" s="1511" t="str">
        <f>IFNA(VLOOKUP(FI24,'法術資料'!$K$2:$X$805,8,FALSE),"")</f>
        <v/>
      </c>
      <c r="FN24" s="1141"/>
      <c r="FO24" s="1511" t="str">
        <f>IFNA(VLOOKUP(FI24,'法術資料'!$K$2:$X$805,14,FALSE),"")</f>
        <v/>
      </c>
      <c r="FP24" s="1141"/>
      <c r="FQ24" s="1365" t="str">
        <f>IFNA(VLOOKUP(FI24,'法術資料'!$K$2:$X$805,13,FALSE),"")</f>
        <v/>
      </c>
      <c r="FR24" s="1365" t="str">
        <f>IFNA(VLOOKUP(FI24,'法術資料'!$K$2:$X$805,5,FALSE),"")</f>
        <v/>
      </c>
      <c r="FS24" s="1365" t="str">
        <f>IFNA(VLOOKUP(FI24,'法術資料'!$K$2:$X$805,6,FALSE),"")</f>
        <v/>
      </c>
      <c r="FT24" s="1366" t="str">
        <f>IFNA(VLOOKUP(FI24,'法術資料'!$K$2:$X$805,9,FALSE),"")</f>
        <v/>
      </c>
      <c r="FU24" s="1367" t="str">
        <f>IFNA(VLOOKUP(FI24,'法術資料'!$K$2:$X$805,10,FALSE),"")</f>
        <v/>
      </c>
      <c r="FV24" s="1367" t="str">
        <f>IFNA(VLOOKUP($Y24,'法術資料'!$K$2:$X$805,11,FALSE),"")</f>
        <v/>
      </c>
      <c r="FW24" s="1511" t="str">
        <f>IFNA(VLOOKUP(FI24,'法術資料'!$K$2:$X$805,12,FALSE),"")</f>
        <v/>
      </c>
      <c r="FX24" s="376"/>
      <c r="FY24" s="1369"/>
      <c r="FZ24" s="455"/>
    </row>
    <row r="25">
      <c r="A25" s="455"/>
      <c r="B25" s="1356"/>
      <c r="C25" s="1503" t="b">
        <v>0</v>
      </c>
      <c r="D25" s="1504"/>
      <c r="E25" s="1505" t="str">
        <f>IFNA(VLOOKUP($D25,'法術資料'!$K$2:$X$805,4,FALSE),"")
</f>
        <v/>
      </c>
      <c r="F25" s="1506" t="str">
        <f>IFNA(VLOOKUP($D25,'法術資料'!$K$2:$X$805,7,FALSE),"")</f>
        <v/>
      </c>
      <c r="G25" s="1141"/>
      <c r="H25" s="1506" t="str">
        <f>IFNA(VLOOKUP($D25,'法術資料'!$K$2:$X$805,8,FALSE),"")</f>
        <v/>
      </c>
      <c r="I25" s="1141"/>
      <c r="J25" s="1506" t="str">
        <f>IFNA(VLOOKUP($D25,'法術資料'!$K$2:$X$805,14,FALSE),"")</f>
        <v/>
      </c>
      <c r="K25" s="1141"/>
      <c r="L25" s="1506" t="str">
        <f>IFNA(VLOOKUP($D25,'法術資料'!$K$2:$X$805,13,FALSE),"")</f>
        <v/>
      </c>
      <c r="M25" s="1141"/>
      <c r="N25" s="1377" t="str">
        <f>IFNA(VLOOKUP($D25,'法術資料'!$K$2:$X$805,5,FALSE),"")</f>
        <v/>
      </c>
      <c r="O25" s="1377" t="str">
        <f>IFNA(VLOOKUP($D25,'法術資料'!$K$2:$X$805,6,FALSE),"")</f>
        <v/>
      </c>
      <c r="P25" s="1378" t="str">
        <f>IFNA(VLOOKUP($D25,'法術資料'!$K$2:$X$805,9,FALSE),"")</f>
        <v/>
      </c>
      <c r="Q25" s="1379" t="str">
        <f>IFNA(VLOOKUP($D25,'法術資料'!$K$2:$X$805,10,FALSE),"")</f>
        <v/>
      </c>
      <c r="R25" s="1379" t="str">
        <f>IFNA(VLOOKUP($D25,'法術資料'!$K$2:$X$805,11,FALSE),"")</f>
        <v/>
      </c>
      <c r="S25" s="1506" t="str">
        <f>IFNA(VLOOKUP($D25,'法術資料'!$K$2:$X$805,12,FALSE),"")</f>
        <v/>
      </c>
      <c r="T25" s="376"/>
      <c r="U25" s="1369"/>
      <c r="V25" s="455"/>
      <c r="W25" s="1356"/>
      <c r="X25" s="1513" t="b">
        <v>0</v>
      </c>
      <c r="Y25" s="1504"/>
      <c r="Z25" s="1507" t="str">
        <f>IFNA(VLOOKUP(Y25,'法術資料'!$K$2:$X$805,4,FALSE),"")
</f>
        <v/>
      </c>
      <c r="AA25" s="1506" t="str">
        <f>IFNA(VLOOKUP($Y25,'法術資料'!$K$2:$X$805,7,FALSE),"")</f>
        <v/>
      </c>
      <c r="AB25" s="1141"/>
      <c r="AC25" s="1506" t="str">
        <f>IFNA(VLOOKUP($Y25,'法術資料'!$K$2:$X$805,8,FALSE),"")</f>
        <v/>
      </c>
      <c r="AD25" s="1141"/>
      <c r="AE25" s="1506" t="str">
        <f>IFNA(VLOOKUP($Y25,'法術資料'!$K$2:$X$805,14,FALSE),"")</f>
        <v/>
      </c>
      <c r="AF25" s="1141"/>
      <c r="AG25" s="1377" t="str">
        <f>IFNA(VLOOKUP($Y25,'法術資料'!$K$2:$X$805,13,FALSE),"")</f>
        <v/>
      </c>
      <c r="AH25" s="1377" t="str">
        <f>IFNA(VLOOKUP($Y25,'法術資料'!$K$2:$X$805,5,FALSE),"")</f>
        <v/>
      </c>
      <c r="AI25" s="1377" t="str">
        <f>IFNA(VLOOKUP($Y25,'法術資料'!$K$2:$X$805,6,FALSE),"")</f>
        <v/>
      </c>
      <c r="AJ25" s="1378" t="str">
        <f>IFNA(VLOOKUP($Y25,'法術資料'!$K$2:$X$805,9,FALSE),"")</f>
        <v/>
      </c>
      <c r="AK25" s="1379" t="str">
        <f>IFNA(VLOOKUP($Y25,'法術資料'!$K$2:$X$805,10,FALSE),"")</f>
        <v/>
      </c>
      <c r="AL25" s="1379" t="str">
        <f>IFNA(VLOOKUP($Y25,'法術資料'!$K$2:$X$805,11,FALSE),"")</f>
        <v/>
      </c>
      <c r="AM25" s="1506" t="str">
        <f>IFNA(VLOOKUP($Y25,'法術資料'!$K$2:$X$805,12,FALSE),"")</f>
        <v/>
      </c>
      <c r="AN25" s="376"/>
      <c r="AO25" s="1369"/>
      <c r="AP25" s="455"/>
      <c r="AQ25" s="1356"/>
      <c r="AR25" s="1503" t="b">
        <v>0</v>
      </c>
      <c r="AS25" s="1504"/>
      <c r="AT25" s="1507" t="str">
        <f>IFNA(VLOOKUP(AS25,'法術資料'!$K$2:$X$805,4,FALSE),"")
</f>
        <v/>
      </c>
      <c r="AU25" s="1506" t="str">
        <f>IFNA(VLOOKUP(AS25,'法術資料'!$K$2:$X$805,7,FALSE),"")</f>
        <v/>
      </c>
      <c r="AV25" s="1141"/>
      <c r="AW25" s="1506" t="str">
        <f>IFNA(VLOOKUP(AS25,'法術資料'!$K$2:$X$805,8,FALSE),"")</f>
        <v/>
      </c>
      <c r="AX25" s="1141"/>
      <c r="AY25" s="1506" t="str">
        <f>IFNA(VLOOKUP(AS25,'法術資料'!$K$2:$X$805,14,FALSE),"")</f>
        <v/>
      </c>
      <c r="AZ25" s="1141"/>
      <c r="BA25" s="1377" t="str">
        <f>IFNA(VLOOKUP(AS25,'法術資料'!$K$2:$X$805,13,FALSE),"")</f>
        <v/>
      </c>
      <c r="BB25" s="1377" t="str">
        <f>IFNA(VLOOKUP(AS25,'法術資料'!$K$2:$X$805,5,FALSE),"")</f>
        <v/>
      </c>
      <c r="BC25" s="1377" t="str">
        <f>IFNA(VLOOKUP(AS25,'法術資料'!$K$2:$X$805,6,FALSE),"")</f>
        <v/>
      </c>
      <c r="BD25" s="1378" t="str">
        <f>IFNA(VLOOKUP(AS25,'法術資料'!$K$2:$X$805,9,FALSE),"")</f>
        <v/>
      </c>
      <c r="BE25" s="1379" t="str">
        <f>IFNA(VLOOKUP(AS25,'法術資料'!$K$2:$X$805,10,FALSE),"")</f>
        <v/>
      </c>
      <c r="BF25" s="1379" t="str">
        <f>IFNA(VLOOKUP($Y25,'法術資料'!$K$2:$X$805,11,FALSE),"")</f>
        <v/>
      </c>
      <c r="BG25" s="1506" t="str">
        <f>IFNA(VLOOKUP(AS25,'法術資料'!$K$2:$X$805,12,FALSE),"")</f>
        <v/>
      </c>
      <c r="BH25" s="376"/>
      <c r="BI25" s="1369"/>
      <c r="BJ25" s="455"/>
      <c r="BK25" s="1356"/>
      <c r="BL25" s="1503" t="b">
        <v>0</v>
      </c>
      <c r="BM25" s="1504"/>
      <c r="BN25" s="1507" t="str">
        <f>IFNA(VLOOKUP(BM25,'法術資料'!$K$2:$X$805,4,FALSE),"")
</f>
        <v/>
      </c>
      <c r="BO25" s="1506" t="str">
        <f>IFNA(VLOOKUP(BM25,'法術資料'!$K$2:$X$805,7,FALSE),"")</f>
        <v/>
      </c>
      <c r="BP25" s="1141"/>
      <c r="BQ25" s="1506" t="str">
        <f>IFNA(VLOOKUP(BM25,'法術資料'!$K$2:$X$805,8,FALSE),"")</f>
        <v/>
      </c>
      <c r="BR25" s="1141"/>
      <c r="BS25" s="1506" t="str">
        <f>IFNA(VLOOKUP(BM25,'法術資料'!$K$2:$X$805,14,FALSE),"")</f>
        <v/>
      </c>
      <c r="BT25" s="1141"/>
      <c r="BU25" s="1377" t="str">
        <f>IFNA(VLOOKUP(BM25,'法術資料'!$K$2:$X$805,13,FALSE),"")</f>
        <v/>
      </c>
      <c r="BV25" s="1377" t="str">
        <f>IFNA(VLOOKUP(BM25,'法術資料'!$K$2:$X$805,5,FALSE),"")</f>
        <v/>
      </c>
      <c r="BW25" s="1377" t="str">
        <f>IFNA(VLOOKUP(BM25,'法術資料'!$K$2:$X$805,6,FALSE),"")</f>
        <v/>
      </c>
      <c r="BX25" s="1378" t="str">
        <f>IFNA(VLOOKUP(BM25,'法術資料'!$K$2:$X$805,9,FALSE),"")</f>
        <v/>
      </c>
      <c r="BY25" s="1379" t="str">
        <f>IFNA(VLOOKUP(BM25,'法術資料'!$K$2:$X$805,10,FALSE),"")</f>
        <v/>
      </c>
      <c r="BZ25" s="1379" t="str">
        <f>IFNA(VLOOKUP($Y25,'法術資料'!$K$2:$X$805,11,FALSE),"")</f>
        <v/>
      </c>
      <c r="CA25" s="1506" t="str">
        <f>IFNA(VLOOKUP(BM25,'法術資料'!$K$2:$X$805,12,FALSE),"")</f>
        <v/>
      </c>
      <c r="CB25" s="376"/>
      <c r="CC25" s="1369"/>
      <c r="CD25" s="455"/>
      <c r="CE25" s="1356"/>
      <c r="CF25" s="1503" t="b">
        <v>0</v>
      </c>
      <c r="CG25" s="1504"/>
      <c r="CH25" s="1507" t="str">
        <f>IFNA(VLOOKUP(CG25,'法術資料'!$K$2:$X$805,4,FALSE),"")
</f>
        <v/>
      </c>
      <c r="CI25" s="1506" t="str">
        <f>IFNA(VLOOKUP(CG25,'法術資料'!$K$2:$X$805,7,FALSE),"")</f>
        <v/>
      </c>
      <c r="CJ25" s="1141"/>
      <c r="CK25" s="1506" t="str">
        <f>IFNA(VLOOKUP(CG25,'法術資料'!$K$2:$X$805,8,FALSE),"")</f>
        <v/>
      </c>
      <c r="CL25" s="1141"/>
      <c r="CM25" s="1506" t="str">
        <f>IFNA(VLOOKUP(CG25,'法術資料'!$K$2:$X$805,14,FALSE),"")</f>
        <v/>
      </c>
      <c r="CN25" s="1141"/>
      <c r="CO25" s="1377" t="str">
        <f>IFNA(VLOOKUP(CG25,'法術資料'!$K$2:$X$805,13,FALSE),"")</f>
        <v/>
      </c>
      <c r="CP25" s="1377" t="str">
        <f>IFNA(VLOOKUP(CG25,'法術資料'!$K$2:$X$805,5,FALSE),"")</f>
        <v/>
      </c>
      <c r="CQ25" s="1377" t="str">
        <f>IFNA(VLOOKUP(CG25,'法術資料'!$K$2:$X$805,6,FALSE),"")</f>
        <v/>
      </c>
      <c r="CR25" s="1378" t="str">
        <f>IFNA(VLOOKUP(CG25,'法術資料'!$K$2:$X$805,9,FALSE),"")</f>
        <v/>
      </c>
      <c r="CS25" s="1379" t="str">
        <f>IFNA(VLOOKUP(CG25,'法術資料'!$K$2:$X$805,10,FALSE),"")</f>
        <v/>
      </c>
      <c r="CT25" s="1379" t="str">
        <f>IFNA(VLOOKUP($Y25,'法術資料'!$K$2:$X$805,11,FALSE),"")</f>
        <v/>
      </c>
      <c r="CU25" s="1506" t="str">
        <f>IFNA(VLOOKUP(CG25,'法術資料'!$K$2:$X$805,12,FALSE),"")</f>
        <v/>
      </c>
      <c r="CV25" s="376"/>
      <c r="CW25" s="1369"/>
      <c r="CX25" s="455"/>
      <c r="CY25" s="1356"/>
      <c r="CZ25" s="1503" t="b">
        <v>0</v>
      </c>
      <c r="DA25" s="1504"/>
      <c r="DB25" s="1507" t="str">
        <f>IFNA(VLOOKUP(DA25,'法術資料'!$K$2:$X$805,4,FALSE),"")
</f>
        <v/>
      </c>
      <c r="DC25" s="1506" t="str">
        <f>IFNA(VLOOKUP(DA25,'法術資料'!$K$2:$X$805,7,FALSE),"")</f>
        <v/>
      </c>
      <c r="DD25" s="1141"/>
      <c r="DE25" s="1506" t="str">
        <f>IFNA(VLOOKUP(DA25,'法術資料'!$K$2:$X$805,8,FALSE),"")</f>
        <v/>
      </c>
      <c r="DF25" s="1141"/>
      <c r="DG25" s="1506" t="str">
        <f>IFNA(VLOOKUP(DA25,'法術資料'!$K$2:$X$805,14,FALSE),"")</f>
        <v/>
      </c>
      <c r="DH25" s="1141"/>
      <c r="DI25" s="1377" t="str">
        <f>IFNA(VLOOKUP(DA25,'法術資料'!$K$2:$X$805,13,FALSE),"")</f>
        <v/>
      </c>
      <c r="DJ25" s="1377" t="str">
        <f>IFNA(VLOOKUP(DA25,'法術資料'!$K$2:$X$805,5,FALSE),"")</f>
        <v/>
      </c>
      <c r="DK25" s="1377" t="str">
        <f>IFNA(VLOOKUP(DA25,'法術資料'!$K$2:$X$805,6,FALSE),"")</f>
        <v/>
      </c>
      <c r="DL25" s="1378" t="str">
        <f>IFNA(VLOOKUP(DA25,'法術資料'!$K$2:$X$805,9,FALSE),"")</f>
        <v/>
      </c>
      <c r="DM25" s="1379" t="str">
        <f>IFNA(VLOOKUP(DA25,'法術資料'!$K$2:$X$805,10,FALSE),"")</f>
        <v/>
      </c>
      <c r="DN25" s="1379" t="str">
        <f>IFNA(VLOOKUP($Y25,'法術資料'!$K$2:$X$805,11,FALSE),"")</f>
        <v/>
      </c>
      <c r="DO25" s="1506" t="str">
        <f>IFNA(VLOOKUP(DA25,'法術資料'!$K$2:$X$805,12,FALSE),"")</f>
        <v/>
      </c>
      <c r="DP25" s="376"/>
      <c r="DQ25" s="1369"/>
      <c r="DR25" s="455"/>
      <c r="DS25" s="1356"/>
      <c r="DT25" s="1503" t="b">
        <v>0</v>
      </c>
      <c r="DU25" s="1504"/>
      <c r="DV25" s="1507" t="str">
        <f>IFNA(VLOOKUP(DU25,'法術資料'!$K$2:$X$805,4,FALSE),"")
</f>
        <v/>
      </c>
      <c r="DW25" s="1506" t="str">
        <f>IFNA(VLOOKUP(DU25,'法術資料'!$K$2:$X$805,7,FALSE),"")</f>
        <v/>
      </c>
      <c r="DX25" s="1141"/>
      <c r="DY25" s="1506" t="str">
        <f>IFNA(VLOOKUP(DU25,'法術資料'!$K$2:$X$805,8,FALSE),"")</f>
        <v/>
      </c>
      <c r="DZ25" s="1141"/>
      <c r="EA25" s="1506" t="str">
        <f>IFNA(VLOOKUP(DU25,'法術資料'!$K$2:$X$805,14,FALSE),"")</f>
        <v/>
      </c>
      <c r="EB25" s="1141"/>
      <c r="EC25" s="1377" t="str">
        <f>IFNA(VLOOKUP(DU25,'法術資料'!$K$2:$X$805,13,FALSE),"")</f>
        <v/>
      </c>
      <c r="ED25" s="1377" t="str">
        <f>IFNA(VLOOKUP(DU25,'法術資料'!$K$2:$X$805,5,FALSE),"")</f>
        <v/>
      </c>
      <c r="EE25" s="1377" t="str">
        <f>IFNA(VLOOKUP(DU25,'法術資料'!$K$2:$X$805,6,FALSE),"")</f>
        <v/>
      </c>
      <c r="EF25" s="1378" t="str">
        <f>IFNA(VLOOKUP(DU25,'法術資料'!$K$2:$X$805,9,FALSE),"")</f>
        <v/>
      </c>
      <c r="EG25" s="1379" t="str">
        <f>IFNA(VLOOKUP(DU25,'法術資料'!$K$2:$X$805,10,FALSE),"")</f>
        <v/>
      </c>
      <c r="EH25" s="1379" t="str">
        <f>IFNA(VLOOKUP($Y25,'法術資料'!$K$2:$X$805,11,FALSE),"")</f>
        <v/>
      </c>
      <c r="EI25" s="1506" t="str">
        <f>IFNA(VLOOKUP(DU25,'法術資料'!$K$2:$X$805,12,FALSE),"")</f>
        <v/>
      </c>
      <c r="EJ25" s="376"/>
      <c r="EK25" s="1369"/>
      <c r="EL25" s="455"/>
      <c r="EM25" s="1356"/>
      <c r="EN25" s="1503" t="b">
        <v>0</v>
      </c>
      <c r="EO25" s="1508"/>
      <c r="EP25" s="1507" t="str">
        <f>IFNA(VLOOKUP(EO25,'法術資料'!$K$2:$X$805,4,FALSE),"")
</f>
        <v/>
      </c>
      <c r="EQ25" s="1506" t="str">
        <f>IFNA(VLOOKUP(EO25,'法術資料'!$K$2:$X$805,7,FALSE),"")</f>
        <v/>
      </c>
      <c r="ER25" s="1141"/>
      <c r="ES25" s="1506" t="str">
        <f>IFNA(VLOOKUP(EO25,'法術資料'!$K$2:$X$805,8,FALSE),"")</f>
        <v/>
      </c>
      <c r="ET25" s="1141"/>
      <c r="EU25" s="1506" t="str">
        <f>IFNA(VLOOKUP(EO25,'法術資料'!$K$2:$X$805,14,FALSE),"")</f>
        <v/>
      </c>
      <c r="EV25" s="1141"/>
      <c r="EW25" s="1377" t="str">
        <f>IFNA(VLOOKUP(EO25,'法術資料'!$K$2:$X$805,13,FALSE),"")</f>
        <v/>
      </c>
      <c r="EX25" s="1377" t="str">
        <f>IFNA(VLOOKUP(EO25,'法術資料'!$K$2:$X$805,5,FALSE),"")</f>
        <v/>
      </c>
      <c r="EY25" s="1377" t="str">
        <f>IFNA(VLOOKUP(EO25,'法術資料'!$K$2:$X$805,6,FALSE),"")</f>
        <v/>
      </c>
      <c r="EZ25" s="1378" t="str">
        <f>IFNA(VLOOKUP(EO25,'法術資料'!$K$2:$X$805,9,FALSE),"")</f>
        <v/>
      </c>
      <c r="FA25" s="1379" t="str">
        <f>IFNA(VLOOKUP(EO25,'法術資料'!$K$2:$X$805,10,FALSE),"")</f>
        <v/>
      </c>
      <c r="FB25" s="1379" t="str">
        <f>IFNA(VLOOKUP($Y25,'法術資料'!$K$2:$X$805,11,FALSE),"")</f>
        <v/>
      </c>
      <c r="FC25" s="1506" t="str">
        <f>IFNA(VLOOKUP(EO25,'法術資料'!$K$2:$X$805,12,FALSE),"")</f>
        <v/>
      </c>
      <c r="FD25" s="376"/>
      <c r="FE25" s="1369"/>
      <c r="FF25" s="455"/>
      <c r="FG25" s="1356"/>
      <c r="FH25" s="1503" t="b">
        <v>0</v>
      </c>
      <c r="FI25" s="1508"/>
      <c r="FJ25" s="1507" t="str">
        <f>IFNA(VLOOKUP(FI25,'法術資料'!$K$2:$X$805,4,FALSE),"")
</f>
        <v/>
      </c>
      <c r="FK25" s="1506" t="str">
        <f>IFNA(VLOOKUP(FI25,'法術資料'!$K$2:$X$805,7,FALSE),"")</f>
        <v/>
      </c>
      <c r="FL25" s="1141"/>
      <c r="FM25" s="1506" t="str">
        <f>IFNA(VLOOKUP(FI25,'法術資料'!$K$2:$X$805,8,FALSE),"")</f>
        <v/>
      </c>
      <c r="FN25" s="1141"/>
      <c r="FO25" s="1506" t="str">
        <f>IFNA(VLOOKUP(FI25,'法術資料'!$K$2:$X$805,14,FALSE),"")</f>
        <v/>
      </c>
      <c r="FP25" s="1141"/>
      <c r="FQ25" s="1377" t="str">
        <f>IFNA(VLOOKUP(FI25,'法術資料'!$K$2:$X$805,13,FALSE),"")</f>
        <v/>
      </c>
      <c r="FR25" s="1377" t="str">
        <f>IFNA(VLOOKUP(FI25,'法術資料'!$K$2:$X$805,5,FALSE),"")</f>
        <v/>
      </c>
      <c r="FS25" s="1377" t="str">
        <f>IFNA(VLOOKUP(FI25,'法術資料'!$K$2:$X$805,6,FALSE),"")</f>
        <v/>
      </c>
      <c r="FT25" s="1378" t="str">
        <f>IFNA(VLOOKUP(FI25,'法術資料'!$K$2:$X$805,9,FALSE),"")</f>
        <v/>
      </c>
      <c r="FU25" s="1379" t="str">
        <f>IFNA(VLOOKUP(FI25,'法術資料'!$K$2:$X$805,10,FALSE),"")</f>
        <v/>
      </c>
      <c r="FV25" s="1379" t="str">
        <f>IFNA(VLOOKUP($Y25,'法術資料'!$K$2:$X$805,11,FALSE),"")</f>
        <v/>
      </c>
      <c r="FW25" s="1506" t="str">
        <f>IFNA(VLOOKUP(FI25,'法術資料'!$K$2:$X$805,12,FALSE),"")</f>
        <v/>
      </c>
      <c r="FX25" s="376"/>
      <c r="FY25" s="1369"/>
      <c r="FZ25" s="455"/>
    </row>
    <row r="26">
      <c r="A26" s="455"/>
      <c r="B26" s="1356"/>
      <c r="C26" s="1509" t="b">
        <v>0</v>
      </c>
      <c r="D26" s="1502"/>
      <c r="E26" s="1510" t="str">
        <f>IFNA(VLOOKUP($D26,'法術資料'!$K$2:$X$805,4,FALSE),"")
</f>
        <v/>
      </c>
      <c r="F26" s="1511" t="str">
        <f>IFNA(VLOOKUP($D26,'法術資料'!$K$2:$X$805,7,FALSE),"")</f>
        <v/>
      </c>
      <c r="G26" s="1141"/>
      <c r="H26" s="1511" t="str">
        <f>IFNA(VLOOKUP($D26,'法術資料'!$K$2:$X$805,8,FALSE),"")</f>
        <v/>
      </c>
      <c r="I26" s="1141"/>
      <c r="J26" s="1511" t="str">
        <f>IFNA(VLOOKUP($D26,'法術資料'!$K$2:$X$805,14,FALSE),"")</f>
        <v/>
      </c>
      <c r="K26" s="1141"/>
      <c r="L26" s="1511" t="str">
        <f>IFNA(VLOOKUP($D26,'法術資料'!$K$2:$X$805,13,FALSE),"")</f>
        <v/>
      </c>
      <c r="M26" s="1141"/>
      <c r="N26" s="1365" t="str">
        <f>IFNA(VLOOKUP($D26,'法術資料'!$K$2:$X$805,5,FALSE),"")</f>
        <v/>
      </c>
      <c r="O26" s="1365" t="str">
        <f>IFNA(VLOOKUP($D26,'法術資料'!$K$2:$X$805,6,FALSE),"")</f>
        <v/>
      </c>
      <c r="P26" s="1366" t="str">
        <f>IFNA(VLOOKUP($D26,'法術資料'!$K$2:$X$805,9,FALSE),"")</f>
        <v/>
      </c>
      <c r="Q26" s="1367" t="str">
        <f>IFNA(VLOOKUP($D26,'法術資料'!$K$2:$X$805,10,FALSE),"")</f>
        <v/>
      </c>
      <c r="R26" s="1367" t="str">
        <f>IFNA(VLOOKUP($D26,'法術資料'!$K$2:$X$805,11,FALSE),"")</f>
        <v/>
      </c>
      <c r="S26" s="1511" t="str">
        <f>IFNA(VLOOKUP($D26,'法術資料'!$K$2:$X$805,12,FALSE),"")</f>
        <v/>
      </c>
      <c r="T26" s="376"/>
      <c r="U26" s="1369"/>
      <c r="V26" s="455"/>
      <c r="W26" s="1356"/>
      <c r="X26" s="1509" t="b">
        <v>0</v>
      </c>
      <c r="Y26" s="1502"/>
      <c r="Z26" s="1512" t="str">
        <f>IFNA(VLOOKUP(Y26,'法術資料'!$K$2:$X$805,4,FALSE),"")
</f>
        <v/>
      </c>
      <c r="AA26" s="1511" t="str">
        <f>IFNA(VLOOKUP($Y26,'法術資料'!$K$2:$X$805,7,FALSE),"")</f>
        <v/>
      </c>
      <c r="AB26" s="1141"/>
      <c r="AC26" s="1511" t="str">
        <f>IFNA(VLOOKUP($Y26,'法術資料'!$K$2:$X$805,8,FALSE),"")</f>
        <v/>
      </c>
      <c r="AD26" s="1141"/>
      <c r="AE26" s="1511" t="str">
        <f>IFNA(VLOOKUP($Y26,'法術資料'!$K$2:$X$805,14,FALSE),"")</f>
        <v/>
      </c>
      <c r="AF26" s="1141"/>
      <c r="AG26" s="1365" t="str">
        <f>IFNA(VLOOKUP($Y26,'法術資料'!$K$2:$X$805,13,FALSE),"")</f>
        <v/>
      </c>
      <c r="AH26" s="1365" t="str">
        <f>IFNA(VLOOKUP($Y26,'法術資料'!$K$2:$X$805,5,FALSE),"")</f>
        <v/>
      </c>
      <c r="AI26" s="1365" t="str">
        <f>IFNA(VLOOKUP($Y26,'法術資料'!$K$2:$X$805,6,FALSE),"")</f>
        <v/>
      </c>
      <c r="AJ26" s="1366" t="str">
        <f>IFNA(VLOOKUP($Y26,'法術資料'!$K$2:$X$805,9,FALSE),"")</f>
        <v/>
      </c>
      <c r="AK26" s="1367" t="str">
        <f>IFNA(VLOOKUP($Y26,'法術資料'!$K$2:$X$805,10,FALSE),"")</f>
        <v/>
      </c>
      <c r="AL26" s="1367" t="str">
        <f>IFNA(VLOOKUP($Y26,'法術資料'!$K$2:$X$805,11,FALSE),"")</f>
        <v/>
      </c>
      <c r="AM26" s="1511" t="str">
        <f>IFNA(VLOOKUP($Y26,'法術資料'!$K$2:$X$805,12,FALSE),"")</f>
        <v/>
      </c>
      <c r="AN26" s="376"/>
      <c r="AO26" s="1369"/>
      <c r="AP26" s="455"/>
      <c r="AQ26" s="1356"/>
      <c r="AR26" s="1509" t="b">
        <v>0</v>
      </c>
      <c r="AS26" s="1502"/>
      <c r="AT26" s="1512" t="str">
        <f>IFNA(VLOOKUP(AS26,'法術資料'!$K$2:$X$805,4,FALSE),"")
</f>
        <v/>
      </c>
      <c r="AU26" s="1511" t="str">
        <f>IFNA(VLOOKUP(AS26,'法術資料'!$K$2:$X$805,7,FALSE),"")</f>
        <v/>
      </c>
      <c r="AV26" s="1141"/>
      <c r="AW26" s="1511" t="str">
        <f>IFNA(VLOOKUP(AS26,'法術資料'!$K$2:$X$805,8,FALSE),"")</f>
        <v/>
      </c>
      <c r="AX26" s="1141"/>
      <c r="AY26" s="1511" t="str">
        <f>IFNA(VLOOKUP(AS26,'法術資料'!$K$2:$X$805,14,FALSE),"")</f>
        <v/>
      </c>
      <c r="AZ26" s="1141"/>
      <c r="BA26" s="1365" t="str">
        <f>IFNA(VLOOKUP(AS26,'法術資料'!$K$2:$X$805,13,FALSE),"")</f>
        <v/>
      </c>
      <c r="BB26" s="1365" t="str">
        <f>IFNA(VLOOKUP(AS26,'法術資料'!$K$2:$X$805,5,FALSE),"")</f>
        <v/>
      </c>
      <c r="BC26" s="1365" t="str">
        <f>IFNA(VLOOKUP(AS26,'法術資料'!$K$2:$X$805,6,FALSE),"")</f>
        <v/>
      </c>
      <c r="BD26" s="1366" t="str">
        <f>IFNA(VLOOKUP(AS26,'法術資料'!$K$2:$X$805,9,FALSE),"")</f>
        <v/>
      </c>
      <c r="BE26" s="1367" t="str">
        <f>IFNA(VLOOKUP(AS26,'法術資料'!$K$2:$X$805,10,FALSE),"")</f>
        <v/>
      </c>
      <c r="BF26" s="1367" t="str">
        <f>IFNA(VLOOKUP($Y26,'法術資料'!$K$2:$X$805,11,FALSE),"")</f>
        <v/>
      </c>
      <c r="BG26" s="1511" t="str">
        <f>IFNA(VLOOKUP(AS26,'法術資料'!$K$2:$X$805,12,FALSE),"")</f>
        <v/>
      </c>
      <c r="BH26" s="376"/>
      <c r="BI26" s="1369"/>
      <c r="BJ26" s="455"/>
      <c r="BK26" s="1356"/>
      <c r="BL26" s="1509" t="b">
        <v>0</v>
      </c>
      <c r="BM26" s="1502"/>
      <c r="BN26" s="1512" t="str">
        <f>IFNA(VLOOKUP(BM26,'法術資料'!$K$2:$X$805,4,FALSE),"")
</f>
        <v/>
      </c>
      <c r="BO26" s="1511" t="str">
        <f>IFNA(VLOOKUP(BM26,'法術資料'!$K$2:$X$805,7,FALSE),"")</f>
        <v/>
      </c>
      <c r="BP26" s="1141"/>
      <c r="BQ26" s="1511" t="str">
        <f>IFNA(VLOOKUP(BM26,'法術資料'!$K$2:$X$805,8,FALSE),"")</f>
        <v/>
      </c>
      <c r="BR26" s="1141"/>
      <c r="BS26" s="1511" t="str">
        <f>IFNA(VLOOKUP(BM26,'法術資料'!$K$2:$X$805,14,FALSE),"")</f>
        <v/>
      </c>
      <c r="BT26" s="1141"/>
      <c r="BU26" s="1365" t="str">
        <f>IFNA(VLOOKUP(BM26,'法術資料'!$K$2:$X$805,13,FALSE),"")</f>
        <v/>
      </c>
      <c r="BV26" s="1365" t="str">
        <f>IFNA(VLOOKUP(BM26,'法術資料'!$K$2:$X$805,5,FALSE),"")</f>
        <v/>
      </c>
      <c r="BW26" s="1365" t="str">
        <f>IFNA(VLOOKUP(BM26,'法術資料'!$K$2:$X$805,6,FALSE),"")</f>
        <v/>
      </c>
      <c r="BX26" s="1366" t="str">
        <f>IFNA(VLOOKUP(BM26,'法術資料'!$K$2:$X$805,9,FALSE),"")</f>
        <v/>
      </c>
      <c r="BY26" s="1367" t="str">
        <f>IFNA(VLOOKUP(BM26,'法術資料'!$K$2:$X$805,10,FALSE),"")</f>
        <v/>
      </c>
      <c r="BZ26" s="1367" t="str">
        <f>IFNA(VLOOKUP($Y26,'法術資料'!$K$2:$X$805,11,FALSE),"")</f>
        <v/>
      </c>
      <c r="CA26" s="1511" t="str">
        <f>IFNA(VLOOKUP(BM26,'法術資料'!$K$2:$X$805,12,FALSE),"")</f>
        <v/>
      </c>
      <c r="CB26" s="376"/>
      <c r="CC26" s="1369"/>
      <c r="CD26" s="455"/>
      <c r="CE26" s="1356"/>
      <c r="CF26" s="1509" t="b">
        <v>0</v>
      </c>
      <c r="CG26" s="1502"/>
      <c r="CH26" s="1512" t="str">
        <f>IFNA(VLOOKUP(CG26,'法術資料'!$K$2:$X$805,4,FALSE),"")
</f>
        <v/>
      </c>
      <c r="CI26" s="1511" t="str">
        <f>IFNA(VLOOKUP(CG26,'法術資料'!$K$2:$X$805,7,FALSE),"")</f>
        <v/>
      </c>
      <c r="CJ26" s="1141"/>
      <c r="CK26" s="1511" t="str">
        <f>IFNA(VLOOKUP(CG26,'法術資料'!$K$2:$X$805,8,FALSE),"")</f>
        <v/>
      </c>
      <c r="CL26" s="1141"/>
      <c r="CM26" s="1511" t="str">
        <f>IFNA(VLOOKUP(CG26,'法術資料'!$K$2:$X$805,14,FALSE),"")</f>
        <v/>
      </c>
      <c r="CN26" s="1141"/>
      <c r="CO26" s="1365" t="str">
        <f>IFNA(VLOOKUP(CG26,'法術資料'!$K$2:$X$805,13,FALSE),"")</f>
        <v/>
      </c>
      <c r="CP26" s="1365" t="str">
        <f>IFNA(VLOOKUP(CG26,'法術資料'!$K$2:$X$805,5,FALSE),"")</f>
        <v/>
      </c>
      <c r="CQ26" s="1365" t="str">
        <f>IFNA(VLOOKUP(CG26,'法術資料'!$K$2:$X$805,6,FALSE),"")</f>
        <v/>
      </c>
      <c r="CR26" s="1366" t="str">
        <f>IFNA(VLOOKUP(CG26,'法術資料'!$K$2:$X$805,9,FALSE),"")</f>
        <v/>
      </c>
      <c r="CS26" s="1367" t="str">
        <f>IFNA(VLOOKUP(CG26,'法術資料'!$K$2:$X$805,10,FALSE),"")</f>
        <v/>
      </c>
      <c r="CT26" s="1367" t="str">
        <f>IFNA(VLOOKUP($Y26,'法術資料'!$K$2:$X$805,11,FALSE),"")</f>
        <v/>
      </c>
      <c r="CU26" s="1511" t="str">
        <f>IFNA(VLOOKUP(CG26,'法術資料'!$K$2:$X$805,12,FALSE),"")</f>
        <v/>
      </c>
      <c r="CV26" s="376"/>
      <c r="CW26" s="1369"/>
      <c r="CX26" s="455"/>
      <c r="CY26" s="1356"/>
      <c r="CZ26" s="1509" t="b">
        <v>0</v>
      </c>
      <c r="DA26" s="1502"/>
      <c r="DB26" s="1512" t="str">
        <f>IFNA(VLOOKUP(DA26,'法術資料'!$K$2:$X$805,4,FALSE),"")
</f>
        <v/>
      </c>
      <c r="DC26" s="1511" t="str">
        <f>IFNA(VLOOKUP(DA26,'法術資料'!$K$2:$X$805,7,FALSE),"")</f>
        <v/>
      </c>
      <c r="DD26" s="1141"/>
      <c r="DE26" s="1511" t="str">
        <f>IFNA(VLOOKUP(DA26,'法術資料'!$K$2:$X$805,8,FALSE),"")</f>
        <v/>
      </c>
      <c r="DF26" s="1141"/>
      <c r="DG26" s="1511" t="str">
        <f>IFNA(VLOOKUP(DA26,'法術資料'!$K$2:$X$805,14,FALSE),"")</f>
        <v/>
      </c>
      <c r="DH26" s="1141"/>
      <c r="DI26" s="1365" t="str">
        <f>IFNA(VLOOKUP(DA26,'法術資料'!$K$2:$X$805,13,FALSE),"")</f>
        <v/>
      </c>
      <c r="DJ26" s="1365" t="str">
        <f>IFNA(VLOOKUP(DA26,'法術資料'!$K$2:$X$805,5,FALSE),"")</f>
        <v/>
      </c>
      <c r="DK26" s="1365" t="str">
        <f>IFNA(VLOOKUP(DA26,'法術資料'!$K$2:$X$805,6,FALSE),"")</f>
        <v/>
      </c>
      <c r="DL26" s="1366" t="str">
        <f>IFNA(VLOOKUP(DA26,'法術資料'!$K$2:$X$805,9,FALSE),"")</f>
        <v/>
      </c>
      <c r="DM26" s="1367" t="str">
        <f>IFNA(VLOOKUP(DA26,'法術資料'!$K$2:$X$805,10,FALSE),"")</f>
        <v/>
      </c>
      <c r="DN26" s="1367" t="str">
        <f>IFNA(VLOOKUP($Y26,'法術資料'!$K$2:$X$805,11,FALSE),"")</f>
        <v/>
      </c>
      <c r="DO26" s="1511" t="str">
        <f>IFNA(VLOOKUP(DA26,'法術資料'!$K$2:$X$805,12,FALSE),"")</f>
        <v/>
      </c>
      <c r="DP26" s="376"/>
      <c r="DQ26" s="1369"/>
      <c r="DR26" s="455"/>
      <c r="DS26" s="1356"/>
      <c r="DT26" s="1509" t="b">
        <v>0</v>
      </c>
      <c r="DU26" s="1502"/>
      <c r="DV26" s="1512" t="str">
        <f>IFNA(VLOOKUP(DU26,'法術資料'!$K$2:$X$805,4,FALSE),"")
</f>
        <v/>
      </c>
      <c r="DW26" s="1511" t="str">
        <f>IFNA(VLOOKUP(DU26,'法術資料'!$K$2:$X$805,7,FALSE),"")</f>
        <v/>
      </c>
      <c r="DX26" s="1141"/>
      <c r="DY26" s="1511" t="str">
        <f>IFNA(VLOOKUP(DU26,'法術資料'!$K$2:$X$805,8,FALSE),"")</f>
        <v/>
      </c>
      <c r="DZ26" s="1141"/>
      <c r="EA26" s="1511" t="str">
        <f>IFNA(VLOOKUP(DU26,'法術資料'!$K$2:$X$805,14,FALSE),"")</f>
        <v/>
      </c>
      <c r="EB26" s="1141"/>
      <c r="EC26" s="1365" t="str">
        <f>IFNA(VLOOKUP(DU26,'法術資料'!$K$2:$X$805,13,FALSE),"")</f>
        <v/>
      </c>
      <c r="ED26" s="1365" t="str">
        <f>IFNA(VLOOKUP(DU26,'法術資料'!$K$2:$X$805,5,FALSE),"")</f>
        <v/>
      </c>
      <c r="EE26" s="1365" t="str">
        <f>IFNA(VLOOKUP(DU26,'法術資料'!$K$2:$X$805,6,FALSE),"")</f>
        <v/>
      </c>
      <c r="EF26" s="1366" t="str">
        <f>IFNA(VLOOKUP(DU26,'法術資料'!$K$2:$X$805,9,FALSE),"")</f>
        <v/>
      </c>
      <c r="EG26" s="1367" t="str">
        <f>IFNA(VLOOKUP(DU26,'法術資料'!$K$2:$X$805,10,FALSE),"")</f>
        <v/>
      </c>
      <c r="EH26" s="1367" t="str">
        <f>IFNA(VLOOKUP($Y26,'法術資料'!$K$2:$X$805,11,FALSE),"")</f>
        <v/>
      </c>
      <c r="EI26" s="1511" t="str">
        <f>IFNA(VLOOKUP(DU26,'法術資料'!$K$2:$X$805,12,FALSE),"")</f>
        <v/>
      </c>
      <c r="EJ26" s="376"/>
      <c r="EK26" s="1369"/>
      <c r="EL26" s="455"/>
      <c r="EM26" s="1356"/>
      <c r="EN26" s="1509" t="b">
        <v>0</v>
      </c>
      <c r="EO26" s="1502"/>
      <c r="EP26" s="1512" t="str">
        <f>IFNA(VLOOKUP(EO26,'法術資料'!$K$2:$X$805,4,FALSE),"")
</f>
        <v/>
      </c>
      <c r="EQ26" s="1511" t="str">
        <f>IFNA(VLOOKUP(EO26,'法術資料'!$K$2:$X$805,7,FALSE),"")</f>
        <v/>
      </c>
      <c r="ER26" s="1141"/>
      <c r="ES26" s="1511" t="str">
        <f>IFNA(VLOOKUP(EO26,'法術資料'!$K$2:$X$805,8,FALSE),"")</f>
        <v/>
      </c>
      <c r="ET26" s="1141"/>
      <c r="EU26" s="1511" t="str">
        <f>IFNA(VLOOKUP(EO26,'法術資料'!$K$2:$X$805,14,FALSE),"")</f>
        <v/>
      </c>
      <c r="EV26" s="1141"/>
      <c r="EW26" s="1365" t="str">
        <f>IFNA(VLOOKUP(EO26,'法術資料'!$K$2:$X$805,13,FALSE),"")</f>
        <v/>
      </c>
      <c r="EX26" s="1365" t="str">
        <f>IFNA(VLOOKUP(EO26,'法術資料'!$K$2:$X$805,5,FALSE),"")</f>
        <v/>
      </c>
      <c r="EY26" s="1365" t="str">
        <f>IFNA(VLOOKUP(EO26,'法術資料'!$K$2:$X$805,6,FALSE),"")</f>
        <v/>
      </c>
      <c r="EZ26" s="1366" t="str">
        <f>IFNA(VLOOKUP(EO26,'法術資料'!$K$2:$X$805,9,FALSE),"")</f>
        <v/>
      </c>
      <c r="FA26" s="1367" t="str">
        <f>IFNA(VLOOKUP(EO26,'法術資料'!$K$2:$X$805,10,FALSE),"")</f>
        <v/>
      </c>
      <c r="FB26" s="1367" t="str">
        <f>IFNA(VLOOKUP($Y26,'法術資料'!$K$2:$X$805,11,FALSE),"")</f>
        <v/>
      </c>
      <c r="FC26" s="1511" t="str">
        <f>IFNA(VLOOKUP(EO26,'法術資料'!$K$2:$X$805,12,FALSE),"")</f>
        <v/>
      </c>
      <c r="FD26" s="376"/>
      <c r="FE26" s="1369"/>
      <c r="FF26" s="455"/>
      <c r="FG26" s="1356"/>
      <c r="FH26" s="1509" t="b">
        <v>0</v>
      </c>
      <c r="FI26" s="1502"/>
      <c r="FJ26" s="1512" t="str">
        <f>IFNA(VLOOKUP(FI26,'法術資料'!$K$2:$X$805,4,FALSE),"")
</f>
        <v/>
      </c>
      <c r="FK26" s="1511" t="str">
        <f>IFNA(VLOOKUP(FI26,'法術資料'!$K$2:$X$805,7,FALSE),"")</f>
        <v/>
      </c>
      <c r="FL26" s="1141"/>
      <c r="FM26" s="1511" t="str">
        <f>IFNA(VLOOKUP(FI26,'法術資料'!$K$2:$X$805,8,FALSE),"")</f>
        <v/>
      </c>
      <c r="FN26" s="1141"/>
      <c r="FO26" s="1511" t="str">
        <f>IFNA(VLOOKUP(FI26,'法術資料'!$K$2:$X$805,14,FALSE),"")</f>
        <v/>
      </c>
      <c r="FP26" s="1141"/>
      <c r="FQ26" s="1365" t="str">
        <f>IFNA(VLOOKUP(FI26,'法術資料'!$K$2:$X$805,13,FALSE),"")</f>
        <v/>
      </c>
      <c r="FR26" s="1365" t="str">
        <f>IFNA(VLOOKUP(FI26,'法術資料'!$K$2:$X$805,5,FALSE),"")</f>
        <v/>
      </c>
      <c r="FS26" s="1365" t="str">
        <f>IFNA(VLOOKUP(FI26,'法術資料'!$K$2:$X$805,6,FALSE),"")</f>
        <v/>
      </c>
      <c r="FT26" s="1366" t="str">
        <f>IFNA(VLOOKUP(FI26,'法術資料'!$K$2:$X$805,9,FALSE),"")</f>
        <v/>
      </c>
      <c r="FU26" s="1367" t="str">
        <f>IFNA(VLOOKUP(FI26,'法術資料'!$K$2:$X$805,10,FALSE),"")</f>
        <v/>
      </c>
      <c r="FV26" s="1367" t="str">
        <f>IFNA(VLOOKUP($Y26,'法術資料'!$K$2:$X$805,11,FALSE),"")</f>
        <v/>
      </c>
      <c r="FW26" s="1511" t="str">
        <f>IFNA(VLOOKUP(FI26,'法術資料'!$K$2:$X$805,12,FALSE),"")</f>
        <v/>
      </c>
      <c r="FX26" s="376"/>
      <c r="FY26" s="1369"/>
      <c r="FZ26" s="455"/>
    </row>
    <row r="27">
      <c r="A27" s="455"/>
      <c r="B27" s="1356"/>
      <c r="C27" s="1503" t="b">
        <v>0</v>
      </c>
      <c r="D27" s="1504"/>
      <c r="E27" s="1505" t="str">
        <f>IFNA(VLOOKUP($D27,'法術資料'!$K$2:$X$805,4,FALSE),"")
</f>
        <v/>
      </c>
      <c r="F27" s="1506" t="str">
        <f>IFNA(VLOOKUP($D27,'法術資料'!$K$2:$X$805,7,FALSE),"")</f>
        <v/>
      </c>
      <c r="G27" s="1141"/>
      <c r="H27" s="1506" t="str">
        <f>IFNA(VLOOKUP($D27,'法術資料'!$K$2:$X$805,8,FALSE),"")</f>
        <v/>
      </c>
      <c r="I27" s="1141"/>
      <c r="J27" s="1506" t="str">
        <f>IFNA(VLOOKUP($D27,'法術資料'!$K$2:$X$805,14,FALSE),"")</f>
        <v/>
      </c>
      <c r="K27" s="1141"/>
      <c r="L27" s="1506" t="str">
        <f>IFNA(VLOOKUP($D27,'法術資料'!$K$2:$X$805,13,FALSE),"")</f>
        <v/>
      </c>
      <c r="M27" s="1141"/>
      <c r="N27" s="1377" t="str">
        <f>IFNA(VLOOKUP($D27,'法術資料'!$K$2:$X$805,5,FALSE),"")</f>
        <v/>
      </c>
      <c r="O27" s="1377" t="str">
        <f>IFNA(VLOOKUP($D27,'法術資料'!$K$2:$X$805,6,FALSE),"")</f>
        <v/>
      </c>
      <c r="P27" s="1378" t="str">
        <f>IFNA(VLOOKUP($D27,'法術資料'!$K$2:$X$805,9,FALSE),"")</f>
        <v/>
      </c>
      <c r="Q27" s="1379" t="str">
        <f>IFNA(VLOOKUP($D27,'法術資料'!$K$2:$X$805,10,FALSE),"")</f>
        <v/>
      </c>
      <c r="R27" s="1379" t="str">
        <f>IFNA(VLOOKUP($D27,'法術資料'!$K$2:$X$805,11,FALSE),"")</f>
        <v/>
      </c>
      <c r="S27" s="1506" t="str">
        <f>IFNA(VLOOKUP($D27,'法術資料'!$K$2:$X$805,12,FALSE),"")</f>
        <v/>
      </c>
      <c r="T27" s="376"/>
      <c r="U27" s="1369"/>
      <c r="V27" s="455"/>
      <c r="W27" s="1356"/>
      <c r="X27" s="1503" t="b">
        <v>0</v>
      </c>
      <c r="Y27" s="1504"/>
      <c r="Z27" s="1507" t="str">
        <f>IFNA(VLOOKUP(Y27,'法術資料'!$K$2:$X$805,4,FALSE),"")
</f>
        <v/>
      </c>
      <c r="AA27" s="1506" t="str">
        <f>IFNA(VLOOKUP($Y27,'法術資料'!$K$2:$X$805,7,FALSE),"")</f>
        <v/>
      </c>
      <c r="AB27" s="1141"/>
      <c r="AC27" s="1506" t="str">
        <f>IFNA(VLOOKUP($Y27,'法術資料'!$K$2:$X$805,8,FALSE),"")</f>
        <v/>
      </c>
      <c r="AD27" s="1141"/>
      <c r="AE27" s="1506" t="str">
        <f>IFNA(VLOOKUP($Y27,'法術資料'!$K$2:$X$805,14,FALSE),"")</f>
        <v/>
      </c>
      <c r="AF27" s="1141"/>
      <c r="AG27" s="1377" t="str">
        <f>IFNA(VLOOKUP($Y27,'法術資料'!$K$2:$X$805,13,FALSE),"")</f>
        <v/>
      </c>
      <c r="AH27" s="1377" t="str">
        <f>IFNA(VLOOKUP($Y27,'法術資料'!$K$2:$X$805,5,FALSE),"")</f>
        <v/>
      </c>
      <c r="AI27" s="1377" t="str">
        <f>IFNA(VLOOKUP($Y27,'法術資料'!$K$2:$X$805,6,FALSE),"")</f>
        <v/>
      </c>
      <c r="AJ27" s="1378" t="str">
        <f>IFNA(VLOOKUP($Y27,'法術資料'!$K$2:$X$805,9,FALSE),"")</f>
        <v/>
      </c>
      <c r="AK27" s="1379" t="str">
        <f>IFNA(VLOOKUP($Y27,'法術資料'!$K$2:$X$805,10,FALSE),"")</f>
        <v/>
      </c>
      <c r="AL27" s="1379" t="str">
        <f>IFNA(VLOOKUP($Y27,'法術資料'!$K$2:$X$805,11,FALSE),"")</f>
        <v/>
      </c>
      <c r="AM27" s="1506" t="str">
        <f>IFNA(VLOOKUP($Y27,'法術資料'!$K$2:$X$805,12,FALSE),"")</f>
        <v/>
      </c>
      <c r="AN27" s="376"/>
      <c r="AO27" s="1369"/>
      <c r="AP27" s="455"/>
      <c r="AQ27" s="1356"/>
      <c r="AR27" s="1503" t="b">
        <v>0</v>
      </c>
      <c r="AS27" s="1504"/>
      <c r="AT27" s="1507" t="str">
        <f>IFNA(VLOOKUP(AS27,'法術資料'!$K$2:$X$805,4,FALSE),"")
</f>
        <v/>
      </c>
      <c r="AU27" s="1506" t="str">
        <f>IFNA(VLOOKUP(AS27,'法術資料'!$K$2:$X$805,7,FALSE),"")</f>
        <v/>
      </c>
      <c r="AV27" s="1141"/>
      <c r="AW27" s="1506" t="str">
        <f>IFNA(VLOOKUP(AS27,'法術資料'!$K$2:$X$805,8,FALSE),"")</f>
        <v/>
      </c>
      <c r="AX27" s="1141"/>
      <c r="AY27" s="1506" t="str">
        <f>IFNA(VLOOKUP(AS27,'法術資料'!$K$2:$X$805,14,FALSE),"")</f>
        <v/>
      </c>
      <c r="AZ27" s="1141"/>
      <c r="BA27" s="1377" t="str">
        <f>IFNA(VLOOKUP(AS27,'法術資料'!$K$2:$X$805,13,FALSE),"")</f>
        <v/>
      </c>
      <c r="BB27" s="1377" t="str">
        <f>IFNA(VLOOKUP(AS27,'法術資料'!$K$2:$X$805,5,FALSE),"")</f>
        <v/>
      </c>
      <c r="BC27" s="1377" t="str">
        <f>IFNA(VLOOKUP(AS27,'法術資料'!$K$2:$X$805,6,FALSE),"")</f>
        <v/>
      </c>
      <c r="BD27" s="1378" t="str">
        <f>IFNA(VLOOKUP(AS27,'法術資料'!$K$2:$X$805,9,FALSE),"")</f>
        <v/>
      </c>
      <c r="BE27" s="1379" t="str">
        <f>IFNA(VLOOKUP(AS27,'法術資料'!$K$2:$X$805,10,FALSE),"")</f>
        <v/>
      </c>
      <c r="BF27" s="1379" t="str">
        <f>IFNA(VLOOKUP($Y27,'法術資料'!$K$2:$X$805,11,FALSE),"")</f>
        <v/>
      </c>
      <c r="BG27" s="1506" t="str">
        <f>IFNA(VLOOKUP(AS27,'法術資料'!$K$2:$X$805,12,FALSE),"")</f>
        <v/>
      </c>
      <c r="BH27" s="376"/>
      <c r="BI27" s="1369"/>
      <c r="BJ27" s="455"/>
      <c r="BK27" s="1356"/>
      <c r="BL27" s="1503" t="b">
        <v>0</v>
      </c>
      <c r="BM27" s="1504"/>
      <c r="BN27" s="1507" t="str">
        <f>IFNA(VLOOKUP(BM27,'法術資料'!$K$2:$X$805,4,FALSE),"")
</f>
        <v/>
      </c>
      <c r="BO27" s="1506" t="str">
        <f>IFNA(VLOOKUP(BM27,'法術資料'!$K$2:$X$805,7,FALSE),"")</f>
        <v/>
      </c>
      <c r="BP27" s="1141"/>
      <c r="BQ27" s="1506" t="str">
        <f>IFNA(VLOOKUP(BM27,'法術資料'!$K$2:$X$805,8,FALSE),"")</f>
        <v/>
      </c>
      <c r="BR27" s="1141"/>
      <c r="BS27" s="1506" t="str">
        <f>IFNA(VLOOKUP(BM27,'法術資料'!$K$2:$X$805,14,FALSE),"")</f>
        <v/>
      </c>
      <c r="BT27" s="1141"/>
      <c r="BU27" s="1377" t="str">
        <f>IFNA(VLOOKUP(BM27,'法術資料'!$K$2:$X$805,13,FALSE),"")</f>
        <v/>
      </c>
      <c r="BV27" s="1377" t="str">
        <f>IFNA(VLOOKUP(BM27,'法術資料'!$K$2:$X$805,5,FALSE),"")</f>
        <v/>
      </c>
      <c r="BW27" s="1377" t="str">
        <f>IFNA(VLOOKUP(BM27,'法術資料'!$K$2:$X$805,6,FALSE),"")</f>
        <v/>
      </c>
      <c r="BX27" s="1378" t="str">
        <f>IFNA(VLOOKUP(BM27,'法術資料'!$K$2:$X$805,9,FALSE),"")</f>
        <v/>
      </c>
      <c r="BY27" s="1379" t="str">
        <f>IFNA(VLOOKUP(BM27,'法術資料'!$K$2:$X$805,10,FALSE),"")</f>
        <v/>
      </c>
      <c r="BZ27" s="1379" t="str">
        <f>IFNA(VLOOKUP($Y27,'法術資料'!$K$2:$X$805,11,FALSE),"")</f>
        <v/>
      </c>
      <c r="CA27" s="1506" t="str">
        <f>IFNA(VLOOKUP(BM27,'法術資料'!$K$2:$X$805,12,FALSE),"")</f>
        <v/>
      </c>
      <c r="CB27" s="376"/>
      <c r="CC27" s="1369"/>
      <c r="CD27" s="455"/>
      <c r="CE27" s="1356"/>
      <c r="CF27" s="1503" t="b">
        <v>0</v>
      </c>
      <c r="CG27" s="1504"/>
      <c r="CH27" s="1507" t="str">
        <f>IFNA(VLOOKUP(CG27,'法術資料'!$K$2:$X$805,4,FALSE),"")
</f>
        <v/>
      </c>
      <c r="CI27" s="1506" t="str">
        <f>IFNA(VLOOKUP(CG27,'法術資料'!$K$2:$X$805,7,FALSE),"")</f>
        <v/>
      </c>
      <c r="CJ27" s="1141"/>
      <c r="CK27" s="1506" t="str">
        <f>IFNA(VLOOKUP(CG27,'法術資料'!$K$2:$X$805,8,FALSE),"")</f>
        <v/>
      </c>
      <c r="CL27" s="1141"/>
      <c r="CM27" s="1506" t="str">
        <f>IFNA(VLOOKUP(CG27,'法術資料'!$K$2:$X$805,14,FALSE),"")</f>
        <v/>
      </c>
      <c r="CN27" s="1141"/>
      <c r="CO27" s="1377" t="str">
        <f>IFNA(VLOOKUP(CG27,'法術資料'!$K$2:$X$805,13,FALSE),"")</f>
        <v/>
      </c>
      <c r="CP27" s="1377" t="str">
        <f>IFNA(VLOOKUP(CG27,'法術資料'!$K$2:$X$805,5,FALSE),"")</f>
        <v/>
      </c>
      <c r="CQ27" s="1377" t="str">
        <f>IFNA(VLOOKUP(CG27,'法術資料'!$K$2:$X$805,6,FALSE),"")</f>
        <v/>
      </c>
      <c r="CR27" s="1378" t="str">
        <f>IFNA(VLOOKUP(CG27,'法術資料'!$K$2:$X$805,9,FALSE),"")</f>
        <v/>
      </c>
      <c r="CS27" s="1379" t="str">
        <f>IFNA(VLOOKUP(CG27,'法術資料'!$K$2:$X$805,10,FALSE),"")</f>
        <v/>
      </c>
      <c r="CT27" s="1379" t="str">
        <f>IFNA(VLOOKUP($Y27,'法術資料'!$K$2:$X$805,11,FALSE),"")</f>
        <v/>
      </c>
      <c r="CU27" s="1506" t="str">
        <f>IFNA(VLOOKUP(CG27,'法術資料'!$K$2:$X$805,12,FALSE),"")</f>
        <v/>
      </c>
      <c r="CV27" s="376"/>
      <c r="CW27" s="1369"/>
      <c r="CX27" s="455"/>
      <c r="CY27" s="1356"/>
      <c r="CZ27" s="1503" t="b">
        <v>0</v>
      </c>
      <c r="DA27" s="1508"/>
      <c r="DB27" s="1507" t="str">
        <f>IFNA(VLOOKUP(DA27,'法術資料'!$K$2:$X$805,4,FALSE),"")
</f>
        <v/>
      </c>
      <c r="DC27" s="1506" t="str">
        <f>IFNA(VLOOKUP(DA27,'法術資料'!$K$2:$X$805,7,FALSE),"")</f>
        <v/>
      </c>
      <c r="DD27" s="1141"/>
      <c r="DE27" s="1506" t="str">
        <f>IFNA(VLOOKUP(DA27,'法術資料'!$K$2:$X$805,8,FALSE),"")</f>
        <v/>
      </c>
      <c r="DF27" s="1141"/>
      <c r="DG27" s="1506" t="str">
        <f>IFNA(VLOOKUP(DA27,'法術資料'!$K$2:$X$805,14,FALSE),"")</f>
        <v/>
      </c>
      <c r="DH27" s="1141"/>
      <c r="DI27" s="1377" t="str">
        <f>IFNA(VLOOKUP(DA27,'法術資料'!$K$2:$X$805,13,FALSE),"")</f>
        <v/>
      </c>
      <c r="DJ27" s="1377" t="str">
        <f>IFNA(VLOOKUP(DA27,'法術資料'!$K$2:$X$805,5,FALSE),"")</f>
        <v/>
      </c>
      <c r="DK27" s="1377" t="str">
        <f>IFNA(VLOOKUP(DA27,'法術資料'!$K$2:$X$805,6,FALSE),"")</f>
        <v/>
      </c>
      <c r="DL27" s="1378" t="str">
        <f>IFNA(VLOOKUP(DA27,'法術資料'!$K$2:$X$805,9,FALSE),"")</f>
        <v/>
      </c>
      <c r="DM27" s="1379" t="str">
        <f>IFNA(VLOOKUP(DA27,'法術資料'!$K$2:$X$805,10,FALSE),"")</f>
        <v/>
      </c>
      <c r="DN27" s="1379" t="str">
        <f>IFNA(VLOOKUP($Y27,'法術資料'!$K$2:$X$805,11,FALSE),"")</f>
        <v/>
      </c>
      <c r="DO27" s="1506" t="str">
        <f>IFNA(VLOOKUP(DA27,'法術資料'!$K$2:$X$805,12,FALSE),"")</f>
        <v/>
      </c>
      <c r="DP27" s="376"/>
      <c r="DQ27" s="1369"/>
      <c r="DR27" s="455"/>
      <c r="DS27" s="1356"/>
      <c r="DT27" s="1503" t="b">
        <v>0</v>
      </c>
      <c r="DU27" s="1508"/>
      <c r="DV27" s="1507" t="str">
        <f>IFNA(VLOOKUP(DU27,'法術資料'!$K$2:$X$805,4,FALSE),"")
</f>
        <v/>
      </c>
      <c r="DW27" s="1506" t="str">
        <f>IFNA(VLOOKUP(DU27,'法術資料'!$K$2:$X$805,7,FALSE),"")</f>
        <v/>
      </c>
      <c r="DX27" s="1141"/>
      <c r="DY27" s="1506" t="str">
        <f>IFNA(VLOOKUP(DU27,'法術資料'!$K$2:$X$805,8,FALSE),"")</f>
        <v/>
      </c>
      <c r="DZ27" s="1141"/>
      <c r="EA27" s="1506" t="str">
        <f>IFNA(VLOOKUP(DU27,'法術資料'!$K$2:$X$805,14,FALSE),"")</f>
        <v/>
      </c>
      <c r="EB27" s="1141"/>
      <c r="EC27" s="1377" t="str">
        <f>IFNA(VLOOKUP(DU27,'法術資料'!$K$2:$X$805,13,FALSE),"")</f>
        <v/>
      </c>
      <c r="ED27" s="1377" t="str">
        <f>IFNA(VLOOKUP(DU27,'法術資料'!$K$2:$X$805,5,FALSE),"")</f>
        <v/>
      </c>
      <c r="EE27" s="1377" t="str">
        <f>IFNA(VLOOKUP(DU27,'法術資料'!$K$2:$X$805,6,FALSE),"")</f>
        <v/>
      </c>
      <c r="EF27" s="1378" t="str">
        <f>IFNA(VLOOKUP(DU27,'法術資料'!$K$2:$X$805,9,FALSE),"")</f>
        <v/>
      </c>
      <c r="EG27" s="1379" t="str">
        <f>IFNA(VLOOKUP(DU27,'法術資料'!$K$2:$X$805,10,FALSE),"")</f>
        <v/>
      </c>
      <c r="EH27" s="1379" t="str">
        <f>IFNA(VLOOKUP($Y27,'法術資料'!$K$2:$X$805,11,FALSE),"")</f>
        <v/>
      </c>
      <c r="EI27" s="1506" t="str">
        <f>IFNA(VLOOKUP(DU27,'法術資料'!$K$2:$X$805,12,FALSE),"")</f>
        <v/>
      </c>
      <c r="EJ27" s="376"/>
      <c r="EK27" s="1369"/>
      <c r="EL27" s="455"/>
      <c r="EM27" s="1356"/>
      <c r="EN27" s="1503" t="b">
        <v>0</v>
      </c>
      <c r="EO27" s="1508"/>
      <c r="EP27" s="1507" t="str">
        <f>IFNA(VLOOKUP(EO27,'法術資料'!$K$2:$X$805,4,FALSE),"")
</f>
        <v/>
      </c>
      <c r="EQ27" s="1506" t="str">
        <f>IFNA(VLOOKUP(EO27,'法術資料'!$K$2:$X$805,7,FALSE),"")</f>
        <v/>
      </c>
      <c r="ER27" s="1141"/>
      <c r="ES27" s="1506" t="str">
        <f>IFNA(VLOOKUP(EO27,'法術資料'!$K$2:$X$805,8,FALSE),"")</f>
        <v/>
      </c>
      <c r="ET27" s="1141"/>
      <c r="EU27" s="1506" t="str">
        <f>IFNA(VLOOKUP(EO27,'法術資料'!$K$2:$X$805,14,FALSE),"")</f>
        <v/>
      </c>
      <c r="EV27" s="1141"/>
      <c r="EW27" s="1377" t="str">
        <f>IFNA(VLOOKUP(EO27,'法術資料'!$K$2:$X$805,13,FALSE),"")</f>
        <v/>
      </c>
      <c r="EX27" s="1377" t="str">
        <f>IFNA(VLOOKUP(EO27,'法術資料'!$K$2:$X$805,5,FALSE),"")</f>
        <v/>
      </c>
      <c r="EY27" s="1377" t="str">
        <f>IFNA(VLOOKUP(EO27,'法術資料'!$K$2:$X$805,6,FALSE),"")</f>
        <v/>
      </c>
      <c r="EZ27" s="1378" t="str">
        <f>IFNA(VLOOKUP(EO27,'法術資料'!$K$2:$X$805,9,FALSE),"")</f>
        <v/>
      </c>
      <c r="FA27" s="1379" t="str">
        <f>IFNA(VLOOKUP(EO27,'法術資料'!$K$2:$X$805,10,FALSE),"")</f>
        <v/>
      </c>
      <c r="FB27" s="1379" t="str">
        <f>IFNA(VLOOKUP($Y27,'法術資料'!$K$2:$X$805,11,FALSE),"")</f>
        <v/>
      </c>
      <c r="FC27" s="1506" t="str">
        <f>IFNA(VLOOKUP(EO27,'法術資料'!$K$2:$X$805,12,FALSE),"")</f>
        <v/>
      </c>
      <c r="FD27" s="376"/>
      <c r="FE27" s="1369"/>
      <c r="FF27" s="455"/>
      <c r="FG27" s="1356"/>
      <c r="FH27" s="1503" t="b">
        <v>0</v>
      </c>
      <c r="FI27" s="1508"/>
      <c r="FJ27" s="1507" t="str">
        <f>IFNA(VLOOKUP(FI27,'法術資料'!$K$2:$X$805,4,FALSE),"")
</f>
        <v/>
      </c>
      <c r="FK27" s="1506" t="str">
        <f>IFNA(VLOOKUP(FI27,'法術資料'!$K$2:$X$805,7,FALSE),"")</f>
        <v/>
      </c>
      <c r="FL27" s="1141"/>
      <c r="FM27" s="1506" t="str">
        <f>IFNA(VLOOKUP(FI27,'法術資料'!$K$2:$X$805,8,FALSE),"")</f>
        <v/>
      </c>
      <c r="FN27" s="1141"/>
      <c r="FO27" s="1506" t="str">
        <f>IFNA(VLOOKUP(FI27,'法術資料'!$K$2:$X$805,14,FALSE),"")</f>
        <v/>
      </c>
      <c r="FP27" s="1141"/>
      <c r="FQ27" s="1377" t="str">
        <f>IFNA(VLOOKUP(FI27,'法術資料'!$K$2:$X$805,13,FALSE),"")</f>
        <v/>
      </c>
      <c r="FR27" s="1377" t="str">
        <f>IFNA(VLOOKUP(FI27,'法術資料'!$K$2:$X$805,5,FALSE),"")</f>
        <v/>
      </c>
      <c r="FS27" s="1377" t="str">
        <f>IFNA(VLOOKUP(FI27,'法術資料'!$K$2:$X$805,6,FALSE),"")</f>
        <v/>
      </c>
      <c r="FT27" s="1378" t="str">
        <f>IFNA(VLOOKUP(FI27,'法術資料'!$K$2:$X$805,9,FALSE),"")</f>
        <v/>
      </c>
      <c r="FU27" s="1379" t="str">
        <f>IFNA(VLOOKUP(FI27,'法術資料'!$K$2:$X$805,10,FALSE),"")</f>
        <v/>
      </c>
      <c r="FV27" s="1379" t="str">
        <f>IFNA(VLOOKUP($Y27,'法術資料'!$K$2:$X$805,11,FALSE),"")</f>
        <v/>
      </c>
      <c r="FW27" s="1506" t="str">
        <f>IFNA(VLOOKUP(FI27,'法術資料'!$K$2:$X$805,12,FALSE),"")</f>
        <v/>
      </c>
      <c r="FX27" s="376"/>
      <c r="FY27" s="1369"/>
      <c r="FZ27" s="455"/>
    </row>
    <row r="28">
      <c r="A28" s="455"/>
      <c r="B28" s="1356"/>
      <c r="C28" s="1509" t="b">
        <v>0</v>
      </c>
      <c r="D28" s="1502"/>
      <c r="E28" s="1510" t="str">
        <f>IFNA(VLOOKUP($D28,'法術資料'!$K$2:$X$805,4,FALSE),"")
</f>
        <v/>
      </c>
      <c r="F28" s="1511" t="str">
        <f>IFNA(VLOOKUP($D28,'法術資料'!$K$2:$X$805,7,FALSE),"")</f>
        <v/>
      </c>
      <c r="G28" s="1141"/>
      <c r="H28" s="1511" t="str">
        <f>IFNA(VLOOKUP($D28,'法術資料'!$K$2:$X$805,8,FALSE),"")</f>
        <v/>
      </c>
      <c r="I28" s="1141"/>
      <c r="J28" s="1511" t="str">
        <f>IFNA(VLOOKUP($D28,'法術資料'!$K$2:$X$805,14,FALSE),"")</f>
        <v/>
      </c>
      <c r="K28" s="1141"/>
      <c r="L28" s="1511" t="str">
        <f>IFNA(VLOOKUP($D28,'法術資料'!$K$2:$X$805,13,FALSE),"")</f>
        <v/>
      </c>
      <c r="M28" s="1141"/>
      <c r="N28" s="1365" t="str">
        <f>IFNA(VLOOKUP($D28,'法術資料'!$K$2:$X$805,5,FALSE),"")</f>
        <v/>
      </c>
      <c r="O28" s="1365" t="str">
        <f>IFNA(VLOOKUP($D28,'法術資料'!$K$2:$X$805,6,FALSE),"")</f>
        <v/>
      </c>
      <c r="P28" s="1366" t="str">
        <f>IFNA(VLOOKUP($D28,'法術資料'!$K$2:$X$805,9,FALSE),"")</f>
        <v/>
      </c>
      <c r="Q28" s="1367" t="str">
        <f>IFNA(VLOOKUP($D28,'法術資料'!$K$2:$X$805,10,FALSE),"")</f>
        <v/>
      </c>
      <c r="R28" s="1367" t="str">
        <f>IFNA(VLOOKUP($D28,'法術資料'!$K$2:$X$805,11,FALSE),"")</f>
        <v/>
      </c>
      <c r="S28" s="1511" t="str">
        <f>IFNA(VLOOKUP($D28,'法術資料'!$K$2:$X$805,12,FALSE),"")</f>
        <v/>
      </c>
      <c r="T28" s="376"/>
      <c r="U28" s="1369"/>
      <c r="V28" s="455"/>
      <c r="W28" s="1356"/>
      <c r="X28" s="1509" t="b">
        <v>0</v>
      </c>
      <c r="Y28" s="1502"/>
      <c r="Z28" s="1512" t="str">
        <f>IFNA(VLOOKUP(Y28,'法術資料'!$K$2:$X$805,4,FALSE),"")
</f>
        <v/>
      </c>
      <c r="AA28" s="1511" t="str">
        <f>IFNA(VLOOKUP($Y28,'法術資料'!$K$2:$X$805,7,FALSE),"")</f>
        <v/>
      </c>
      <c r="AB28" s="1141"/>
      <c r="AC28" s="1511" t="str">
        <f>IFNA(VLOOKUP($Y28,'法術資料'!$K$2:$X$805,8,FALSE),"")</f>
        <v/>
      </c>
      <c r="AD28" s="1141"/>
      <c r="AE28" s="1511" t="str">
        <f>IFNA(VLOOKUP($Y28,'法術資料'!$K$2:$X$805,14,FALSE),"")</f>
        <v/>
      </c>
      <c r="AF28" s="1141"/>
      <c r="AG28" s="1365" t="str">
        <f>IFNA(VLOOKUP($Y28,'法術資料'!$K$2:$X$805,13,FALSE),"")</f>
        <v/>
      </c>
      <c r="AH28" s="1365" t="str">
        <f>IFNA(VLOOKUP($Y28,'法術資料'!$K$2:$X$805,5,FALSE),"")</f>
        <v/>
      </c>
      <c r="AI28" s="1365" t="str">
        <f>IFNA(VLOOKUP($Y28,'法術資料'!$K$2:$X$805,6,FALSE),"")</f>
        <v/>
      </c>
      <c r="AJ28" s="1366" t="str">
        <f>IFNA(VLOOKUP($Y28,'法術資料'!$K$2:$X$805,9,FALSE),"")</f>
        <v/>
      </c>
      <c r="AK28" s="1367" t="str">
        <f>IFNA(VLOOKUP($Y28,'法術資料'!$K$2:$X$805,10,FALSE),"")</f>
        <v/>
      </c>
      <c r="AL28" s="1367" t="str">
        <f>IFNA(VLOOKUP($Y28,'法術資料'!$K$2:$X$805,11,FALSE),"")</f>
        <v/>
      </c>
      <c r="AM28" s="1511" t="str">
        <f>IFNA(VLOOKUP($Y28,'法術資料'!$K$2:$X$805,12,FALSE),"")</f>
        <v/>
      </c>
      <c r="AN28" s="376"/>
      <c r="AO28" s="1369"/>
      <c r="AP28" s="455"/>
      <c r="AQ28" s="1356"/>
      <c r="AR28" s="1509" t="b">
        <v>0</v>
      </c>
      <c r="AS28" s="1502"/>
      <c r="AT28" s="1512" t="str">
        <f>IFNA(VLOOKUP(AS28,'法術資料'!$K$2:$X$805,4,FALSE),"")
</f>
        <v/>
      </c>
      <c r="AU28" s="1511" t="str">
        <f>IFNA(VLOOKUP(AS28,'法術資料'!$K$2:$X$805,7,FALSE),"")</f>
        <v/>
      </c>
      <c r="AV28" s="1141"/>
      <c r="AW28" s="1511" t="str">
        <f>IFNA(VLOOKUP(AS28,'法術資料'!$K$2:$X$805,8,FALSE),"")</f>
        <v/>
      </c>
      <c r="AX28" s="1141"/>
      <c r="AY28" s="1511" t="str">
        <f>IFNA(VLOOKUP(AS28,'法術資料'!$K$2:$X$805,14,FALSE),"")</f>
        <v/>
      </c>
      <c r="AZ28" s="1141"/>
      <c r="BA28" s="1365" t="str">
        <f>IFNA(VLOOKUP(AS28,'法術資料'!$K$2:$X$805,13,FALSE),"")</f>
        <v/>
      </c>
      <c r="BB28" s="1365" t="str">
        <f>IFNA(VLOOKUP(AS28,'法術資料'!$K$2:$X$805,5,FALSE),"")</f>
        <v/>
      </c>
      <c r="BC28" s="1365" t="str">
        <f>IFNA(VLOOKUP(AS28,'法術資料'!$K$2:$X$805,6,FALSE),"")</f>
        <v/>
      </c>
      <c r="BD28" s="1366" t="str">
        <f>IFNA(VLOOKUP(AS28,'法術資料'!$K$2:$X$805,9,FALSE),"")</f>
        <v/>
      </c>
      <c r="BE28" s="1367" t="str">
        <f>IFNA(VLOOKUP(AS28,'法術資料'!$K$2:$X$805,10,FALSE),"")</f>
        <v/>
      </c>
      <c r="BF28" s="1367" t="str">
        <f>IFNA(VLOOKUP($Y28,'法術資料'!$K$2:$X$805,11,FALSE),"")</f>
        <v/>
      </c>
      <c r="BG28" s="1511" t="str">
        <f>IFNA(VLOOKUP(AS28,'法術資料'!$K$2:$X$805,12,FALSE),"")</f>
        <v/>
      </c>
      <c r="BH28" s="376"/>
      <c r="BI28" s="1369"/>
      <c r="BJ28" s="455"/>
      <c r="BK28" s="1356"/>
      <c r="BL28" s="1509" t="b">
        <v>0</v>
      </c>
      <c r="BM28" s="1502"/>
      <c r="BN28" s="1512" t="str">
        <f>IFNA(VLOOKUP(BM28,'法術資料'!$K$2:$X$805,4,FALSE),"")
</f>
        <v/>
      </c>
      <c r="BO28" s="1511" t="str">
        <f>IFNA(VLOOKUP(BM28,'法術資料'!$K$2:$X$805,7,FALSE),"")</f>
        <v/>
      </c>
      <c r="BP28" s="1141"/>
      <c r="BQ28" s="1511" t="str">
        <f>IFNA(VLOOKUP(BM28,'法術資料'!$K$2:$X$805,8,FALSE),"")</f>
        <v/>
      </c>
      <c r="BR28" s="1141"/>
      <c r="BS28" s="1511" t="str">
        <f>IFNA(VLOOKUP(BM28,'法術資料'!$K$2:$X$805,14,FALSE),"")</f>
        <v/>
      </c>
      <c r="BT28" s="1141"/>
      <c r="BU28" s="1365" t="str">
        <f>IFNA(VLOOKUP(BM28,'法術資料'!$K$2:$X$805,13,FALSE),"")</f>
        <v/>
      </c>
      <c r="BV28" s="1365" t="str">
        <f>IFNA(VLOOKUP(BM28,'法術資料'!$K$2:$X$805,5,FALSE),"")</f>
        <v/>
      </c>
      <c r="BW28" s="1365" t="str">
        <f>IFNA(VLOOKUP(BM28,'法術資料'!$K$2:$X$805,6,FALSE),"")</f>
        <v/>
      </c>
      <c r="BX28" s="1366" t="str">
        <f>IFNA(VLOOKUP(BM28,'法術資料'!$K$2:$X$805,9,FALSE),"")</f>
        <v/>
      </c>
      <c r="BY28" s="1367" t="str">
        <f>IFNA(VLOOKUP(BM28,'法術資料'!$K$2:$X$805,10,FALSE),"")</f>
        <v/>
      </c>
      <c r="BZ28" s="1367" t="str">
        <f>IFNA(VLOOKUP($Y28,'法術資料'!$K$2:$X$805,11,FALSE),"")</f>
        <v/>
      </c>
      <c r="CA28" s="1511" t="str">
        <f>IFNA(VLOOKUP(BM28,'法術資料'!$K$2:$X$805,12,FALSE),"")</f>
        <v/>
      </c>
      <c r="CB28" s="376"/>
      <c r="CC28" s="1369"/>
      <c r="CD28" s="455"/>
      <c r="CE28" s="1356"/>
      <c r="CF28" s="1509" t="b">
        <v>0</v>
      </c>
      <c r="CG28" s="1502"/>
      <c r="CH28" s="1512" t="str">
        <f>IFNA(VLOOKUP(CG28,'法術資料'!$K$2:$X$805,4,FALSE),"")
</f>
        <v/>
      </c>
      <c r="CI28" s="1511" t="str">
        <f>IFNA(VLOOKUP(CG28,'法術資料'!$K$2:$X$805,7,FALSE),"")</f>
        <v/>
      </c>
      <c r="CJ28" s="1141"/>
      <c r="CK28" s="1511" t="str">
        <f>IFNA(VLOOKUP(CG28,'法術資料'!$K$2:$X$805,8,FALSE),"")</f>
        <v/>
      </c>
      <c r="CL28" s="1141"/>
      <c r="CM28" s="1511" t="str">
        <f>IFNA(VLOOKUP(CG28,'法術資料'!$K$2:$X$805,14,FALSE),"")</f>
        <v/>
      </c>
      <c r="CN28" s="1141"/>
      <c r="CO28" s="1365" t="str">
        <f>IFNA(VLOOKUP(CG28,'法術資料'!$K$2:$X$805,13,FALSE),"")</f>
        <v/>
      </c>
      <c r="CP28" s="1365" t="str">
        <f>IFNA(VLOOKUP(CG28,'法術資料'!$K$2:$X$805,5,FALSE),"")</f>
        <v/>
      </c>
      <c r="CQ28" s="1365" t="str">
        <f>IFNA(VLOOKUP(CG28,'法術資料'!$K$2:$X$805,6,FALSE),"")</f>
        <v/>
      </c>
      <c r="CR28" s="1366" t="str">
        <f>IFNA(VLOOKUP(CG28,'法術資料'!$K$2:$X$805,9,FALSE),"")</f>
        <v/>
      </c>
      <c r="CS28" s="1367" t="str">
        <f>IFNA(VLOOKUP(CG28,'法術資料'!$K$2:$X$805,10,FALSE),"")</f>
        <v/>
      </c>
      <c r="CT28" s="1367" t="str">
        <f>IFNA(VLOOKUP($Y28,'法術資料'!$K$2:$X$805,11,FALSE),"")</f>
        <v/>
      </c>
      <c r="CU28" s="1511" t="str">
        <f>IFNA(VLOOKUP(CG28,'法術資料'!$K$2:$X$805,12,FALSE),"")</f>
        <v/>
      </c>
      <c r="CV28" s="376"/>
      <c r="CW28" s="1369"/>
      <c r="CX28" s="455"/>
      <c r="CY28" s="1356"/>
      <c r="CZ28" s="1509" t="b">
        <v>0</v>
      </c>
      <c r="DA28" s="1514"/>
      <c r="DB28" s="1512" t="str">
        <f>IFNA(VLOOKUP(DA28,'法術資料'!$K$2:$X$805,4,FALSE),"")
</f>
        <v/>
      </c>
      <c r="DC28" s="1511" t="str">
        <f>IFNA(VLOOKUP(DA28,'法術資料'!$K$2:$X$805,7,FALSE),"")</f>
        <v/>
      </c>
      <c r="DD28" s="1141"/>
      <c r="DE28" s="1511" t="str">
        <f>IFNA(VLOOKUP(DA28,'法術資料'!$K$2:$X$805,8,FALSE),"")</f>
        <v/>
      </c>
      <c r="DF28" s="1141"/>
      <c r="DG28" s="1511" t="str">
        <f>IFNA(VLOOKUP(DA28,'法術資料'!$K$2:$X$805,14,FALSE),"")</f>
        <v/>
      </c>
      <c r="DH28" s="1141"/>
      <c r="DI28" s="1365" t="str">
        <f>IFNA(VLOOKUP(DA28,'法術資料'!$K$2:$X$805,13,FALSE),"")</f>
        <v/>
      </c>
      <c r="DJ28" s="1365" t="str">
        <f>IFNA(VLOOKUP(DA28,'法術資料'!$K$2:$X$805,5,FALSE),"")</f>
        <v/>
      </c>
      <c r="DK28" s="1365" t="str">
        <f>IFNA(VLOOKUP(DA28,'法術資料'!$K$2:$X$805,6,FALSE),"")</f>
        <v/>
      </c>
      <c r="DL28" s="1366" t="str">
        <f>IFNA(VLOOKUP(DA28,'法術資料'!$K$2:$X$805,9,FALSE),"")</f>
        <v/>
      </c>
      <c r="DM28" s="1367" t="str">
        <f>IFNA(VLOOKUP(DA28,'法術資料'!$K$2:$X$805,10,FALSE),"")</f>
        <v/>
      </c>
      <c r="DN28" s="1367" t="str">
        <f>IFNA(VLOOKUP($Y28,'法術資料'!$K$2:$X$805,11,FALSE),"")</f>
        <v/>
      </c>
      <c r="DO28" s="1511" t="str">
        <f>IFNA(VLOOKUP(DA28,'法術資料'!$K$2:$X$805,12,FALSE),"")</f>
        <v/>
      </c>
      <c r="DP28" s="376"/>
      <c r="DQ28" s="1369"/>
      <c r="DR28" s="455"/>
      <c r="DS28" s="1356"/>
      <c r="DT28" s="1509" t="b">
        <v>0</v>
      </c>
      <c r="DU28" s="1514"/>
      <c r="DV28" s="1512" t="str">
        <f>IFNA(VLOOKUP(DU28,'法術資料'!$K$2:$X$805,4,FALSE),"")
</f>
        <v/>
      </c>
      <c r="DW28" s="1511" t="str">
        <f>IFNA(VLOOKUP(DU28,'法術資料'!$K$2:$X$805,7,FALSE),"")</f>
        <v/>
      </c>
      <c r="DX28" s="1141"/>
      <c r="DY28" s="1511" t="str">
        <f>IFNA(VLOOKUP(DU28,'法術資料'!$K$2:$X$805,8,FALSE),"")</f>
        <v/>
      </c>
      <c r="DZ28" s="1141"/>
      <c r="EA28" s="1511" t="str">
        <f>IFNA(VLOOKUP(DU28,'法術資料'!$K$2:$X$805,14,FALSE),"")</f>
        <v/>
      </c>
      <c r="EB28" s="1141"/>
      <c r="EC28" s="1365" t="str">
        <f>IFNA(VLOOKUP(DU28,'法術資料'!$K$2:$X$805,13,FALSE),"")</f>
        <v/>
      </c>
      <c r="ED28" s="1365" t="str">
        <f>IFNA(VLOOKUP(DU28,'法術資料'!$K$2:$X$805,5,FALSE),"")</f>
        <v/>
      </c>
      <c r="EE28" s="1365" t="str">
        <f>IFNA(VLOOKUP(DU28,'法術資料'!$K$2:$X$805,6,FALSE),"")</f>
        <v/>
      </c>
      <c r="EF28" s="1366" t="str">
        <f>IFNA(VLOOKUP(DU28,'法術資料'!$K$2:$X$805,9,FALSE),"")</f>
        <v/>
      </c>
      <c r="EG28" s="1367" t="str">
        <f>IFNA(VLOOKUP(DU28,'法術資料'!$K$2:$X$805,10,FALSE),"")</f>
        <v/>
      </c>
      <c r="EH28" s="1367" t="str">
        <f>IFNA(VLOOKUP($Y28,'法術資料'!$K$2:$X$805,11,FALSE),"")</f>
        <v/>
      </c>
      <c r="EI28" s="1511" t="str">
        <f>IFNA(VLOOKUP(DU28,'法術資料'!$K$2:$X$805,12,FALSE),"")</f>
        <v/>
      </c>
      <c r="EJ28" s="376"/>
      <c r="EK28" s="1369"/>
      <c r="EL28" s="455"/>
      <c r="EM28" s="1356"/>
      <c r="EN28" s="1509" t="b">
        <v>0</v>
      </c>
      <c r="EO28" s="1514"/>
      <c r="EP28" s="1512" t="str">
        <f>IFNA(VLOOKUP(EO28,'法術資料'!$K$2:$X$805,4,FALSE),"")
</f>
        <v/>
      </c>
      <c r="EQ28" s="1511" t="str">
        <f>IFNA(VLOOKUP(EO28,'法術資料'!$K$2:$X$805,7,FALSE),"")</f>
        <v/>
      </c>
      <c r="ER28" s="1141"/>
      <c r="ES28" s="1511" t="str">
        <f>IFNA(VLOOKUP(EO28,'法術資料'!$K$2:$X$805,8,FALSE),"")</f>
        <v/>
      </c>
      <c r="ET28" s="1141"/>
      <c r="EU28" s="1511" t="str">
        <f>IFNA(VLOOKUP(EO28,'法術資料'!$K$2:$X$805,14,FALSE),"")</f>
        <v/>
      </c>
      <c r="EV28" s="1141"/>
      <c r="EW28" s="1365" t="str">
        <f>IFNA(VLOOKUP(EO28,'法術資料'!$K$2:$X$805,13,FALSE),"")</f>
        <v/>
      </c>
      <c r="EX28" s="1365" t="str">
        <f>IFNA(VLOOKUP(EO28,'法術資料'!$K$2:$X$805,5,FALSE),"")</f>
        <v/>
      </c>
      <c r="EY28" s="1365" t="str">
        <f>IFNA(VLOOKUP(EO28,'法術資料'!$K$2:$X$805,6,FALSE),"")</f>
        <v/>
      </c>
      <c r="EZ28" s="1366" t="str">
        <f>IFNA(VLOOKUP(EO28,'法術資料'!$K$2:$X$805,9,FALSE),"")</f>
        <v/>
      </c>
      <c r="FA28" s="1367" t="str">
        <f>IFNA(VLOOKUP(EO28,'法術資料'!$K$2:$X$805,10,FALSE),"")</f>
        <v/>
      </c>
      <c r="FB28" s="1367" t="str">
        <f>IFNA(VLOOKUP($Y28,'法術資料'!$K$2:$X$805,11,FALSE),"")</f>
        <v/>
      </c>
      <c r="FC28" s="1511" t="str">
        <f>IFNA(VLOOKUP(EO28,'法術資料'!$K$2:$X$805,12,FALSE),"")</f>
        <v/>
      </c>
      <c r="FD28" s="376"/>
      <c r="FE28" s="1369"/>
      <c r="FF28" s="455"/>
      <c r="FG28" s="1356"/>
      <c r="FH28" s="1509" t="b">
        <v>0</v>
      </c>
      <c r="FI28" s="1514"/>
      <c r="FJ28" s="1512" t="str">
        <f>IFNA(VLOOKUP(FI28,'法術資料'!$K$2:$X$805,4,FALSE),"")
</f>
        <v/>
      </c>
      <c r="FK28" s="1511" t="str">
        <f>IFNA(VLOOKUP(FI28,'法術資料'!$K$2:$X$805,7,FALSE),"")</f>
        <v/>
      </c>
      <c r="FL28" s="1141"/>
      <c r="FM28" s="1511" t="str">
        <f>IFNA(VLOOKUP(FI28,'法術資料'!$K$2:$X$805,8,FALSE),"")</f>
        <v/>
      </c>
      <c r="FN28" s="1141"/>
      <c r="FO28" s="1511" t="str">
        <f>IFNA(VLOOKUP(FI28,'法術資料'!$K$2:$X$805,14,FALSE),"")</f>
        <v/>
      </c>
      <c r="FP28" s="1141"/>
      <c r="FQ28" s="1365" t="str">
        <f>IFNA(VLOOKUP(FI28,'法術資料'!$K$2:$X$805,13,FALSE),"")</f>
        <v/>
      </c>
      <c r="FR28" s="1365" t="str">
        <f>IFNA(VLOOKUP(FI28,'法術資料'!$K$2:$X$805,5,FALSE),"")</f>
        <v/>
      </c>
      <c r="FS28" s="1365" t="str">
        <f>IFNA(VLOOKUP(FI28,'法術資料'!$K$2:$X$805,6,FALSE),"")</f>
        <v/>
      </c>
      <c r="FT28" s="1366" t="str">
        <f>IFNA(VLOOKUP(FI28,'法術資料'!$K$2:$X$805,9,FALSE),"")</f>
        <v/>
      </c>
      <c r="FU28" s="1367" t="str">
        <f>IFNA(VLOOKUP(FI28,'法術資料'!$K$2:$X$805,10,FALSE),"")</f>
        <v/>
      </c>
      <c r="FV28" s="1367" t="str">
        <f>IFNA(VLOOKUP($Y28,'法術資料'!$K$2:$X$805,11,FALSE),"")</f>
        <v/>
      </c>
      <c r="FW28" s="1511" t="str">
        <f>IFNA(VLOOKUP(FI28,'法術資料'!$K$2:$X$805,12,FALSE),"")</f>
        <v/>
      </c>
      <c r="FX28" s="376"/>
      <c r="FY28" s="1369"/>
      <c r="FZ28" s="455"/>
    </row>
    <row r="29">
      <c r="A29" s="455"/>
      <c r="B29" s="1356"/>
      <c r="C29" s="1503" t="b">
        <v>0</v>
      </c>
      <c r="D29" s="1504"/>
      <c r="E29" s="1505" t="str">
        <f>IFNA(VLOOKUP($D29,'法術資料'!$K$2:$X$805,4,FALSE),"")
</f>
        <v/>
      </c>
      <c r="F29" s="1506" t="str">
        <f>IFNA(VLOOKUP($D29,'法術資料'!$K$2:$X$805,7,FALSE),"")</f>
        <v/>
      </c>
      <c r="G29" s="1141"/>
      <c r="H29" s="1506" t="str">
        <f>IFNA(VLOOKUP($D29,'法術資料'!$K$2:$X$805,8,FALSE),"")</f>
        <v/>
      </c>
      <c r="I29" s="1141"/>
      <c r="J29" s="1506" t="str">
        <f>IFNA(VLOOKUP($D29,'法術資料'!$K$2:$X$805,14,FALSE),"")</f>
        <v/>
      </c>
      <c r="K29" s="1141"/>
      <c r="L29" s="1506" t="str">
        <f>IFNA(VLOOKUP($D29,'法術資料'!$K$2:$X$805,13,FALSE),"")</f>
        <v/>
      </c>
      <c r="M29" s="1141"/>
      <c r="N29" s="1377" t="str">
        <f>IFNA(VLOOKUP($D29,'法術資料'!$K$2:$X$805,5,FALSE),"")</f>
        <v/>
      </c>
      <c r="O29" s="1377" t="str">
        <f>IFNA(VLOOKUP($D29,'法術資料'!$K$2:$X$805,6,FALSE),"")</f>
        <v/>
      </c>
      <c r="P29" s="1378" t="str">
        <f>IFNA(VLOOKUP($D29,'法術資料'!$K$2:$X$805,9,FALSE),"")</f>
        <v/>
      </c>
      <c r="Q29" s="1379" t="str">
        <f>IFNA(VLOOKUP($D29,'法術資料'!$K$2:$X$805,10,FALSE),"")</f>
        <v/>
      </c>
      <c r="R29" s="1379" t="str">
        <f>IFNA(VLOOKUP($D29,'法術資料'!$K$2:$X$805,11,FALSE),"")</f>
        <v/>
      </c>
      <c r="S29" s="1506" t="str">
        <f>IFNA(VLOOKUP($D29,'法術資料'!$K$2:$X$805,12,FALSE),"")</f>
        <v/>
      </c>
      <c r="T29" s="376"/>
      <c r="U29" s="1369"/>
      <c r="V29" s="455"/>
      <c r="W29" s="1356"/>
      <c r="X29" s="1503" t="b">
        <v>0</v>
      </c>
      <c r="Y29" s="1508"/>
      <c r="Z29" s="1507" t="str">
        <f>IFNA(VLOOKUP(Y29,'法術資料'!$K$2:$X$805,4,FALSE),"")
</f>
        <v/>
      </c>
      <c r="AA29" s="1506" t="str">
        <f>IFNA(VLOOKUP($Y29,'法術資料'!$K$2:$X$805,7,FALSE),"")</f>
        <v/>
      </c>
      <c r="AB29" s="1141"/>
      <c r="AC29" s="1506" t="str">
        <f>IFNA(VLOOKUP($Y29,'法術資料'!$K$2:$X$805,8,FALSE),"")</f>
        <v/>
      </c>
      <c r="AD29" s="1141"/>
      <c r="AE29" s="1506" t="str">
        <f>IFNA(VLOOKUP($Y29,'法術資料'!$K$2:$X$805,14,FALSE),"")</f>
        <v/>
      </c>
      <c r="AF29" s="1141"/>
      <c r="AG29" s="1377" t="str">
        <f>IFNA(VLOOKUP($Y29,'法術資料'!$K$2:$X$805,13,FALSE),"")</f>
        <v/>
      </c>
      <c r="AH29" s="1377" t="str">
        <f>IFNA(VLOOKUP($Y29,'法術資料'!$K$2:$X$805,5,FALSE),"")</f>
        <v/>
      </c>
      <c r="AI29" s="1377" t="str">
        <f>IFNA(VLOOKUP($Y29,'法術資料'!$K$2:$X$805,6,FALSE),"")</f>
        <v/>
      </c>
      <c r="AJ29" s="1378" t="str">
        <f>IFNA(VLOOKUP($Y29,'法術資料'!$K$2:$X$805,9,FALSE),"")</f>
        <v/>
      </c>
      <c r="AK29" s="1379" t="str">
        <f>IFNA(VLOOKUP($Y29,'法術資料'!$K$2:$X$805,10,FALSE),"")</f>
        <v/>
      </c>
      <c r="AL29" s="1379" t="str">
        <f>IFNA(VLOOKUP($Y29,'法術資料'!$K$2:$X$805,11,FALSE),"")</f>
        <v/>
      </c>
      <c r="AM29" s="1506" t="str">
        <f>IFNA(VLOOKUP($Y29,'法術資料'!$K$2:$X$805,12,FALSE),"")</f>
        <v/>
      </c>
      <c r="AN29" s="376"/>
      <c r="AO29" s="1369"/>
      <c r="AP29" s="455"/>
      <c r="AQ29" s="1356"/>
      <c r="AR29" s="1503" t="b">
        <v>0</v>
      </c>
      <c r="AS29" s="1508"/>
      <c r="AT29" s="1507" t="str">
        <f>IFNA(VLOOKUP(AS29,'法術資料'!$K$2:$X$805,4,FALSE),"")
</f>
        <v/>
      </c>
      <c r="AU29" s="1506" t="str">
        <f>IFNA(VLOOKUP(AS29,'法術資料'!$K$2:$X$805,7,FALSE),"")</f>
        <v/>
      </c>
      <c r="AV29" s="1141"/>
      <c r="AW29" s="1506" t="str">
        <f>IFNA(VLOOKUP(AS29,'法術資料'!$K$2:$X$805,8,FALSE),"")</f>
        <v/>
      </c>
      <c r="AX29" s="1141"/>
      <c r="AY29" s="1506" t="str">
        <f>IFNA(VLOOKUP(AS29,'法術資料'!$K$2:$X$805,14,FALSE),"")</f>
        <v/>
      </c>
      <c r="AZ29" s="1141"/>
      <c r="BA29" s="1377" t="str">
        <f>IFNA(VLOOKUP(AS29,'法術資料'!$K$2:$X$805,13,FALSE),"")</f>
        <v/>
      </c>
      <c r="BB29" s="1377" t="str">
        <f>IFNA(VLOOKUP(AS29,'法術資料'!$K$2:$X$805,5,FALSE),"")</f>
        <v/>
      </c>
      <c r="BC29" s="1377" t="str">
        <f>IFNA(VLOOKUP(AS29,'法術資料'!$K$2:$X$805,6,FALSE),"")</f>
        <v/>
      </c>
      <c r="BD29" s="1378" t="str">
        <f>IFNA(VLOOKUP(AS29,'法術資料'!$K$2:$X$805,9,FALSE),"")</f>
        <v/>
      </c>
      <c r="BE29" s="1379" t="str">
        <f>IFNA(VLOOKUP(AS29,'法術資料'!$K$2:$X$805,10,FALSE),"")</f>
        <v/>
      </c>
      <c r="BF29" s="1379" t="str">
        <f>IFNA(VLOOKUP($Y29,'法術資料'!$K$2:$X$805,11,FALSE),"")</f>
        <v/>
      </c>
      <c r="BG29" s="1506" t="str">
        <f>IFNA(VLOOKUP(AS29,'法術資料'!$K$2:$X$805,12,FALSE),"")</f>
        <v/>
      </c>
      <c r="BH29" s="376"/>
      <c r="BI29" s="1369"/>
      <c r="BJ29" s="455"/>
      <c r="BK29" s="1356"/>
      <c r="BL29" s="1503" t="b">
        <v>0</v>
      </c>
      <c r="BM29" s="1508"/>
      <c r="BN29" s="1507" t="str">
        <f>IFNA(VLOOKUP(BM29,'法術資料'!$K$2:$X$805,4,FALSE),"")
</f>
        <v/>
      </c>
      <c r="BO29" s="1506" t="str">
        <f>IFNA(VLOOKUP(BM29,'法術資料'!$K$2:$X$805,7,FALSE),"")</f>
        <v/>
      </c>
      <c r="BP29" s="1141"/>
      <c r="BQ29" s="1506" t="str">
        <f>IFNA(VLOOKUP(BM29,'法術資料'!$K$2:$X$805,8,FALSE),"")</f>
        <v/>
      </c>
      <c r="BR29" s="1141"/>
      <c r="BS29" s="1506" t="str">
        <f>IFNA(VLOOKUP(BM29,'法術資料'!$K$2:$X$805,14,FALSE),"")</f>
        <v/>
      </c>
      <c r="BT29" s="1141"/>
      <c r="BU29" s="1377" t="str">
        <f>IFNA(VLOOKUP(BM29,'法術資料'!$K$2:$X$805,13,FALSE),"")</f>
        <v/>
      </c>
      <c r="BV29" s="1377" t="str">
        <f>IFNA(VLOOKUP(BM29,'法術資料'!$K$2:$X$805,5,FALSE),"")</f>
        <v/>
      </c>
      <c r="BW29" s="1377" t="str">
        <f>IFNA(VLOOKUP(BM29,'法術資料'!$K$2:$X$805,6,FALSE),"")</f>
        <v/>
      </c>
      <c r="BX29" s="1378" t="str">
        <f>IFNA(VLOOKUP(BM29,'法術資料'!$K$2:$X$805,9,FALSE),"")</f>
        <v/>
      </c>
      <c r="BY29" s="1379" t="str">
        <f>IFNA(VLOOKUP(BM29,'法術資料'!$K$2:$X$805,10,FALSE),"")</f>
        <v/>
      </c>
      <c r="BZ29" s="1379" t="str">
        <f>IFNA(VLOOKUP($Y29,'法術資料'!$K$2:$X$805,11,FALSE),"")</f>
        <v/>
      </c>
      <c r="CA29" s="1506" t="str">
        <f>IFNA(VLOOKUP(BM29,'法術資料'!$K$2:$X$805,12,FALSE),"")</f>
        <v/>
      </c>
      <c r="CB29" s="376"/>
      <c r="CC29" s="1369"/>
      <c r="CD29" s="455"/>
      <c r="CE29" s="1356"/>
      <c r="CF29" s="1503" t="b">
        <v>0</v>
      </c>
      <c r="CG29" s="1508"/>
      <c r="CH29" s="1507" t="str">
        <f>IFNA(VLOOKUP(CG29,'法術資料'!$K$2:$X$805,4,FALSE),"")
</f>
        <v/>
      </c>
      <c r="CI29" s="1506" t="str">
        <f>IFNA(VLOOKUP(CG29,'法術資料'!$K$2:$X$805,7,FALSE),"")</f>
        <v/>
      </c>
      <c r="CJ29" s="1141"/>
      <c r="CK29" s="1506" t="str">
        <f>IFNA(VLOOKUP(CG29,'法術資料'!$K$2:$X$805,8,FALSE),"")</f>
        <v/>
      </c>
      <c r="CL29" s="1141"/>
      <c r="CM29" s="1506" t="str">
        <f>IFNA(VLOOKUP(CG29,'法術資料'!$K$2:$X$805,14,FALSE),"")</f>
        <v/>
      </c>
      <c r="CN29" s="1141"/>
      <c r="CO29" s="1377" t="str">
        <f>IFNA(VLOOKUP(CG29,'法術資料'!$K$2:$X$805,13,FALSE),"")</f>
        <v/>
      </c>
      <c r="CP29" s="1377" t="str">
        <f>IFNA(VLOOKUP(CG29,'法術資料'!$K$2:$X$805,5,FALSE),"")</f>
        <v/>
      </c>
      <c r="CQ29" s="1377" t="str">
        <f>IFNA(VLOOKUP(CG29,'法術資料'!$K$2:$X$805,6,FALSE),"")</f>
        <v/>
      </c>
      <c r="CR29" s="1378" t="str">
        <f>IFNA(VLOOKUP(CG29,'法術資料'!$K$2:$X$805,9,FALSE),"")</f>
        <v/>
      </c>
      <c r="CS29" s="1379" t="str">
        <f>IFNA(VLOOKUP(CG29,'法術資料'!$K$2:$X$805,10,FALSE),"")</f>
        <v/>
      </c>
      <c r="CT29" s="1379" t="str">
        <f>IFNA(VLOOKUP($Y29,'法術資料'!$K$2:$X$805,11,FALSE),"")</f>
        <v/>
      </c>
      <c r="CU29" s="1506" t="str">
        <f>IFNA(VLOOKUP(CG29,'法術資料'!$K$2:$X$805,12,FALSE),"")</f>
        <v/>
      </c>
      <c r="CV29" s="376"/>
      <c r="CW29" s="1369"/>
      <c r="CX29" s="455"/>
      <c r="CY29" s="1356"/>
      <c r="CZ29" s="1503" t="b">
        <v>0</v>
      </c>
      <c r="DA29" s="1515"/>
      <c r="DB29" s="1507" t="str">
        <f>IFNA(VLOOKUP(DA29,'法術資料'!$K$2:$X$805,4,FALSE),"")
</f>
        <v/>
      </c>
      <c r="DC29" s="1506" t="str">
        <f>IFNA(VLOOKUP(DA29,'法術資料'!$K$2:$X$805,7,FALSE),"")</f>
        <v/>
      </c>
      <c r="DD29" s="1141"/>
      <c r="DE29" s="1506" t="str">
        <f>IFNA(VLOOKUP(DA29,'法術資料'!$K$2:$X$805,8,FALSE),"")</f>
        <v/>
      </c>
      <c r="DF29" s="1141"/>
      <c r="DG29" s="1506" t="str">
        <f>IFNA(VLOOKUP(DA29,'法術資料'!$K$2:$X$805,14,FALSE),"")</f>
        <v/>
      </c>
      <c r="DH29" s="1141"/>
      <c r="DI29" s="1377" t="str">
        <f>IFNA(VLOOKUP(DA29,'法術資料'!$K$2:$X$805,13,FALSE),"")</f>
        <v/>
      </c>
      <c r="DJ29" s="1377" t="str">
        <f>IFNA(VLOOKUP(DA29,'法術資料'!$K$2:$X$805,5,FALSE),"")</f>
        <v/>
      </c>
      <c r="DK29" s="1377" t="str">
        <f>IFNA(VLOOKUP(DA29,'法術資料'!$K$2:$X$805,6,FALSE),"")</f>
        <v/>
      </c>
      <c r="DL29" s="1378" t="str">
        <f>IFNA(VLOOKUP(DA29,'法術資料'!$K$2:$X$805,9,FALSE),"")</f>
        <v/>
      </c>
      <c r="DM29" s="1379" t="str">
        <f>IFNA(VLOOKUP(DA29,'法術資料'!$K$2:$X$805,10,FALSE),"")</f>
        <v/>
      </c>
      <c r="DN29" s="1379" t="str">
        <f>IFNA(VLOOKUP($Y29,'法術資料'!$K$2:$X$805,11,FALSE),"")</f>
        <v/>
      </c>
      <c r="DO29" s="1506" t="str">
        <f>IFNA(VLOOKUP(DA29,'法術資料'!$K$2:$X$805,12,FALSE),"")</f>
        <v/>
      </c>
      <c r="DP29" s="376"/>
      <c r="DQ29" s="1369"/>
      <c r="DR29" s="455"/>
      <c r="DS29" s="1356"/>
      <c r="DT29" s="1503" t="b">
        <v>0</v>
      </c>
      <c r="DU29" s="1515"/>
      <c r="DV29" s="1507" t="str">
        <f>IFNA(VLOOKUP(DU29,'法術資料'!$K$2:$X$805,4,FALSE),"")
</f>
        <v/>
      </c>
      <c r="DW29" s="1506" t="str">
        <f>IFNA(VLOOKUP(DU29,'法術資料'!$K$2:$X$805,7,FALSE),"")</f>
        <v/>
      </c>
      <c r="DX29" s="1141"/>
      <c r="DY29" s="1506" t="str">
        <f>IFNA(VLOOKUP(DU29,'法術資料'!$K$2:$X$805,8,FALSE),"")</f>
        <v/>
      </c>
      <c r="DZ29" s="1141"/>
      <c r="EA29" s="1506" t="str">
        <f>IFNA(VLOOKUP(DU29,'法術資料'!$K$2:$X$805,14,FALSE),"")</f>
        <v/>
      </c>
      <c r="EB29" s="1141"/>
      <c r="EC29" s="1377" t="str">
        <f>IFNA(VLOOKUP(DU29,'法術資料'!$K$2:$X$805,13,FALSE),"")</f>
        <v/>
      </c>
      <c r="ED29" s="1377" t="str">
        <f>IFNA(VLOOKUP(DU29,'法術資料'!$K$2:$X$805,5,FALSE),"")</f>
        <v/>
      </c>
      <c r="EE29" s="1377" t="str">
        <f>IFNA(VLOOKUP(DU29,'法術資料'!$K$2:$X$805,6,FALSE),"")</f>
        <v/>
      </c>
      <c r="EF29" s="1378" t="str">
        <f>IFNA(VLOOKUP(DU29,'法術資料'!$K$2:$X$805,9,FALSE),"")</f>
        <v/>
      </c>
      <c r="EG29" s="1379" t="str">
        <f>IFNA(VLOOKUP(DU29,'法術資料'!$K$2:$X$805,10,FALSE),"")</f>
        <v/>
      </c>
      <c r="EH29" s="1379" t="str">
        <f>IFNA(VLOOKUP($Y29,'法術資料'!$K$2:$X$805,11,FALSE),"")</f>
        <v/>
      </c>
      <c r="EI29" s="1506" t="str">
        <f>IFNA(VLOOKUP(DU29,'法術資料'!$K$2:$X$805,12,FALSE),"")</f>
        <v/>
      </c>
      <c r="EJ29" s="376"/>
      <c r="EK29" s="1369"/>
      <c r="EL29" s="455"/>
      <c r="EM29" s="1356"/>
      <c r="EN29" s="1503" t="b">
        <v>0</v>
      </c>
      <c r="EO29" s="1515"/>
      <c r="EP29" s="1507" t="str">
        <f>IFNA(VLOOKUP(EO29,'法術資料'!$K$2:$X$805,4,FALSE),"")
</f>
        <v/>
      </c>
      <c r="EQ29" s="1506" t="str">
        <f>IFNA(VLOOKUP(EO29,'法術資料'!$K$2:$X$805,7,FALSE),"")</f>
        <v/>
      </c>
      <c r="ER29" s="1141"/>
      <c r="ES29" s="1506" t="str">
        <f>IFNA(VLOOKUP(EO29,'法術資料'!$K$2:$X$805,8,FALSE),"")</f>
        <v/>
      </c>
      <c r="ET29" s="1141"/>
      <c r="EU29" s="1506" t="str">
        <f>IFNA(VLOOKUP(EO29,'法術資料'!$K$2:$X$805,14,FALSE),"")</f>
        <v/>
      </c>
      <c r="EV29" s="1141"/>
      <c r="EW29" s="1377" t="str">
        <f>IFNA(VLOOKUP(EO29,'法術資料'!$K$2:$X$805,13,FALSE),"")</f>
        <v/>
      </c>
      <c r="EX29" s="1377" t="str">
        <f>IFNA(VLOOKUP(EO29,'法術資料'!$K$2:$X$805,5,FALSE),"")</f>
        <v/>
      </c>
      <c r="EY29" s="1377" t="str">
        <f>IFNA(VLOOKUP(EO29,'法術資料'!$K$2:$X$805,6,FALSE),"")</f>
        <v/>
      </c>
      <c r="EZ29" s="1378" t="str">
        <f>IFNA(VLOOKUP(EO29,'法術資料'!$K$2:$X$805,9,FALSE),"")</f>
        <v/>
      </c>
      <c r="FA29" s="1379" t="str">
        <f>IFNA(VLOOKUP(EO29,'法術資料'!$K$2:$X$805,10,FALSE),"")</f>
        <v/>
      </c>
      <c r="FB29" s="1379" t="str">
        <f>IFNA(VLOOKUP($Y29,'法術資料'!$K$2:$X$805,11,FALSE),"")</f>
        <v/>
      </c>
      <c r="FC29" s="1506" t="str">
        <f>IFNA(VLOOKUP(EO29,'法術資料'!$K$2:$X$805,12,FALSE),"")</f>
        <v/>
      </c>
      <c r="FD29" s="376"/>
      <c r="FE29" s="1369"/>
      <c r="FF29" s="455"/>
      <c r="FG29" s="1356"/>
      <c r="FH29" s="1503" t="b">
        <v>0</v>
      </c>
      <c r="FI29" s="1515"/>
      <c r="FJ29" s="1507" t="str">
        <f>IFNA(VLOOKUP(FI29,'法術資料'!$K$2:$X$805,4,FALSE),"")
</f>
        <v/>
      </c>
      <c r="FK29" s="1506" t="str">
        <f>IFNA(VLOOKUP(FI29,'法術資料'!$K$2:$X$805,7,FALSE),"")</f>
        <v/>
      </c>
      <c r="FL29" s="1141"/>
      <c r="FM29" s="1506" t="str">
        <f>IFNA(VLOOKUP(FI29,'法術資料'!$K$2:$X$805,8,FALSE),"")</f>
        <v/>
      </c>
      <c r="FN29" s="1141"/>
      <c r="FO29" s="1506" t="str">
        <f>IFNA(VLOOKUP(FI29,'法術資料'!$K$2:$X$805,14,FALSE),"")</f>
        <v/>
      </c>
      <c r="FP29" s="1141"/>
      <c r="FQ29" s="1377" t="str">
        <f>IFNA(VLOOKUP(FI29,'法術資料'!$K$2:$X$805,13,FALSE),"")</f>
        <v/>
      </c>
      <c r="FR29" s="1377" t="str">
        <f>IFNA(VLOOKUP(FI29,'法術資料'!$K$2:$X$805,5,FALSE),"")</f>
        <v/>
      </c>
      <c r="FS29" s="1377" t="str">
        <f>IFNA(VLOOKUP(FI29,'法術資料'!$K$2:$X$805,6,FALSE),"")</f>
        <v/>
      </c>
      <c r="FT29" s="1378" t="str">
        <f>IFNA(VLOOKUP(FI29,'法術資料'!$K$2:$X$805,9,FALSE),"")</f>
        <v/>
      </c>
      <c r="FU29" s="1379" t="str">
        <f>IFNA(VLOOKUP(FI29,'法術資料'!$K$2:$X$805,10,FALSE),"")</f>
        <v/>
      </c>
      <c r="FV29" s="1379" t="str">
        <f>IFNA(VLOOKUP($Y29,'法術資料'!$K$2:$X$805,11,FALSE),"")</f>
        <v/>
      </c>
      <c r="FW29" s="1506" t="str">
        <f>IFNA(VLOOKUP(FI29,'法術資料'!$K$2:$X$805,12,FALSE),"")</f>
        <v/>
      </c>
      <c r="FX29" s="376"/>
      <c r="FY29" s="1369"/>
      <c r="FZ29" s="455"/>
    </row>
    <row r="30">
      <c r="A30" s="455"/>
      <c r="B30" s="1356"/>
      <c r="C30" s="1509" t="b">
        <v>0</v>
      </c>
      <c r="D30" s="1502"/>
      <c r="E30" s="1510" t="str">
        <f>IFNA(VLOOKUP($D30,'法術資料'!$K$2:$X$805,4,FALSE),"")
</f>
        <v/>
      </c>
      <c r="F30" s="1511" t="str">
        <f>IFNA(VLOOKUP($D30,'法術資料'!$K$2:$X$805,7,FALSE),"")</f>
        <v/>
      </c>
      <c r="G30" s="1141"/>
      <c r="H30" s="1511" t="str">
        <f>IFNA(VLOOKUP($D30,'法術資料'!$K$2:$X$805,8,FALSE),"")</f>
        <v/>
      </c>
      <c r="I30" s="1141"/>
      <c r="J30" s="1511" t="str">
        <f>IFNA(VLOOKUP($D30,'法術資料'!$K$2:$X$805,14,FALSE),"")</f>
        <v/>
      </c>
      <c r="K30" s="1141"/>
      <c r="L30" s="1511" t="str">
        <f>IFNA(VLOOKUP($D30,'法術資料'!$K$2:$X$805,13,FALSE),"")</f>
        <v/>
      </c>
      <c r="M30" s="1141"/>
      <c r="N30" s="1365" t="str">
        <f>IFNA(VLOOKUP($D30,'法術資料'!$K$2:$X$805,5,FALSE),"")</f>
        <v/>
      </c>
      <c r="O30" s="1365" t="str">
        <f>IFNA(VLOOKUP($D30,'法術資料'!$K$2:$X$805,6,FALSE),"")</f>
        <v/>
      </c>
      <c r="P30" s="1366" t="str">
        <f>IFNA(VLOOKUP($D30,'法術資料'!$K$2:$X$805,9,FALSE),"")</f>
        <v/>
      </c>
      <c r="Q30" s="1367" t="str">
        <f>IFNA(VLOOKUP($D30,'法術資料'!$K$2:$X$805,10,FALSE),"")</f>
        <v/>
      </c>
      <c r="R30" s="1367" t="str">
        <f>IFNA(VLOOKUP($D30,'法術資料'!$K$2:$X$805,11,FALSE),"")</f>
        <v/>
      </c>
      <c r="S30" s="1511" t="str">
        <f>IFNA(VLOOKUP($D30,'法術資料'!$K$2:$X$805,12,FALSE),"")</f>
        <v/>
      </c>
      <c r="T30" s="376"/>
      <c r="U30" s="1369"/>
      <c r="V30" s="455"/>
      <c r="W30" s="1356"/>
      <c r="X30" s="1509" t="b">
        <v>0</v>
      </c>
      <c r="Y30" s="1499"/>
      <c r="Z30" s="1512" t="str">
        <f>IFNA(VLOOKUP(Y30,'法術資料'!$K$2:$X$805,4,FALSE),"")
</f>
        <v/>
      </c>
      <c r="AA30" s="1511" t="str">
        <f>IFNA(VLOOKUP($Y30,'法術資料'!$K$2:$X$805,7,FALSE),"")</f>
        <v/>
      </c>
      <c r="AB30" s="1141"/>
      <c r="AC30" s="1511" t="str">
        <f>IFNA(VLOOKUP($Y30,'法術資料'!$K$2:$X$805,8,FALSE),"")</f>
        <v/>
      </c>
      <c r="AD30" s="1141"/>
      <c r="AE30" s="1511" t="str">
        <f>IFNA(VLOOKUP($Y30,'法術資料'!$K$2:$X$805,14,FALSE),"")</f>
        <v/>
      </c>
      <c r="AF30" s="1141"/>
      <c r="AG30" s="1365" t="str">
        <f>IFNA(VLOOKUP($Y30,'法術資料'!$K$2:$X$805,13,FALSE),"")</f>
        <v/>
      </c>
      <c r="AH30" s="1365" t="str">
        <f>IFNA(VLOOKUP($Y30,'法術資料'!$K$2:$X$805,5,FALSE),"")</f>
        <v/>
      </c>
      <c r="AI30" s="1365" t="str">
        <f>IFNA(VLOOKUP($Y30,'法術資料'!$K$2:$X$805,6,FALSE),"")</f>
        <v/>
      </c>
      <c r="AJ30" s="1366" t="str">
        <f>IFNA(VLOOKUP($Y30,'法術資料'!$K$2:$X$805,9,FALSE),"")</f>
        <v/>
      </c>
      <c r="AK30" s="1367" t="str">
        <f>IFNA(VLOOKUP($Y30,'法術資料'!$K$2:$X$805,10,FALSE),"")</f>
        <v/>
      </c>
      <c r="AL30" s="1367" t="str">
        <f>IFNA(VLOOKUP($Y30,'法術資料'!$K$2:$X$805,11,FALSE),"")</f>
        <v/>
      </c>
      <c r="AM30" s="1511" t="str">
        <f>IFNA(VLOOKUP($Y30,'法術資料'!$K$2:$X$805,12,FALSE),"")</f>
        <v/>
      </c>
      <c r="AN30" s="376"/>
      <c r="AO30" s="1369"/>
      <c r="AP30" s="455"/>
      <c r="AQ30" s="1356"/>
      <c r="AR30" s="1509" t="b">
        <v>0</v>
      </c>
      <c r="AS30" s="1499"/>
      <c r="AT30" s="1512" t="str">
        <f>IFNA(VLOOKUP(AS30,'法術資料'!$K$2:$X$805,4,FALSE),"")
</f>
        <v/>
      </c>
      <c r="AU30" s="1511" t="str">
        <f>IFNA(VLOOKUP(AS30,'法術資料'!$K$2:$X$805,7,FALSE),"")</f>
        <v/>
      </c>
      <c r="AV30" s="1141"/>
      <c r="AW30" s="1511" t="str">
        <f>IFNA(VLOOKUP(AS30,'法術資料'!$K$2:$X$805,8,FALSE),"")</f>
        <v/>
      </c>
      <c r="AX30" s="1141"/>
      <c r="AY30" s="1511" t="str">
        <f>IFNA(VLOOKUP(AS30,'法術資料'!$K$2:$X$805,14,FALSE),"")</f>
        <v/>
      </c>
      <c r="AZ30" s="1141"/>
      <c r="BA30" s="1365" t="str">
        <f>IFNA(VLOOKUP(AS30,'法術資料'!$K$2:$X$805,13,FALSE),"")</f>
        <v/>
      </c>
      <c r="BB30" s="1365" t="str">
        <f>IFNA(VLOOKUP(AS30,'法術資料'!$K$2:$X$805,5,FALSE),"")</f>
        <v/>
      </c>
      <c r="BC30" s="1365" t="str">
        <f>IFNA(VLOOKUP(AS30,'法術資料'!$K$2:$X$805,6,FALSE),"")</f>
        <v/>
      </c>
      <c r="BD30" s="1366" t="str">
        <f>IFNA(VLOOKUP(AS30,'法術資料'!$K$2:$X$805,9,FALSE),"")</f>
        <v/>
      </c>
      <c r="BE30" s="1367" t="str">
        <f>IFNA(VLOOKUP(AS30,'法術資料'!$K$2:$X$805,10,FALSE),"")</f>
        <v/>
      </c>
      <c r="BF30" s="1367" t="str">
        <f>IFNA(VLOOKUP($Y30,'法術資料'!$K$2:$X$805,11,FALSE),"")</f>
        <v/>
      </c>
      <c r="BG30" s="1511" t="str">
        <f>IFNA(VLOOKUP(AS30,'法術資料'!$K$2:$X$805,12,FALSE),"")</f>
        <v/>
      </c>
      <c r="BH30" s="376"/>
      <c r="BI30" s="1369"/>
      <c r="BJ30" s="455"/>
      <c r="BK30" s="1356"/>
      <c r="BL30" s="1509" t="b">
        <v>0</v>
      </c>
      <c r="BM30" s="1499"/>
      <c r="BN30" s="1512" t="str">
        <f>IFNA(VLOOKUP(BM30,'法術資料'!$K$2:$X$805,4,FALSE),"")
</f>
        <v/>
      </c>
      <c r="BO30" s="1511" t="str">
        <f>IFNA(VLOOKUP(BM30,'法術資料'!$K$2:$X$805,7,FALSE),"")</f>
        <v/>
      </c>
      <c r="BP30" s="1141"/>
      <c r="BQ30" s="1511" t="str">
        <f>IFNA(VLOOKUP(BM30,'法術資料'!$K$2:$X$805,8,FALSE),"")</f>
        <v/>
      </c>
      <c r="BR30" s="1141"/>
      <c r="BS30" s="1511" t="str">
        <f>IFNA(VLOOKUP(BM30,'法術資料'!$K$2:$X$805,14,FALSE),"")</f>
        <v/>
      </c>
      <c r="BT30" s="1141"/>
      <c r="BU30" s="1365" t="str">
        <f>IFNA(VLOOKUP(BM30,'法術資料'!$K$2:$X$805,13,FALSE),"")</f>
        <v/>
      </c>
      <c r="BV30" s="1365" t="str">
        <f>IFNA(VLOOKUP(BM30,'法術資料'!$K$2:$X$805,5,FALSE),"")</f>
        <v/>
      </c>
      <c r="BW30" s="1365" t="str">
        <f>IFNA(VLOOKUP(BM30,'法術資料'!$K$2:$X$805,6,FALSE),"")</f>
        <v/>
      </c>
      <c r="BX30" s="1366" t="str">
        <f>IFNA(VLOOKUP(BM30,'法術資料'!$K$2:$X$805,9,FALSE),"")</f>
        <v/>
      </c>
      <c r="BY30" s="1367" t="str">
        <f>IFNA(VLOOKUP(BM30,'法術資料'!$K$2:$X$805,10,FALSE),"")</f>
        <v/>
      </c>
      <c r="BZ30" s="1367" t="str">
        <f>IFNA(VLOOKUP($Y30,'法術資料'!$K$2:$X$805,11,FALSE),"")</f>
        <v/>
      </c>
      <c r="CA30" s="1511" t="str">
        <f>IFNA(VLOOKUP(BM30,'法術資料'!$K$2:$X$805,12,FALSE),"")</f>
        <v/>
      </c>
      <c r="CB30" s="376"/>
      <c r="CC30" s="1369"/>
      <c r="CD30" s="455"/>
      <c r="CE30" s="1356"/>
      <c r="CF30" s="1509" t="b">
        <v>0</v>
      </c>
      <c r="CG30" s="1499"/>
      <c r="CH30" s="1512" t="str">
        <f>IFNA(VLOOKUP(CG30,'法術資料'!$K$2:$X$805,4,FALSE),"")
</f>
        <v/>
      </c>
      <c r="CI30" s="1511" t="str">
        <f>IFNA(VLOOKUP(CG30,'法術資料'!$K$2:$X$805,7,FALSE),"")</f>
        <v/>
      </c>
      <c r="CJ30" s="1141"/>
      <c r="CK30" s="1511" t="str">
        <f>IFNA(VLOOKUP(CG30,'法術資料'!$K$2:$X$805,8,FALSE),"")</f>
        <v/>
      </c>
      <c r="CL30" s="1141"/>
      <c r="CM30" s="1511" t="str">
        <f>IFNA(VLOOKUP(CG30,'法術資料'!$K$2:$X$805,14,FALSE),"")</f>
        <v/>
      </c>
      <c r="CN30" s="1141"/>
      <c r="CO30" s="1365" t="str">
        <f>IFNA(VLOOKUP(CG30,'法術資料'!$K$2:$X$805,13,FALSE),"")</f>
        <v/>
      </c>
      <c r="CP30" s="1365" t="str">
        <f>IFNA(VLOOKUP(CG30,'法術資料'!$K$2:$X$805,5,FALSE),"")</f>
        <v/>
      </c>
      <c r="CQ30" s="1365" t="str">
        <f>IFNA(VLOOKUP(CG30,'法術資料'!$K$2:$X$805,6,FALSE),"")</f>
        <v/>
      </c>
      <c r="CR30" s="1366" t="str">
        <f>IFNA(VLOOKUP(CG30,'法術資料'!$K$2:$X$805,9,FALSE),"")</f>
        <v/>
      </c>
      <c r="CS30" s="1367" t="str">
        <f>IFNA(VLOOKUP(CG30,'法術資料'!$K$2:$X$805,10,FALSE),"")</f>
        <v/>
      </c>
      <c r="CT30" s="1367" t="str">
        <f>IFNA(VLOOKUP($Y30,'法術資料'!$K$2:$X$805,11,FALSE),"")</f>
        <v/>
      </c>
      <c r="CU30" s="1511" t="str">
        <f>IFNA(VLOOKUP(CG30,'法術資料'!$K$2:$X$805,12,FALSE),"")</f>
        <v/>
      </c>
      <c r="CV30" s="376"/>
      <c r="CW30" s="1369"/>
      <c r="CX30" s="455"/>
      <c r="CY30" s="1356"/>
      <c r="CZ30" s="1509" t="b">
        <v>0</v>
      </c>
      <c r="DA30" s="1514"/>
      <c r="DB30" s="1512" t="str">
        <f>IFNA(VLOOKUP(DA30,'法術資料'!$K$2:$X$805,4,FALSE),"")
</f>
        <v/>
      </c>
      <c r="DC30" s="1511" t="str">
        <f>IFNA(VLOOKUP(DA30,'法術資料'!$K$2:$X$805,7,FALSE),"")</f>
        <v/>
      </c>
      <c r="DD30" s="1141"/>
      <c r="DE30" s="1511" t="str">
        <f>IFNA(VLOOKUP(DA30,'法術資料'!$K$2:$X$805,8,FALSE),"")</f>
        <v/>
      </c>
      <c r="DF30" s="1141"/>
      <c r="DG30" s="1511" t="str">
        <f>IFNA(VLOOKUP(DA30,'法術資料'!$K$2:$X$805,14,FALSE),"")</f>
        <v/>
      </c>
      <c r="DH30" s="1141"/>
      <c r="DI30" s="1365" t="str">
        <f>IFNA(VLOOKUP(DA30,'法術資料'!$K$2:$X$805,13,FALSE),"")</f>
        <v/>
      </c>
      <c r="DJ30" s="1365" t="str">
        <f>IFNA(VLOOKUP(DA30,'法術資料'!$K$2:$X$805,5,FALSE),"")</f>
        <v/>
      </c>
      <c r="DK30" s="1365" t="str">
        <f>IFNA(VLOOKUP(DA30,'法術資料'!$K$2:$X$805,6,FALSE),"")</f>
        <v/>
      </c>
      <c r="DL30" s="1366" t="str">
        <f>IFNA(VLOOKUP(DA30,'法術資料'!$K$2:$X$805,9,FALSE),"")</f>
        <v/>
      </c>
      <c r="DM30" s="1367" t="str">
        <f>IFNA(VLOOKUP(DA30,'法術資料'!$K$2:$X$805,10,FALSE),"")</f>
        <v/>
      </c>
      <c r="DN30" s="1367" t="str">
        <f>IFNA(VLOOKUP($Y30,'法術資料'!$K$2:$X$805,11,FALSE),"")</f>
        <v/>
      </c>
      <c r="DO30" s="1511" t="str">
        <f>IFNA(VLOOKUP(DA30,'法術資料'!$K$2:$X$805,12,FALSE),"")</f>
        <v/>
      </c>
      <c r="DP30" s="376"/>
      <c r="DQ30" s="1369"/>
      <c r="DR30" s="455"/>
      <c r="DS30" s="1356"/>
      <c r="DT30" s="1509" t="b">
        <v>0</v>
      </c>
      <c r="DU30" s="1514"/>
      <c r="DV30" s="1512" t="str">
        <f>IFNA(VLOOKUP(DU30,'法術資料'!$K$2:$X$805,4,FALSE),"")
</f>
        <v/>
      </c>
      <c r="DW30" s="1511" t="str">
        <f>IFNA(VLOOKUP(DU30,'法術資料'!$K$2:$X$805,7,FALSE),"")</f>
        <v/>
      </c>
      <c r="DX30" s="1141"/>
      <c r="DY30" s="1511" t="str">
        <f>IFNA(VLOOKUP(DU30,'法術資料'!$K$2:$X$805,8,FALSE),"")</f>
        <v/>
      </c>
      <c r="DZ30" s="1141"/>
      <c r="EA30" s="1511" t="str">
        <f>IFNA(VLOOKUP(DU30,'法術資料'!$K$2:$X$805,14,FALSE),"")</f>
        <v/>
      </c>
      <c r="EB30" s="1141"/>
      <c r="EC30" s="1365" t="str">
        <f>IFNA(VLOOKUP(DU30,'法術資料'!$K$2:$X$805,13,FALSE),"")</f>
        <v/>
      </c>
      <c r="ED30" s="1365" t="str">
        <f>IFNA(VLOOKUP(DU30,'法術資料'!$K$2:$X$805,5,FALSE),"")</f>
        <v/>
      </c>
      <c r="EE30" s="1365" t="str">
        <f>IFNA(VLOOKUP(DU30,'法術資料'!$K$2:$X$805,6,FALSE),"")</f>
        <v/>
      </c>
      <c r="EF30" s="1366" t="str">
        <f>IFNA(VLOOKUP(DU30,'法術資料'!$K$2:$X$805,9,FALSE),"")</f>
        <v/>
      </c>
      <c r="EG30" s="1367" t="str">
        <f>IFNA(VLOOKUP(DU30,'法術資料'!$K$2:$X$805,10,FALSE),"")</f>
        <v/>
      </c>
      <c r="EH30" s="1367" t="str">
        <f>IFNA(VLOOKUP($Y30,'法術資料'!$K$2:$X$805,11,FALSE),"")</f>
        <v/>
      </c>
      <c r="EI30" s="1511" t="str">
        <f>IFNA(VLOOKUP(DU30,'法術資料'!$K$2:$X$805,12,FALSE),"")</f>
        <v/>
      </c>
      <c r="EJ30" s="376"/>
      <c r="EK30" s="1369"/>
      <c r="EL30" s="455"/>
      <c r="EM30" s="1356"/>
      <c r="EN30" s="1509" t="b">
        <v>0</v>
      </c>
      <c r="EO30" s="1514"/>
      <c r="EP30" s="1512" t="str">
        <f>IFNA(VLOOKUP(EO30,'法術資料'!$K$2:$X$805,4,FALSE),"")
</f>
        <v/>
      </c>
      <c r="EQ30" s="1511" t="str">
        <f>IFNA(VLOOKUP(EO30,'法術資料'!$K$2:$X$805,7,FALSE),"")</f>
        <v/>
      </c>
      <c r="ER30" s="1141"/>
      <c r="ES30" s="1511" t="str">
        <f>IFNA(VLOOKUP(EO30,'法術資料'!$K$2:$X$805,8,FALSE),"")</f>
        <v/>
      </c>
      <c r="ET30" s="1141"/>
      <c r="EU30" s="1511" t="str">
        <f>IFNA(VLOOKUP(EO30,'法術資料'!$K$2:$X$805,14,FALSE),"")</f>
        <v/>
      </c>
      <c r="EV30" s="1141"/>
      <c r="EW30" s="1365" t="str">
        <f>IFNA(VLOOKUP(EO30,'法術資料'!$K$2:$X$805,13,FALSE),"")</f>
        <v/>
      </c>
      <c r="EX30" s="1365" t="str">
        <f>IFNA(VLOOKUP(EO30,'法術資料'!$K$2:$X$805,5,FALSE),"")</f>
        <v/>
      </c>
      <c r="EY30" s="1365" t="str">
        <f>IFNA(VLOOKUP(EO30,'法術資料'!$K$2:$X$805,6,FALSE),"")</f>
        <v/>
      </c>
      <c r="EZ30" s="1366" t="str">
        <f>IFNA(VLOOKUP(EO30,'法術資料'!$K$2:$X$805,9,FALSE),"")</f>
        <v/>
      </c>
      <c r="FA30" s="1367" t="str">
        <f>IFNA(VLOOKUP(EO30,'法術資料'!$K$2:$X$805,10,FALSE),"")</f>
        <v/>
      </c>
      <c r="FB30" s="1367" t="str">
        <f>IFNA(VLOOKUP($Y30,'法術資料'!$K$2:$X$805,11,FALSE),"")</f>
        <v/>
      </c>
      <c r="FC30" s="1511" t="str">
        <f>IFNA(VLOOKUP(EO30,'法術資料'!$K$2:$X$805,12,FALSE),"")</f>
        <v/>
      </c>
      <c r="FD30" s="376"/>
      <c r="FE30" s="1369"/>
      <c r="FF30" s="455"/>
      <c r="FG30" s="1356"/>
      <c r="FH30" s="1509" t="b">
        <v>0</v>
      </c>
      <c r="FI30" s="1514"/>
      <c r="FJ30" s="1512" t="str">
        <f>IFNA(VLOOKUP(FI30,'法術資料'!$K$2:$X$805,4,FALSE),"")
</f>
        <v/>
      </c>
      <c r="FK30" s="1511" t="str">
        <f>IFNA(VLOOKUP(FI30,'法術資料'!$K$2:$X$805,7,FALSE),"")</f>
        <v/>
      </c>
      <c r="FL30" s="1141"/>
      <c r="FM30" s="1511" t="str">
        <f>IFNA(VLOOKUP(FI30,'法術資料'!$K$2:$X$805,8,FALSE),"")</f>
        <v/>
      </c>
      <c r="FN30" s="1141"/>
      <c r="FO30" s="1511" t="str">
        <f>IFNA(VLOOKUP(FI30,'法術資料'!$K$2:$X$805,14,FALSE),"")</f>
        <v/>
      </c>
      <c r="FP30" s="1141"/>
      <c r="FQ30" s="1365" t="str">
        <f>IFNA(VLOOKUP(FI30,'法術資料'!$K$2:$X$805,13,FALSE),"")</f>
        <v/>
      </c>
      <c r="FR30" s="1365" t="str">
        <f>IFNA(VLOOKUP(FI30,'法術資料'!$K$2:$X$805,5,FALSE),"")</f>
        <v/>
      </c>
      <c r="FS30" s="1365" t="str">
        <f>IFNA(VLOOKUP(FI30,'法術資料'!$K$2:$X$805,6,FALSE),"")</f>
        <v/>
      </c>
      <c r="FT30" s="1366" t="str">
        <f>IFNA(VLOOKUP(FI30,'法術資料'!$K$2:$X$805,9,FALSE),"")</f>
        <v/>
      </c>
      <c r="FU30" s="1367" t="str">
        <f>IFNA(VLOOKUP(FI30,'法術資料'!$K$2:$X$805,10,FALSE),"")</f>
        <v/>
      </c>
      <c r="FV30" s="1367" t="str">
        <f>IFNA(VLOOKUP($Y30,'法術資料'!$K$2:$X$805,11,FALSE),"")</f>
        <v/>
      </c>
      <c r="FW30" s="1511" t="str">
        <f>IFNA(VLOOKUP(FI30,'法術資料'!$K$2:$X$805,12,FALSE),"")</f>
        <v/>
      </c>
      <c r="FX30" s="376"/>
      <c r="FY30" s="1369"/>
      <c r="FZ30" s="455"/>
    </row>
    <row r="31">
      <c r="A31" s="455"/>
      <c r="B31" s="1356"/>
      <c r="C31" s="1503" t="b">
        <v>0</v>
      </c>
      <c r="D31" s="1504"/>
      <c r="E31" s="1505" t="str">
        <f>IFNA(VLOOKUP($D31,'法術資料'!$K$2:$X$805,4,FALSE),"")
</f>
        <v/>
      </c>
      <c r="F31" s="1506" t="str">
        <f>IFNA(VLOOKUP($D31,'法術資料'!$K$2:$X$805,7,FALSE),"")</f>
        <v/>
      </c>
      <c r="G31" s="1141"/>
      <c r="H31" s="1506" t="str">
        <f>IFNA(VLOOKUP($D31,'法術資料'!$K$2:$X$805,8,FALSE),"")</f>
        <v/>
      </c>
      <c r="I31" s="1141"/>
      <c r="J31" s="1506" t="str">
        <f>IFNA(VLOOKUP($D31,'法術資料'!$K$2:$X$805,14,FALSE),"")</f>
        <v/>
      </c>
      <c r="K31" s="1141"/>
      <c r="L31" s="1506" t="str">
        <f>IFNA(VLOOKUP($D31,'法術資料'!$K$2:$X$805,13,FALSE),"")</f>
        <v/>
      </c>
      <c r="M31" s="1141"/>
      <c r="N31" s="1377" t="str">
        <f>IFNA(VLOOKUP($D31,'法術資料'!$K$2:$X$805,5,FALSE),"")</f>
        <v/>
      </c>
      <c r="O31" s="1377" t="str">
        <f>IFNA(VLOOKUP($D31,'法術資料'!$K$2:$X$805,6,FALSE),"")</f>
        <v/>
      </c>
      <c r="P31" s="1378" t="str">
        <f>IFNA(VLOOKUP($D31,'法術資料'!$K$2:$X$805,9,FALSE),"")</f>
        <v/>
      </c>
      <c r="Q31" s="1379" t="str">
        <f>IFNA(VLOOKUP($D31,'法術資料'!$K$2:$X$805,10,FALSE),"")</f>
        <v/>
      </c>
      <c r="R31" s="1379" t="str">
        <f>IFNA(VLOOKUP($D31,'法術資料'!$K$2:$X$805,11,FALSE),"")</f>
        <v/>
      </c>
      <c r="S31" s="1506" t="str">
        <f>IFNA(VLOOKUP($D31,'法術資料'!$K$2:$X$805,12,FALSE),"")</f>
        <v/>
      </c>
      <c r="T31" s="376"/>
      <c r="U31" s="1369"/>
      <c r="V31" s="455"/>
      <c r="W31" s="1356"/>
      <c r="X31" s="1503" t="b">
        <v>0</v>
      </c>
      <c r="Y31" s="1504"/>
      <c r="Z31" s="1507" t="str">
        <f>IFNA(VLOOKUP(Y31,'法術資料'!$K$2:$X$805,4,FALSE),"")
</f>
        <v/>
      </c>
      <c r="AA31" s="1506" t="str">
        <f>IFNA(VLOOKUP($Y31,'法術資料'!$K$2:$X$805,7,FALSE),"")</f>
        <v/>
      </c>
      <c r="AB31" s="1141"/>
      <c r="AC31" s="1506" t="str">
        <f>IFNA(VLOOKUP($Y31,'法術資料'!$K$2:$X$805,8,FALSE),"")</f>
        <v/>
      </c>
      <c r="AD31" s="1141"/>
      <c r="AE31" s="1506" t="str">
        <f>IFNA(VLOOKUP($Y31,'法術資料'!$K$2:$X$805,14,FALSE),"")</f>
        <v/>
      </c>
      <c r="AF31" s="1141"/>
      <c r="AG31" s="1377" t="str">
        <f>IFNA(VLOOKUP($Y31,'法術資料'!$K$2:$X$805,13,FALSE),"")</f>
        <v/>
      </c>
      <c r="AH31" s="1377" t="str">
        <f>IFNA(VLOOKUP($Y31,'法術資料'!$K$2:$X$805,5,FALSE),"")</f>
        <v/>
      </c>
      <c r="AI31" s="1377" t="str">
        <f>IFNA(VLOOKUP($Y31,'法術資料'!$K$2:$X$805,6,FALSE),"")</f>
        <v/>
      </c>
      <c r="AJ31" s="1378" t="str">
        <f>IFNA(VLOOKUP($Y31,'法術資料'!$K$2:$X$805,9,FALSE),"")</f>
        <v/>
      </c>
      <c r="AK31" s="1379" t="str">
        <f>IFNA(VLOOKUP($Y31,'法術資料'!$K$2:$X$805,10,FALSE),"")</f>
        <v/>
      </c>
      <c r="AL31" s="1379" t="str">
        <f>IFNA(VLOOKUP($Y31,'法術資料'!$K$2:$X$805,11,FALSE),"")</f>
        <v/>
      </c>
      <c r="AM31" s="1506" t="str">
        <f>IFNA(VLOOKUP($Y31,'法術資料'!$K$2:$X$805,12,FALSE),"")</f>
        <v/>
      </c>
      <c r="AN31" s="376"/>
      <c r="AO31" s="1369"/>
      <c r="AP31" s="455"/>
      <c r="AQ31" s="1356"/>
      <c r="AR31" s="1503" t="b">
        <v>0</v>
      </c>
      <c r="AS31" s="1504"/>
      <c r="AT31" s="1507" t="str">
        <f>IFNA(VLOOKUP(AS31,'法術資料'!$K$2:$X$805,4,FALSE),"")
</f>
        <v/>
      </c>
      <c r="AU31" s="1506" t="str">
        <f>IFNA(VLOOKUP(AS31,'法術資料'!$K$2:$X$805,7,FALSE),"")</f>
        <v/>
      </c>
      <c r="AV31" s="1141"/>
      <c r="AW31" s="1506" t="str">
        <f>IFNA(VLOOKUP(AS31,'法術資料'!$K$2:$X$805,8,FALSE),"")</f>
        <v/>
      </c>
      <c r="AX31" s="1141"/>
      <c r="AY31" s="1506" t="str">
        <f>IFNA(VLOOKUP(AS31,'法術資料'!$K$2:$X$805,14,FALSE),"")</f>
        <v/>
      </c>
      <c r="AZ31" s="1141"/>
      <c r="BA31" s="1377" t="str">
        <f>IFNA(VLOOKUP(AS31,'法術資料'!$K$2:$X$805,13,FALSE),"")</f>
        <v/>
      </c>
      <c r="BB31" s="1377" t="str">
        <f>IFNA(VLOOKUP(AS31,'法術資料'!$K$2:$X$805,5,FALSE),"")</f>
        <v/>
      </c>
      <c r="BC31" s="1377" t="str">
        <f>IFNA(VLOOKUP(AS31,'法術資料'!$K$2:$X$805,6,FALSE),"")</f>
        <v/>
      </c>
      <c r="BD31" s="1378" t="str">
        <f>IFNA(VLOOKUP(AS31,'法術資料'!$K$2:$X$805,9,FALSE),"")</f>
        <v/>
      </c>
      <c r="BE31" s="1379" t="str">
        <f>IFNA(VLOOKUP(AS31,'法術資料'!$K$2:$X$805,10,FALSE),"")</f>
        <v/>
      </c>
      <c r="BF31" s="1379" t="str">
        <f>IFNA(VLOOKUP($Y31,'法術資料'!$K$2:$X$805,11,FALSE),"")</f>
        <v/>
      </c>
      <c r="BG31" s="1506" t="str">
        <f>IFNA(VLOOKUP(AS31,'法術資料'!$K$2:$X$805,12,FALSE),"")</f>
        <v/>
      </c>
      <c r="BH31" s="376"/>
      <c r="BI31" s="1369"/>
      <c r="BJ31" s="455"/>
      <c r="BK31" s="1356"/>
      <c r="BL31" s="1503" t="b">
        <v>0</v>
      </c>
      <c r="BM31" s="1504"/>
      <c r="BN31" s="1507" t="str">
        <f>IFNA(VLOOKUP(BM31,'法術資料'!$K$2:$X$805,4,FALSE),"")
</f>
        <v/>
      </c>
      <c r="BO31" s="1506" t="str">
        <f>IFNA(VLOOKUP(BM31,'法術資料'!$K$2:$X$805,7,FALSE),"")</f>
        <v/>
      </c>
      <c r="BP31" s="1141"/>
      <c r="BQ31" s="1506" t="str">
        <f>IFNA(VLOOKUP(BM31,'法術資料'!$K$2:$X$805,8,FALSE),"")</f>
        <v/>
      </c>
      <c r="BR31" s="1141"/>
      <c r="BS31" s="1506" t="str">
        <f>IFNA(VLOOKUP(BM31,'法術資料'!$K$2:$X$805,14,FALSE),"")</f>
        <v/>
      </c>
      <c r="BT31" s="1141"/>
      <c r="BU31" s="1377" t="str">
        <f>IFNA(VLOOKUP(BM31,'法術資料'!$K$2:$X$805,13,FALSE),"")</f>
        <v/>
      </c>
      <c r="BV31" s="1377" t="str">
        <f>IFNA(VLOOKUP(BM31,'法術資料'!$K$2:$X$805,5,FALSE),"")</f>
        <v/>
      </c>
      <c r="BW31" s="1377" t="str">
        <f>IFNA(VLOOKUP(BM31,'法術資料'!$K$2:$X$805,6,FALSE),"")</f>
        <v/>
      </c>
      <c r="BX31" s="1378" t="str">
        <f>IFNA(VLOOKUP(BM31,'法術資料'!$K$2:$X$805,9,FALSE),"")</f>
        <v/>
      </c>
      <c r="BY31" s="1379" t="str">
        <f>IFNA(VLOOKUP(BM31,'法術資料'!$K$2:$X$805,10,FALSE),"")</f>
        <v/>
      </c>
      <c r="BZ31" s="1379" t="str">
        <f>IFNA(VLOOKUP($Y31,'法術資料'!$K$2:$X$805,11,FALSE),"")</f>
        <v/>
      </c>
      <c r="CA31" s="1506" t="str">
        <f>IFNA(VLOOKUP(BM31,'法術資料'!$K$2:$X$805,12,FALSE),"")</f>
        <v/>
      </c>
      <c r="CB31" s="376"/>
      <c r="CC31" s="1369"/>
      <c r="CD31" s="455"/>
      <c r="CE31" s="1356"/>
      <c r="CF31" s="1503" t="b">
        <v>0</v>
      </c>
      <c r="CG31" s="1504"/>
      <c r="CH31" s="1507" t="str">
        <f>IFNA(VLOOKUP(CG31,'法術資料'!$K$2:$X$805,4,FALSE),"")
</f>
        <v/>
      </c>
      <c r="CI31" s="1506" t="str">
        <f>IFNA(VLOOKUP(CG31,'法術資料'!$K$2:$X$805,7,FALSE),"")</f>
        <v/>
      </c>
      <c r="CJ31" s="1141"/>
      <c r="CK31" s="1506" t="str">
        <f>IFNA(VLOOKUP(CG31,'法術資料'!$K$2:$X$805,8,FALSE),"")</f>
        <v/>
      </c>
      <c r="CL31" s="1141"/>
      <c r="CM31" s="1506" t="str">
        <f>IFNA(VLOOKUP(CG31,'法術資料'!$K$2:$X$805,14,FALSE),"")</f>
        <v/>
      </c>
      <c r="CN31" s="1141"/>
      <c r="CO31" s="1377" t="str">
        <f>IFNA(VLOOKUP(CG31,'法術資料'!$K$2:$X$805,13,FALSE),"")</f>
        <v/>
      </c>
      <c r="CP31" s="1377" t="str">
        <f>IFNA(VLOOKUP(CG31,'法術資料'!$K$2:$X$805,5,FALSE),"")</f>
        <v/>
      </c>
      <c r="CQ31" s="1377" t="str">
        <f>IFNA(VLOOKUP(CG31,'法術資料'!$K$2:$X$805,6,FALSE),"")</f>
        <v/>
      </c>
      <c r="CR31" s="1378" t="str">
        <f>IFNA(VLOOKUP(CG31,'法術資料'!$K$2:$X$805,9,FALSE),"")</f>
        <v/>
      </c>
      <c r="CS31" s="1379" t="str">
        <f>IFNA(VLOOKUP(CG31,'法術資料'!$K$2:$X$805,10,FALSE),"")</f>
        <v/>
      </c>
      <c r="CT31" s="1379" t="str">
        <f>IFNA(VLOOKUP($Y31,'法術資料'!$K$2:$X$805,11,FALSE),"")</f>
        <v/>
      </c>
      <c r="CU31" s="1506" t="str">
        <f>IFNA(VLOOKUP(CG31,'法術資料'!$K$2:$X$805,12,FALSE),"")</f>
        <v/>
      </c>
      <c r="CV31" s="376"/>
      <c r="CW31" s="1369"/>
      <c r="CX31" s="455"/>
      <c r="CY31" s="1356"/>
      <c r="CZ31" s="1503" t="b">
        <v>0</v>
      </c>
      <c r="DA31" s="1515"/>
      <c r="DB31" s="1507" t="str">
        <f>IFNA(VLOOKUP(DA31,'法術資料'!$K$2:$X$805,4,FALSE),"")
</f>
        <v/>
      </c>
      <c r="DC31" s="1506" t="str">
        <f>IFNA(VLOOKUP(DA31,'法術資料'!$K$2:$X$805,7,FALSE),"")</f>
        <v/>
      </c>
      <c r="DD31" s="1141"/>
      <c r="DE31" s="1506" t="str">
        <f>IFNA(VLOOKUP(DA31,'法術資料'!$K$2:$X$805,8,FALSE),"")</f>
        <v/>
      </c>
      <c r="DF31" s="1141"/>
      <c r="DG31" s="1506" t="str">
        <f>IFNA(VLOOKUP(DA31,'法術資料'!$K$2:$X$805,14,FALSE),"")</f>
        <v/>
      </c>
      <c r="DH31" s="1141"/>
      <c r="DI31" s="1377" t="str">
        <f>IFNA(VLOOKUP(DA31,'法術資料'!$K$2:$X$805,13,FALSE),"")</f>
        <v/>
      </c>
      <c r="DJ31" s="1377" t="str">
        <f>IFNA(VLOOKUP(DA31,'法術資料'!$K$2:$X$805,5,FALSE),"")</f>
        <v/>
      </c>
      <c r="DK31" s="1377" t="str">
        <f>IFNA(VLOOKUP(DA31,'法術資料'!$K$2:$X$805,6,FALSE),"")</f>
        <v/>
      </c>
      <c r="DL31" s="1378" t="str">
        <f>IFNA(VLOOKUP(DA31,'法術資料'!$K$2:$X$805,9,FALSE),"")</f>
        <v/>
      </c>
      <c r="DM31" s="1379" t="str">
        <f>IFNA(VLOOKUP(DA31,'法術資料'!$K$2:$X$805,10,FALSE),"")</f>
        <v/>
      </c>
      <c r="DN31" s="1379" t="str">
        <f>IFNA(VLOOKUP($Y31,'法術資料'!$K$2:$X$805,11,FALSE),"")</f>
        <v/>
      </c>
      <c r="DO31" s="1506" t="str">
        <f>IFNA(VLOOKUP(DA31,'法術資料'!$K$2:$X$805,12,FALSE),"")</f>
        <v/>
      </c>
      <c r="DP31" s="376"/>
      <c r="DQ31" s="1369"/>
      <c r="DR31" s="455"/>
      <c r="DS31" s="1356"/>
      <c r="DT31" s="1503" t="b">
        <v>0</v>
      </c>
      <c r="DU31" s="1515"/>
      <c r="DV31" s="1507" t="str">
        <f>IFNA(VLOOKUP(DU31,'法術資料'!$K$2:$X$805,4,FALSE),"")
</f>
        <v/>
      </c>
      <c r="DW31" s="1506" t="str">
        <f>IFNA(VLOOKUP(DU31,'法術資料'!$K$2:$X$805,7,FALSE),"")</f>
        <v/>
      </c>
      <c r="DX31" s="1141"/>
      <c r="DY31" s="1506" t="str">
        <f>IFNA(VLOOKUP(DU31,'法術資料'!$K$2:$X$805,8,FALSE),"")</f>
        <v/>
      </c>
      <c r="DZ31" s="1141"/>
      <c r="EA31" s="1506" t="str">
        <f>IFNA(VLOOKUP(DU31,'法術資料'!$K$2:$X$805,14,FALSE),"")</f>
        <v/>
      </c>
      <c r="EB31" s="1141"/>
      <c r="EC31" s="1377" t="str">
        <f>IFNA(VLOOKUP(DU31,'法術資料'!$K$2:$X$805,13,FALSE),"")</f>
        <v/>
      </c>
      <c r="ED31" s="1377" t="str">
        <f>IFNA(VLOOKUP(DU31,'法術資料'!$K$2:$X$805,5,FALSE),"")</f>
        <v/>
      </c>
      <c r="EE31" s="1377" t="str">
        <f>IFNA(VLOOKUP(DU31,'法術資料'!$K$2:$X$805,6,FALSE),"")</f>
        <v/>
      </c>
      <c r="EF31" s="1378" t="str">
        <f>IFNA(VLOOKUP(DU31,'法術資料'!$K$2:$X$805,9,FALSE),"")</f>
        <v/>
      </c>
      <c r="EG31" s="1379" t="str">
        <f>IFNA(VLOOKUP(DU31,'法術資料'!$K$2:$X$805,10,FALSE),"")</f>
        <v/>
      </c>
      <c r="EH31" s="1379" t="str">
        <f>IFNA(VLOOKUP($Y31,'法術資料'!$K$2:$X$805,11,FALSE),"")</f>
        <v/>
      </c>
      <c r="EI31" s="1506" t="str">
        <f>IFNA(VLOOKUP(DU31,'法術資料'!$K$2:$X$805,12,FALSE),"")</f>
        <v/>
      </c>
      <c r="EJ31" s="376"/>
      <c r="EK31" s="1369"/>
      <c r="EL31" s="455"/>
      <c r="EM31" s="1356"/>
      <c r="EN31" s="1503" t="b">
        <v>0</v>
      </c>
      <c r="EO31" s="1515"/>
      <c r="EP31" s="1507" t="str">
        <f>IFNA(VLOOKUP(EO31,'法術資料'!$K$2:$X$805,4,FALSE),"")
</f>
        <v/>
      </c>
      <c r="EQ31" s="1506" t="str">
        <f>IFNA(VLOOKUP(EO31,'法術資料'!$K$2:$X$805,7,FALSE),"")</f>
        <v/>
      </c>
      <c r="ER31" s="1141"/>
      <c r="ES31" s="1506" t="str">
        <f>IFNA(VLOOKUP(EO31,'法術資料'!$K$2:$X$805,8,FALSE),"")</f>
        <v/>
      </c>
      <c r="ET31" s="1141"/>
      <c r="EU31" s="1506" t="str">
        <f>IFNA(VLOOKUP(EO31,'法術資料'!$K$2:$X$805,14,FALSE),"")</f>
        <v/>
      </c>
      <c r="EV31" s="1141"/>
      <c r="EW31" s="1377" t="str">
        <f>IFNA(VLOOKUP(EO31,'法術資料'!$K$2:$X$805,13,FALSE),"")</f>
        <v/>
      </c>
      <c r="EX31" s="1377" t="str">
        <f>IFNA(VLOOKUP(EO31,'法術資料'!$K$2:$X$805,5,FALSE),"")</f>
        <v/>
      </c>
      <c r="EY31" s="1377" t="str">
        <f>IFNA(VLOOKUP(EO31,'法術資料'!$K$2:$X$805,6,FALSE),"")</f>
        <v/>
      </c>
      <c r="EZ31" s="1378" t="str">
        <f>IFNA(VLOOKUP(EO31,'法術資料'!$K$2:$X$805,9,FALSE),"")</f>
        <v/>
      </c>
      <c r="FA31" s="1379" t="str">
        <f>IFNA(VLOOKUP(EO31,'法術資料'!$K$2:$X$805,10,FALSE),"")</f>
        <v/>
      </c>
      <c r="FB31" s="1379" t="str">
        <f>IFNA(VLOOKUP($Y31,'法術資料'!$K$2:$X$805,11,FALSE),"")</f>
        <v/>
      </c>
      <c r="FC31" s="1506" t="str">
        <f>IFNA(VLOOKUP(EO31,'法術資料'!$K$2:$X$805,12,FALSE),"")</f>
        <v/>
      </c>
      <c r="FD31" s="376"/>
      <c r="FE31" s="1369"/>
      <c r="FF31" s="455"/>
      <c r="FG31" s="1356"/>
      <c r="FH31" s="1503" t="b">
        <v>0</v>
      </c>
      <c r="FI31" s="1515"/>
      <c r="FJ31" s="1507" t="str">
        <f>IFNA(VLOOKUP(FI31,'法術資料'!$K$2:$X$805,4,FALSE),"")
</f>
        <v/>
      </c>
      <c r="FK31" s="1506" t="str">
        <f>IFNA(VLOOKUP(FI31,'法術資料'!$K$2:$X$805,7,FALSE),"")</f>
        <v/>
      </c>
      <c r="FL31" s="1141"/>
      <c r="FM31" s="1506" t="str">
        <f>IFNA(VLOOKUP(FI31,'法術資料'!$K$2:$X$805,8,FALSE),"")</f>
        <v/>
      </c>
      <c r="FN31" s="1141"/>
      <c r="FO31" s="1506" t="str">
        <f>IFNA(VLOOKUP(FI31,'法術資料'!$K$2:$X$805,14,FALSE),"")</f>
        <v/>
      </c>
      <c r="FP31" s="1141"/>
      <c r="FQ31" s="1377" t="str">
        <f>IFNA(VLOOKUP(FI31,'法術資料'!$K$2:$X$805,13,FALSE),"")</f>
        <v/>
      </c>
      <c r="FR31" s="1377" t="str">
        <f>IFNA(VLOOKUP(FI31,'法術資料'!$K$2:$X$805,5,FALSE),"")</f>
        <v/>
      </c>
      <c r="FS31" s="1377" t="str">
        <f>IFNA(VLOOKUP(FI31,'法術資料'!$K$2:$X$805,6,FALSE),"")</f>
        <v/>
      </c>
      <c r="FT31" s="1378" t="str">
        <f>IFNA(VLOOKUP(FI31,'法術資料'!$K$2:$X$805,9,FALSE),"")</f>
        <v/>
      </c>
      <c r="FU31" s="1379" t="str">
        <f>IFNA(VLOOKUP(FI31,'法術資料'!$K$2:$X$805,10,FALSE),"")</f>
        <v/>
      </c>
      <c r="FV31" s="1379" t="str">
        <f>IFNA(VLOOKUP($Y31,'法術資料'!$K$2:$X$805,11,FALSE),"")</f>
        <v/>
      </c>
      <c r="FW31" s="1506" t="str">
        <f>IFNA(VLOOKUP(FI31,'法術資料'!$K$2:$X$805,12,FALSE),"")</f>
        <v/>
      </c>
      <c r="FX31" s="376"/>
      <c r="FY31" s="1369"/>
      <c r="FZ31" s="455"/>
    </row>
    <row r="32">
      <c r="A32" s="455"/>
      <c r="B32" s="1356"/>
      <c r="C32" s="1509" t="b">
        <v>0</v>
      </c>
      <c r="D32" s="1502"/>
      <c r="E32" s="1510" t="str">
        <f>IFNA(VLOOKUP($D32,'法術資料'!$K$2:$X$805,4,FALSE),"")
</f>
        <v/>
      </c>
      <c r="F32" s="1511" t="str">
        <f>IFNA(VLOOKUP($D32,'法術資料'!$K$2:$X$805,7,FALSE),"")</f>
        <v/>
      </c>
      <c r="G32" s="1141"/>
      <c r="H32" s="1511" t="str">
        <f>IFNA(VLOOKUP($D32,'法術資料'!$K$2:$X$805,8,FALSE),"")</f>
        <v/>
      </c>
      <c r="I32" s="1141"/>
      <c r="J32" s="1511" t="str">
        <f>IFNA(VLOOKUP($D32,'法術資料'!$K$2:$X$805,14,FALSE),"")</f>
        <v/>
      </c>
      <c r="K32" s="1141"/>
      <c r="L32" s="1511" t="str">
        <f>IFNA(VLOOKUP($D32,'法術資料'!$K$2:$X$805,13,FALSE),"")</f>
        <v/>
      </c>
      <c r="M32" s="1141"/>
      <c r="N32" s="1365" t="str">
        <f>IFNA(VLOOKUP($D32,'法術資料'!$K$2:$X$805,5,FALSE),"")</f>
        <v/>
      </c>
      <c r="O32" s="1365" t="str">
        <f>IFNA(VLOOKUP($D32,'法術資料'!$K$2:$X$805,6,FALSE),"")</f>
        <v/>
      </c>
      <c r="P32" s="1366" t="str">
        <f>IFNA(VLOOKUP($D32,'法術資料'!$K$2:$X$805,9,FALSE),"")</f>
        <v/>
      </c>
      <c r="Q32" s="1367" t="str">
        <f>IFNA(VLOOKUP($D32,'法術資料'!$K$2:$X$805,10,FALSE),"")</f>
        <v/>
      </c>
      <c r="R32" s="1367" t="str">
        <f>IFNA(VLOOKUP($D32,'法術資料'!$K$2:$X$805,11,FALSE),"")</f>
        <v/>
      </c>
      <c r="S32" s="1511" t="str">
        <f>IFNA(VLOOKUP($D32,'法術資料'!$K$2:$X$805,12,FALSE),"")</f>
        <v/>
      </c>
      <c r="T32" s="376"/>
      <c r="U32" s="1369"/>
      <c r="V32" s="455"/>
      <c r="W32" s="1356"/>
      <c r="X32" s="1509" t="b">
        <v>0</v>
      </c>
      <c r="Y32" s="1502"/>
      <c r="Z32" s="1512" t="str">
        <f>IFNA(VLOOKUP(Y32,'法術資料'!$K$2:$X$805,4,FALSE),"")
</f>
        <v/>
      </c>
      <c r="AA32" s="1511" t="str">
        <f>IFNA(VLOOKUP($Y32,'法術資料'!$K$2:$X$805,7,FALSE),"")</f>
        <v/>
      </c>
      <c r="AB32" s="1141"/>
      <c r="AC32" s="1511" t="str">
        <f>IFNA(VLOOKUP($Y32,'法術資料'!$K$2:$X$805,8,FALSE),"")</f>
        <v/>
      </c>
      <c r="AD32" s="1141"/>
      <c r="AE32" s="1511" t="str">
        <f>IFNA(VLOOKUP($Y32,'法術資料'!$K$2:$X$805,14,FALSE),"")</f>
        <v/>
      </c>
      <c r="AF32" s="1141"/>
      <c r="AG32" s="1365" t="str">
        <f>IFNA(VLOOKUP($Y32,'法術資料'!$K$2:$X$805,13,FALSE),"")</f>
        <v/>
      </c>
      <c r="AH32" s="1365" t="str">
        <f>IFNA(VLOOKUP($Y32,'法術資料'!$K$2:$X$805,5,FALSE),"")</f>
        <v/>
      </c>
      <c r="AI32" s="1365" t="str">
        <f>IFNA(VLOOKUP($Y32,'法術資料'!$K$2:$X$805,6,FALSE),"")</f>
        <v/>
      </c>
      <c r="AJ32" s="1366" t="str">
        <f>IFNA(VLOOKUP($Y32,'法術資料'!$K$2:$X$805,9,FALSE),"")</f>
        <v/>
      </c>
      <c r="AK32" s="1367" t="str">
        <f>IFNA(VLOOKUP($Y32,'法術資料'!$K$2:$X$805,10,FALSE),"")</f>
        <v/>
      </c>
      <c r="AL32" s="1367" t="str">
        <f>IFNA(VLOOKUP($Y32,'法術資料'!$K$2:$X$805,11,FALSE),"")</f>
        <v/>
      </c>
      <c r="AM32" s="1511" t="str">
        <f>IFNA(VLOOKUP($Y32,'法術資料'!$K$2:$X$805,12,FALSE),"")</f>
        <v/>
      </c>
      <c r="AN32" s="376"/>
      <c r="AO32" s="1369"/>
      <c r="AP32" s="455"/>
      <c r="AQ32" s="1356"/>
      <c r="AR32" s="1509" t="b">
        <v>0</v>
      </c>
      <c r="AS32" s="1502"/>
      <c r="AT32" s="1512" t="str">
        <f>IFNA(VLOOKUP(AS32,'法術資料'!$K$2:$X$805,4,FALSE),"")
</f>
        <v/>
      </c>
      <c r="AU32" s="1511" t="str">
        <f>IFNA(VLOOKUP(AS32,'法術資料'!$K$2:$X$805,7,FALSE),"")</f>
        <v/>
      </c>
      <c r="AV32" s="1141"/>
      <c r="AW32" s="1511" t="str">
        <f>IFNA(VLOOKUP(AS32,'法術資料'!$K$2:$X$805,8,FALSE),"")</f>
        <v/>
      </c>
      <c r="AX32" s="1141"/>
      <c r="AY32" s="1511" t="str">
        <f>IFNA(VLOOKUP(AS32,'法術資料'!$K$2:$X$805,14,FALSE),"")</f>
        <v/>
      </c>
      <c r="AZ32" s="1141"/>
      <c r="BA32" s="1365" t="str">
        <f>IFNA(VLOOKUP(AS32,'法術資料'!$K$2:$X$805,13,FALSE),"")</f>
        <v/>
      </c>
      <c r="BB32" s="1365" t="str">
        <f>IFNA(VLOOKUP(AS32,'法術資料'!$K$2:$X$805,5,FALSE),"")</f>
        <v/>
      </c>
      <c r="BC32" s="1365" t="str">
        <f>IFNA(VLOOKUP(AS32,'法術資料'!$K$2:$X$805,6,FALSE),"")</f>
        <v/>
      </c>
      <c r="BD32" s="1366" t="str">
        <f>IFNA(VLOOKUP(AS32,'法術資料'!$K$2:$X$805,9,FALSE),"")</f>
        <v/>
      </c>
      <c r="BE32" s="1367" t="str">
        <f>IFNA(VLOOKUP(AS32,'法術資料'!$K$2:$X$805,10,FALSE),"")</f>
        <v/>
      </c>
      <c r="BF32" s="1367" t="str">
        <f>IFNA(VLOOKUP($Y32,'法術資料'!$K$2:$X$805,11,FALSE),"")</f>
        <v/>
      </c>
      <c r="BG32" s="1511" t="str">
        <f>IFNA(VLOOKUP(AS32,'法術資料'!$K$2:$X$805,12,FALSE),"")</f>
        <v/>
      </c>
      <c r="BH32" s="376"/>
      <c r="BI32" s="1369"/>
      <c r="BJ32" s="455"/>
      <c r="BK32" s="1356"/>
      <c r="BL32" s="1509" t="b">
        <v>0</v>
      </c>
      <c r="BM32" s="1502"/>
      <c r="BN32" s="1512" t="str">
        <f>IFNA(VLOOKUP(BM32,'法術資料'!$K$2:$X$805,4,FALSE),"")
</f>
        <v/>
      </c>
      <c r="BO32" s="1511" t="str">
        <f>IFNA(VLOOKUP(BM32,'法術資料'!$K$2:$X$805,7,FALSE),"")</f>
        <v/>
      </c>
      <c r="BP32" s="1141"/>
      <c r="BQ32" s="1511" t="str">
        <f>IFNA(VLOOKUP(BM32,'法術資料'!$K$2:$X$805,8,FALSE),"")</f>
        <v/>
      </c>
      <c r="BR32" s="1141"/>
      <c r="BS32" s="1511" t="str">
        <f>IFNA(VLOOKUP(BM32,'法術資料'!$K$2:$X$805,14,FALSE),"")</f>
        <v/>
      </c>
      <c r="BT32" s="1141"/>
      <c r="BU32" s="1365" t="str">
        <f>IFNA(VLOOKUP(BM32,'法術資料'!$K$2:$X$805,13,FALSE),"")</f>
        <v/>
      </c>
      <c r="BV32" s="1365" t="str">
        <f>IFNA(VLOOKUP(BM32,'法術資料'!$K$2:$X$805,5,FALSE),"")</f>
        <v/>
      </c>
      <c r="BW32" s="1365" t="str">
        <f>IFNA(VLOOKUP(BM32,'法術資料'!$K$2:$X$805,6,FALSE),"")</f>
        <v/>
      </c>
      <c r="BX32" s="1366" t="str">
        <f>IFNA(VLOOKUP(BM32,'法術資料'!$K$2:$X$805,9,FALSE),"")</f>
        <v/>
      </c>
      <c r="BY32" s="1367" t="str">
        <f>IFNA(VLOOKUP(BM32,'法術資料'!$K$2:$X$805,10,FALSE),"")</f>
        <v/>
      </c>
      <c r="BZ32" s="1367" t="str">
        <f>IFNA(VLOOKUP($Y32,'法術資料'!$K$2:$X$805,11,FALSE),"")</f>
        <v/>
      </c>
      <c r="CA32" s="1511" t="str">
        <f>IFNA(VLOOKUP(BM32,'法術資料'!$K$2:$X$805,12,FALSE),"")</f>
        <v/>
      </c>
      <c r="CB32" s="376"/>
      <c r="CC32" s="1369"/>
      <c r="CD32" s="455"/>
      <c r="CE32" s="1356"/>
      <c r="CF32" s="1509" t="b">
        <v>0</v>
      </c>
      <c r="CG32" s="1502"/>
      <c r="CH32" s="1512" t="str">
        <f>IFNA(VLOOKUP(CG32,'法術資料'!$K$2:$X$805,4,FALSE),"")
</f>
        <v/>
      </c>
      <c r="CI32" s="1511" t="str">
        <f>IFNA(VLOOKUP(CG32,'法術資料'!$K$2:$X$805,7,FALSE),"")</f>
        <v/>
      </c>
      <c r="CJ32" s="1141"/>
      <c r="CK32" s="1511" t="str">
        <f>IFNA(VLOOKUP(CG32,'法術資料'!$K$2:$X$805,8,FALSE),"")</f>
        <v/>
      </c>
      <c r="CL32" s="1141"/>
      <c r="CM32" s="1511" t="str">
        <f>IFNA(VLOOKUP(CG32,'法術資料'!$K$2:$X$805,14,FALSE),"")</f>
        <v/>
      </c>
      <c r="CN32" s="1141"/>
      <c r="CO32" s="1365" t="str">
        <f>IFNA(VLOOKUP(CG32,'法術資料'!$K$2:$X$805,13,FALSE),"")</f>
        <v/>
      </c>
      <c r="CP32" s="1365" t="str">
        <f>IFNA(VLOOKUP(CG32,'法術資料'!$K$2:$X$805,5,FALSE),"")</f>
        <v/>
      </c>
      <c r="CQ32" s="1365" t="str">
        <f>IFNA(VLOOKUP(CG32,'法術資料'!$K$2:$X$805,6,FALSE),"")</f>
        <v/>
      </c>
      <c r="CR32" s="1366" t="str">
        <f>IFNA(VLOOKUP(CG32,'法術資料'!$K$2:$X$805,9,FALSE),"")</f>
        <v/>
      </c>
      <c r="CS32" s="1367" t="str">
        <f>IFNA(VLOOKUP(CG32,'法術資料'!$K$2:$X$805,10,FALSE),"")</f>
        <v/>
      </c>
      <c r="CT32" s="1367" t="str">
        <f>IFNA(VLOOKUP($Y32,'法術資料'!$K$2:$X$805,11,FALSE),"")</f>
        <v/>
      </c>
      <c r="CU32" s="1511" t="str">
        <f>IFNA(VLOOKUP(CG32,'法術資料'!$K$2:$X$805,12,FALSE),"")</f>
        <v/>
      </c>
      <c r="CV32" s="376"/>
      <c r="CW32" s="1369"/>
      <c r="CX32" s="455"/>
      <c r="CY32" s="1356"/>
      <c r="CZ32" s="1509" t="b">
        <v>0</v>
      </c>
      <c r="DA32" s="1514"/>
      <c r="DB32" s="1512" t="str">
        <f>IFNA(VLOOKUP(DA32,'法術資料'!$K$2:$X$805,4,FALSE),"")
</f>
        <v/>
      </c>
      <c r="DC32" s="1511" t="str">
        <f>IFNA(VLOOKUP(DA32,'法術資料'!$K$2:$X$805,7,FALSE),"")</f>
        <v/>
      </c>
      <c r="DD32" s="1141"/>
      <c r="DE32" s="1511" t="str">
        <f>IFNA(VLOOKUP(DA32,'法術資料'!$K$2:$X$805,8,FALSE),"")</f>
        <v/>
      </c>
      <c r="DF32" s="1141"/>
      <c r="DG32" s="1511" t="str">
        <f>IFNA(VLOOKUP(DA32,'法術資料'!$K$2:$X$805,14,FALSE),"")</f>
        <v/>
      </c>
      <c r="DH32" s="1141"/>
      <c r="DI32" s="1365" t="str">
        <f>IFNA(VLOOKUP(DA32,'法術資料'!$K$2:$X$805,13,FALSE),"")</f>
        <v/>
      </c>
      <c r="DJ32" s="1365" t="str">
        <f>IFNA(VLOOKUP(DA32,'法術資料'!$K$2:$X$805,5,FALSE),"")</f>
        <v/>
      </c>
      <c r="DK32" s="1365" t="str">
        <f>IFNA(VLOOKUP(DA32,'法術資料'!$K$2:$X$805,6,FALSE),"")</f>
        <v/>
      </c>
      <c r="DL32" s="1366" t="str">
        <f>IFNA(VLOOKUP(DA32,'法術資料'!$K$2:$X$805,9,FALSE),"")</f>
        <v/>
      </c>
      <c r="DM32" s="1367" t="str">
        <f>IFNA(VLOOKUP(DA32,'法術資料'!$K$2:$X$805,10,FALSE),"")</f>
        <v/>
      </c>
      <c r="DN32" s="1367" t="str">
        <f>IFNA(VLOOKUP($Y32,'法術資料'!$K$2:$X$805,11,FALSE),"")</f>
        <v/>
      </c>
      <c r="DO32" s="1511" t="str">
        <f>IFNA(VLOOKUP(DA32,'法術資料'!$K$2:$X$805,12,FALSE),"")</f>
        <v/>
      </c>
      <c r="DP32" s="376"/>
      <c r="DQ32" s="1369"/>
      <c r="DR32" s="455"/>
      <c r="DS32" s="1356"/>
      <c r="DT32" s="1509" t="b">
        <v>0</v>
      </c>
      <c r="DU32" s="1514"/>
      <c r="DV32" s="1512" t="str">
        <f>IFNA(VLOOKUP(DU32,'法術資料'!$K$2:$X$805,4,FALSE),"")
</f>
        <v/>
      </c>
      <c r="DW32" s="1511" t="str">
        <f>IFNA(VLOOKUP(DU32,'法術資料'!$K$2:$X$805,7,FALSE),"")</f>
        <v/>
      </c>
      <c r="DX32" s="1141"/>
      <c r="DY32" s="1511" t="str">
        <f>IFNA(VLOOKUP(DU32,'法術資料'!$K$2:$X$805,8,FALSE),"")</f>
        <v/>
      </c>
      <c r="DZ32" s="1141"/>
      <c r="EA32" s="1511" t="str">
        <f>IFNA(VLOOKUP(DU32,'法術資料'!$K$2:$X$805,14,FALSE),"")</f>
        <v/>
      </c>
      <c r="EB32" s="1141"/>
      <c r="EC32" s="1365" t="str">
        <f>IFNA(VLOOKUP(DU32,'法術資料'!$K$2:$X$805,13,FALSE),"")</f>
        <v/>
      </c>
      <c r="ED32" s="1365" t="str">
        <f>IFNA(VLOOKUP(DU32,'法術資料'!$K$2:$X$805,5,FALSE),"")</f>
        <v/>
      </c>
      <c r="EE32" s="1365" t="str">
        <f>IFNA(VLOOKUP(DU32,'法術資料'!$K$2:$X$805,6,FALSE),"")</f>
        <v/>
      </c>
      <c r="EF32" s="1366" t="str">
        <f>IFNA(VLOOKUP(DU32,'法術資料'!$K$2:$X$805,9,FALSE),"")</f>
        <v/>
      </c>
      <c r="EG32" s="1367" t="str">
        <f>IFNA(VLOOKUP(DU32,'法術資料'!$K$2:$X$805,10,FALSE),"")</f>
        <v/>
      </c>
      <c r="EH32" s="1367" t="str">
        <f>IFNA(VLOOKUP($Y32,'法術資料'!$K$2:$X$805,11,FALSE),"")</f>
        <v/>
      </c>
      <c r="EI32" s="1511" t="str">
        <f>IFNA(VLOOKUP(DU32,'法術資料'!$K$2:$X$805,12,FALSE),"")</f>
        <v/>
      </c>
      <c r="EJ32" s="376"/>
      <c r="EK32" s="1369"/>
      <c r="EL32" s="455"/>
      <c r="EM32" s="1356"/>
      <c r="EN32" s="1509" t="b">
        <v>0</v>
      </c>
      <c r="EO32" s="1514"/>
      <c r="EP32" s="1512" t="str">
        <f>IFNA(VLOOKUP(EO32,'法術資料'!$K$2:$X$805,4,FALSE),"")
</f>
        <v/>
      </c>
      <c r="EQ32" s="1511" t="str">
        <f>IFNA(VLOOKUP(EO32,'法術資料'!$K$2:$X$805,7,FALSE),"")</f>
        <v/>
      </c>
      <c r="ER32" s="1141"/>
      <c r="ES32" s="1511" t="str">
        <f>IFNA(VLOOKUP(EO32,'法術資料'!$K$2:$X$805,8,FALSE),"")</f>
        <v/>
      </c>
      <c r="ET32" s="1141"/>
      <c r="EU32" s="1511" t="str">
        <f>IFNA(VLOOKUP(EO32,'法術資料'!$K$2:$X$805,14,FALSE),"")</f>
        <v/>
      </c>
      <c r="EV32" s="1141"/>
      <c r="EW32" s="1365" t="str">
        <f>IFNA(VLOOKUP(EO32,'法術資料'!$K$2:$X$805,13,FALSE),"")</f>
        <v/>
      </c>
      <c r="EX32" s="1365" t="str">
        <f>IFNA(VLOOKUP(EO32,'法術資料'!$K$2:$X$805,5,FALSE),"")</f>
        <v/>
      </c>
      <c r="EY32" s="1365" t="str">
        <f>IFNA(VLOOKUP(EO32,'法術資料'!$K$2:$X$805,6,FALSE),"")</f>
        <v/>
      </c>
      <c r="EZ32" s="1366" t="str">
        <f>IFNA(VLOOKUP(EO32,'法術資料'!$K$2:$X$805,9,FALSE),"")</f>
        <v/>
      </c>
      <c r="FA32" s="1367" t="str">
        <f>IFNA(VLOOKUP(EO32,'法術資料'!$K$2:$X$805,10,FALSE),"")</f>
        <v/>
      </c>
      <c r="FB32" s="1367" t="str">
        <f>IFNA(VLOOKUP($Y32,'法術資料'!$K$2:$X$805,11,FALSE),"")</f>
        <v/>
      </c>
      <c r="FC32" s="1511" t="str">
        <f>IFNA(VLOOKUP(EO32,'法術資料'!$K$2:$X$805,12,FALSE),"")</f>
        <v/>
      </c>
      <c r="FD32" s="376"/>
      <c r="FE32" s="1369"/>
      <c r="FF32" s="455"/>
      <c r="FG32" s="1356"/>
      <c r="FH32" s="1509" t="b">
        <v>0</v>
      </c>
      <c r="FI32" s="1514"/>
      <c r="FJ32" s="1512" t="str">
        <f>IFNA(VLOOKUP(FI32,'法術資料'!$K$2:$X$805,4,FALSE),"")
</f>
        <v/>
      </c>
      <c r="FK32" s="1511" t="str">
        <f>IFNA(VLOOKUP(FI32,'法術資料'!$K$2:$X$805,7,FALSE),"")</f>
        <v/>
      </c>
      <c r="FL32" s="1141"/>
      <c r="FM32" s="1511" t="str">
        <f>IFNA(VLOOKUP(FI32,'法術資料'!$K$2:$X$805,8,FALSE),"")</f>
        <v/>
      </c>
      <c r="FN32" s="1141"/>
      <c r="FO32" s="1511" t="str">
        <f>IFNA(VLOOKUP(FI32,'法術資料'!$K$2:$X$805,14,FALSE),"")</f>
        <v/>
      </c>
      <c r="FP32" s="1141"/>
      <c r="FQ32" s="1365" t="str">
        <f>IFNA(VLOOKUP(FI32,'法術資料'!$K$2:$X$805,13,FALSE),"")</f>
        <v/>
      </c>
      <c r="FR32" s="1365" t="str">
        <f>IFNA(VLOOKUP(FI32,'法術資料'!$K$2:$X$805,5,FALSE),"")</f>
        <v/>
      </c>
      <c r="FS32" s="1365" t="str">
        <f>IFNA(VLOOKUP(FI32,'法術資料'!$K$2:$X$805,6,FALSE),"")</f>
        <v/>
      </c>
      <c r="FT32" s="1366" t="str">
        <f>IFNA(VLOOKUP(FI32,'法術資料'!$K$2:$X$805,9,FALSE),"")</f>
        <v/>
      </c>
      <c r="FU32" s="1367" t="str">
        <f>IFNA(VLOOKUP(FI32,'法術資料'!$K$2:$X$805,10,FALSE),"")</f>
        <v/>
      </c>
      <c r="FV32" s="1367" t="str">
        <f>IFNA(VLOOKUP($Y32,'法術資料'!$K$2:$X$805,11,FALSE),"")</f>
        <v/>
      </c>
      <c r="FW32" s="1511" t="str">
        <f>IFNA(VLOOKUP(FI32,'法術資料'!$K$2:$X$805,12,FALSE),"")</f>
        <v/>
      </c>
      <c r="FX32" s="376"/>
      <c r="FY32" s="1369"/>
      <c r="FZ32" s="455"/>
    </row>
    <row r="33">
      <c r="A33" s="455"/>
      <c r="B33" s="1356"/>
      <c r="C33" s="1503" t="b">
        <v>0</v>
      </c>
      <c r="D33" s="1504"/>
      <c r="E33" s="1505" t="str">
        <f>IFNA(VLOOKUP($D33,'法術資料'!$K$2:$X$805,4,FALSE),"")
</f>
        <v/>
      </c>
      <c r="F33" s="1506" t="str">
        <f>IFNA(VLOOKUP($D33,'法術資料'!$K$2:$X$805,7,FALSE),"")</f>
        <v/>
      </c>
      <c r="G33" s="1141"/>
      <c r="H33" s="1506" t="str">
        <f>IFNA(VLOOKUP($D33,'法術資料'!$K$2:$X$805,8,FALSE),"")</f>
        <v/>
      </c>
      <c r="I33" s="1141"/>
      <c r="J33" s="1506" t="str">
        <f>IFNA(VLOOKUP($D33,'法術資料'!$K$2:$X$805,14,FALSE),"")</f>
        <v/>
      </c>
      <c r="K33" s="1141"/>
      <c r="L33" s="1506" t="str">
        <f>IFNA(VLOOKUP($D33,'法術資料'!$K$2:$X$805,13,FALSE),"")</f>
        <v/>
      </c>
      <c r="M33" s="1141"/>
      <c r="N33" s="1377" t="str">
        <f>IFNA(VLOOKUP($D33,'法術資料'!$K$2:$X$805,5,FALSE),"")</f>
        <v/>
      </c>
      <c r="O33" s="1377" t="str">
        <f>IFNA(VLOOKUP($D33,'法術資料'!$K$2:$X$805,6,FALSE),"")</f>
        <v/>
      </c>
      <c r="P33" s="1378" t="str">
        <f>IFNA(VLOOKUP($D33,'法術資料'!$K$2:$X$805,9,FALSE),"")</f>
        <v/>
      </c>
      <c r="Q33" s="1379" t="str">
        <f>IFNA(VLOOKUP($D33,'法術資料'!$K$2:$X$805,10,FALSE),"")</f>
        <v/>
      </c>
      <c r="R33" s="1379" t="str">
        <f>IFNA(VLOOKUP($D33,'法術資料'!$K$2:$X$805,11,FALSE),"")</f>
        <v/>
      </c>
      <c r="S33" s="1506" t="str">
        <f>IFNA(VLOOKUP($D33,'法術資料'!$K$2:$X$805,12,FALSE),"")</f>
        <v/>
      </c>
      <c r="T33" s="376"/>
      <c r="U33" s="1369"/>
      <c r="V33" s="455"/>
      <c r="W33" s="1356"/>
      <c r="X33" s="1503" t="b">
        <v>0</v>
      </c>
      <c r="Y33" s="1504"/>
      <c r="Z33" s="1507" t="str">
        <f>IFNA(VLOOKUP(Y33,'法術資料'!$K$2:$X$805,4,FALSE),"")
</f>
        <v/>
      </c>
      <c r="AA33" s="1506" t="str">
        <f>IFNA(VLOOKUP($Y33,'法術資料'!$K$2:$X$805,7,FALSE),"")</f>
        <v/>
      </c>
      <c r="AB33" s="1141"/>
      <c r="AC33" s="1506" t="str">
        <f>IFNA(VLOOKUP($Y33,'法術資料'!$K$2:$X$805,8,FALSE),"")</f>
        <v/>
      </c>
      <c r="AD33" s="1141"/>
      <c r="AE33" s="1506" t="str">
        <f>IFNA(VLOOKUP($Y33,'法術資料'!$K$2:$X$805,14,FALSE),"")</f>
        <v/>
      </c>
      <c r="AF33" s="1141"/>
      <c r="AG33" s="1377" t="str">
        <f>IFNA(VLOOKUP($Y33,'法術資料'!$K$2:$X$805,13,FALSE),"")</f>
        <v/>
      </c>
      <c r="AH33" s="1377" t="str">
        <f>IFNA(VLOOKUP($Y33,'法術資料'!$K$2:$X$805,5,FALSE),"")</f>
        <v/>
      </c>
      <c r="AI33" s="1377" t="str">
        <f>IFNA(VLOOKUP($Y33,'法術資料'!$K$2:$X$805,6,FALSE),"")</f>
        <v/>
      </c>
      <c r="AJ33" s="1378" t="str">
        <f>IFNA(VLOOKUP($Y33,'法術資料'!$K$2:$X$805,9,FALSE),"")</f>
        <v/>
      </c>
      <c r="AK33" s="1379" t="str">
        <f>IFNA(VLOOKUP($Y33,'法術資料'!$K$2:$X$805,10,FALSE),"")</f>
        <v/>
      </c>
      <c r="AL33" s="1379" t="str">
        <f>IFNA(VLOOKUP($Y33,'法術資料'!$K$2:$X$805,11,FALSE),"")</f>
        <v/>
      </c>
      <c r="AM33" s="1506" t="str">
        <f>IFNA(VLOOKUP($Y33,'法術資料'!$K$2:$X$805,12,FALSE),"")</f>
        <v/>
      </c>
      <c r="AN33" s="376"/>
      <c r="AO33" s="1369"/>
      <c r="AP33" s="455"/>
      <c r="AQ33" s="1356"/>
      <c r="AR33" s="1503" t="b">
        <v>0</v>
      </c>
      <c r="AS33" s="1504"/>
      <c r="AT33" s="1507" t="str">
        <f>IFNA(VLOOKUP(AS33,'法術資料'!$K$2:$X$805,4,FALSE),"")
</f>
        <v/>
      </c>
      <c r="AU33" s="1506" t="str">
        <f>IFNA(VLOOKUP(AS33,'法術資料'!$K$2:$X$805,7,FALSE),"")</f>
        <v/>
      </c>
      <c r="AV33" s="1141"/>
      <c r="AW33" s="1506" t="str">
        <f>IFNA(VLOOKUP(AS33,'法術資料'!$K$2:$X$805,8,FALSE),"")</f>
        <v/>
      </c>
      <c r="AX33" s="1141"/>
      <c r="AY33" s="1506" t="str">
        <f>IFNA(VLOOKUP(AS33,'法術資料'!$K$2:$X$805,14,FALSE),"")</f>
        <v/>
      </c>
      <c r="AZ33" s="1141"/>
      <c r="BA33" s="1377" t="str">
        <f>IFNA(VLOOKUP(AS33,'法術資料'!$K$2:$X$805,13,FALSE),"")</f>
        <v/>
      </c>
      <c r="BB33" s="1377" t="str">
        <f>IFNA(VLOOKUP(AS33,'法術資料'!$K$2:$X$805,5,FALSE),"")</f>
        <v/>
      </c>
      <c r="BC33" s="1377" t="str">
        <f>IFNA(VLOOKUP(AS33,'法術資料'!$K$2:$X$805,6,FALSE),"")</f>
        <v/>
      </c>
      <c r="BD33" s="1378" t="str">
        <f>IFNA(VLOOKUP(AS33,'法術資料'!$K$2:$X$805,9,FALSE),"")</f>
        <v/>
      </c>
      <c r="BE33" s="1379" t="str">
        <f>IFNA(VLOOKUP(AS33,'法術資料'!$K$2:$X$805,10,FALSE),"")</f>
        <v/>
      </c>
      <c r="BF33" s="1379" t="str">
        <f>IFNA(VLOOKUP($Y33,'法術資料'!$K$2:$X$805,11,FALSE),"")</f>
        <v/>
      </c>
      <c r="BG33" s="1506" t="str">
        <f>IFNA(VLOOKUP(AS33,'法術資料'!$K$2:$X$805,12,FALSE),"")</f>
        <v/>
      </c>
      <c r="BH33" s="376"/>
      <c r="BI33" s="1369"/>
      <c r="BJ33" s="455"/>
      <c r="BK33" s="1356"/>
      <c r="BL33" s="1503" t="b">
        <v>0</v>
      </c>
      <c r="BM33" s="1504"/>
      <c r="BN33" s="1507" t="str">
        <f>IFNA(VLOOKUP(BM33,'法術資料'!$K$2:$X$805,4,FALSE),"")
</f>
        <v/>
      </c>
      <c r="BO33" s="1506" t="str">
        <f>IFNA(VLOOKUP(BM33,'法術資料'!$K$2:$X$805,7,FALSE),"")</f>
        <v/>
      </c>
      <c r="BP33" s="1141"/>
      <c r="BQ33" s="1506" t="str">
        <f>IFNA(VLOOKUP(BM33,'法術資料'!$K$2:$X$805,8,FALSE),"")</f>
        <v/>
      </c>
      <c r="BR33" s="1141"/>
      <c r="BS33" s="1506" t="str">
        <f>IFNA(VLOOKUP(BM33,'法術資料'!$K$2:$X$805,14,FALSE),"")</f>
        <v/>
      </c>
      <c r="BT33" s="1141"/>
      <c r="BU33" s="1377" t="str">
        <f>IFNA(VLOOKUP(BM33,'法術資料'!$K$2:$X$805,13,FALSE),"")</f>
        <v/>
      </c>
      <c r="BV33" s="1377" t="str">
        <f>IFNA(VLOOKUP(BM33,'法術資料'!$K$2:$X$805,5,FALSE),"")</f>
        <v/>
      </c>
      <c r="BW33" s="1377" t="str">
        <f>IFNA(VLOOKUP(BM33,'法術資料'!$K$2:$X$805,6,FALSE),"")</f>
        <v/>
      </c>
      <c r="BX33" s="1378" t="str">
        <f>IFNA(VLOOKUP(BM33,'法術資料'!$K$2:$X$805,9,FALSE),"")</f>
        <v/>
      </c>
      <c r="BY33" s="1379" t="str">
        <f>IFNA(VLOOKUP(BM33,'法術資料'!$K$2:$X$805,10,FALSE),"")</f>
        <v/>
      </c>
      <c r="BZ33" s="1379" t="str">
        <f>IFNA(VLOOKUP($Y33,'法術資料'!$K$2:$X$805,11,FALSE),"")</f>
        <v/>
      </c>
      <c r="CA33" s="1506" t="str">
        <f>IFNA(VLOOKUP(BM33,'法術資料'!$K$2:$X$805,12,FALSE),"")</f>
        <v/>
      </c>
      <c r="CB33" s="376"/>
      <c r="CC33" s="1369"/>
      <c r="CD33" s="455"/>
      <c r="CE33" s="1356"/>
      <c r="CF33" s="1503" t="b">
        <v>0</v>
      </c>
      <c r="CG33" s="1504"/>
      <c r="CH33" s="1507" t="str">
        <f>IFNA(VLOOKUP(CG33,'法術資料'!$K$2:$X$805,4,FALSE),"")
</f>
        <v/>
      </c>
      <c r="CI33" s="1506" t="str">
        <f>IFNA(VLOOKUP(CG33,'法術資料'!$K$2:$X$805,7,FALSE),"")</f>
        <v/>
      </c>
      <c r="CJ33" s="1141"/>
      <c r="CK33" s="1506" t="str">
        <f>IFNA(VLOOKUP(CG33,'法術資料'!$K$2:$X$805,8,FALSE),"")</f>
        <v/>
      </c>
      <c r="CL33" s="1141"/>
      <c r="CM33" s="1506" t="str">
        <f>IFNA(VLOOKUP(CG33,'法術資料'!$K$2:$X$805,14,FALSE),"")</f>
        <v/>
      </c>
      <c r="CN33" s="1141"/>
      <c r="CO33" s="1377" t="str">
        <f>IFNA(VLOOKUP(CG33,'法術資料'!$K$2:$X$805,13,FALSE),"")</f>
        <v/>
      </c>
      <c r="CP33" s="1377" t="str">
        <f>IFNA(VLOOKUP(CG33,'法術資料'!$K$2:$X$805,5,FALSE),"")</f>
        <v/>
      </c>
      <c r="CQ33" s="1377" t="str">
        <f>IFNA(VLOOKUP(CG33,'法術資料'!$K$2:$X$805,6,FALSE),"")</f>
        <v/>
      </c>
      <c r="CR33" s="1378" t="str">
        <f>IFNA(VLOOKUP(CG33,'法術資料'!$K$2:$X$805,9,FALSE),"")</f>
        <v/>
      </c>
      <c r="CS33" s="1379" t="str">
        <f>IFNA(VLOOKUP(CG33,'法術資料'!$K$2:$X$805,10,FALSE),"")</f>
        <v/>
      </c>
      <c r="CT33" s="1379" t="str">
        <f>IFNA(VLOOKUP($Y33,'法術資料'!$K$2:$X$805,11,FALSE),"")</f>
        <v/>
      </c>
      <c r="CU33" s="1506" t="str">
        <f>IFNA(VLOOKUP(CG33,'法術資料'!$K$2:$X$805,12,FALSE),"")</f>
        <v/>
      </c>
      <c r="CV33" s="376"/>
      <c r="CW33" s="1369"/>
      <c r="CX33" s="455"/>
      <c r="CY33" s="1356"/>
      <c r="CZ33" s="1503" t="b">
        <v>0</v>
      </c>
      <c r="DA33" s="1515"/>
      <c r="DB33" s="1507" t="str">
        <f>IFNA(VLOOKUP(DA33,'法術資料'!$K$2:$X$805,4,FALSE),"")
</f>
        <v/>
      </c>
      <c r="DC33" s="1506" t="str">
        <f>IFNA(VLOOKUP(DA33,'法術資料'!$K$2:$X$805,7,FALSE),"")</f>
        <v/>
      </c>
      <c r="DD33" s="1141"/>
      <c r="DE33" s="1506" t="str">
        <f>IFNA(VLOOKUP(DA33,'法術資料'!$K$2:$X$805,8,FALSE),"")</f>
        <v/>
      </c>
      <c r="DF33" s="1141"/>
      <c r="DG33" s="1506" t="str">
        <f>IFNA(VLOOKUP(DA33,'法術資料'!$K$2:$X$805,14,FALSE),"")</f>
        <v/>
      </c>
      <c r="DH33" s="1141"/>
      <c r="DI33" s="1377" t="str">
        <f>IFNA(VLOOKUP(DA33,'法術資料'!$K$2:$X$805,13,FALSE),"")</f>
        <v/>
      </c>
      <c r="DJ33" s="1377" t="str">
        <f>IFNA(VLOOKUP(DA33,'法術資料'!$K$2:$X$805,5,FALSE),"")</f>
        <v/>
      </c>
      <c r="DK33" s="1377" t="str">
        <f>IFNA(VLOOKUP(DA33,'法術資料'!$K$2:$X$805,6,FALSE),"")</f>
        <v/>
      </c>
      <c r="DL33" s="1378" t="str">
        <f>IFNA(VLOOKUP(DA33,'法術資料'!$K$2:$X$805,9,FALSE),"")</f>
        <v/>
      </c>
      <c r="DM33" s="1379" t="str">
        <f>IFNA(VLOOKUP(DA33,'法術資料'!$K$2:$X$805,10,FALSE),"")</f>
        <v/>
      </c>
      <c r="DN33" s="1379" t="str">
        <f>IFNA(VLOOKUP($Y33,'法術資料'!$K$2:$X$805,11,FALSE),"")</f>
        <v/>
      </c>
      <c r="DO33" s="1506" t="str">
        <f>IFNA(VLOOKUP(DA33,'法術資料'!$K$2:$X$805,12,FALSE),"")</f>
        <v/>
      </c>
      <c r="DP33" s="376"/>
      <c r="DQ33" s="1369"/>
      <c r="DR33" s="455"/>
      <c r="DS33" s="1356"/>
      <c r="DT33" s="1503" t="b">
        <v>0</v>
      </c>
      <c r="DU33" s="1515"/>
      <c r="DV33" s="1507" t="str">
        <f>IFNA(VLOOKUP(DU33,'法術資料'!$K$2:$X$805,4,FALSE),"")
</f>
        <v/>
      </c>
      <c r="DW33" s="1506" t="str">
        <f>IFNA(VLOOKUP(DU33,'法術資料'!$K$2:$X$805,7,FALSE),"")</f>
        <v/>
      </c>
      <c r="DX33" s="1141"/>
      <c r="DY33" s="1506" t="str">
        <f>IFNA(VLOOKUP(DU33,'法術資料'!$K$2:$X$805,8,FALSE),"")</f>
        <v/>
      </c>
      <c r="DZ33" s="1141"/>
      <c r="EA33" s="1506" t="str">
        <f>IFNA(VLOOKUP(DU33,'法術資料'!$K$2:$X$805,14,FALSE),"")</f>
        <v/>
      </c>
      <c r="EB33" s="1141"/>
      <c r="EC33" s="1377" t="str">
        <f>IFNA(VLOOKUP(DU33,'法術資料'!$K$2:$X$805,13,FALSE),"")</f>
        <v/>
      </c>
      <c r="ED33" s="1377" t="str">
        <f>IFNA(VLOOKUP(DU33,'法術資料'!$K$2:$X$805,5,FALSE),"")</f>
        <v/>
      </c>
      <c r="EE33" s="1377" t="str">
        <f>IFNA(VLOOKUP(DU33,'法術資料'!$K$2:$X$805,6,FALSE),"")</f>
        <v/>
      </c>
      <c r="EF33" s="1378" t="str">
        <f>IFNA(VLOOKUP(DU33,'法術資料'!$K$2:$X$805,9,FALSE),"")</f>
        <v/>
      </c>
      <c r="EG33" s="1379" t="str">
        <f>IFNA(VLOOKUP(DU33,'法術資料'!$K$2:$X$805,10,FALSE),"")</f>
        <v/>
      </c>
      <c r="EH33" s="1379" t="str">
        <f>IFNA(VLOOKUP($Y33,'法術資料'!$K$2:$X$805,11,FALSE),"")</f>
        <v/>
      </c>
      <c r="EI33" s="1506" t="str">
        <f>IFNA(VLOOKUP(DU33,'法術資料'!$K$2:$X$805,12,FALSE),"")</f>
        <v/>
      </c>
      <c r="EJ33" s="376"/>
      <c r="EK33" s="1369"/>
      <c r="EL33" s="455"/>
      <c r="EM33" s="1356"/>
      <c r="EN33" s="1503" t="b">
        <v>0</v>
      </c>
      <c r="EO33" s="1515"/>
      <c r="EP33" s="1507" t="str">
        <f>IFNA(VLOOKUP(EO33,'法術資料'!$K$2:$X$805,4,FALSE),"")
</f>
        <v/>
      </c>
      <c r="EQ33" s="1506" t="str">
        <f>IFNA(VLOOKUP(EO33,'法術資料'!$K$2:$X$805,7,FALSE),"")</f>
        <v/>
      </c>
      <c r="ER33" s="1141"/>
      <c r="ES33" s="1506" t="str">
        <f>IFNA(VLOOKUP(EO33,'法術資料'!$K$2:$X$805,8,FALSE),"")</f>
        <v/>
      </c>
      <c r="ET33" s="1141"/>
      <c r="EU33" s="1506" t="str">
        <f>IFNA(VLOOKUP(EO33,'法術資料'!$K$2:$X$805,14,FALSE),"")</f>
        <v/>
      </c>
      <c r="EV33" s="1141"/>
      <c r="EW33" s="1377" t="str">
        <f>IFNA(VLOOKUP(EO33,'法術資料'!$K$2:$X$805,13,FALSE),"")</f>
        <v/>
      </c>
      <c r="EX33" s="1377" t="str">
        <f>IFNA(VLOOKUP(EO33,'法術資料'!$K$2:$X$805,5,FALSE),"")</f>
        <v/>
      </c>
      <c r="EY33" s="1377" t="str">
        <f>IFNA(VLOOKUP(EO33,'法術資料'!$K$2:$X$805,6,FALSE),"")</f>
        <v/>
      </c>
      <c r="EZ33" s="1378" t="str">
        <f>IFNA(VLOOKUP(EO33,'法術資料'!$K$2:$X$805,9,FALSE),"")</f>
        <v/>
      </c>
      <c r="FA33" s="1379" t="str">
        <f>IFNA(VLOOKUP(EO33,'法術資料'!$K$2:$X$805,10,FALSE),"")</f>
        <v/>
      </c>
      <c r="FB33" s="1379" t="str">
        <f>IFNA(VLOOKUP($Y33,'法術資料'!$K$2:$X$805,11,FALSE),"")</f>
        <v/>
      </c>
      <c r="FC33" s="1506" t="str">
        <f>IFNA(VLOOKUP(EO33,'法術資料'!$K$2:$X$805,12,FALSE),"")</f>
        <v/>
      </c>
      <c r="FD33" s="376"/>
      <c r="FE33" s="1369"/>
      <c r="FF33" s="455"/>
      <c r="FG33" s="1356"/>
      <c r="FH33" s="1503" t="b">
        <v>0</v>
      </c>
      <c r="FI33" s="1515"/>
      <c r="FJ33" s="1507" t="str">
        <f>IFNA(VLOOKUP(FI33,'法術資料'!$K$2:$X$805,4,FALSE),"")
</f>
        <v/>
      </c>
      <c r="FK33" s="1506" t="str">
        <f>IFNA(VLOOKUP(FI33,'法術資料'!$K$2:$X$805,7,FALSE),"")</f>
        <v/>
      </c>
      <c r="FL33" s="1141"/>
      <c r="FM33" s="1506" t="str">
        <f>IFNA(VLOOKUP(FI33,'法術資料'!$K$2:$X$805,8,FALSE),"")</f>
        <v/>
      </c>
      <c r="FN33" s="1141"/>
      <c r="FO33" s="1506" t="str">
        <f>IFNA(VLOOKUP(FI33,'法術資料'!$K$2:$X$805,14,FALSE),"")</f>
        <v/>
      </c>
      <c r="FP33" s="1141"/>
      <c r="FQ33" s="1377" t="str">
        <f>IFNA(VLOOKUP(FI33,'法術資料'!$K$2:$X$805,13,FALSE),"")</f>
        <v/>
      </c>
      <c r="FR33" s="1377" t="str">
        <f>IFNA(VLOOKUP(FI33,'法術資料'!$K$2:$X$805,5,FALSE),"")</f>
        <v/>
      </c>
      <c r="FS33" s="1377" t="str">
        <f>IFNA(VLOOKUP(FI33,'法術資料'!$K$2:$X$805,6,FALSE),"")</f>
        <v/>
      </c>
      <c r="FT33" s="1378" t="str">
        <f>IFNA(VLOOKUP(FI33,'法術資料'!$K$2:$X$805,9,FALSE),"")</f>
        <v/>
      </c>
      <c r="FU33" s="1379" t="str">
        <f>IFNA(VLOOKUP(FI33,'法術資料'!$K$2:$X$805,10,FALSE),"")</f>
        <v/>
      </c>
      <c r="FV33" s="1379" t="str">
        <f>IFNA(VLOOKUP($Y33,'法術資料'!$K$2:$X$805,11,FALSE),"")</f>
        <v/>
      </c>
      <c r="FW33" s="1506" t="str">
        <f>IFNA(VLOOKUP(FI33,'法術資料'!$K$2:$X$805,12,FALSE),"")</f>
        <v/>
      </c>
      <c r="FX33" s="376"/>
      <c r="FY33" s="1369"/>
      <c r="FZ33" s="455"/>
    </row>
    <row r="34">
      <c r="A34" s="455"/>
      <c r="B34" s="1356"/>
      <c r="C34" s="1509" t="b">
        <v>0</v>
      </c>
      <c r="D34" s="1502"/>
      <c r="E34" s="1510" t="str">
        <f>IFNA(VLOOKUP($D34,'法術資料'!$K$2:$X$805,4,FALSE),"")
</f>
        <v/>
      </c>
      <c r="F34" s="1511" t="str">
        <f>IFNA(VLOOKUP($D34,'法術資料'!$K$2:$X$805,7,FALSE),"")</f>
        <v/>
      </c>
      <c r="G34" s="1141"/>
      <c r="H34" s="1511" t="str">
        <f>IFNA(VLOOKUP($D34,'法術資料'!$K$2:$X$805,8,FALSE),"")</f>
        <v/>
      </c>
      <c r="I34" s="1141"/>
      <c r="J34" s="1511" t="str">
        <f>IFNA(VLOOKUP($D34,'法術資料'!$K$2:$X$805,14,FALSE),"")</f>
        <v/>
      </c>
      <c r="K34" s="1141"/>
      <c r="L34" s="1511" t="str">
        <f>IFNA(VLOOKUP($D34,'法術資料'!$K$2:$X$805,13,FALSE),"")</f>
        <v/>
      </c>
      <c r="M34" s="1141"/>
      <c r="N34" s="1365" t="str">
        <f>IFNA(VLOOKUP($D34,'法術資料'!$K$2:$X$805,5,FALSE),"")</f>
        <v/>
      </c>
      <c r="O34" s="1365" t="str">
        <f>IFNA(VLOOKUP($D34,'法術資料'!$K$2:$X$805,6,FALSE),"")</f>
        <v/>
      </c>
      <c r="P34" s="1366" t="str">
        <f>IFNA(VLOOKUP($D34,'法術資料'!$K$2:$X$805,9,FALSE),"")</f>
        <v/>
      </c>
      <c r="Q34" s="1367" t="str">
        <f>IFNA(VLOOKUP($D34,'法術資料'!$K$2:$X$805,10,FALSE),"")</f>
        <v/>
      </c>
      <c r="R34" s="1367" t="str">
        <f>IFNA(VLOOKUP($D34,'法術資料'!$K$2:$X$805,11,FALSE),"")</f>
        <v/>
      </c>
      <c r="S34" s="1511" t="str">
        <f>IFNA(VLOOKUP($D34,'法術資料'!$K$2:$X$805,12,FALSE),"")</f>
        <v/>
      </c>
      <c r="T34" s="376"/>
      <c r="U34" s="1369"/>
      <c r="V34" s="455"/>
      <c r="W34" s="1356"/>
      <c r="X34" s="1509" t="b">
        <v>0</v>
      </c>
      <c r="Y34" s="1502"/>
      <c r="Z34" s="1512" t="str">
        <f>IFNA(VLOOKUP(Y34,'法術資料'!$K$2:$X$805,4,FALSE),"")
</f>
        <v/>
      </c>
      <c r="AA34" s="1511" t="str">
        <f>IFNA(VLOOKUP($Y34,'法術資料'!$K$2:$X$805,7,FALSE),"")</f>
        <v/>
      </c>
      <c r="AB34" s="1141"/>
      <c r="AC34" s="1511" t="str">
        <f>IFNA(VLOOKUP($Y34,'法術資料'!$K$2:$X$805,8,FALSE),"")</f>
        <v/>
      </c>
      <c r="AD34" s="1141"/>
      <c r="AE34" s="1511" t="str">
        <f>IFNA(VLOOKUP($Y34,'法術資料'!$K$2:$X$805,14,FALSE),"")</f>
        <v/>
      </c>
      <c r="AF34" s="1141"/>
      <c r="AG34" s="1365" t="str">
        <f>IFNA(VLOOKUP($Y34,'法術資料'!$K$2:$X$805,13,FALSE),"")</f>
        <v/>
      </c>
      <c r="AH34" s="1365" t="str">
        <f>IFNA(VLOOKUP($Y34,'法術資料'!$K$2:$X$805,5,FALSE),"")</f>
        <v/>
      </c>
      <c r="AI34" s="1365" t="str">
        <f>IFNA(VLOOKUP($Y34,'法術資料'!$K$2:$X$805,6,FALSE),"")</f>
        <v/>
      </c>
      <c r="AJ34" s="1366" t="str">
        <f>IFNA(VLOOKUP($Y34,'法術資料'!$K$2:$X$805,9,FALSE),"")</f>
        <v/>
      </c>
      <c r="AK34" s="1367" t="str">
        <f>IFNA(VLOOKUP($Y34,'法術資料'!$K$2:$X$805,10,FALSE),"")</f>
        <v/>
      </c>
      <c r="AL34" s="1367" t="str">
        <f>IFNA(VLOOKUP($Y34,'法術資料'!$K$2:$X$805,11,FALSE),"")</f>
        <v/>
      </c>
      <c r="AM34" s="1511" t="str">
        <f>IFNA(VLOOKUP($Y34,'法術資料'!$K$2:$X$805,12,FALSE),"")</f>
        <v/>
      </c>
      <c r="AN34" s="376"/>
      <c r="AO34" s="1369"/>
      <c r="AP34" s="455"/>
      <c r="AQ34" s="1356"/>
      <c r="AR34" s="1509" t="b">
        <v>0</v>
      </c>
      <c r="AS34" s="1502"/>
      <c r="AT34" s="1512" t="str">
        <f>IFNA(VLOOKUP(AS34,'法術資料'!$K$2:$X$805,4,FALSE),"")
</f>
        <v/>
      </c>
      <c r="AU34" s="1511" t="str">
        <f>IFNA(VLOOKUP(AS34,'法術資料'!$K$2:$X$805,7,FALSE),"")</f>
        <v/>
      </c>
      <c r="AV34" s="1141"/>
      <c r="AW34" s="1511" t="str">
        <f>IFNA(VLOOKUP(AS34,'法術資料'!$K$2:$X$805,8,FALSE),"")</f>
        <v/>
      </c>
      <c r="AX34" s="1141"/>
      <c r="AY34" s="1511" t="str">
        <f>IFNA(VLOOKUP(AS34,'法術資料'!$K$2:$X$805,14,FALSE),"")</f>
        <v/>
      </c>
      <c r="AZ34" s="1141"/>
      <c r="BA34" s="1365" t="str">
        <f>IFNA(VLOOKUP(AS34,'法術資料'!$K$2:$X$805,13,FALSE),"")</f>
        <v/>
      </c>
      <c r="BB34" s="1365" t="str">
        <f>IFNA(VLOOKUP(AS34,'法術資料'!$K$2:$X$805,5,FALSE),"")</f>
        <v/>
      </c>
      <c r="BC34" s="1365" t="str">
        <f>IFNA(VLOOKUP(AS34,'法術資料'!$K$2:$X$805,6,FALSE),"")</f>
        <v/>
      </c>
      <c r="BD34" s="1366" t="str">
        <f>IFNA(VLOOKUP(AS34,'法術資料'!$K$2:$X$805,9,FALSE),"")</f>
        <v/>
      </c>
      <c r="BE34" s="1367" t="str">
        <f>IFNA(VLOOKUP(AS34,'法術資料'!$K$2:$X$805,10,FALSE),"")</f>
        <v/>
      </c>
      <c r="BF34" s="1367" t="str">
        <f>IFNA(VLOOKUP($Y34,'法術資料'!$K$2:$X$805,11,FALSE),"")</f>
        <v/>
      </c>
      <c r="BG34" s="1511" t="str">
        <f>IFNA(VLOOKUP(AS34,'法術資料'!$K$2:$X$805,12,FALSE),"")</f>
        <v/>
      </c>
      <c r="BH34" s="376"/>
      <c r="BI34" s="1369"/>
      <c r="BJ34" s="455"/>
      <c r="BK34" s="1356"/>
      <c r="BL34" s="1509" t="b">
        <v>0</v>
      </c>
      <c r="BM34" s="1502"/>
      <c r="BN34" s="1512" t="str">
        <f>IFNA(VLOOKUP(BM34,'法術資料'!$K$2:$X$805,4,FALSE),"")
</f>
        <v/>
      </c>
      <c r="BO34" s="1511" t="str">
        <f>IFNA(VLOOKUP(BM34,'法術資料'!$K$2:$X$805,7,FALSE),"")</f>
        <v/>
      </c>
      <c r="BP34" s="1141"/>
      <c r="BQ34" s="1511" t="str">
        <f>IFNA(VLOOKUP(BM34,'法術資料'!$K$2:$X$805,8,FALSE),"")</f>
        <v/>
      </c>
      <c r="BR34" s="1141"/>
      <c r="BS34" s="1511" t="str">
        <f>IFNA(VLOOKUP(BM34,'法術資料'!$K$2:$X$805,14,FALSE),"")</f>
        <v/>
      </c>
      <c r="BT34" s="1141"/>
      <c r="BU34" s="1365" t="str">
        <f>IFNA(VLOOKUP(BM34,'法術資料'!$K$2:$X$805,13,FALSE),"")</f>
        <v/>
      </c>
      <c r="BV34" s="1365" t="str">
        <f>IFNA(VLOOKUP(BM34,'法術資料'!$K$2:$X$805,5,FALSE),"")</f>
        <v/>
      </c>
      <c r="BW34" s="1365" t="str">
        <f>IFNA(VLOOKUP(BM34,'法術資料'!$K$2:$X$805,6,FALSE),"")</f>
        <v/>
      </c>
      <c r="BX34" s="1366" t="str">
        <f>IFNA(VLOOKUP(BM34,'法術資料'!$K$2:$X$805,9,FALSE),"")</f>
        <v/>
      </c>
      <c r="BY34" s="1367" t="str">
        <f>IFNA(VLOOKUP(BM34,'法術資料'!$K$2:$X$805,10,FALSE),"")</f>
        <v/>
      </c>
      <c r="BZ34" s="1367" t="str">
        <f>IFNA(VLOOKUP($Y34,'法術資料'!$K$2:$X$805,11,FALSE),"")</f>
        <v/>
      </c>
      <c r="CA34" s="1511" t="str">
        <f>IFNA(VLOOKUP(BM34,'法術資料'!$K$2:$X$805,12,FALSE),"")</f>
        <v/>
      </c>
      <c r="CB34" s="376"/>
      <c r="CC34" s="1369"/>
      <c r="CD34" s="455"/>
      <c r="CE34" s="1356"/>
      <c r="CF34" s="1509" t="b">
        <v>0</v>
      </c>
      <c r="CG34" s="1502"/>
      <c r="CH34" s="1512" t="str">
        <f>IFNA(VLOOKUP(CG34,'法術資料'!$K$2:$X$805,4,FALSE),"")
</f>
        <v/>
      </c>
      <c r="CI34" s="1511" t="str">
        <f>IFNA(VLOOKUP(CG34,'法術資料'!$K$2:$X$805,7,FALSE),"")</f>
        <v/>
      </c>
      <c r="CJ34" s="1141"/>
      <c r="CK34" s="1511" t="str">
        <f>IFNA(VLOOKUP(CG34,'法術資料'!$K$2:$X$805,8,FALSE),"")</f>
        <v/>
      </c>
      <c r="CL34" s="1141"/>
      <c r="CM34" s="1511" t="str">
        <f>IFNA(VLOOKUP(CG34,'法術資料'!$K$2:$X$805,14,FALSE),"")</f>
        <v/>
      </c>
      <c r="CN34" s="1141"/>
      <c r="CO34" s="1365" t="str">
        <f>IFNA(VLOOKUP(CG34,'法術資料'!$K$2:$X$805,13,FALSE),"")</f>
        <v/>
      </c>
      <c r="CP34" s="1365" t="str">
        <f>IFNA(VLOOKUP(CG34,'法術資料'!$K$2:$X$805,5,FALSE),"")</f>
        <v/>
      </c>
      <c r="CQ34" s="1365" t="str">
        <f>IFNA(VLOOKUP(CG34,'法術資料'!$K$2:$X$805,6,FALSE),"")</f>
        <v/>
      </c>
      <c r="CR34" s="1366" t="str">
        <f>IFNA(VLOOKUP(CG34,'法術資料'!$K$2:$X$805,9,FALSE),"")</f>
        <v/>
      </c>
      <c r="CS34" s="1367" t="str">
        <f>IFNA(VLOOKUP(CG34,'法術資料'!$K$2:$X$805,10,FALSE),"")</f>
        <v/>
      </c>
      <c r="CT34" s="1367" t="str">
        <f>IFNA(VLOOKUP($Y34,'法術資料'!$K$2:$X$805,11,FALSE),"")</f>
        <v/>
      </c>
      <c r="CU34" s="1511" t="str">
        <f>IFNA(VLOOKUP(CG34,'法術資料'!$K$2:$X$805,12,FALSE),"")</f>
        <v/>
      </c>
      <c r="CV34" s="376"/>
      <c r="CW34" s="1369"/>
      <c r="CX34" s="455"/>
      <c r="CY34" s="1356"/>
      <c r="CZ34" s="1509" t="b">
        <v>0</v>
      </c>
      <c r="DA34" s="1514"/>
      <c r="DB34" s="1512" t="str">
        <f>IFNA(VLOOKUP(DA34,'法術資料'!$K$2:$X$805,4,FALSE),"")
</f>
        <v/>
      </c>
      <c r="DC34" s="1511" t="str">
        <f>IFNA(VLOOKUP(DA34,'法術資料'!$K$2:$X$805,7,FALSE),"")</f>
        <v/>
      </c>
      <c r="DD34" s="1141"/>
      <c r="DE34" s="1511" t="str">
        <f>IFNA(VLOOKUP(DA34,'法術資料'!$K$2:$X$805,8,FALSE),"")</f>
        <v/>
      </c>
      <c r="DF34" s="1141"/>
      <c r="DG34" s="1511" t="str">
        <f>IFNA(VLOOKUP(DA34,'法術資料'!$K$2:$X$805,14,FALSE),"")</f>
        <v/>
      </c>
      <c r="DH34" s="1141"/>
      <c r="DI34" s="1365" t="str">
        <f>IFNA(VLOOKUP(DA34,'法術資料'!$K$2:$X$805,13,FALSE),"")</f>
        <v/>
      </c>
      <c r="DJ34" s="1365" t="str">
        <f>IFNA(VLOOKUP(DA34,'法術資料'!$K$2:$X$805,5,FALSE),"")</f>
        <v/>
      </c>
      <c r="DK34" s="1365" t="str">
        <f>IFNA(VLOOKUP(DA34,'法術資料'!$K$2:$X$805,6,FALSE),"")</f>
        <v/>
      </c>
      <c r="DL34" s="1366" t="str">
        <f>IFNA(VLOOKUP(DA34,'法術資料'!$K$2:$X$805,9,FALSE),"")</f>
        <v/>
      </c>
      <c r="DM34" s="1367" t="str">
        <f>IFNA(VLOOKUP(DA34,'法術資料'!$K$2:$X$805,10,FALSE),"")</f>
        <v/>
      </c>
      <c r="DN34" s="1367" t="str">
        <f>IFNA(VLOOKUP($Y34,'法術資料'!$K$2:$X$805,11,FALSE),"")</f>
        <v/>
      </c>
      <c r="DO34" s="1511" t="str">
        <f>IFNA(VLOOKUP(DA34,'法術資料'!$K$2:$X$805,12,FALSE),"")</f>
        <v/>
      </c>
      <c r="DP34" s="376"/>
      <c r="DQ34" s="1369"/>
      <c r="DR34" s="455"/>
      <c r="DS34" s="1356"/>
      <c r="DT34" s="1509" t="b">
        <v>0</v>
      </c>
      <c r="DU34" s="1514"/>
      <c r="DV34" s="1512" t="str">
        <f>IFNA(VLOOKUP(DU34,'法術資料'!$K$2:$X$805,4,FALSE),"")
</f>
        <v/>
      </c>
      <c r="DW34" s="1511" t="str">
        <f>IFNA(VLOOKUP(DU34,'法術資料'!$K$2:$X$805,7,FALSE),"")</f>
        <v/>
      </c>
      <c r="DX34" s="1141"/>
      <c r="DY34" s="1511" t="str">
        <f>IFNA(VLOOKUP(DU34,'法術資料'!$K$2:$X$805,8,FALSE),"")</f>
        <v/>
      </c>
      <c r="DZ34" s="1141"/>
      <c r="EA34" s="1511" t="str">
        <f>IFNA(VLOOKUP(DU34,'法術資料'!$K$2:$X$805,14,FALSE),"")</f>
        <v/>
      </c>
      <c r="EB34" s="1141"/>
      <c r="EC34" s="1365" t="str">
        <f>IFNA(VLOOKUP(DU34,'法術資料'!$K$2:$X$805,13,FALSE),"")</f>
        <v/>
      </c>
      <c r="ED34" s="1365" t="str">
        <f>IFNA(VLOOKUP(DU34,'法術資料'!$K$2:$X$805,5,FALSE),"")</f>
        <v/>
      </c>
      <c r="EE34" s="1365" t="str">
        <f>IFNA(VLOOKUP(DU34,'法術資料'!$K$2:$X$805,6,FALSE),"")</f>
        <v/>
      </c>
      <c r="EF34" s="1366" t="str">
        <f>IFNA(VLOOKUP(DU34,'法術資料'!$K$2:$X$805,9,FALSE),"")</f>
        <v/>
      </c>
      <c r="EG34" s="1367" t="str">
        <f>IFNA(VLOOKUP(DU34,'法術資料'!$K$2:$X$805,10,FALSE),"")</f>
        <v/>
      </c>
      <c r="EH34" s="1367" t="str">
        <f>IFNA(VLOOKUP($Y34,'法術資料'!$K$2:$X$805,11,FALSE),"")</f>
        <v/>
      </c>
      <c r="EI34" s="1511" t="str">
        <f>IFNA(VLOOKUP(DU34,'法術資料'!$K$2:$X$805,12,FALSE),"")</f>
        <v/>
      </c>
      <c r="EJ34" s="376"/>
      <c r="EK34" s="1369"/>
      <c r="EL34" s="455"/>
      <c r="EM34" s="1356"/>
      <c r="EN34" s="1509" t="b">
        <v>0</v>
      </c>
      <c r="EO34" s="1514"/>
      <c r="EP34" s="1512" t="str">
        <f>IFNA(VLOOKUP(EO34,'法術資料'!$K$2:$X$805,4,FALSE),"")
</f>
        <v/>
      </c>
      <c r="EQ34" s="1511" t="str">
        <f>IFNA(VLOOKUP(EO34,'法術資料'!$K$2:$X$805,7,FALSE),"")</f>
        <v/>
      </c>
      <c r="ER34" s="1141"/>
      <c r="ES34" s="1511" t="str">
        <f>IFNA(VLOOKUP(EO34,'法術資料'!$K$2:$X$805,8,FALSE),"")</f>
        <v/>
      </c>
      <c r="ET34" s="1141"/>
      <c r="EU34" s="1511" t="str">
        <f>IFNA(VLOOKUP(EO34,'法術資料'!$K$2:$X$805,14,FALSE),"")</f>
        <v/>
      </c>
      <c r="EV34" s="1141"/>
      <c r="EW34" s="1365" t="str">
        <f>IFNA(VLOOKUP(EO34,'法術資料'!$K$2:$X$805,13,FALSE),"")</f>
        <v/>
      </c>
      <c r="EX34" s="1365" t="str">
        <f>IFNA(VLOOKUP(EO34,'法術資料'!$K$2:$X$805,5,FALSE),"")</f>
        <v/>
      </c>
      <c r="EY34" s="1365" t="str">
        <f>IFNA(VLOOKUP(EO34,'法術資料'!$K$2:$X$805,6,FALSE),"")</f>
        <v/>
      </c>
      <c r="EZ34" s="1366" t="str">
        <f>IFNA(VLOOKUP(EO34,'法術資料'!$K$2:$X$805,9,FALSE),"")</f>
        <v/>
      </c>
      <c r="FA34" s="1367" t="str">
        <f>IFNA(VLOOKUP(EO34,'法術資料'!$K$2:$X$805,10,FALSE),"")</f>
        <v/>
      </c>
      <c r="FB34" s="1367" t="str">
        <f>IFNA(VLOOKUP($Y34,'法術資料'!$K$2:$X$805,11,FALSE),"")</f>
        <v/>
      </c>
      <c r="FC34" s="1511" t="str">
        <f>IFNA(VLOOKUP(EO34,'法術資料'!$K$2:$X$805,12,FALSE),"")</f>
        <v/>
      </c>
      <c r="FD34" s="376"/>
      <c r="FE34" s="1369"/>
      <c r="FF34" s="455"/>
      <c r="FG34" s="1356"/>
      <c r="FH34" s="1509" t="b">
        <v>0</v>
      </c>
      <c r="FI34" s="1514"/>
      <c r="FJ34" s="1512" t="str">
        <f>IFNA(VLOOKUP(FI34,'法術資料'!$K$2:$X$805,4,FALSE),"")
</f>
        <v/>
      </c>
      <c r="FK34" s="1511" t="str">
        <f>IFNA(VLOOKUP(FI34,'法術資料'!$K$2:$X$805,7,FALSE),"")</f>
        <v/>
      </c>
      <c r="FL34" s="1141"/>
      <c r="FM34" s="1511" t="str">
        <f>IFNA(VLOOKUP(FI34,'法術資料'!$K$2:$X$805,8,FALSE),"")</f>
        <v/>
      </c>
      <c r="FN34" s="1141"/>
      <c r="FO34" s="1511" t="str">
        <f>IFNA(VLOOKUP(FI34,'法術資料'!$K$2:$X$805,14,FALSE),"")</f>
        <v/>
      </c>
      <c r="FP34" s="1141"/>
      <c r="FQ34" s="1365" t="str">
        <f>IFNA(VLOOKUP(FI34,'法術資料'!$K$2:$X$805,13,FALSE),"")</f>
        <v/>
      </c>
      <c r="FR34" s="1365" t="str">
        <f>IFNA(VLOOKUP(FI34,'法術資料'!$K$2:$X$805,5,FALSE),"")</f>
        <v/>
      </c>
      <c r="FS34" s="1365" t="str">
        <f>IFNA(VLOOKUP(FI34,'法術資料'!$K$2:$X$805,6,FALSE),"")</f>
        <v/>
      </c>
      <c r="FT34" s="1366" t="str">
        <f>IFNA(VLOOKUP(FI34,'法術資料'!$K$2:$X$805,9,FALSE),"")</f>
        <v/>
      </c>
      <c r="FU34" s="1367" t="str">
        <f>IFNA(VLOOKUP(FI34,'法術資料'!$K$2:$X$805,10,FALSE),"")</f>
        <v/>
      </c>
      <c r="FV34" s="1367" t="str">
        <f>IFNA(VLOOKUP($Y34,'法術資料'!$K$2:$X$805,11,FALSE),"")</f>
        <v/>
      </c>
      <c r="FW34" s="1511" t="str">
        <f>IFNA(VLOOKUP(FI34,'法術資料'!$K$2:$X$805,12,FALSE),"")</f>
        <v/>
      </c>
      <c r="FX34" s="376"/>
      <c r="FY34" s="1369"/>
      <c r="FZ34" s="455"/>
    </row>
    <row r="35">
      <c r="A35" s="455"/>
      <c r="B35" s="1356"/>
      <c r="C35" s="1503" t="b">
        <v>0</v>
      </c>
      <c r="D35" s="1504"/>
      <c r="E35" s="1505" t="str">
        <f>IFNA(VLOOKUP($D35,'法術資料'!$K$2:$X$805,4,FALSE),"")
</f>
        <v/>
      </c>
      <c r="F35" s="1506" t="str">
        <f>IFNA(VLOOKUP($D35,'法術資料'!$K$2:$X$805,7,FALSE),"")</f>
        <v/>
      </c>
      <c r="G35" s="1141"/>
      <c r="H35" s="1506" t="str">
        <f>IFNA(VLOOKUP($D35,'法術資料'!$K$2:$X$805,8,FALSE),"")</f>
        <v/>
      </c>
      <c r="I35" s="1141"/>
      <c r="J35" s="1506" t="str">
        <f>IFNA(VLOOKUP($D35,'法術資料'!$K$2:$X$805,14,FALSE),"")</f>
        <v/>
      </c>
      <c r="K35" s="1141"/>
      <c r="L35" s="1506" t="str">
        <f>IFNA(VLOOKUP($D35,'法術資料'!$K$2:$X$805,13,FALSE),"")</f>
        <v/>
      </c>
      <c r="M35" s="1141"/>
      <c r="N35" s="1377" t="str">
        <f>IFNA(VLOOKUP($D35,'法術資料'!$K$2:$X$805,5,FALSE),"")</f>
        <v/>
      </c>
      <c r="O35" s="1377" t="str">
        <f>IFNA(VLOOKUP($D35,'法術資料'!$K$2:$X$805,6,FALSE),"")</f>
        <v/>
      </c>
      <c r="P35" s="1378" t="str">
        <f>IFNA(VLOOKUP($D35,'法術資料'!$K$2:$X$805,9,FALSE),"")</f>
        <v/>
      </c>
      <c r="Q35" s="1379" t="str">
        <f>IFNA(VLOOKUP($D35,'法術資料'!$K$2:$X$805,10,FALSE),"")</f>
        <v/>
      </c>
      <c r="R35" s="1379" t="str">
        <f>IFNA(VLOOKUP($D35,'法術資料'!$K$2:$X$805,11,FALSE),"")</f>
        <v/>
      </c>
      <c r="S35" s="1506" t="str">
        <f>IFNA(VLOOKUP($D35,'法術資料'!$K$2:$X$805,12,FALSE),"")</f>
        <v/>
      </c>
      <c r="T35" s="376"/>
      <c r="U35" s="1369"/>
      <c r="V35" s="455"/>
      <c r="W35" s="1356"/>
      <c r="X35" s="1503" t="b">
        <v>0</v>
      </c>
      <c r="Y35" s="1508"/>
      <c r="Z35" s="1507" t="str">
        <f>IFNA(VLOOKUP(Y35,'法術資料'!$K$2:$X$805,4,FALSE),"")
</f>
        <v/>
      </c>
      <c r="AA35" s="1506" t="str">
        <f>IFNA(VLOOKUP($Y35,'法術資料'!$K$2:$X$805,7,FALSE),"")</f>
        <v/>
      </c>
      <c r="AB35" s="1141"/>
      <c r="AC35" s="1506" t="str">
        <f>IFNA(VLOOKUP($Y35,'法術資料'!$K$2:$X$805,8,FALSE),"")</f>
        <v/>
      </c>
      <c r="AD35" s="1141"/>
      <c r="AE35" s="1506" t="str">
        <f>IFNA(VLOOKUP($Y35,'法術資料'!$K$2:$X$805,14,FALSE),"")</f>
        <v/>
      </c>
      <c r="AF35" s="1141"/>
      <c r="AG35" s="1377" t="str">
        <f>IFNA(VLOOKUP($Y35,'法術資料'!$K$2:$X$805,13,FALSE),"")</f>
        <v/>
      </c>
      <c r="AH35" s="1377" t="str">
        <f>IFNA(VLOOKUP($Y35,'法術資料'!$K$2:$X$805,5,FALSE),"")</f>
        <v/>
      </c>
      <c r="AI35" s="1377" t="str">
        <f>IFNA(VLOOKUP($Y35,'法術資料'!$K$2:$X$805,6,FALSE),"")</f>
        <v/>
      </c>
      <c r="AJ35" s="1378" t="str">
        <f>IFNA(VLOOKUP($Y35,'法術資料'!$K$2:$X$805,9,FALSE),"")</f>
        <v/>
      </c>
      <c r="AK35" s="1379" t="str">
        <f>IFNA(VLOOKUP($Y35,'法術資料'!$K$2:$X$805,10,FALSE),"")</f>
        <v/>
      </c>
      <c r="AL35" s="1379" t="str">
        <f>IFNA(VLOOKUP($Y35,'法術資料'!$K$2:$X$805,11,FALSE),"")</f>
        <v/>
      </c>
      <c r="AM35" s="1506" t="str">
        <f>IFNA(VLOOKUP($Y35,'法術資料'!$K$2:$X$805,12,FALSE),"")</f>
        <v/>
      </c>
      <c r="AN35" s="376"/>
      <c r="AO35" s="1369"/>
      <c r="AP35" s="455"/>
      <c r="AQ35" s="1356"/>
      <c r="AR35" s="1503" t="b">
        <v>0</v>
      </c>
      <c r="AS35" s="1508"/>
      <c r="AT35" s="1507" t="str">
        <f>IFNA(VLOOKUP(AS35,'法術資料'!$K$2:$X$805,4,FALSE),"")
</f>
        <v/>
      </c>
      <c r="AU35" s="1506" t="str">
        <f>IFNA(VLOOKUP(AS35,'法術資料'!$K$2:$X$805,7,FALSE),"")</f>
        <v/>
      </c>
      <c r="AV35" s="1141"/>
      <c r="AW35" s="1506" t="str">
        <f>IFNA(VLOOKUP(AS35,'法術資料'!$K$2:$X$805,8,FALSE),"")</f>
        <v/>
      </c>
      <c r="AX35" s="1141"/>
      <c r="AY35" s="1506" t="str">
        <f>IFNA(VLOOKUP(AS35,'法術資料'!$K$2:$X$805,14,FALSE),"")</f>
        <v/>
      </c>
      <c r="AZ35" s="1141"/>
      <c r="BA35" s="1377" t="str">
        <f>IFNA(VLOOKUP(AS35,'法術資料'!$K$2:$X$805,13,FALSE),"")</f>
        <v/>
      </c>
      <c r="BB35" s="1377" t="str">
        <f>IFNA(VLOOKUP(AS35,'法術資料'!$K$2:$X$805,5,FALSE),"")</f>
        <v/>
      </c>
      <c r="BC35" s="1377" t="str">
        <f>IFNA(VLOOKUP(AS35,'法術資料'!$K$2:$X$805,6,FALSE),"")</f>
        <v/>
      </c>
      <c r="BD35" s="1378" t="str">
        <f>IFNA(VLOOKUP(AS35,'法術資料'!$K$2:$X$805,9,FALSE),"")</f>
        <v/>
      </c>
      <c r="BE35" s="1379" t="str">
        <f>IFNA(VLOOKUP(AS35,'法術資料'!$K$2:$X$805,10,FALSE),"")</f>
        <v/>
      </c>
      <c r="BF35" s="1379" t="str">
        <f>IFNA(VLOOKUP($Y35,'法術資料'!$K$2:$X$805,11,FALSE),"")</f>
        <v/>
      </c>
      <c r="BG35" s="1506" t="str">
        <f>IFNA(VLOOKUP(AS35,'法術資料'!$K$2:$X$805,12,FALSE),"")</f>
        <v/>
      </c>
      <c r="BH35" s="376"/>
      <c r="BI35" s="1369"/>
      <c r="BJ35" s="455"/>
      <c r="BK35" s="1356"/>
      <c r="BL35" s="1503" t="b">
        <v>0</v>
      </c>
      <c r="BM35" s="1508"/>
      <c r="BN35" s="1507" t="str">
        <f>IFNA(VLOOKUP(BM35,'法術資料'!$K$2:$X$805,4,FALSE),"")
</f>
        <v/>
      </c>
      <c r="BO35" s="1506" t="str">
        <f>IFNA(VLOOKUP(BM35,'法術資料'!$K$2:$X$805,7,FALSE),"")</f>
        <v/>
      </c>
      <c r="BP35" s="1141"/>
      <c r="BQ35" s="1506" t="str">
        <f>IFNA(VLOOKUP(BM35,'法術資料'!$K$2:$X$805,8,FALSE),"")</f>
        <v/>
      </c>
      <c r="BR35" s="1141"/>
      <c r="BS35" s="1506" t="str">
        <f>IFNA(VLOOKUP(BM35,'法術資料'!$K$2:$X$805,14,FALSE),"")</f>
        <v/>
      </c>
      <c r="BT35" s="1141"/>
      <c r="BU35" s="1377" t="str">
        <f>IFNA(VLOOKUP(BM35,'法術資料'!$K$2:$X$805,13,FALSE),"")</f>
        <v/>
      </c>
      <c r="BV35" s="1377" t="str">
        <f>IFNA(VLOOKUP(BM35,'法術資料'!$K$2:$X$805,5,FALSE),"")</f>
        <v/>
      </c>
      <c r="BW35" s="1377" t="str">
        <f>IFNA(VLOOKUP(BM35,'法術資料'!$K$2:$X$805,6,FALSE),"")</f>
        <v/>
      </c>
      <c r="BX35" s="1378" t="str">
        <f>IFNA(VLOOKUP(BM35,'法術資料'!$K$2:$X$805,9,FALSE),"")</f>
        <v/>
      </c>
      <c r="BY35" s="1379" t="str">
        <f>IFNA(VLOOKUP(BM35,'法術資料'!$K$2:$X$805,10,FALSE),"")</f>
        <v/>
      </c>
      <c r="BZ35" s="1379" t="str">
        <f>IFNA(VLOOKUP($Y35,'法術資料'!$K$2:$X$805,11,FALSE),"")</f>
        <v/>
      </c>
      <c r="CA35" s="1506" t="str">
        <f>IFNA(VLOOKUP(BM35,'法術資料'!$K$2:$X$805,12,FALSE),"")</f>
        <v/>
      </c>
      <c r="CB35" s="376"/>
      <c r="CC35" s="1369"/>
      <c r="CD35" s="455"/>
      <c r="CE35" s="1356"/>
      <c r="CF35" s="1503" t="b">
        <v>0</v>
      </c>
      <c r="CG35" s="1508"/>
      <c r="CH35" s="1507" t="str">
        <f>IFNA(VLOOKUP(CG35,'法術資料'!$K$2:$X$805,4,FALSE),"")
</f>
        <v/>
      </c>
      <c r="CI35" s="1506" t="str">
        <f>IFNA(VLOOKUP(CG35,'法術資料'!$K$2:$X$805,7,FALSE),"")</f>
        <v/>
      </c>
      <c r="CJ35" s="1141"/>
      <c r="CK35" s="1506" t="str">
        <f>IFNA(VLOOKUP(CG35,'法術資料'!$K$2:$X$805,8,FALSE),"")</f>
        <v/>
      </c>
      <c r="CL35" s="1141"/>
      <c r="CM35" s="1506" t="str">
        <f>IFNA(VLOOKUP(CG35,'法術資料'!$K$2:$X$805,14,FALSE),"")</f>
        <v/>
      </c>
      <c r="CN35" s="1141"/>
      <c r="CO35" s="1377" t="str">
        <f>IFNA(VLOOKUP(CG35,'法術資料'!$K$2:$X$805,13,FALSE),"")</f>
        <v/>
      </c>
      <c r="CP35" s="1377" t="str">
        <f>IFNA(VLOOKUP(CG35,'法術資料'!$K$2:$X$805,5,FALSE),"")</f>
        <v/>
      </c>
      <c r="CQ35" s="1377" t="str">
        <f>IFNA(VLOOKUP(CG35,'法術資料'!$K$2:$X$805,6,FALSE),"")</f>
        <v/>
      </c>
      <c r="CR35" s="1378" t="str">
        <f>IFNA(VLOOKUP(CG35,'法術資料'!$K$2:$X$805,9,FALSE),"")</f>
        <v/>
      </c>
      <c r="CS35" s="1379" t="str">
        <f>IFNA(VLOOKUP(CG35,'法術資料'!$K$2:$X$805,10,FALSE),"")</f>
        <v/>
      </c>
      <c r="CT35" s="1379" t="str">
        <f>IFNA(VLOOKUP($Y35,'法術資料'!$K$2:$X$805,11,FALSE),"")</f>
        <v/>
      </c>
      <c r="CU35" s="1506" t="str">
        <f>IFNA(VLOOKUP(CG35,'法術資料'!$K$2:$X$805,12,FALSE),"")</f>
        <v/>
      </c>
      <c r="CV35" s="376"/>
      <c r="CW35" s="1369"/>
      <c r="CX35" s="455"/>
      <c r="CY35" s="1356"/>
      <c r="CZ35" s="1503" t="b">
        <v>0</v>
      </c>
      <c r="DA35" s="1515"/>
      <c r="DB35" s="1507" t="str">
        <f>IFNA(VLOOKUP(DA35,'法術資料'!$K$2:$X$805,4,FALSE),"")
</f>
        <v/>
      </c>
      <c r="DC35" s="1506" t="str">
        <f>IFNA(VLOOKUP(DA35,'法術資料'!$K$2:$X$805,7,FALSE),"")</f>
        <v/>
      </c>
      <c r="DD35" s="1141"/>
      <c r="DE35" s="1506" t="str">
        <f>IFNA(VLOOKUP(DA35,'法術資料'!$K$2:$X$805,8,FALSE),"")</f>
        <v/>
      </c>
      <c r="DF35" s="1141"/>
      <c r="DG35" s="1506" t="str">
        <f>IFNA(VLOOKUP(DA35,'法術資料'!$K$2:$X$805,14,FALSE),"")</f>
        <v/>
      </c>
      <c r="DH35" s="1141"/>
      <c r="DI35" s="1377" t="str">
        <f>IFNA(VLOOKUP(DA35,'法術資料'!$K$2:$X$805,13,FALSE),"")</f>
        <v/>
      </c>
      <c r="DJ35" s="1377" t="str">
        <f>IFNA(VLOOKUP(DA35,'法術資料'!$K$2:$X$805,5,FALSE),"")</f>
        <v/>
      </c>
      <c r="DK35" s="1377" t="str">
        <f>IFNA(VLOOKUP(DA35,'法術資料'!$K$2:$X$805,6,FALSE),"")</f>
        <v/>
      </c>
      <c r="DL35" s="1378" t="str">
        <f>IFNA(VLOOKUP(DA35,'法術資料'!$K$2:$X$805,9,FALSE),"")</f>
        <v/>
      </c>
      <c r="DM35" s="1379" t="str">
        <f>IFNA(VLOOKUP(DA35,'法術資料'!$K$2:$X$805,10,FALSE),"")</f>
        <v/>
      </c>
      <c r="DN35" s="1379" t="str">
        <f>IFNA(VLOOKUP($Y35,'法術資料'!$K$2:$X$805,11,FALSE),"")</f>
        <v/>
      </c>
      <c r="DO35" s="1506" t="str">
        <f>IFNA(VLOOKUP(DA35,'法術資料'!$K$2:$X$805,12,FALSE),"")</f>
        <v/>
      </c>
      <c r="DP35" s="376"/>
      <c r="DQ35" s="1369"/>
      <c r="DR35" s="455"/>
      <c r="DS35" s="1356"/>
      <c r="DT35" s="1503" t="b">
        <v>0</v>
      </c>
      <c r="DU35" s="1515"/>
      <c r="DV35" s="1507" t="str">
        <f>IFNA(VLOOKUP(DU35,'法術資料'!$K$2:$X$805,4,FALSE),"")
</f>
        <v/>
      </c>
      <c r="DW35" s="1506" t="str">
        <f>IFNA(VLOOKUP(DU35,'法術資料'!$K$2:$X$805,7,FALSE),"")</f>
        <v/>
      </c>
      <c r="DX35" s="1141"/>
      <c r="DY35" s="1506" t="str">
        <f>IFNA(VLOOKUP(DU35,'法術資料'!$K$2:$X$805,8,FALSE),"")</f>
        <v/>
      </c>
      <c r="DZ35" s="1141"/>
      <c r="EA35" s="1506" t="str">
        <f>IFNA(VLOOKUP(DU35,'法術資料'!$K$2:$X$805,14,FALSE),"")</f>
        <v/>
      </c>
      <c r="EB35" s="1141"/>
      <c r="EC35" s="1377" t="str">
        <f>IFNA(VLOOKUP(DU35,'法術資料'!$K$2:$X$805,13,FALSE),"")</f>
        <v/>
      </c>
      <c r="ED35" s="1377" t="str">
        <f>IFNA(VLOOKUP(DU35,'法術資料'!$K$2:$X$805,5,FALSE),"")</f>
        <v/>
      </c>
      <c r="EE35" s="1377" t="str">
        <f>IFNA(VLOOKUP(DU35,'法術資料'!$K$2:$X$805,6,FALSE),"")</f>
        <v/>
      </c>
      <c r="EF35" s="1378" t="str">
        <f>IFNA(VLOOKUP(DU35,'法術資料'!$K$2:$X$805,9,FALSE),"")</f>
        <v/>
      </c>
      <c r="EG35" s="1379" t="str">
        <f>IFNA(VLOOKUP(DU35,'法術資料'!$K$2:$X$805,10,FALSE),"")</f>
        <v/>
      </c>
      <c r="EH35" s="1379" t="str">
        <f>IFNA(VLOOKUP($Y35,'法術資料'!$K$2:$X$805,11,FALSE),"")</f>
        <v/>
      </c>
      <c r="EI35" s="1506" t="str">
        <f>IFNA(VLOOKUP(DU35,'法術資料'!$K$2:$X$805,12,FALSE),"")</f>
        <v/>
      </c>
      <c r="EJ35" s="376"/>
      <c r="EK35" s="1369"/>
      <c r="EL35" s="455"/>
      <c r="EM35" s="1356"/>
      <c r="EN35" s="1503" t="b">
        <v>0</v>
      </c>
      <c r="EO35" s="1515"/>
      <c r="EP35" s="1507" t="str">
        <f>IFNA(VLOOKUP(EO35,'法術資料'!$K$2:$X$805,4,FALSE),"")
</f>
        <v/>
      </c>
      <c r="EQ35" s="1506" t="str">
        <f>IFNA(VLOOKUP(EO35,'法術資料'!$K$2:$X$805,7,FALSE),"")</f>
        <v/>
      </c>
      <c r="ER35" s="1141"/>
      <c r="ES35" s="1506" t="str">
        <f>IFNA(VLOOKUP(EO35,'法術資料'!$K$2:$X$805,8,FALSE),"")</f>
        <v/>
      </c>
      <c r="ET35" s="1141"/>
      <c r="EU35" s="1506" t="str">
        <f>IFNA(VLOOKUP(EO35,'法術資料'!$K$2:$X$805,14,FALSE),"")</f>
        <v/>
      </c>
      <c r="EV35" s="1141"/>
      <c r="EW35" s="1377" t="str">
        <f>IFNA(VLOOKUP(EO35,'法術資料'!$K$2:$X$805,13,FALSE),"")</f>
        <v/>
      </c>
      <c r="EX35" s="1377" t="str">
        <f>IFNA(VLOOKUP(EO35,'法術資料'!$K$2:$X$805,5,FALSE),"")</f>
        <v/>
      </c>
      <c r="EY35" s="1377" t="str">
        <f>IFNA(VLOOKUP(EO35,'法術資料'!$K$2:$X$805,6,FALSE),"")</f>
        <v/>
      </c>
      <c r="EZ35" s="1378" t="str">
        <f>IFNA(VLOOKUP(EO35,'法術資料'!$K$2:$X$805,9,FALSE),"")</f>
        <v/>
      </c>
      <c r="FA35" s="1379" t="str">
        <f>IFNA(VLOOKUP(EO35,'法術資料'!$K$2:$X$805,10,FALSE),"")</f>
        <v/>
      </c>
      <c r="FB35" s="1379" t="str">
        <f>IFNA(VLOOKUP($Y35,'法術資料'!$K$2:$X$805,11,FALSE),"")</f>
        <v/>
      </c>
      <c r="FC35" s="1506" t="str">
        <f>IFNA(VLOOKUP(EO35,'法術資料'!$K$2:$X$805,12,FALSE),"")</f>
        <v/>
      </c>
      <c r="FD35" s="376"/>
      <c r="FE35" s="1369"/>
      <c r="FF35" s="455"/>
      <c r="FG35" s="1356"/>
      <c r="FH35" s="1503" t="b">
        <v>0</v>
      </c>
      <c r="FI35" s="1515"/>
      <c r="FJ35" s="1507" t="str">
        <f>IFNA(VLOOKUP(FI35,'法術資料'!$K$2:$X$805,4,FALSE),"")
</f>
        <v/>
      </c>
      <c r="FK35" s="1506" t="str">
        <f>IFNA(VLOOKUP(FI35,'法術資料'!$K$2:$X$805,7,FALSE),"")</f>
        <v/>
      </c>
      <c r="FL35" s="1141"/>
      <c r="FM35" s="1506" t="str">
        <f>IFNA(VLOOKUP(FI35,'法術資料'!$K$2:$X$805,8,FALSE),"")</f>
        <v/>
      </c>
      <c r="FN35" s="1141"/>
      <c r="FO35" s="1506" t="str">
        <f>IFNA(VLOOKUP(FI35,'法術資料'!$K$2:$X$805,14,FALSE),"")</f>
        <v/>
      </c>
      <c r="FP35" s="1141"/>
      <c r="FQ35" s="1377" t="str">
        <f>IFNA(VLOOKUP(FI35,'法術資料'!$K$2:$X$805,13,FALSE),"")</f>
        <v/>
      </c>
      <c r="FR35" s="1377" t="str">
        <f>IFNA(VLOOKUP(FI35,'法術資料'!$K$2:$X$805,5,FALSE),"")</f>
        <v/>
      </c>
      <c r="FS35" s="1377" t="str">
        <f>IFNA(VLOOKUP(FI35,'法術資料'!$K$2:$X$805,6,FALSE),"")</f>
        <v/>
      </c>
      <c r="FT35" s="1378" t="str">
        <f>IFNA(VLOOKUP(FI35,'法術資料'!$K$2:$X$805,9,FALSE),"")</f>
        <v/>
      </c>
      <c r="FU35" s="1379" t="str">
        <f>IFNA(VLOOKUP(FI35,'法術資料'!$K$2:$X$805,10,FALSE),"")</f>
        <v/>
      </c>
      <c r="FV35" s="1379" t="str">
        <f>IFNA(VLOOKUP($Y35,'法術資料'!$K$2:$X$805,11,FALSE),"")</f>
        <v/>
      </c>
      <c r="FW35" s="1506" t="str">
        <f>IFNA(VLOOKUP(FI35,'法術資料'!$K$2:$X$805,12,FALSE),"")</f>
        <v/>
      </c>
      <c r="FX35" s="376"/>
      <c r="FY35" s="1369"/>
      <c r="FZ35" s="455"/>
    </row>
    <row r="36">
      <c r="A36" s="455"/>
      <c r="B36" s="1356"/>
      <c r="C36" s="1509" t="b">
        <v>0</v>
      </c>
      <c r="D36" s="1502"/>
      <c r="E36" s="1510" t="str">
        <f>IFNA(VLOOKUP($D36,'法術資料'!$K$2:$X$805,4,FALSE),"")
</f>
        <v/>
      </c>
      <c r="F36" s="1511" t="str">
        <f>IFNA(VLOOKUP($D36,'法術資料'!$K$2:$X$805,7,FALSE),"")</f>
        <v/>
      </c>
      <c r="G36" s="1141"/>
      <c r="H36" s="1511" t="str">
        <f>IFNA(VLOOKUP($D36,'法術資料'!$K$2:$X$805,8,FALSE),"")</f>
        <v/>
      </c>
      <c r="I36" s="1141"/>
      <c r="J36" s="1511" t="str">
        <f>IFNA(VLOOKUP($D36,'法術資料'!$K$2:$X$805,14,FALSE),"")</f>
        <v/>
      </c>
      <c r="K36" s="1141"/>
      <c r="L36" s="1511" t="str">
        <f>IFNA(VLOOKUP($D36,'法術資料'!$K$2:$X$805,13,FALSE),"")</f>
        <v/>
      </c>
      <c r="M36" s="1141"/>
      <c r="N36" s="1365" t="str">
        <f>IFNA(VLOOKUP($D36,'法術資料'!$K$2:$X$805,5,FALSE),"")</f>
        <v/>
      </c>
      <c r="O36" s="1365" t="str">
        <f>IFNA(VLOOKUP($D36,'法術資料'!$K$2:$X$805,6,FALSE),"")</f>
        <v/>
      </c>
      <c r="P36" s="1366" t="str">
        <f>IFNA(VLOOKUP($D36,'法術資料'!$K$2:$X$805,9,FALSE),"")</f>
        <v/>
      </c>
      <c r="Q36" s="1367" t="str">
        <f>IFNA(VLOOKUP($D36,'法術資料'!$K$2:$X$805,10,FALSE),"")</f>
        <v/>
      </c>
      <c r="R36" s="1367" t="str">
        <f>IFNA(VLOOKUP($D36,'法術資料'!$K$2:$X$805,11,FALSE),"")</f>
        <v/>
      </c>
      <c r="S36" s="1511" t="str">
        <f>IFNA(VLOOKUP($D36,'法術資料'!$K$2:$X$805,12,FALSE),"")</f>
        <v/>
      </c>
      <c r="T36" s="376"/>
      <c r="U36" s="1369"/>
      <c r="V36" s="455"/>
      <c r="W36" s="1356"/>
      <c r="X36" s="1509" t="b">
        <v>0</v>
      </c>
      <c r="Y36" s="1499"/>
      <c r="Z36" s="1512" t="str">
        <f>IFNA(VLOOKUP(Y36,'法術資料'!$K$2:$X$805,4,FALSE),"")
</f>
        <v/>
      </c>
      <c r="AA36" s="1511" t="str">
        <f>IFNA(VLOOKUP($Y36,'法術資料'!$K$2:$X$805,7,FALSE),"")</f>
        <v/>
      </c>
      <c r="AB36" s="1141"/>
      <c r="AC36" s="1511" t="str">
        <f>IFNA(VLOOKUP($Y36,'法術資料'!$K$2:$X$805,8,FALSE),"")</f>
        <v/>
      </c>
      <c r="AD36" s="1141"/>
      <c r="AE36" s="1511" t="str">
        <f>IFNA(VLOOKUP($Y36,'法術資料'!$K$2:$X$805,14,FALSE),"")</f>
        <v/>
      </c>
      <c r="AF36" s="1141"/>
      <c r="AG36" s="1365" t="str">
        <f>IFNA(VLOOKUP($Y36,'法術資料'!$K$2:$X$805,13,FALSE),"")</f>
        <v/>
      </c>
      <c r="AH36" s="1365" t="str">
        <f>IFNA(VLOOKUP($Y36,'法術資料'!$K$2:$X$805,5,FALSE),"")</f>
        <v/>
      </c>
      <c r="AI36" s="1365" t="str">
        <f>IFNA(VLOOKUP($Y36,'法術資料'!$K$2:$X$805,6,FALSE),"")</f>
        <v/>
      </c>
      <c r="AJ36" s="1366" t="str">
        <f>IFNA(VLOOKUP($Y36,'法術資料'!$K$2:$X$805,9,FALSE),"")</f>
        <v/>
      </c>
      <c r="AK36" s="1367" t="str">
        <f>IFNA(VLOOKUP($Y36,'法術資料'!$K$2:$X$805,10,FALSE),"")</f>
        <v/>
      </c>
      <c r="AL36" s="1367" t="str">
        <f>IFNA(VLOOKUP($Y36,'法術資料'!$K$2:$X$805,11,FALSE),"")</f>
        <v/>
      </c>
      <c r="AM36" s="1511" t="str">
        <f>IFNA(VLOOKUP($Y36,'法術資料'!$K$2:$X$805,12,FALSE),"")</f>
        <v/>
      </c>
      <c r="AN36" s="376"/>
      <c r="AO36" s="1369"/>
      <c r="AP36" s="455"/>
      <c r="AQ36" s="1356"/>
      <c r="AR36" s="1509" t="b">
        <v>0</v>
      </c>
      <c r="AS36" s="1499"/>
      <c r="AT36" s="1512" t="str">
        <f>IFNA(VLOOKUP(AS36,'法術資料'!$K$2:$X$805,4,FALSE),"")
</f>
        <v/>
      </c>
      <c r="AU36" s="1511" t="str">
        <f>IFNA(VLOOKUP(AS36,'法術資料'!$K$2:$X$805,7,FALSE),"")</f>
        <v/>
      </c>
      <c r="AV36" s="1141"/>
      <c r="AW36" s="1511" t="str">
        <f>IFNA(VLOOKUP(AS36,'法術資料'!$K$2:$X$805,8,FALSE),"")</f>
        <v/>
      </c>
      <c r="AX36" s="1141"/>
      <c r="AY36" s="1511" t="str">
        <f>IFNA(VLOOKUP(AS36,'法術資料'!$K$2:$X$805,14,FALSE),"")</f>
        <v/>
      </c>
      <c r="AZ36" s="1141"/>
      <c r="BA36" s="1365" t="str">
        <f>IFNA(VLOOKUP(AS36,'法術資料'!$K$2:$X$805,13,FALSE),"")</f>
        <v/>
      </c>
      <c r="BB36" s="1365" t="str">
        <f>IFNA(VLOOKUP(AS36,'法術資料'!$K$2:$X$805,5,FALSE),"")</f>
        <v/>
      </c>
      <c r="BC36" s="1365" t="str">
        <f>IFNA(VLOOKUP(AS36,'法術資料'!$K$2:$X$805,6,FALSE),"")</f>
        <v/>
      </c>
      <c r="BD36" s="1366" t="str">
        <f>IFNA(VLOOKUP(AS36,'法術資料'!$K$2:$X$805,9,FALSE),"")</f>
        <v/>
      </c>
      <c r="BE36" s="1367" t="str">
        <f>IFNA(VLOOKUP(AS36,'法術資料'!$K$2:$X$805,10,FALSE),"")</f>
        <v/>
      </c>
      <c r="BF36" s="1367" t="str">
        <f>IFNA(VLOOKUP($Y36,'法術資料'!$K$2:$X$805,11,FALSE),"")</f>
        <v/>
      </c>
      <c r="BG36" s="1511" t="str">
        <f>IFNA(VLOOKUP(AS36,'法術資料'!$K$2:$X$805,12,FALSE),"")</f>
        <v/>
      </c>
      <c r="BH36" s="376"/>
      <c r="BI36" s="1369"/>
      <c r="BJ36" s="455"/>
      <c r="BK36" s="1356"/>
      <c r="BL36" s="1509" t="b">
        <v>0</v>
      </c>
      <c r="BM36" s="1499"/>
      <c r="BN36" s="1512" t="str">
        <f>IFNA(VLOOKUP(BM36,'法術資料'!$K$2:$X$805,4,FALSE),"")
</f>
        <v/>
      </c>
      <c r="BO36" s="1511" t="str">
        <f>IFNA(VLOOKUP(BM36,'法術資料'!$K$2:$X$805,7,FALSE),"")</f>
        <v/>
      </c>
      <c r="BP36" s="1141"/>
      <c r="BQ36" s="1511" t="str">
        <f>IFNA(VLOOKUP(BM36,'法術資料'!$K$2:$X$805,8,FALSE),"")</f>
        <v/>
      </c>
      <c r="BR36" s="1141"/>
      <c r="BS36" s="1511" t="str">
        <f>IFNA(VLOOKUP(BM36,'法術資料'!$K$2:$X$805,14,FALSE),"")</f>
        <v/>
      </c>
      <c r="BT36" s="1141"/>
      <c r="BU36" s="1365" t="str">
        <f>IFNA(VLOOKUP(BM36,'法術資料'!$K$2:$X$805,13,FALSE),"")</f>
        <v/>
      </c>
      <c r="BV36" s="1365" t="str">
        <f>IFNA(VLOOKUP(BM36,'法術資料'!$K$2:$X$805,5,FALSE),"")</f>
        <v/>
      </c>
      <c r="BW36" s="1365" t="str">
        <f>IFNA(VLOOKUP(BM36,'法術資料'!$K$2:$X$805,6,FALSE),"")</f>
        <v/>
      </c>
      <c r="BX36" s="1366" t="str">
        <f>IFNA(VLOOKUP(BM36,'法術資料'!$K$2:$X$805,9,FALSE),"")</f>
        <v/>
      </c>
      <c r="BY36" s="1367" t="str">
        <f>IFNA(VLOOKUP(BM36,'法術資料'!$K$2:$X$805,10,FALSE),"")</f>
        <v/>
      </c>
      <c r="BZ36" s="1367" t="str">
        <f>IFNA(VLOOKUP($Y36,'法術資料'!$K$2:$X$805,11,FALSE),"")</f>
        <v/>
      </c>
      <c r="CA36" s="1511" t="str">
        <f>IFNA(VLOOKUP(BM36,'法術資料'!$K$2:$X$805,12,FALSE),"")</f>
        <v/>
      </c>
      <c r="CB36" s="376"/>
      <c r="CC36" s="1369"/>
      <c r="CD36" s="455"/>
      <c r="CE36" s="1356"/>
      <c r="CF36" s="1509" t="b">
        <v>0</v>
      </c>
      <c r="CG36" s="1499"/>
      <c r="CH36" s="1512" t="str">
        <f>IFNA(VLOOKUP(CG36,'法術資料'!$K$2:$X$805,4,FALSE),"")
</f>
        <v/>
      </c>
      <c r="CI36" s="1511" t="str">
        <f>IFNA(VLOOKUP(CG36,'法術資料'!$K$2:$X$805,7,FALSE),"")</f>
        <v/>
      </c>
      <c r="CJ36" s="1141"/>
      <c r="CK36" s="1511" t="str">
        <f>IFNA(VLOOKUP(CG36,'法術資料'!$K$2:$X$805,8,FALSE),"")</f>
        <v/>
      </c>
      <c r="CL36" s="1141"/>
      <c r="CM36" s="1511" t="str">
        <f>IFNA(VLOOKUP(CG36,'法術資料'!$K$2:$X$805,14,FALSE),"")</f>
        <v/>
      </c>
      <c r="CN36" s="1141"/>
      <c r="CO36" s="1365" t="str">
        <f>IFNA(VLOOKUP(CG36,'法術資料'!$K$2:$X$805,13,FALSE),"")</f>
        <v/>
      </c>
      <c r="CP36" s="1365" t="str">
        <f>IFNA(VLOOKUP(CG36,'法術資料'!$K$2:$X$805,5,FALSE),"")</f>
        <v/>
      </c>
      <c r="CQ36" s="1365" t="str">
        <f>IFNA(VLOOKUP(CG36,'法術資料'!$K$2:$X$805,6,FALSE),"")</f>
        <v/>
      </c>
      <c r="CR36" s="1366" t="str">
        <f>IFNA(VLOOKUP(CG36,'法術資料'!$K$2:$X$805,9,FALSE),"")</f>
        <v/>
      </c>
      <c r="CS36" s="1367" t="str">
        <f>IFNA(VLOOKUP(CG36,'法術資料'!$K$2:$X$805,10,FALSE),"")</f>
        <v/>
      </c>
      <c r="CT36" s="1367" t="str">
        <f>IFNA(VLOOKUP($Y36,'法術資料'!$K$2:$X$805,11,FALSE),"")</f>
        <v/>
      </c>
      <c r="CU36" s="1511" t="str">
        <f>IFNA(VLOOKUP(CG36,'法術資料'!$K$2:$X$805,12,FALSE),"")</f>
        <v/>
      </c>
      <c r="CV36" s="376"/>
      <c r="CW36" s="1369"/>
      <c r="CX36" s="455"/>
      <c r="CY36" s="1356"/>
      <c r="CZ36" s="1509" t="b">
        <v>0</v>
      </c>
      <c r="DA36" s="1514"/>
      <c r="DB36" s="1512" t="str">
        <f>IFNA(VLOOKUP(DA36,'法術資料'!$K$2:$X$805,4,FALSE),"")
</f>
        <v/>
      </c>
      <c r="DC36" s="1511" t="str">
        <f>IFNA(VLOOKUP(DA36,'法術資料'!$K$2:$X$805,7,FALSE),"")</f>
        <v/>
      </c>
      <c r="DD36" s="1141"/>
      <c r="DE36" s="1511" t="str">
        <f>IFNA(VLOOKUP(DA36,'法術資料'!$K$2:$X$805,8,FALSE),"")</f>
        <v/>
      </c>
      <c r="DF36" s="1141"/>
      <c r="DG36" s="1511" t="str">
        <f>IFNA(VLOOKUP(DA36,'法術資料'!$K$2:$X$805,14,FALSE),"")</f>
        <v/>
      </c>
      <c r="DH36" s="1141"/>
      <c r="DI36" s="1365" t="str">
        <f>IFNA(VLOOKUP(DA36,'法術資料'!$K$2:$X$805,13,FALSE),"")</f>
        <v/>
      </c>
      <c r="DJ36" s="1365" t="str">
        <f>IFNA(VLOOKUP(DA36,'法術資料'!$K$2:$X$805,5,FALSE),"")</f>
        <v/>
      </c>
      <c r="DK36" s="1365" t="str">
        <f>IFNA(VLOOKUP(DA36,'法術資料'!$K$2:$X$805,6,FALSE),"")</f>
        <v/>
      </c>
      <c r="DL36" s="1366" t="str">
        <f>IFNA(VLOOKUP(DA36,'法術資料'!$K$2:$X$805,9,FALSE),"")</f>
        <v/>
      </c>
      <c r="DM36" s="1367" t="str">
        <f>IFNA(VLOOKUP(DA36,'法術資料'!$K$2:$X$805,10,FALSE),"")</f>
        <v/>
      </c>
      <c r="DN36" s="1367" t="str">
        <f>IFNA(VLOOKUP($Y36,'法術資料'!$K$2:$X$805,11,FALSE),"")</f>
        <v/>
      </c>
      <c r="DO36" s="1511" t="str">
        <f>IFNA(VLOOKUP(DA36,'法術資料'!$K$2:$X$805,12,FALSE),"")</f>
        <v/>
      </c>
      <c r="DP36" s="376"/>
      <c r="DQ36" s="1369"/>
      <c r="DR36" s="455"/>
      <c r="DS36" s="1356"/>
      <c r="DT36" s="1509" t="b">
        <v>0</v>
      </c>
      <c r="DU36" s="1514"/>
      <c r="DV36" s="1512" t="str">
        <f>IFNA(VLOOKUP(DU36,'法術資料'!$K$2:$X$805,4,FALSE),"")
</f>
        <v/>
      </c>
      <c r="DW36" s="1511" t="str">
        <f>IFNA(VLOOKUP(DU36,'法術資料'!$K$2:$X$805,7,FALSE),"")</f>
        <v/>
      </c>
      <c r="DX36" s="1141"/>
      <c r="DY36" s="1511" t="str">
        <f>IFNA(VLOOKUP(DU36,'法術資料'!$K$2:$X$805,8,FALSE),"")</f>
        <v/>
      </c>
      <c r="DZ36" s="1141"/>
      <c r="EA36" s="1511" t="str">
        <f>IFNA(VLOOKUP(DU36,'法術資料'!$K$2:$X$805,14,FALSE),"")</f>
        <v/>
      </c>
      <c r="EB36" s="1141"/>
      <c r="EC36" s="1365" t="str">
        <f>IFNA(VLOOKUP(DU36,'法術資料'!$K$2:$X$805,13,FALSE),"")</f>
        <v/>
      </c>
      <c r="ED36" s="1365" t="str">
        <f>IFNA(VLOOKUP(DU36,'法術資料'!$K$2:$X$805,5,FALSE),"")</f>
        <v/>
      </c>
      <c r="EE36" s="1365" t="str">
        <f>IFNA(VLOOKUP(DU36,'法術資料'!$K$2:$X$805,6,FALSE),"")</f>
        <v/>
      </c>
      <c r="EF36" s="1366" t="str">
        <f>IFNA(VLOOKUP(DU36,'法術資料'!$K$2:$X$805,9,FALSE),"")</f>
        <v/>
      </c>
      <c r="EG36" s="1367" t="str">
        <f>IFNA(VLOOKUP(DU36,'法術資料'!$K$2:$X$805,10,FALSE),"")</f>
        <v/>
      </c>
      <c r="EH36" s="1367" t="str">
        <f>IFNA(VLOOKUP($Y36,'法術資料'!$K$2:$X$805,11,FALSE),"")</f>
        <v/>
      </c>
      <c r="EI36" s="1511" t="str">
        <f>IFNA(VLOOKUP(DU36,'法術資料'!$K$2:$X$805,12,FALSE),"")</f>
        <v/>
      </c>
      <c r="EJ36" s="376"/>
      <c r="EK36" s="1369"/>
      <c r="EL36" s="455"/>
      <c r="EM36" s="1356"/>
      <c r="EN36" s="1509" t="b">
        <v>0</v>
      </c>
      <c r="EO36" s="1514"/>
      <c r="EP36" s="1512" t="str">
        <f>IFNA(VLOOKUP(EO36,'法術資料'!$K$2:$X$805,4,FALSE),"")
</f>
        <v/>
      </c>
      <c r="EQ36" s="1511" t="str">
        <f>IFNA(VLOOKUP(EO36,'法術資料'!$K$2:$X$805,7,FALSE),"")</f>
        <v/>
      </c>
      <c r="ER36" s="1141"/>
      <c r="ES36" s="1511" t="str">
        <f>IFNA(VLOOKUP(EO36,'法術資料'!$K$2:$X$805,8,FALSE),"")</f>
        <v/>
      </c>
      <c r="ET36" s="1141"/>
      <c r="EU36" s="1511" t="str">
        <f>IFNA(VLOOKUP(EO36,'法術資料'!$K$2:$X$805,14,FALSE),"")</f>
        <v/>
      </c>
      <c r="EV36" s="1141"/>
      <c r="EW36" s="1365" t="str">
        <f>IFNA(VLOOKUP(EO36,'法術資料'!$K$2:$X$805,13,FALSE),"")</f>
        <v/>
      </c>
      <c r="EX36" s="1365" t="str">
        <f>IFNA(VLOOKUP(EO36,'法術資料'!$K$2:$X$805,5,FALSE),"")</f>
        <v/>
      </c>
      <c r="EY36" s="1365" t="str">
        <f>IFNA(VLOOKUP(EO36,'法術資料'!$K$2:$X$805,6,FALSE),"")</f>
        <v/>
      </c>
      <c r="EZ36" s="1366" t="str">
        <f>IFNA(VLOOKUP(EO36,'法術資料'!$K$2:$X$805,9,FALSE),"")</f>
        <v/>
      </c>
      <c r="FA36" s="1367" t="str">
        <f>IFNA(VLOOKUP(EO36,'法術資料'!$K$2:$X$805,10,FALSE),"")</f>
        <v/>
      </c>
      <c r="FB36" s="1367" t="str">
        <f>IFNA(VLOOKUP($Y36,'法術資料'!$K$2:$X$805,11,FALSE),"")</f>
        <v/>
      </c>
      <c r="FC36" s="1511" t="str">
        <f>IFNA(VLOOKUP(EO36,'法術資料'!$K$2:$X$805,12,FALSE),"")</f>
        <v/>
      </c>
      <c r="FD36" s="376"/>
      <c r="FE36" s="1369"/>
      <c r="FF36" s="455"/>
      <c r="FG36" s="1356"/>
      <c r="FH36" s="1509" t="b">
        <v>0</v>
      </c>
      <c r="FI36" s="1514"/>
      <c r="FJ36" s="1512" t="str">
        <f>IFNA(VLOOKUP(FI36,'法術資料'!$K$2:$X$805,4,FALSE),"")
</f>
        <v/>
      </c>
      <c r="FK36" s="1511" t="str">
        <f>IFNA(VLOOKUP(FI36,'法術資料'!$K$2:$X$805,7,FALSE),"")</f>
        <v/>
      </c>
      <c r="FL36" s="1141"/>
      <c r="FM36" s="1511" t="str">
        <f>IFNA(VLOOKUP(FI36,'法術資料'!$K$2:$X$805,8,FALSE),"")</f>
        <v/>
      </c>
      <c r="FN36" s="1141"/>
      <c r="FO36" s="1511" t="str">
        <f>IFNA(VLOOKUP(FI36,'法術資料'!$K$2:$X$805,14,FALSE),"")</f>
        <v/>
      </c>
      <c r="FP36" s="1141"/>
      <c r="FQ36" s="1365" t="str">
        <f>IFNA(VLOOKUP(FI36,'法術資料'!$K$2:$X$805,13,FALSE),"")</f>
        <v/>
      </c>
      <c r="FR36" s="1365" t="str">
        <f>IFNA(VLOOKUP(FI36,'法術資料'!$K$2:$X$805,5,FALSE),"")</f>
        <v/>
      </c>
      <c r="FS36" s="1365" t="str">
        <f>IFNA(VLOOKUP(FI36,'法術資料'!$K$2:$X$805,6,FALSE),"")</f>
        <v/>
      </c>
      <c r="FT36" s="1366" t="str">
        <f>IFNA(VLOOKUP(FI36,'法術資料'!$K$2:$X$805,9,FALSE),"")</f>
        <v/>
      </c>
      <c r="FU36" s="1367" t="str">
        <f>IFNA(VLOOKUP(FI36,'法術資料'!$K$2:$X$805,10,FALSE),"")</f>
        <v/>
      </c>
      <c r="FV36" s="1367" t="str">
        <f>IFNA(VLOOKUP($Y36,'法術資料'!$K$2:$X$805,11,FALSE),"")</f>
        <v/>
      </c>
      <c r="FW36" s="1511" t="str">
        <f>IFNA(VLOOKUP(FI36,'法術資料'!$K$2:$X$805,12,FALSE),"")</f>
        <v/>
      </c>
      <c r="FX36" s="376"/>
      <c r="FY36" s="1369"/>
      <c r="FZ36" s="455"/>
    </row>
    <row r="37">
      <c r="A37" s="455"/>
      <c r="B37" s="1356"/>
      <c r="C37" s="1503" t="b">
        <v>0</v>
      </c>
      <c r="D37" s="1504"/>
      <c r="E37" s="1505" t="str">
        <f>IFNA(VLOOKUP($D37,'法術資料'!$K$2:$X$805,4,FALSE),"")
</f>
        <v/>
      </c>
      <c r="F37" s="1506" t="str">
        <f>IFNA(VLOOKUP($D37,'法術資料'!$K$2:$X$805,7,FALSE),"")</f>
        <v/>
      </c>
      <c r="G37" s="1141"/>
      <c r="H37" s="1506" t="str">
        <f>IFNA(VLOOKUP($D37,'法術資料'!$K$2:$X$805,8,FALSE),"")</f>
        <v/>
      </c>
      <c r="I37" s="1141"/>
      <c r="J37" s="1506" t="str">
        <f>IFNA(VLOOKUP($D37,'法術資料'!$K$2:$X$805,14,FALSE),"")</f>
        <v/>
      </c>
      <c r="K37" s="1141"/>
      <c r="L37" s="1506" t="str">
        <f>IFNA(VLOOKUP($D37,'法術資料'!$K$2:$X$805,13,FALSE),"")</f>
        <v/>
      </c>
      <c r="M37" s="1141"/>
      <c r="N37" s="1377" t="str">
        <f>IFNA(VLOOKUP($D37,'法術資料'!$K$2:$X$805,5,FALSE),"")</f>
        <v/>
      </c>
      <c r="O37" s="1377" t="str">
        <f>IFNA(VLOOKUP($D37,'法術資料'!$K$2:$X$805,6,FALSE),"")</f>
        <v/>
      </c>
      <c r="P37" s="1378" t="str">
        <f>IFNA(VLOOKUP($D37,'法術資料'!$K$2:$X$805,9,FALSE),"")</f>
        <v/>
      </c>
      <c r="Q37" s="1379" t="str">
        <f>IFNA(VLOOKUP($D37,'法術資料'!$K$2:$X$805,10,FALSE),"")</f>
        <v/>
      </c>
      <c r="R37" s="1379" t="str">
        <f>IFNA(VLOOKUP($D37,'法術資料'!$K$2:$X$805,11,FALSE),"")</f>
        <v/>
      </c>
      <c r="S37" s="1506" t="str">
        <f>IFNA(VLOOKUP($D37,'法術資料'!$K$2:$X$805,12,FALSE),"")</f>
        <v/>
      </c>
      <c r="T37" s="376"/>
      <c r="U37" s="1369"/>
      <c r="V37" s="455"/>
      <c r="W37" s="1356"/>
      <c r="X37" s="1503" t="b">
        <v>0</v>
      </c>
      <c r="Y37" s="1504"/>
      <c r="Z37" s="1507" t="str">
        <f>IFNA(VLOOKUP(Y37,'法術資料'!$K$2:$X$805,4,FALSE),"")
</f>
        <v/>
      </c>
      <c r="AA37" s="1506" t="str">
        <f>IFNA(VLOOKUP($Y37,'法術資料'!$K$2:$X$805,7,FALSE),"")</f>
        <v/>
      </c>
      <c r="AB37" s="1141"/>
      <c r="AC37" s="1506" t="str">
        <f>IFNA(VLOOKUP($Y37,'法術資料'!$K$2:$X$805,8,FALSE),"")</f>
        <v/>
      </c>
      <c r="AD37" s="1141"/>
      <c r="AE37" s="1506" t="str">
        <f>IFNA(VLOOKUP($Y37,'法術資料'!$K$2:$X$805,14,FALSE),"")</f>
        <v/>
      </c>
      <c r="AF37" s="1141"/>
      <c r="AG37" s="1377" t="str">
        <f>IFNA(VLOOKUP($Y37,'法術資料'!$K$2:$X$805,13,FALSE),"")</f>
        <v/>
      </c>
      <c r="AH37" s="1377" t="str">
        <f>IFNA(VLOOKUP($Y37,'法術資料'!$K$2:$X$805,5,FALSE),"")</f>
        <v/>
      </c>
      <c r="AI37" s="1377" t="str">
        <f>IFNA(VLOOKUP($Y37,'法術資料'!$K$2:$X$805,6,FALSE),"")</f>
        <v/>
      </c>
      <c r="AJ37" s="1378" t="str">
        <f>IFNA(VLOOKUP($Y37,'法術資料'!$K$2:$X$805,9,FALSE),"")</f>
        <v/>
      </c>
      <c r="AK37" s="1379" t="str">
        <f>IFNA(VLOOKUP($Y37,'法術資料'!$K$2:$X$805,10,FALSE),"")</f>
        <v/>
      </c>
      <c r="AL37" s="1379" t="str">
        <f>IFNA(VLOOKUP($Y37,'法術資料'!$K$2:$X$805,11,FALSE),"")</f>
        <v/>
      </c>
      <c r="AM37" s="1506" t="str">
        <f>IFNA(VLOOKUP($Y37,'法術資料'!$K$2:$X$805,12,FALSE),"")</f>
        <v/>
      </c>
      <c r="AN37" s="376"/>
      <c r="AO37" s="1369"/>
      <c r="AP37" s="455"/>
      <c r="AQ37" s="1356"/>
      <c r="AR37" s="1503" t="b">
        <v>0</v>
      </c>
      <c r="AS37" s="1504"/>
      <c r="AT37" s="1507" t="str">
        <f>IFNA(VLOOKUP(AS37,'法術資料'!$K$2:$X$805,4,FALSE),"")
</f>
        <v/>
      </c>
      <c r="AU37" s="1506" t="str">
        <f>IFNA(VLOOKUP(AS37,'法術資料'!$K$2:$X$805,7,FALSE),"")</f>
        <v/>
      </c>
      <c r="AV37" s="1141"/>
      <c r="AW37" s="1506" t="str">
        <f>IFNA(VLOOKUP(AS37,'法術資料'!$K$2:$X$805,8,FALSE),"")</f>
        <v/>
      </c>
      <c r="AX37" s="1141"/>
      <c r="AY37" s="1506" t="str">
        <f>IFNA(VLOOKUP(AS37,'法術資料'!$K$2:$X$805,14,FALSE),"")</f>
        <v/>
      </c>
      <c r="AZ37" s="1141"/>
      <c r="BA37" s="1377" t="str">
        <f>IFNA(VLOOKUP(AS37,'法術資料'!$K$2:$X$805,13,FALSE),"")</f>
        <v/>
      </c>
      <c r="BB37" s="1377" t="str">
        <f>IFNA(VLOOKUP(AS37,'法術資料'!$K$2:$X$805,5,FALSE),"")</f>
        <v/>
      </c>
      <c r="BC37" s="1377" t="str">
        <f>IFNA(VLOOKUP(AS37,'法術資料'!$K$2:$X$805,6,FALSE),"")</f>
        <v/>
      </c>
      <c r="BD37" s="1378" t="str">
        <f>IFNA(VLOOKUP(AS37,'法術資料'!$K$2:$X$805,9,FALSE),"")</f>
        <v/>
      </c>
      <c r="BE37" s="1379" t="str">
        <f>IFNA(VLOOKUP(AS37,'法術資料'!$K$2:$X$805,10,FALSE),"")</f>
        <v/>
      </c>
      <c r="BF37" s="1379" t="str">
        <f>IFNA(VLOOKUP($Y37,'法術資料'!$K$2:$X$805,11,FALSE),"")</f>
        <v/>
      </c>
      <c r="BG37" s="1506" t="str">
        <f>IFNA(VLOOKUP(AS37,'法術資料'!$K$2:$X$805,12,FALSE),"")</f>
        <v/>
      </c>
      <c r="BH37" s="376"/>
      <c r="BI37" s="1369"/>
      <c r="BJ37" s="455"/>
      <c r="BK37" s="1356"/>
      <c r="BL37" s="1503" t="b">
        <v>0</v>
      </c>
      <c r="BM37" s="1504"/>
      <c r="BN37" s="1507" t="str">
        <f>IFNA(VLOOKUP(BM37,'法術資料'!$K$2:$X$805,4,FALSE),"")
</f>
        <v/>
      </c>
      <c r="BO37" s="1506" t="str">
        <f>IFNA(VLOOKUP(BM37,'法術資料'!$K$2:$X$805,7,FALSE),"")</f>
        <v/>
      </c>
      <c r="BP37" s="1141"/>
      <c r="BQ37" s="1506" t="str">
        <f>IFNA(VLOOKUP(BM37,'法術資料'!$K$2:$X$805,8,FALSE),"")</f>
        <v/>
      </c>
      <c r="BR37" s="1141"/>
      <c r="BS37" s="1506" t="str">
        <f>IFNA(VLOOKUP(BM37,'法術資料'!$K$2:$X$805,14,FALSE),"")</f>
        <v/>
      </c>
      <c r="BT37" s="1141"/>
      <c r="BU37" s="1377" t="str">
        <f>IFNA(VLOOKUP(BM37,'法術資料'!$K$2:$X$805,13,FALSE),"")</f>
        <v/>
      </c>
      <c r="BV37" s="1377" t="str">
        <f>IFNA(VLOOKUP(BM37,'法術資料'!$K$2:$X$805,5,FALSE),"")</f>
        <v/>
      </c>
      <c r="BW37" s="1377" t="str">
        <f>IFNA(VLOOKUP(BM37,'法術資料'!$K$2:$X$805,6,FALSE),"")</f>
        <v/>
      </c>
      <c r="BX37" s="1378" t="str">
        <f>IFNA(VLOOKUP(BM37,'法術資料'!$K$2:$X$805,9,FALSE),"")</f>
        <v/>
      </c>
      <c r="BY37" s="1379" t="str">
        <f>IFNA(VLOOKUP(BM37,'法術資料'!$K$2:$X$805,10,FALSE),"")</f>
        <v/>
      </c>
      <c r="BZ37" s="1379" t="str">
        <f>IFNA(VLOOKUP($Y37,'法術資料'!$K$2:$X$805,11,FALSE),"")</f>
        <v/>
      </c>
      <c r="CA37" s="1506" t="str">
        <f>IFNA(VLOOKUP(BM37,'法術資料'!$K$2:$X$805,12,FALSE),"")</f>
        <v/>
      </c>
      <c r="CB37" s="376"/>
      <c r="CC37" s="1369"/>
      <c r="CD37" s="455"/>
      <c r="CE37" s="1356"/>
      <c r="CF37" s="1503" t="b">
        <v>0</v>
      </c>
      <c r="CG37" s="1504"/>
      <c r="CH37" s="1507" t="str">
        <f>IFNA(VLOOKUP(CG37,'法術資料'!$K$2:$X$805,4,FALSE),"")
</f>
        <v/>
      </c>
      <c r="CI37" s="1506" t="str">
        <f>IFNA(VLOOKUP(CG37,'法術資料'!$K$2:$X$805,7,FALSE),"")</f>
        <v/>
      </c>
      <c r="CJ37" s="1141"/>
      <c r="CK37" s="1506" t="str">
        <f>IFNA(VLOOKUP(CG37,'法術資料'!$K$2:$X$805,8,FALSE),"")</f>
        <v/>
      </c>
      <c r="CL37" s="1141"/>
      <c r="CM37" s="1506" t="str">
        <f>IFNA(VLOOKUP(CG37,'法術資料'!$K$2:$X$805,14,FALSE),"")</f>
        <v/>
      </c>
      <c r="CN37" s="1141"/>
      <c r="CO37" s="1377" t="str">
        <f>IFNA(VLOOKUP(CG37,'法術資料'!$K$2:$X$805,13,FALSE),"")</f>
        <v/>
      </c>
      <c r="CP37" s="1377" t="str">
        <f>IFNA(VLOOKUP(CG37,'法術資料'!$K$2:$X$805,5,FALSE),"")</f>
        <v/>
      </c>
      <c r="CQ37" s="1377" t="str">
        <f>IFNA(VLOOKUP(CG37,'法術資料'!$K$2:$X$805,6,FALSE),"")</f>
        <v/>
      </c>
      <c r="CR37" s="1378" t="str">
        <f>IFNA(VLOOKUP(CG37,'法術資料'!$K$2:$X$805,9,FALSE),"")</f>
        <v/>
      </c>
      <c r="CS37" s="1379" t="str">
        <f>IFNA(VLOOKUP(CG37,'法術資料'!$K$2:$X$805,10,FALSE),"")</f>
        <v/>
      </c>
      <c r="CT37" s="1379" t="str">
        <f>IFNA(VLOOKUP($Y37,'法術資料'!$K$2:$X$805,11,FALSE),"")</f>
        <v/>
      </c>
      <c r="CU37" s="1506" t="str">
        <f>IFNA(VLOOKUP(CG37,'法術資料'!$K$2:$X$805,12,FALSE),"")</f>
        <v/>
      </c>
      <c r="CV37" s="376"/>
      <c r="CW37" s="1369"/>
      <c r="CX37" s="455"/>
      <c r="CY37" s="1356"/>
      <c r="CZ37" s="1503" t="b">
        <v>0</v>
      </c>
      <c r="DA37" s="1515"/>
      <c r="DB37" s="1507" t="str">
        <f>IFNA(VLOOKUP(DA37,'法術資料'!$K$2:$X$805,4,FALSE),"")
</f>
        <v/>
      </c>
      <c r="DC37" s="1506" t="str">
        <f>IFNA(VLOOKUP(DA37,'法術資料'!$K$2:$X$805,7,FALSE),"")</f>
        <v/>
      </c>
      <c r="DD37" s="1141"/>
      <c r="DE37" s="1506" t="str">
        <f>IFNA(VLOOKUP(DA37,'法術資料'!$K$2:$X$805,8,FALSE),"")</f>
        <v/>
      </c>
      <c r="DF37" s="1141"/>
      <c r="DG37" s="1506" t="str">
        <f>IFNA(VLOOKUP(DA37,'法術資料'!$K$2:$X$805,14,FALSE),"")</f>
        <v/>
      </c>
      <c r="DH37" s="1141"/>
      <c r="DI37" s="1377" t="str">
        <f>IFNA(VLOOKUP(DA37,'法術資料'!$K$2:$X$805,13,FALSE),"")</f>
        <v/>
      </c>
      <c r="DJ37" s="1377" t="str">
        <f>IFNA(VLOOKUP(DA37,'法術資料'!$K$2:$X$805,5,FALSE),"")</f>
        <v/>
      </c>
      <c r="DK37" s="1377" t="str">
        <f>IFNA(VLOOKUP(DA37,'法術資料'!$K$2:$X$805,6,FALSE),"")</f>
        <v/>
      </c>
      <c r="DL37" s="1378" t="str">
        <f>IFNA(VLOOKUP(DA37,'法術資料'!$K$2:$X$805,9,FALSE),"")</f>
        <v/>
      </c>
      <c r="DM37" s="1379" t="str">
        <f>IFNA(VLOOKUP(DA37,'法術資料'!$K$2:$X$805,10,FALSE),"")</f>
        <v/>
      </c>
      <c r="DN37" s="1379" t="str">
        <f>IFNA(VLOOKUP($Y37,'法術資料'!$K$2:$X$805,11,FALSE),"")</f>
        <v/>
      </c>
      <c r="DO37" s="1506" t="str">
        <f>IFNA(VLOOKUP(DA37,'法術資料'!$K$2:$X$805,12,FALSE),"")</f>
        <v/>
      </c>
      <c r="DP37" s="376"/>
      <c r="DQ37" s="1369"/>
      <c r="DR37" s="455"/>
      <c r="DS37" s="1356"/>
      <c r="DT37" s="1503" t="b">
        <v>0</v>
      </c>
      <c r="DU37" s="1515"/>
      <c r="DV37" s="1507" t="str">
        <f>IFNA(VLOOKUP(DU37,'法術資料'!$K$2:$X$805,4,FALSE),"")
</f>
        <v/>
      </c>
      <c r="DW37" s="1506" t="str">
        <f>IFNA(VLOOKUP(DU37,'法術資料'!$K$2:$X$805,7,FALSE),"")</f>
        <v/>
      </c>
      <c r="DX37" s="1141"/>
      <c r="DY37" s="1506" t="str">
        <f>IFNA(VLOOKUP(DU37,'法術資料'!$K$2:$X$805,8,FALSE),"")</f>
        <v/>
      </c>
      <c r="DZ37" s="1141"/>
      <c r="EA37" s="1506" t="str">
        <f>IFNA(VLOOKUP(DU37,'法術資料'!$K$2:$X$805,14,FALSE),"")</f>
        <v/>
      </c>
      <c r="EB37" s="1141"/>
      <c r="EC37" s="1377" t="str">
        <f>IFNA(VLOOKUP(DU37,'法術資料'!$K$2:$X$805,13,FALSE),"")</f>
        <v/>
      </c>
      <c r="ED37" s="1377" t="str">
        <f>IFNA(VLOOKUP(DU37,'法術資料'!$K$2:$X$805,5,FALSE),"")</f>
        <v/>
      </c>
      <c r="EE37" s="1377" t="str">
        <f>IFNA(VLOOKUP(DU37,'法術資料'!$K$2:$X$805,6,FALSE),"")</f>
        <v/>
      </c>
      <c r="EF37" s="1378" t="str">
        <f>IFNA(VLOOKUP(DU37,'法術資料'!$K$2:$X$805,9,FALSE),"")</f>
        <v/>
      </c>
      <c r="EG37" s="1379" t="str">
        <f>IFNA(VLOOKUP(DU37,'法術資料'!$K$2:$X$805,10,FALSE),"")</f>
        <v/>
      </c>
      <c r="EH37" s="1379" t="str">
        <f>IFNA(VLOOKUP($Y37,'法術資料'!$K$2:$X$805,11,FALSE),"")</f>
        <v/>
      </c>
      <c r="EI37" s="1506" t="str">
        <f>IFNA(VLOOKUP(DU37,'法術資料'!$K$2:$X$805,12,FALSE),"")</f>
        <v/>
      </c>
      <c r="EJ37" s="376"/>
      <c r="EK37" s="1369"/>
      <c r="EL37" s="455"/>
      <c r="EM37" s="1356"/>
      <c r="EN37" s="1503" t="b">
        <v>0</v>
      </c>
      <c r="EO37" s="1515"/>
      <c r="EP37" s="1507" t="str">
        <f>IFNA(VLOOKUP(EO37,'法術資料'!$K$2:$X$805,4,FALSE),"")
</f>
        <v/>
      </c>
      <c r="EQ37" s="1506" t="str">
        <f>IFNA(VLOOKUP(EO37,'法術資料'!$K$2:$X$805,7,FALSE),"")</f>
        <v/>
      </c>
      <c r="ER37" s="1141"/>
      <c r="ES37" s="1506" t="str">
        <f>IFNA(VLOOKUP(EO37,'法術資料'!$K$2:$X$805,8,FALSE),"")</f>
        <v/>
      </c>
      <c r="ET37" s="1141"/>
      <c r="EU37" s="1506" t="str">
        <f>IFNA(VLOOKUP(EO37,'法術資料'!$K$2:$X$805,14,FALSE),"")</f>
        <v/>
      </c>
      <c r="EV37" s="1141"/>
      <c r="EW37" s="1377" t="str">
        <f>IFNA(VLOOKUP(EO37,'法術資料'!$K$2:$X$805,13,FALSE),"")</f>
        <v/>
      </c>
      <c r="EX37" s="1377" t="str">
        <f>IFNA(VLOOKUP(EO37,'法術資料'!$K$2:$X$805,5,FALSE),"")</f>
        <v/>
      </c>
      <c r="EY37" s="1377" t="str">
        <f>IFNA(VLOOKUP(EO37,'法術資料'!$K$2:$X$805,6,FALSE),"")</f>
        <v/>
      </c>
      <c r="EZ37" s="1378" t="str">
        <f>IFNA(VLOOKUP(EO37,'法術資料'!$K$2:$X$805,9,FALSE),"")</f>
        <v/>
      </c>
      <c r="FA37" s="1379" t="str">
        <f>IFNA(VLOOKUP(EO37,'法術資料'!$K$2:$X$805,10,FALSE),"")</f>
        <v/>
      </c>
      <c r="FB37" s="1379" t="str">
        <f>IFNA(VLOOKUP($Y37,'法術資料'!$K$2:$X$805,11,FALSE),"")</f>
        <v/>
      </c>
      <c r="FC37" s="1506" t="str">
        <f>IFNA(VLOOKUP(EO37,'法術資料'!$K$2:$X$805,12,FALSE),"")</f>
        <v/>
      </c>
      <c r="FD37" s="376"/>
      <c r="FE37" s="1369"/>
      <c r="FF37" s="455"/>
      <c r="FG37" s="1356"/>
      <c r="FH37" s="1503" t="b">
        <v>0</v>
      </c>
      <c r="FI37" s="1515"/>
      <c r="FJ37" s="1507" t="str">
        <f>IFNA(VLOOKUP(FI37,'法術資料'!$K$2:$X$805,4,FALSE),"")
</f>
        <v/>
      </c>
      <c r="FK37" s="1506" t="str">
        <f>IFNA(VLOOKUP(FI37,'法術資料'!$K$2:$X$805,7,FALSE),"")</f>
        <v/>
      </c>
      <c r="FL37" s="1141"/>
      <c r="FM37" s="1506" t="str">
        <f>IFNA(VLOOKUP(FI37,'法術資料'!$K$2:$X$805,8,FALSE),"")</f>
        <v/>
      </c>
      <c r="FN37" s="1141"/>
      <c r="FO37" s="1506" t="str">
        <f>IFNA(VLOOKUP(FI37,'法術資料'!$K$2:$X$805,14,FALSE),"")</f>
        <v/>
      </c>
      <c r="FP37" s="1141"/>
      <c r="FQ37" s="1377" t="str">
        <f>IFNA(VLOOKUP(FI37,'法術資料'!$K$2:$X$805,13,FALSE),"")</f>
        <v/>
      </c>
      <c r="FR37" s="1377" t="str">
        <f>IFNA(VLOOKUP(FI37,'法術資料'!$K$2:$X$805,5,FALSE),"")</f>
        <v/>
      </c>
      <c r="FS37" s="1377" t="str">
        <f>IFNA(VLOOKUP(FI37,'法術資料'!$K$2:$X$805,6,FALSE),"")</f>
        <v/>
      </c>
      <c r="FT37" s="1378" t="str">
        <f>IFNA(VLOOKUP(FI37,'法術資料'!$K$2:$X$805,9,FALSE),"")</f>
        <v/>
      </c>
      <c r="FU37" s="1379" t="str">
        <f>IFNA(VLOOKUP(FI37,'法術資料'!$K$2:$X$805,10,FALSE),"")</f>
        <v/>
      </c>
      <c r="FV37" s="1379" t="str">
        <f>IFNA(VLOOKUP($Y37,'法術資料'!$K$2:$X$805,11,FALSE),"")</f>
        <v/>
      </c>
      <c r="FW37" s="1506" t="str">
        <f>IFNA(VLOOKUP(FI37,'法術資料'!$K$2:$X$805,12,FALSE),"")</f>
        <v/>
      </c>
      <c r="FX37" s="376"/>
      <c r="FY37" s="1369"/>
      <c r="FZ37" s="455"/>
    </row>
    <row r="38">
      <c r="A38" s="455"/>
      <c r="B38" s="1356"/>
      <c r="C38" s="1509" t="b">
        <v>0</v>
      </c>
      <c r="D38" s="1502"/>
      <c r="E38" s="1510" t="str">
        <f>IFNA(VLOOKUP($D38,'法術資料'!$K$2:$X$805,4,FALSE),"")
</f>
        <v/>
      </c>
      <c r="F38" s="1511" t="str">
        <f>IFNA(VLOOKUP($D38,'法術資料'!$K$2:$X$805,7,FALSE),"")</f>
        <v/>
      </c>
      <c r="G38" s="1141"/>
      <c r="H38" s="1511" t="str">
        <f>IFNA(VLOOKUP($D38,'法術資料'!$K$2:$X$805,8,FALSE),"")</f>
        <v/>
      </c>
      <c r="I38" s="1141"/>
      <c r="J38" s="1511" t="str">
        <f>IFNA(VLOOKUP($D38,'法術資料'!$K$2:$X$805,14,FALSE),"")</f>
        <v/>
      </c>
      <c r="K38" s="1141"/>
      <c r="L38" s="1511" t="str">
        <f>IFNA(VLOOKUP($D38,'法術資料'!$K$2:$X$805,13,FALSE),"")</f>
        <v/>
      </c>
      <c r="M38" s="1141"/>
      <c r="N38" s="1365" t="str">
        <f>IFNA(VLOOKUP($D38,'法術資料'!$K$2:$X$805,5,FALSE),"")</f>
        <v/>
      </c>
      <c r="O38" s="1365" t="str">
        <f>IFNA(VLOOKUP($D38,'法術資料'!$K$2:$X$805,6,FALSE),"")</f>
        <v/>
      </c>
      <c r="P38" s="1366" t="str">
        <f>IFNA(VLOOKUP($D38,'法術資料'!$K$2:$X$805,9,FALSE),"")</f>
        <v/>
      </c>
      <c r="Q38" s="1367" t="str">
        <f>IFNA(VLOOKUP($D38,'法術資料'!$K$2:$X$805,10,FALSE),"")</f>
        <v/>
      </c>
      <c r="R38" s="1367" t="str">
        <f>IFNA(VLOOKUP($D38,'法術資料'!$K$2:$X$805,11,FALSE),"")</f>
        <v/>
      </c>
      <c r="S38" s="1511" t="str">
        <f>IFNA(VLOOKUP($D38,'法術資料'!$K$2:$X$805,12,FALSE),"")</f>
        <v/>
      </c>
      <c r="T38" s="376"/>
      <c r="U38" s="1369"/>
      <c r="V38" s="455"/>
      <c r="W38" s="1356"/>
      <c r="X38" s="1509" t="b">
        <v>0</v>
      </c>
      <c r="Y38" s="1502"/>
      <c r="Z38" s="1512" t="str">
        <f>IFNA(VLOOKUP(Y38,'法術資料'!$K$2:$X$805,4,FALSE),"")
</f>
        <v/>
      </c>
      <c r="AA38" s="1511" t="str">
        <f>IFNA(VLOOKUP($Y38,'法術資料'!$K$2:$X$805,7,FALSE),"")</f>
        <v/>
      </c>
      <c r="AB38" s="1141"/>
      <c r="AC38" s="1511" t="str">
        <f>IFNA(VLOOKUP($Y38,'法術資料'!$K$2:$X$805,8,FALSE),"")</f>
        <v/>
      </c>
      <c r="AD38" s="1141"/>
      <c r="AE38" s="1511" t="str">
        <f>IFNA(VLOOKUP($Y38,'法術資料'!$K$2:$X$805,14,FALSE),"")</f>
        <v/>
      </c>
      <c r="AF38" s="1141"/>
      <c r="AG38" s="1365" t="str">
        <f>IFNA(VLOOKUP($Y38,'法術資料'!$K$2:$X$805,13,FALSE),"")</f>
        <v/>
      </c>
      <c r="AH38" s="1365" t="str">
        <f>IFNA(VLOOKUP($Y38,'法術資料'!$K$2:$X$805,5,FALSE),"")</f>
        <v/>
      </c>
      <c r="AI38" s="1365" t="str">
        <f>IFNA(VLOOKUP($Y38,'法術資料'!$K$2:$X$805,6,FALSE),"")</f>
        <v/>
      </c>
      <c r="AJ38" s="1366" t="str">
        <f>IFNA(VLOOKUP($Y38,'法術資料'!$K$2:$X$805,9,FALSE),"")</f>
        <v/>
      </c>
      <c r="AK38" s="1367" t="str">
        <f>IFNA(VLOOKUP($Y38,'法術資料'!$K$2:$X$805,10,FALSE),"")</f>
        <v/>
      </c>
      <c r="AL38" s="1367" t="str">
        <f>IFNA(VLOOKUP($Y38,'法術資料'!$K$2:$X$805,11,FALSE),"")</f>
        <v/>
      </c>
      <c r="AM38" s="1511" t="str">
        <f>IFNA(VLOOKUP($Y38,'法術資料'!$K$2:$X$805,12,FALSE),"")</f>
        <v/>
      </c>
      <c r="AN38" s="376"/>
      <c r="AO38" s="1369"/>
      <c r="AP38" s="455"/>
      <c r="AQ38" s="1356"/>
      <c r="AR38" s="1509" t="b">
        <v>0</v>
      </c>
      <c r="AS38" s="1502"/>
      <c r="AT38" s="1512" t="str">
        <f>IFNA(VLOOKUP(AS38,'法術資料'!$K$2:$X$805,4,FALSE),"")
</f>
        <v/>
      </c>
      <c r="AU38" s="1511" t="str">
        <f>IFNA(VLOOKUP(AS38,'法術資料'!$K$2:$X$805,7,FALSE),"")</f>
        <v/>
      </c>
      <c r="AV38" s="1141"/>
      <c r="AW38" s="1511" t="str">
        <f>IFNA(VLOOKUP(AS38,'法術資料'!$K$2:$X$805,8,FALSE),"")</f>
        <v/>
      </c>
      <c r="AX38" s="1141"/>
      <c r="AY38" s="1511" t="str">
        <f>IFNA(VLOOKUP(AS38,'法術資料'!$K$2:$X$805,14,FALSE),"")</f>
        <v/>
      </c>
      <c r="AZ38" s="1141"/>
      <c r="BA38" s="1365" t="str">
        <f>IFNA(VLOOKUP(AS38,'法術資料'!$K$2:$X$805,13,FALSE),"")</f>
        <v/>
      </c>
      <c r="BB38" s="1365" t="str">
        <f>IFNA(VLOOKUP(AS38,'法術資料'!$K$2:$X$805,5,FALSE),"")</f>
        <v/>
      </c>
      <c r="BC38" s="1365" t="str">
        <f>IFNA(VLOOKUP(AS38,'法術資料'!$K$2:$X$805,6,FALSE),"")</f>
        <v/>
      </c>
      <c r="BD38" s="1366" t="str">
        <f>IFNA(VLOOKUP(AS38,'法術資料'!$K$2:$X$805,9,FALSE),"")</f>
        <v/>
      </c>
      <c r="BE38" s="1367" t="str">
        <f>IFNA(VLOOKUP(AS38,'法術資料'!$K$2:$X$805,10,FALSE),"")</f>
        <v/>
      </c>
      <c r="BF38" s="1367" t="str">
        <f>IFNA(VLOOKUP($Y38,'法術資料'!$K$2:$X$805,11,FALSE),"")</f>
        <v/>
      </c>
      <c r="BG38" s="1511" t="str">
        <f>IFNA(VLOOKUP(AS38,'法術資料'!$K$2:$X$805,12,FALSE),"")</f>
        <v/>
      </c>
      <c r="BH38" s="376"/>
      <c r="BI38" s="1369"/>
      <c r="BJ38" s="455"/>
      <c r="BK38" s="1356"/>
      <c r="BL38" s="1509" t="b">
        <v>0</v>
      </c>
      <c r="BM38" s="1502"/>
      <c r="BN38" s="1512" t="str">
        <f>IFNA(VLOOKUP(BM38,'法術資料'!$K$2:$X$805,4,FALSE),"")
</f>
        <v/>
      </c>
      <c r="BO38" s="1511" t="str">
        <f>IFNA(VLOOKUP(BM38,'法術資料'!$K$2:$X$805,7,FALSE),"")</f>
        <v/>
      </c>
      <c r="BP38" s="1141"/>
      <c r="BQ38" s="1511" t="str">
        <f>IFNA(VLOOKUP(BM38,'法術資料'!$K$2:$X$805,8,FALSE),"")</f>
        <v/>
      </c>
      <c r="BR38" s="1141"/>
      <c r="BS38" s="1511" t="str">
        <f>IFNA(VLOOKUP(BM38,'法術資料'!$K$2:$X$805,14,FALSE),"")</f>
        <v/>
      </c>
      <c r="BT38" s="1141"/>
      <c r="BU38" s="1365" t="str">
        <f>IFNA(VLOOKUP(BM38,'法術資料'!$K$2:$X$805,13,FALSE),"")</f>
        <v/>
      </c>
      <c r="BV38" s="1365" t="str">
        <f>IFNA(VLOOKUP(BM38,'法術資料'!$K$2:$X$805,5,FALSE),"")</f>
        <v/>
      </c>
      <c r="BW38" s="1365" t="str">
        <f>IFNA(VLOOKUP(BM38,'法術資料'!$K$2:$X$805,6,FALSE),"")</f>
        <v/>
      </c>
      <c r="BX38" s="1366" t="str">
        <f>IFNA(VLOOKUP(BM38,'法術資料'!$K$2:$X$805,9,FALSE),"")</f>
        <v/>
      </c>
      <c r="BY38" s="1367" t="str">
        <f>IFNA(VLOOKUP(BM38,'法術資料'!$K$2:$X$805,10,FALSE),"")</f>
        <v/>
      </c>
      <c r="BZ38" s="1367" t="str">
        <f>IFNA(VLOOKUP($Y38,'法術資料'!$K$2:$X$805,11,FALSE),"")</f>
        <v/>
      </c>
      <c r="CA38" s="1511" t="str">
        <f>IFNA(VLOOKUP(BM38,'法術資料'!$K$2:$X$805,12,FALSE),"")</f>
        <v/>
      </c>
      <c r="CB38" s="376"/>
      <c r="CC38" s="1369"/>
      <c r="CD38" s="455"/>
      <c r="CE38" s="1356"/>
      <c r="CF38" s="1509" t="b">
        <v>0</v>
      </c>
      <c r="CG38" s="1502"/>
      <c r="CH38" s="1512" t="str">
        <f>IFNA(VLOOKUP(CG38,'法術資料'!$K$2:$X$805,4,FALSE),"")
</f>
        <v/>
      </c>
      <c r="CI38" s="1511" t="str">
        <f>IFNA(VLOOKUP(CG38,'法術資料'!$K$2:$X$805,7,FALSE),"")</f>
        <v/>
      </c>
      <c r="CJ38" s="1141"/>
      <c r="CK38" s="1511" t="str">
        <f>IFNA(VLOOKUP(CG38,'法術資料'!$K$2:$X$805,8,FALSE),"")</f>
        <v/>
      </c>
      <c r="CL38" s="1141"/>
      <c r="CM38" s="1511" t="str">
        <f>IFNA(VLOOKUP(CG38,'法術資料'!$K$2:$X$805,14,FALSE),"")</f>
        <v/>
      </c>
      <c r="CN38" s="1141"/>
      <c r="CO38" s="1365" t="str">
        <f>IFNA(VLOOKUP(CG38,'法術資料'!$K$2:$X$805,13,FALSE),"")</f>
        <v/>
      </c>
      <c r="CP38" s="1365" t="str">
        <f>IFNA(VLOOKUP(CG38,'法術資料'!$K$2:$X$805,5,FALSE),"")</f>
        <v/>
      </c>
      <c r="CQ38" s="1365" t="str">
        <f>IFNA(VLOOKUP(CG38,'法術資料'!$K$2:$X$805,6,FALSE),"")</f>
        <v/>
      </c>
      <c r="CR38" s="1366" t="str">
        <f>IFNA(VLOOKUP(CG38,'法術資料'!$K$2:$X$805,9,FALSE),"")</f>
        <v/>
      </c>
      <c r="CS38" s="1367" t="str">
        <f>IFNA(VLOOKUP(CG38,'法術資料'!$K$2:$X$805,10,FALSE),"")</f>
        <v/>
      </c>
      <c r="CT38" s="1367" t="str">
        <f>IFNA(VLOOKUP($Y38,'法術資料'!$K$2:$X$805,11,FALSE),"")</f>
        <v/>
      </c>
      <c r="CU38" s="1511" t="str">
        <f>IFNA(VLOOKUP(CG38,'法術資料'!$K$2:$X$805,12,FALSE),"")</f>
        <v/>
      </c>
      <c r="CV38" s="376"/>
      <c r="CW38" s="1369"/>
      <c r="CX38" s="455"/>
      <c r="CY38" s="1356"/>
      <c r="CZ38" s="1509" t="b">
        <v>0</v>
      </c>
      <c r="DA38" s="1514"/>
      <c r="DB38" s="1512" t="str">
        <f>IFNA(VLOOKUP(DA38,'法術資料'!$K$2:$X$805,4,FALSE),"")
</f>
        <v/>
      </c>
      <c r="DC38" s="1511" t="str">
        <f>IFNA(VLOOKUP(DA38,'法術資料'!$K$2:$X$805,7,FALSE),"")</f>
        <v/>
      </c>
      <c r="DD38" s="1141"/>
      <c r="DE38" s="1511" t="str">
        <f>IFNA(VLOOKUP(DA38,'法術資料'!$K$2:$X$805,8,FALSE),"")</f>
        <v/>
      </c>
      <c r="DF38" s="1141"/>
      <c r="DG38" s="1511" t="str">
        <f>IFNA(VLOOKUP(DA38,'法術資料'!$K$2:$X$805,14,FALSE),"")</f>
        <v/>
      </c>
      <c r="DH38" s="1141"/>
      <c r="DI38" s="1365" t="str">
        <f>IFNA(VLOOKUP(DA38,'法術資料'!$K$2:$X$805,13,FALSE),"")</f>
        <v/>
      </c>
      <c r="DJ38" s="1365" t="str">
        <f>IFNA(VLOOKUP(DA38,'法術資料'!$K$2:$X$805,5,FALSE),"")</f>
        <v/>
      </c>
      <c r="DK38" s="1365" t="str">
        <f>IFNA(VLOOKUP(DA38,'法術資料'!$K$2:$X$805,6,FALSE),"")</f>
        <v/>
      </c>
      <c r="DL38" s="1366" t="str">
        <f>IFNA(VLOOKUP(DA38,'法術資料'!$K$2:$X$805,9,FALSE),"")</f>
        <v/>
      </c>
      <c r="DM38" s="1367" t="str">
        <f>IFNA(VLOOKUP(DA38,'法術資料'!$K$2:$X$805,10,FALSE),"")</f>
        <v/>
      </c>
      <c r="DN38" s="1367" t="str">
        <f>IFNA(VLOOKUP($Y38,'法術資料'!$K$2:$X$805,11,FALSE),"")</f>
        <v/>
      </c>
      <c r="DO38" s="1511" t="str">
        <f>IFNA(VLOOKUP(DA38,'法術資料'!$K$2:$X$805,12,FALSE),"")</f>
        <v/>
      </c>
      <c r="DP38" s="376"/>
      <c r="DQ38" s="1369"/>
      <c r="DR38" s="455"/>
      <c r="DS38" s="1356"/>
      <c r="DT38" s="1509" t="b">
        <v>0</v>
      </c>
      <c r="DU38" s="1514"/>
      <c r="DV38" s="1512" t="str">
        <f>IFNA(VLOOKUP(DU38,'法術資料'!$K$2:$X$805,4,FALSE),"")
</f>
        <v/>
      </c>
      <c r="DW38" s="1511" t="str">
        <f>IFNA(VLOOKUP(DU38,'法術資料'!$K$2:$X$805,7,FALSE),"")</f>
        <v/>
      </c>
      <c r="DX38" s="1141"/>
      <c r="DY38" s="1511" t="str">
        <f>IFNA(VLOOKUP(DU38,'法術資料'!$K$2:$X$805,8,FALSE),"")</f>
        <v/>
      </c>
      <c r="DZ38" s="1141"/>
      <c r="EA38" s="1511" t="str">
        <f>IFNA(VLOOKUP(DU38,'法術資料'!$K$2:$X$805,14,FALSE),"")</f>
        <v/>
      </c>
      <c r="EB38" s="1141"/>
      <c r="EC38" s="1365" t="str">
        <f>IFNA(VLOOKUP(DU38,'法術資料'!$K$2:$X$805,13,FALSE),"")</f>
        <v/>
      </c>
      <c r="ED38" s="1365" t="str">
        <f>IFNA(VLOOKUP(DU38,'法術資料'!$K$2:$X$805,5,FALSE),"")</f>
        <v/>
      </c>
      <c r="EE38" s="1365" t="str">
        <f>IFNA(VLOOKUP(DU38,'法術資料'!$K$2:$X$805,6,FALSE),"")</f>
        <v/>
      </c>
      <c r="EF38" s="1366" t="str">
        <f>IFNA(VLOOKUP(DU38,'法術資料'!$K$2:$X$805,9,FALSE),"")</f>
        <v/>
      </c>
      <c r="EG38" s="1367" t="str">
        <f>IFNA(VLOOKUP(DU38,'法術資料'!$K$2:$X$805,10,FALSE),"")</f>
        <v/>
      </c>
      <c r="EH38" s="1367" t="str">
        <f>IFNA(VLOOKUP($Y38,'法術資料'!$K$2:$X$805,11,FALSE),"")</f>
        <v/>
      </c>
      <c r="EI38" s="1511" t="str">
        <f>IFNA(VLOOKUP(DU38,'法術資料'!$K$2:$X$805,12,FALSE),"")</f>
        <v/>
      </c>
      <c r="EJ38" s="376"/>
      <c r="EK38" s="1369"/>
      <c r="EL38" s="455"/>
      <c r="EM38" s="1356"/>
      <c r="EN38" s="1509" t="b">
        <v>0</v>
      </c>
      <c r="EO38" s="1514"/>
      <c r="EP38" s="1512" t="str">
        <f>IFNA(VLOOKUP(EO38,'法術資料'!$K$2:$X$805,4,FALSE),"")
</f>
        <v/>
      </c>
      <c r="EQ38" s="1511" t="str">
        <f>IFNA(VLOOKUP(EO38,'法術資料'!$K$2:$X$805,7,FALSE),"")</f>
        <v/>
      </c>
      <c r="ER38" s="1141"/>
      <c r="ES38" s="1511" t="str">
        <f>IFNA(VLOOKUP(EO38,'法術資料'!$K$2:$X$805,8,FALSE),"")</f>
        <v/>
      </c>
      <c r="ET38" s="1141"/>
      <c r="EU38" s="1511" t="str">
        <f>IFNA(VLOOKUP(EO38,'法術資料'!$K$2:$X$805,14,FALSE),"")</f>
        <v/>
      </c>
      <c r="EV38" s="1141"/>
      <c r="EW38" s="1365" t="str">
        <f>IFNA(VLOOKUP(EO38,'法術資料'!$K$2:$X$805,13,FALSE),"")</f>
        <v/>
      </c>
      <c r="EX38" s="1365" t="str">
        <f>IFNA(VLOOKUP(EO38,'法術資料'!$K$2:$X$805,5,FALSE),"")</f>
        <v/>
      </c>
      <c r="EY38" s="1365" t="str">
        <f>IFNA(VLOOKUP(EO38,'法術資料'!$K$2:$X$805,6,FALSE),"")</f>
        <v/>
      </c>
      <c r="EZ38" s="1366" t="str">
        <f>IFNA(VLOOKUP(EO38,'法術資料'!$K$2:$X$805,9,FALSE),"")</f>
        <v/>
      </c>
      <c r="FA38" s="1367" t="str">
        <f>IFNA(VLOOKUP(EO38,'法術資料'!$K$2:$X$805,10,FALSE),"")</f>
        <v/>
      </c>
      <c r="FB38" s="1367" t="str">
        <f>IFNA(VLOOKUP($Y38,'法術資料'!$K$2:$X$805,11,FALSE),"")</f>
        <v/>
      </c>
      <c r="FC38" s="1511" t="str">
        <f>IFNA(VLOOKUP(EO38,'法術資料'!$K$2:$X$805,12,FALSE),"")</f>
        <v/>
      </c>
      <c r="FD38" s="376"/>
      <c r="FE38" s="1369"/>
      <c r="FF38" s="455"/>
      <c r="FG38" s="1356"/>
      <c r="FH38" s="1509" t="b">
        <v>0</v>
      </c>
      <c r="FI38" s="1514"/>
      <c r="FJ38" s="1512" t="str">
        <f>IFNA(VLOOKUP(FI38,'法術資料'!$K$2:$X$805,4,FALSE),"")
</f>
        <v/>
      </c>
      <c r="FK38" s="1511" t="str">
        <f>IFNA(VLOOKUP(FI38,'法術資料'!$K$2:$X$805,7,FALSE),"")</f>
        <v/>
      </c>
      <c r="FL38" s="1141"/>
      <c r="FM38" s="1511" t="str">
        <f>IFNA(VLOOKUP(FI38,'法術資料'!$K$2:$X$805,8,FALSE),"")</f>
        <v/>
      </c>
      <c r="FN38" s="1141"/>
      <c r="FO38" s="1511" t="str">
        <f>IFNA(VLOOKUP(FI38,'法術資料'!$K$2:$X$805,14,FALSE),"")</f>
        <v/>
      </c>
      <c r="FP38" s="1141"/>
      <c r="FQ38" s="1365" t="str">
        <f>IFNA(VLOOKUP(FI38,'法術資料'!$K$2:$X$805,13,FALSE),"")</f>
        <v/>
      </c>
      <c r="FR38" s="1365" t="str">
        <f>IFNA(VLOOKUP(FI38,'法術資料'!$K$2:$X$805,5,FALSE),"")</f>
        <v/>
      </c>
      <c r="FS38" s="1365" t="str">
        <f>IFNA(VLOOKUP(FI38,'法術資料'!$K$2:$X$805,6,FALSE),"")</f>
        <v/>
      </c>
      <c r="FT38" s="1366" t="str">
        <f>IFNA(VLOOKUP(FI38,'法術資料'!$K$2:$X$805,9,FALSE),"")</f>
        <v/>
      </c>
      <c r="FU38" s="1367" t="str">
        <f>IFNA(VLOOKUP(FI38,'法術資料'!$K$2:$X$805,10,FALSE),"")</f>
        <v/>
      </c>
      <c r="FV38" s="1367" t="str">
        <f>IFNA(VLOOKUP($Y38,'法術資料'!$K$2:$X$805,11,FALSE),"")</f>
        <v/>
      </c>
      <c r="FW38" s="1511" t="str">
        <f>IFNA(VLOOKUP(FI38,'法術資料'!$K$2:$X$805,12,FALSE),"")</f>
        <v/>
      </c>
      <c r="FX38" s="376"/>
      <c r="FY38" s="1369"/>
      <c r="FZ38" s="455"/>
    </row>
    <row r="39">
      <c r="A39" s="455"/>
      <c r="B39" s="1356"/>
      <c r="C39" s="1503" t="b">
        <v>0</v>
      </c>
      <c r="D39" s="1504"/>
      <c r="E39" s="1505" t="str">
        <f>IFNA(VLOOKUP($D39,'法術資料'!$K$2:$X$805,4,FALSE),"")
</f>
        <v/>
      </c>
      <c r="F39" s="1506" t="str">
        <f>IFNA(VLOOKUP($D39,'法術資料'!$K$2:$X$805,7,FALSE),"")</f>
        <v/>
      </c>
      <c r="G39" s="1141"/>
      <c r="H39" s="1506" t="str">
        <f>IFNA(VLOOKUP($D39,'法術資料'!$K$2:$X$805,8,FALSE),"")</f>
        <v/>
      </c>
      <c r="I39" s="1141"/>
      <c r="J39" s="1506" t="str">
        <f>IFNA(VLOOKUP($D39,'法術資料'!$K$2:$X$805,14,FALSE),"")</f>
        <v/>
      </c>
      <c r="K39" s="1141"/>
      <c r="L39" s="1506" t="str">
        <f>IFNA(VLOOKUP($D39,'法術資料'!$K$2:$X$805,13,FALSE),"")</f>
        <v/>
      </c>
      <c r="M39" s="1141"/>
      <c r="N39" s="1377" t="str">
        <f>IFNA(VLOOKUP($D39,'法術資料'!$K$2:$X$805,5,FALSE),"")</f>
        <v/>
      </c>
      <c r="O39" s="1377" t="str">
        <f>IFNA(VLOOKUP($D39,'法術資料'!$K$2:$X$805,6,FALSE),"")</f>
        <v/>
      </c>
      <c r="P39" s="1378" t="str">
        <f>IFNA(VLOOKUP($D39,'法術資料'!$K$2:$X$805,9,FALSE),"")</f>
        <v/>
      </c>
      <c r="Q39" s="1379" t="str">
        <f>IFNA(VLOOKUP($D39,'法術資料'!$K$2:$X$805,10,FALSE),"")</f>
        <v/>
      </c>
      <c r="R39" s="1379" t="str">
        <f>IFNA(VLOOKUP($D39,'法術資料'!$K$2:$X$805,11,FALSE),"")</f>
        <v/>
      </c>
      <c r="S39" s="1506" t="str">
        <f>IFNA(VLOOKUP($D39,'法術資料'!$K$2:$X$805,12,FALSE),"")</f>
        <v/>
      </c>
      <c r="T39" s="376"/>
      <c r="U39" s="1369"/>
      <c r="V39" s="455"/>
      <c r="W39" s="1356"/>
      <c r="X39" s="1503" t="b">
        <v>0</v>
      </c>
      <c r="Y39" s="1504"/>
      <c r="Z39" s="1507" t="str">
        <f>IFNA(VLOOKUP(Y39,'法術資料'!$K$2:$X$805,4,FALSE),"")
</f>
        <v/>
      </c>
      <c r="AA39" s="1506" t="str">
        <f>IFNA(VLOOKUP($Y39,'法術資料'!$K$2:$X$805,7,FALSE),"")</f>
        <v/>
      </c>
      <c r="AB39" s="1141"/>
      <c r="AC39" s="1506" t="str">
        <f>IFNA(VLOOKUP($Y39,'法術資料'!$K$2:$X$805,8,FALSE),"")</f>
        <v/>
      </c>
      <c r="AD39" s="1141"/>
      <c r="AE39" s="1506" t="str">
        <f>IFNA(VLOOKUP($Y39,'法術資料'!$K$2:$X$805,14,FALSE),"")</f>
        <v/>
      </c>
      <c r="AF39" s="1141"/>
      <c r="AG39" s="1377" t="str">
        <f>IFNA(VLOOKUP($Y39,'法術資料'!$K$2:$X$805,13,FALSE),"")</f>
        <v/>
      </c>
      <c r="AH39" s="1377" t="str">
        <f>IFNA(VLOOKUP($Y39,'法術資料'!$K$2:$X$805,5,FALSE),"")</f>
        <v/>
      </c>
      <c r="AI39" s="1377" t="str">
        <f>IFNA(VLOOKUP($Y39,'法術資料'!$K$2:$X$805,6,FALSE),"")</f>
        <v/>
      </c>
      <c r="AJ39" s="1378" t="str">
        <f>IFNA(VLOOKUP($Y39,'法術資料'!$K$2:$X$805,9,FALSE),"")</f>
        <v/>
      </c>
      <c r="AK39" s="1379" t="str">
        <f>IFNA(VLOOKUP($Y39,'法術資料'!$K$2:$X$805,10,FALSE),"")</f>
        <v/>
      </c>
      <c r="AL39" s="1379" t="str">
        <f>IFNA(VLOOKUP($Y39,'法術資料'!$K$2:$X$805,11,FALSE),"")</f>
        <v/>
      </c>
      <c r="AM39" s="1506" t="str">
        <f>IFNA(VLOOKUP($Y39,'法術資料'!$K$2:$X$805,12,FALSE),"")</f>
        <v/>
      </c>
      <c r="AN39" s="376"/>
      <c r="AO39" s="1369"/>
      <c r="AP39" s="455"/>
      <c r="AQ39" s="1356"/>
      <c r="AR39" s="1503" t="b">
        <v>0</v>
      </c>
      <c r="AS39" s="1504"/>
      <c r="AT39" s="1507" t="str">
        <f>IFNA(VLOOKUP(AS39,'法術資料'!$K$2:$X$805,4,FALSE),"")
</f>
        <v/>
      </c>
      <c r="AU39" s="1506" t="str">
        <f>IFNA(VLOOKUP(AS39,'法術資料'!$K$2:$X$805,7,FALSE),"")</f>
        <v/>
      </c>
      <c r="AV39" s="1141"/>
      <c r="AW39" s="1506" t="str">
        <f>IFNA(VLOOKUP(AS39,'法術資料'!$K$2:$X$805,8,FALSE),"")</f>
        <v/>
      </c>
      <c r="AX39" s="1141"/>
      <c r="AY39" s="1506" t="str">
        <f>IFNA(VLOOKUP(AS39,'法術資料'!$K$2:$X$805,14,FALSE),"")</f>
        <v/>
      </c>
      <c r="AZ39" s="1141"/>
      <c r="BA39" s="1377" t="str">
        <f>IFNA(VLOOKUP(AS39,'法術資料'!$K$2:$X$805,13,FALSE),"")</f>
        <v/>
      </c>
      <c r="BB39" s="1377" t="str">
        <f>IFNA(VLOOKUP(AS39,'法術資料'!$K$2:$X$805,5,FALSE),"")</f>
        <v/>
      </c>
      <c r="BC39" s="1377" t="str">
        <f>IFNA(VLOOKUP(AS39,'法術資料'!$K$2:$X$805,6,FALSE),"")</f>
        <v/>
      </c>
      <c r="BD39" s="1378" t="str">
        <f>IFNA(VLOOKUP(AS39,'法術資料'!$K$2:$X$805,9,FALSE),"")</f>
        <v/>
      </c>
      <c r="BE39" s="1379" t="str">
        <f>IFNA(VLOOKUP(AS39,'法術資料'!$K$2:$X$805,10,FALSE),"")</f>
        <v/>
      </c>
      <c r="BF39" s="1379" t="str">
        <f>IFNA(VLOOKUP($Y39,'法術資料'!$K$2:$X$805,11,FALSE),"")</f>
        <v/>
      </c>
      <c r="BG39" s="1506" t="str">
        <f>IFNA(VLOOKUP(AS39,'法術資料'!$K$2:$X$805,12,FALSE),"")</f>
        <v/>
      </c>
      <c r="BH39" s="376"/>
      <c r="BI39" s="1369"/>
      <c r="BJ39" s="455"/>
      <c r="BK39" s="1356"/>
      <c r="BL39" s="1503" t="b">
        <v>0</v>
      </c>
      <c r="BM39" s="1504"/>
      <c r="BN39" s="1507" t="str">
        <f>IFNA(VLOOKUP(BM39,'法術資料'!$K$2:$X$805,4,FALSE),"")
</f>
        <v/>
      </c>
      <c r="BO39" s="1506" t="str">
        <f>IFNA(VLOOKUP(BM39,'法術資料'!$K$2:$X$805,7,FALSE),"")</f>
        <v/>
      </c>
      <c r="BP39" s="1141"/>
      <c r="BQ39" s="1506" t="str">
        <f>IFNA(VLOOKUP(BM39,'法術資料'!$K$2:$X$805,8,FALSE),"")</f>
        <v/>
      </c>
      <c r="BR39" s="1141"/>
      <c r="BS39" s="1506" t="str">
        <f>IFNA(VLOOKUP(BM39,'法術資料'!$K$2:$X$805,14,FALSE),"")</f>
        <v/>
      </c>
      <c r="BT39" s="1141"/>
      <c r="BU39" s="1377" t="str">
        <f>IFNA(VLOOKUP(BM39,'法術資料'!$K$2:$X$805,13,FALSE),"")</f>
        <v/>
      </c>
      <c r="BV39" s="1377" t="str">
        <f>IFNA(VLOOKUP(BM39,'法術資料'!$K$2:$X$805,5,FALSE),"")</f>
        <v/>
      </c>
      <c r="BW39" s="1377" t="str">
        <f>IFNA(VLOOKUP(BM39,'法術資料'!$K$2:$X$805,6,FALSE),"")</f>
        <v/>
      </c>
      <c r="BX39" s="1378" t="str">
        <f>IFNA(VLOOKUP(BM39,'法術資料'!$K$2:$X$805,9,FALSE),"")</f>
        <v/>
      </c>
      <c r="BY39" s="1379" t="str">
        <f>IFNA(VLOOKUP(BM39,'法術資料'!$K$2:$X$805,10,FALSE),"")</f>
        <v/>
      </c>
      <c r="BZ39" s="1379" t="str">
        <f>IFNA(VLOOKUP($Y39,'法術資料'!$K$2:$X$805,11,FALSE),"")</f>
        <v/>
      </c>
      <c r="CA39" s="1506" t="str">
        <f>IFNA(VLOOKUP(BM39,'法術資料'!$K$2:$X$805,12,FALSE),"")</f>
        <v/>
      </c>
      <c r="CB39" s="376"/>
      <c r="CC39" s="1369"/>
      <c r="CD39" s="455"/>
      <c r="CE39" s="1356"/>
      <c r="CF39" s="1503" t="b">
        <v>0</v>
      </c>
      <c r="CG39" s="1504"/>
      <c r="CH39" s="1507" t="str">
        <f>IFNA(VLOOKUP(CG39,'法術資料'!$K$2:$X$805,4,FALSE),"")
</f>
        <v/>
      </c>
      <c r="CI39" s="1506" t="str">
        <f>IFNA(VLOOKUP(CG39,'法術資料'!$K$2:$X$805,7,FALSE),"")</f>
        <v/>
      </c>
      <c r="CJ39" s="1141"/>
      <c r="CK39" s="1506" t="str">
        <f>IFNA(VLOOKUP(CG39,'法術資料'!$K$2:$X$805,8,FALSE),"")</f>
        <v/>
      </c>
      <c r="CL39" s="1141"/>
      <c r="CM39" s="1506" t="str">
        <f>IFNA(VLOOKUP(CG39,'法術資料'!$K$2:$X$805,14,FALSE),"")</f>
        <v/>
      </c>
      <c r="CN39" s="1141"/>
      <c r="CO39" s="1377" t="str">
        <f>IFNA(VLOOKUP(CG39,'法術資料'!$K$2:$X$805,13,FALSE),"")</f>
        <v/>
      </c>
      <c r="CP39" s="1377" t="str">
        <f>IFNA(VLOOKUP(CG39,'法術資料'!$K$2:$X$805,5,FALSE),"")</f>
        <v/>
      </c>
      <c r="CQ39" s="1377" t="str">
        <f>IFNA(VLOOKUP(CG39,'法術資料'!$K$2:$X$805,6,FALSE),"")</f>
        <v/>
      </c>
      <c r="CR39" s="1378" t="str">
        <f>IFNA(VLOOKUP(CG39,'法術資料'!$K$2:$X$805,9,FALSE),"")</f>
        <v/>
      </c>
      <c r="CS39" s="1379" t="str">
        <f>IFNA(VLOOKUP(CG39,'法術資料'!$K$2:$X$805,10,FALSE),"")</f>
        <v/>
      </c>
      <c r="CT39" s="1379" t="str">
        <f>IFNA(VLOOKUP($Y39,'法術資料'!$K$2:$X$805,11,FALSE),"")</f>
        <v/>
      </c>
      <c r="CU39" s="1506" t="str">
        <f>IFNA(VLOOKUP(CG39,'法術資料'!$K$2:$X$805,12,FALSE),"")</f>
        <v/>
      </c>
      <c r="CV39" s="376"/>
      <c r="CW39" s="1369"/>
      <c r="CX39" s="455"/>
      <c r="CY39" s="1356"/>
      <c r="CZ39" s="1503" t="b">
        <v>0</v>
      </c>
      <c r="DA39" s="1515"/>
      <c r="DB39" s="1507" t="str">
        <f>IFNA(VLOOKUP(DA39,'法術資料'!$K$2:$X$805,4,FALSE),"")
</f>
        <v/>
      </c>
      <c r="DC39" s="1506" t="str">
        <f>IFNA(VLOOKUP(DA39,'法術資料'!$K$2:$X$805,7,FALSE),"")</f>
        <v/>
      </c>
      <c r="DD39" s="1141"/>
      <c r="DE39" s="1506" t="str">
        <f>IFNA(VLOOKUP(DA39,'法術資料'!$K$2:$X$805,8,FALSE),"")</f>
        <v/>
      </c>
      <c r="DF39" s="1141"/>
      <c r="DG39" s="1506" t="str">
        <f>IFNA(VLOOKUP(DA39,'法術資料'!$K$2:$X$805,14,FALSE),"")</f>
        <v/>
      </c>
      <c r="DH39" s="1141"/>
      <c r="DI39" s="1377" t="str">
        <f>IFNA(VLOOKUP(DA39,'法術資料'!$K$2:$X$805,13,FALSE),"")</f>
        <v/>
      </c>
      <c r="DJ39" s="1377" t="str">
        <f>IFNA(VLOOKUP(DA39,'法術資料'!$K$2:$X$805,5,FALSE),"")</f>
        <v/>
      </c>
      <c r="DK39" s="1377" t="str">
        <f>IFNA(VLOOKUP(DA39,'法術資料'!$K$2:$X$805,6,FALSE),"")</f>
        <v/>
      </c>
      <c r="DL39" s="1378" t="str">
        <f>IFNA(VLOOKUP(DA39,'法術資料'!$K$2:$X$805,9,FALSE),"")</f>
        <v/>
      </c>
      <c r="DM39" s="1379" t="str">
        <f>IFNA(VLOOKUP(DA39,'法術資料'!$K$2:$X$805,10,FALSE),"")</f>
        <v/>
      </c>
      <c r="DN39" s="1379" t="str">
        <f>IFNA(VLOOKUP($Y39,'法術資料'!$K$2:$X$805,11,FALSE),"")</f>
        <v/>
      </c>
      <c r="DO39" s="1506" t="str">
        <f>IFNA(VLOOKUP(DA39,'法術資料'!$K$2:$X$805,12,FALSE),"")</f>
        <v/>
      </c>
      <c r="DP39" s="376"/>
      <c r="DQ39" s="1369"/>
      <c r="DR39" s="455"/>
      <c r="DS39" s="1356"/>
      <c r="DT39" s="1503" t="b">
        <v>0</v>
      </c>
      <c r="DU39" s="1515"/>
      <c r="DV39" s="1507" t="str">
        <f>IFNA(VLOOKUP(DU39,'法術資料'!$K$2:$X$805,4,FALSE),"")
</f>
        <v/>
      </c>
      <c r="DW39" s="1506" t="str">
        <f>IFNA(VLOOKUP(DU39,'法術資料'!$K$2:$X$805,7,FALSE),"")</f>
        <v/>
      </c>
      <c r="DX39" s="1141"/>
      <c r="DY39" s="1506" t="str">
        <f>IFNA(VLOOKUP(DU39,'法術資料'!$K$2:$X$805,8,FALSE),"")</f>
        <v/>
      </c>
      <c r="DZ39" s="1141"/>
      <c r="EA39" s="1506" t="str">
        <f>IFNA(VLOOKUP(DU39,'法術資料'!$K$2:$X$805,14,FALSE),"")</f>
        <v/>
      </c>
      <c r="EB39" s="1141"/>
      <c r="EC39" s="1377" t="str">
        <f>IFNA(VLOOKUP(DU39,'法術資料'!$K$2:$X$805,13,FALSE),"")</f>
        <v/>
      </c>
      <c r="ED39" s="1377" t="str">
        <f>IFNA(VLOOKUP(DU39,'法術資料'!$K$2:$X$805,5,FALSE),"")</f>
        <v/>
      </c>
      <c r="EE39" s="1377" t="str">
        <f>IFNA(VLOOKUP(DU39,'法術資料'!$K$2:$X$805,6,FALSE),"")</f>
        <v/>
      </c>
      <c r="EF39" s="1378" t="str">
        <f>IFNA(VLOOKUP(DU39,'法術資料'!$K$2:$X$805,9,FALSE),"")</f>
        <v/>
      </c>
      <c r="EG39" s="1379" t="str">
        <f>IFNA(VLOOKUP(DU39,'法術資料'!$K$2:$X$805,10,FALSE),"")</f>
        <v/>
      </c>
      <c r="EH39" s="1379" t="str">
        <f>IFNA(VLOOKUP($Y39,'法術資料'!$K$2:$X$805,11,FALSE),"")</f>
        <v/>
      </c>
      <c r="EI39" s="1506" t="str">
        <f>IFNA(VLOOKUP(DU39,'法術資料'!$K$2:$X$805,12,FALSE),"")</f>
        <v/>
      </c>
      <c r="EJ39" s="376"/>
      <c r="EK39" s="1369"/>
      <c r="EL39" s="455"/>
      <c r="EM39" s="1356"/>
      <c r="EN39" s="1503" t="b">
        <v>0</v>
      </c>
      <c r="EO39" s="1515"/>
      <c r="EP39" s="1507" t="str">
        <f>IFNA(VLOOKUP(EO39,'法術資料'!$K$2:$X$805,4,FALSE),"")
</f>
        <v/>
      </c>
      <c r="EQ39" s="1506" t="str">
        <f>IFNA(VLOOKUP(EO39,'法術資料'!$K$2:$X$805,7,FALSE),"")</f>
        <v/>
      </c>
      <c r="ER39" s="1141"/>
      <c r="ES39" s="1506" t="str">
        <f>IFNA(VLOOKUP(EO39,'法術資料'!$K$2:$X$805,8,FALSE),"")</f>
        <v/>
      </c>
      <c r="ET39" s="1141"/>
      <c r="EU39" s="1506" t="str">
        <f>IFNA(VLOOKUP(EO39,'法術資料'!$K$2:$X$805,14,FALSE),"")</f>
        <v/>
      </c>
      <c r="EV39" s="1141"/>
      <c r="EW39" s="1377" t="str">
        <f>IFNA(VLOOKUP(EO39,'法術資料'!$K$2:$X$805,13,FALSE),"")</f>
        <v/>
      </c>
      <c r="EX39" s="1377" t="str">
        <f>IFNA(VLOOKUP(EO39,'法術資料'!$K$2:$X$805,5,FALSE),"")</f>
        <v/>
      </c>
      <c r="EY39" s="1377" t="str">
        <f>IFNA(VLOOKUP(EO39,'法術資料'!$K$2:$X$805,6,FALSE),"")</f>
        <v/>
      </c>
      <c r="EZ39" s="1378" t="str">
        <f>IFNA(VLOOKUP(EO39,'法術資料'!$K$2:$X$805,9,FALSE),"")</f>
        <v/>
      </c>
      <c r="FA39" s="1379" t="str">
        <f>IFNA(VLOOKUP(EO39,'法術資料'!$K$2:$X$805,10,FALSE),"")</f>
        <v/>
      </c>
      <c r="FB39" s="1379" t="str">
        <f>IFNA(VLOOKUP($Y39,'法術資料'!$K$2:$X$805,11,FALSE),"")</f>
        <v/>
      </c>
      <c r="FC39" s="1506" t="str">
        <f>IFNA(VLOOKUP(EO39,'法術資料'!$K$2:$X$805,12,FALSE),"")</f>
        <v/>
      </c>
      <c r="FD39" s="376"/>
      <c r="FE39" s="1369"/>
      <c r="FF39" s="455"/>
      <c r="FG39" s="1356"/>
      <c r="FH39" s="1503" t="b">
        <v>0</v>
      </c>
      <c r="FI39" s="1515"/>
      <c r="FJ39" s="1507" t="str">
        <f>IFNA(VLOOKUP(FI39,'法術資料'!$K$2:$X$805,4,FALSE),"")
</f>
        <v/>
      </c>
      <c r="FK39" s="1506" t="str">
        <f>IFNA(VLOOKUP(FI39,'法術資料'!$K$2:$X$805,7,FALSE),"")</f>
        <v/>
      </c>
      <c r="FL39" s="1141"/>
      <c r="FM39" s="1506" t="str">
        <f>IFNA(VLOOKUP(FI39,'法術資料'!$K$2:$X$805,8,FALSE),"")</f>
        <v/>
      </c>
      <c r="FN39" s="1141"/>
      <c r="FO39" s="1506" t="str">
        <f>IFNA(VLOOKUP(FI39,'法術資料'!$K$2:$X$805,14,FALSE),"")</f>
        <v/>
      </c>
      <c r="FP39" s="1141"/>
      <c r="FQ39" s="1377" t="str">
        <f>IFNA(VLOOKUP(FI39,'法術資料'!$K$2:$X$805,13,FALSE),"")</f>
        <v/>
      </c>
      <c r="FR39" s="1377" t="str">
        <f>IFNA(VLOOKUP(FI39,'法術資料'!$K$2:$X$805,5,FALSE),"")</f>
        <v/>
      </c>
      <c r="FS39" s="1377" t="str">
        <f>IFNA(VLOOKUP(FI39,'法術資料'!$K$2:$X$805,6,FALSE),"")</f>
        <v/>
      </c>
      <c r="FT39" s="1378" t="str">
        <f>IFNA(VLOOKUP(FI39,'法術資料'!$K$2:$X$805,9,FALSE),"")</f>
        <v/>
      </c>
      <c r="FU39" s="1379" t="str">
        <f>IFNA(VLOOKUP(FI39,'法術資料'!$K$2:$X$805,10,FALSE),"")</f>
        <v/>
      </c>
      <c r="FV39" s="1379" t="str">
        <f>IFNA(VLOOKUP($Y39,'法術資料'!$K$2:$X$805,11,FALSE),"")</f>
        <v/>
      </c>
      <c r="FW39" s="1506" t="str">
        <f>IFNA(VLOOKUP(FI39,'法術資料'!$K$2:$X$805,12,FALSE),"")</f>
        <v/>
      </c>
      <c r="FX39" s="376"/>
      <c r="FY39" s="1369"/>
      <c r="FZ39" s="455"/>
    </row>
    <row r="40">
      <c r="A40" s="455"/>
      <c r="B40" s="1356"/>
      <c r="C40" s="1509" t="b">
        <v>0</v>
      </c>
      <c r="D40" s="1502"/>
      <c r="E40" s="1510" t="str">
        <f>IFNA(VLOOKUP($D40,'法術資料'!$K$2:$X$805,4,FALSE),"")
</f>
        <v/>
      </c>
      <c r="F40" s="1511" t="str">
        <f>IFNA(VLOOKUP($D40,'法術資料'!$K$2:$X$805,7,FALSE),"")</f>
        <v/>
      </c>
      <c r="G40" s="1141"/>
      <c r="H40" s="1511" t="str">
        <f>IFNA(VLOOKUP($D40,'法術資料'!$K$2:$X$805,8,FALSE),"")</f>
        <v/>
      </c>
      <c r="I40" s="1141"/>
      <c r="J40" s="1511" t="str">
        <f>IFNA(VLOOKUP($D40,'法術資料'!$K$2:$X$805,14,FALSE),"")</f>
        <v/>
      </c>
      <c r="K40" s="1141"/>
      <c r="L40" s="1511" t="str">
        <f>IFNA(VLOOKUP($D40,'法術資料'!$K$2:$X$805,13,FALSE),"")</f>
        <v/>
      </c>
      <c r="M40" s="1141"/>
      <c r="N40" s="1365" t="str">
        <f>IFNA(VLOOKUP($D40,'法術資料'!$K$2:$X$805,5,FALSE),"")</f>
        <v/>
      </c>
      <c r="O40" s="1365" t="str">
        <f>IFNA(VLOOKUP($D40,'法術資料'!$K$2:$X$805,6,FALSE),"")</f>
        <v/>
      </c>
      <c r="P40" s="1366" t="str">
        <f>IFNA(VLOOKUP($D40,'法術資料'!$K$2:$X$805,9,FALSE),"")</f>
        <v/>
      </c>
      <c r="Q40" s="1367" t="str">
        <f>IFNA(VLOOKUP($D40,'法術資料'!$K$2:$X$805,10,FALSE),"")</f>
        <v/>
      </c>
      <c r="R40" s="1367" t="str">
        <f>IFNA(VLOOKUP($D40,'法術資料'!$K$2:$X$805,11,FALSE),"")</f>
        <v/>
      </c>
      <c r="S40" s="1511" t="str">
        <f>IFNA(VLOOKUP($D40,'法術資料'!$K$2:$X$805,12,FALSE),"")</f>
        <v/>
      </c>
      <c r="T40" s="376"/>
      <c r="U40" s="1369"/>
      <c r="V40" s="455"/>
      <c r="W40" s="1356"/>
      <c r="X40" s="1509" t="b">
        <v>0</v>
      </c>
      <c r="Y40" s="1502"/>
      <c r="Z40" s="1512" t="str">
        <f>IFNA(VLOOKUP(Y40,'法術資料'!$K$2:$X$805,4,FALSE),"")
</f>
        <v/>
      </c>
      <c r="AA40" s="1511" t="str">
        <f>IFNA(VLOOKUP($Y40,'法術資料'!$K$2:$X$805,7,FALSE),"")</f>
        <v/>
      </c>
      <c r="AB40" s="1141"/>
      <c r="AC40" s="1511" t="str">
        <f>IFNA(VLOOKUP($Y40,'法術資料'!$K$2:$X$805,8,FALSE),"")</f>
        <v/>
      </c>
      <c r="AD40" s="1141"/>
      <c r="AE40" s="1511" t="str">
        <f>IFNA(VLOOKUP($Y40,'法術資料'!$K$2:$X$805,14,FALSE),"")</f>
        <v/>
      </c>
      <c r="AF40" s="1141"/>
      <c r="AG40" s="1365" t="str">
        <f>IFNA(VLOOKUP($Y40,'法術資料'!$K$2:$X$805,13,FALSE),"")</f>
        <v/>
      </c>
      <c r="AH40" s="1365" t="str">
        <f>IFNA(VLOOKUP($Y40,'法術資料'!$K$2:$X$805,5,FALSE),"")</f>
        <v/>
      </c>
      <c r="AI40" s="1365" t="str">
        <f>IFNA(VLOOKUP($Y40,'法術資料'!$K$2:$X$805,6,FALSE),"")</f>
        <v/>
      </c>
      <c r="AJ40" s="1366" t="str">
        <f>IFNA(VLOOKUP($Y40,'法術資料'!$K$2:$X$805,9,FALSE),"")</f>
        <v/>
      </c>
      <c r="AK40" s="1367" t="str">
        <f>IFNA(VLOOKUP($Y40,'法術資料'!$K$2:$X$805,10,FALSE),"")</f>
        <v/>
      </c>
      <c r="AL40" s="1367" t="str">
        <f>IFNA(VLOOKUP($Y40,'法術資料'!$K$2:$X$805,11,FALSE),"")</f>
        <v/>
      </c>
      <c r="AM40" s="1511" t="str">
        <f>IFNA(VLOOKUP($Y40,'法術資料'!$K$2:$X$805,12,FALSE),"")</f>
        <v/>
      </c>
      <c r="AN40" s="376"/>
      <c r="AO40" s="1369"/>
      <c r="AP40" s="455"/>
      <c r="AQ40" s="1356"/>
      <c r="AR40" s="1509" t="b">
        <v>0</v>
      </c>
      <c r="AS40" s="1502"/>
      <c r="AT40" s="1512" t="str">
        <f>IFNA(VLOOKUP(AS40,'法術資料'!$K$2:$X$805,4,FALSE),"")
</f>
        <v/>
      </c>
      <c r="AU40" s="1511" t="str">
        <f>IFNA(VLOOKUP(AS40,'法術資料'!$K$2:$X$805,7,FALSE),"")</f>
        <v/>
      </c>
      <c r="AV40" s="1141"/>
      <c r="AW40" s="1511" t="str">
        <f>IFNA(VLOOKUP(AS40,'法術資料'!$K$2:$X$805,8,FALSE),"")</f>
        <v/>
      </c>
      <c r="AX40" s="1141"/>
      <c r="AY40" s="1511" t="str">
        <f>IFNA(VLOOKUP(AS40,'法術資料'!$K$2:$X$805,14,FALSE),"")</f>
        <v/>
      </c>
      <c r="AZ40" s="1141"/>
      <c r="BA40" s="1365" t="str">
        <f>IFNA(VLOOKUP(AS40,'法術資料'!$K$2:$X$805,13,FALSE),"")</f>
        <v/>
      </c>
      <c r="BB40" s="1365" t="str">
        <f>IFNA(VLOOKUP(AS40,'法術資料'!$K$2:$X$805,5,FALSE),"")</f>
        <v/>
      </c>
      <c r="BC40" s="1365" t="str">
        <f>IFNA(VLOOKUP(AS40,'法術資料'!$K$2:$X$805,6,FALSE),"")</f>
        <v/>
      </c>
      <c r="BD40" s="1366" t="str">
        <f>IFNA(VLOOKUP(AS40,'法術資料'!$K$2:$X$805,9,FALSE),"")</f>
        <v/>
      </c>
      <c r="BE40" s="1367" t="str">
        <f>IFNA(VLOOKUP(AS40,'法術資料'!$K$2:$X$805,10,FALSE),"")</f>
        <v/>
      </c>
      <c r="BF40" s="1367" t="str">
        <f>IFNA(VLOOKUP($Y40,'法術資料'!$K$2:$X$805,11,FALSE),"")</f>
        <v/>
      </c>
      <c r="BG40" s="1511" t="str">
        <f>IFNA(VLOOKUP(AS40,'法術資料'!$K$2:$X$805,12,FALSE),"")</f>
        <v/>
      </c>
      <c r="BH40" s="376"/>
      <c r="BI40" s="1369"/>
      <c r="BJ40" s="455"/>
      <c r="BK40" s="1356"/>
      <c r="BL40" s="1509" t="b">
        <v>0</v>
      </c>
      <c r="BM40" s="1502"/>
      <c r="BN40" s="1512" t="str">
        <f>IFNA(VLOOKUP(BM40,'法術資料'!$K$2:$X$805,4,FALSE),"")
</f>
        <v/>
      </c>
      <c r="BO40" s="1511" t="str">
        <f>IFNA(VLOOKUP(BM40,'法術資料'!$K$2:$X$805,7,FALSE),"")</f>
        <v/>
      </c>
      <c r="BP40" s="1141"/>
      <c r="BQ40" s="1511" t="str">
        <f>IFNA(VLOOKUP(BM40,'法術資料'!$K$2:$X$805,8,FALSE),"")</f>
        <v/>
      </c>
      <c r="BR40" s="1141"/>
      <c r="BS40" s="1511" t="str">
        <f>IFNA(VLOOKUP(BM40,'法術資料'!$K$2:$X$805,14,FALSE),"")</f>
        <v/>
      </c>
      <c r="BT40" s="1141"/>
      <c r="BU40" s="1365" t="str">
        <f>IFNA(VLOOKUP(BM40,'法術資料'!$K$2:$X$805,13,FALSE),"")</f>
        <v/>
      </c>
      <c r="BV40" s="1365" t="str">
        <f>IFNA(VLOOKUP(BM40,'法術資料'!$K$2:$X$805,5,FALSE),"")</f>
        <v/>
      </c>
      <c r="BW40" s="1365" t="str">
        <f>IFNA(VLOOKUP(BM40,'法術資料'!$K$2:$X$805,6,FALSE),"")</f>
        <v/>
      </c>
      <c r="BX40" s="1366" t="str">
        <f>IFNA(VLOOKUP(BM40,'法術資料'!$K$2:$X$805,9,FALSE),"")</f>
        <v/>
      </c>
      <c r="BY40" s="1367" t="str">
        <f>IFNA(VLOOKUP(BM40,'法術資料'!$K$2:$X$805,10,FALSE),"")</f>
        <v/>
      </c>
      <c r="BZ40" s="1367" t="str">
        <f>IFNA(VLOOKUP($Y40,'法術資料'!$K$2:$X$805,11,FALSE),"")</f>
        <v/>
      </c>
      <c r="CA40" s="1511" t="str">
        <f>IFNA(VLOOKUP(BM40,'法術資料'!$K$2:$X$805,12,FALSE),"")</f>
        <v/>
      </c>
      <c r="CB40" s="376"/>
      <c r="CC40" s="1369"/>
      <c r="CD40" s="455"/>
      <c r="CE40" s="1356"/>
      <c r="CF40" s="1509" t="b">
        <v>0</v>
      </c>
      <c r="CG40" s="1502"/>
      <c r="CH40" s="1512" t="str">
        <f>IFNA(VLOOKUP(CG40,'法術資料'!$K$2:$X$805,4,FALSE),"")
</f>
        <v/>
      </c>
      <c r="CI40" s="1511" t="str">
        <f>IFNA(VLOOKUP(CG40,'法術資料'!$K$2:$X$805,7,FALSE),"")</f>
        <v/>
      </c>
      <c r="CJ40" s="1141"/>
      <c r="CK40" s="1511" t="str">
        <f>IFNA(VLOOKUP(CG40,'法術資料'!$K$2:$X$805,8,FALSE),"")</f>
        <v/>
      </c>
      <c r="CL40" s="1141"/>
      <c r="CM40" s="1511" t="str">
        <f>IFNA(VLOOKUP(CG40,'法術資料'!$K$2:$X$805,14,FALSE),"")</f>
        <v/>
      </c>
      <c r="CN40" s="1141"/>
      <c r="CO40" s="1365" t="str">
        <f>IFNA(VLOOKUP(CG40,'法術資料'!$K$2:$X$805,13,FALSE),"")</f>
        <v/>
      </c>
      <c r="CP40" s="1365" t="str">
        <f>IFNA(VLOOKUP(CG40,'法術資料'!$K$2:$X$805,5,FALSE),"")</f>
        <v/>
      </c>
      <c r="CQ40" s="1365" t="str">
        <f>IFNA(VLOOKUP(CG40,'法術資料'!$K$2:$X$805,6,FALSE),"")</f>
        <v/>
      </c>
      <c r="CR40" s="1366" t="str">
        <f>IFNA(VLOOKUP(CG40,'法術資料'!$K$2:$X$805,9,FALSE),"")</f>
        <v/>
      </c>
      <c r="CS40" s="1367" t="str">
        <f>IFNA(VLOOKUP(CG40,'法術資料'!$K$2:$X$805,10,FALSE),"")</f>
        <v/>
      </c>
      <c r="CT40" s="1367" t="str">
        <f>IFNA(VLOOKUP($Y40,'法術資料'!$K$2:$X$805,11,FALSE),"")</f>
        <v/>
      </c>
      <c r="CU40" s="1511" t="str">
        <f>IFNA(VLOOKUP(CG40,'法術資料'!$K$2:$X$805,12,FALSE),"")</f>
        <v/>
      </c>
      <c r="CV40" s="376"/>
      <c r="CW40" s="1369"/>
      <c r="CX40" s="455"/>
      <c r="CY40" s="1356"/>
      <c r="CZ40" s="1509" t="b">
        <v>0</v>
      </c>
      <c r="DA40" s="1514"/>
      <c r="DB40" s="1512" t="str">
        <f>IFNA(VLOOKUP(DA40,'法術資料'!$K$2:$X$805,4,FALSE),"")
</f>
        <v/>
      </c>
      <c r="DC40" s="1511" t="str">
        <f>IFNA(VLOOKUP(DA40,'法術資料'!$K$2:$X$805,7,FALSE),"")</f>
        <v/>
      </c>
      <c r="DD40" s="1141"/>
      <c r="DE40" s="1511" t="str">
        <f>IFNA(VLOOKUP(DA40,'法術資料'!$K$2:$X$805,8,FALSE),"")</f>
        <v/>
      </c>
      <c r="DF40" s="1141"/>
      <c r="DG40" s="1511" t="str">
        <f>IFNA(VLOOKUP(DA40,'法術資料'!$K$2:$X$805,14,FALSE),"")</f>
        <v/>
      </c>
      <c r="DH40" s="1141"/>
      <c r="DI40" s="1365" t="str">
        <f>IFNA(VLOOKUP(DA40,'法術資料'!$K$2:$X$805,13,FALSE),"")</f>
        <v/>
      </c>
      <c r="DJ40" s="1365" t="str">
        <f>IFNA(VLOOKUP(DA40,'法術資料'!$K$2:$X$805,5,FALSE),"")</f>
        <v/>
      </c>
      <c r="DK40" s="1365" t="str">
        <f>IFNA(VLOOKUP(DA40,'法術資料'!$K$2:$X$805,6,FALSE),"")</f>
        <v/>
      </c>
      <c r="DL40" s="1366" t="str">
        <f>IFNA(VLOOKUP(DA40,'法術資料'!$K$2:$X$805,9,FALSE),"")</f>
        <v/>
      </c>
      <c r="DM40" s="1367" t="str">
        <f>IFNA(VLOOKUP(DA40,'法術資料'!$K$2:$X$805,10,FALSE),"")</f>
        <v/>
      </c>
      <c r="DN40" s="1367" t="str">
        <f>IFNA(VLOOKUP($Y40,'法術資料'!$K$2:$X$805,11,FALSE),"")</f>
        <v/>
      </c>
      <c r="DO40" s="1511" t="str">
        <f>IFNA(VLOOKUP(DA40,'法術資料'!$K$2:$X$805,12,FALSE),"")</f>
        <v/>
      </c>
      <c r="DP40" s="376"/>
      <c r="DQ40" s="1369"/>
      <c r="DR40" s="455"/>
      <c r="DS40" s="1356"/>
      <c r="DT40" s="1509" t="b">
        <v>0</v>
      </c>
      <c r="DU40" s="1514"/>
      <c r="DV40" s="1512" t="str">
        <f>IFNA(VLOOKUP(DU40,'法術資料'!$K$2:$X$805,4,FALSE),"")
</f>
        <v/>
      </c>
      <c r="DW40" s="1511" t="str">
        <f>IFNA(VLOOKUP(DU40,'法術資料'!$K$2:$X$805,7,FALSE),"")</f>
        <v/>
      </c>
      <c r="DX40" s="1141"/>
      <c r="DY40" s="1511" t="str">
        <f>IFNA(VLOOKUP(DU40,'法術資料'!$K$2:$X$805,8,FALSE),"")</f>
        <v/>
      </c>
      <c r="DZ40" s="1141"/>
      <c r="EA40" s="1511" t="str">
        <f>IFNA(VLOOKUP(DU40,'法術資料'!$K$2:$X$805,14,FALSE),"")</f>
        <v/>
      </c>
      <c r="EB40" s="1141"/>
      <c r="EC40" s="1365" t="str">
        <f>IFNA(VLOOKUP(DU40,'法術資料'!$K$2:$X$805,13,FALSE),"")</f>
        <v/>
      </c>
      <c r="ED40" s="1365" t="str">
        <f>IFNA(VLOOKUP(DU40,'法術資料'!$K$2:$X$805,5,FALSE),"")</f>
        <v/>
      </c>
      <c r="EE40" s="1365" t="str">
        <f>IFNA(VLOOKUP(DU40,'法術資料'!$K$2:$X$805,6,FALSE),"")</f>
        <v/>
      </c>
      <c r="EF40" s="1366" t="str">
        <f>IFNA(VLOOKUP(DU40,'法術資料'!$K$2:$X$805,9,FALSE),"")</f>
        <v/>
      </c>
      <c r="EG40" s="1367" t="str">
        <f>IFNA(VLOOKUP(DU40,'法術資料'!$K$2:$X$805,10,FALSE),"")</f>
        <v/>
      </c>
      <c r="EH40" s="1367" t="str">
        <f>IFNA(VLOOKUP($Y40,'法術資料'!$K$2:$X$805,11,FALSE),"")</f>
        <v/>
      </c>
      <c r="EI40" s="1511" t="str">
        <f>IFNA(VLOOKUP(DU40,'法術資料'!$K$2:$X$805,12,FALSE),"")</f>
        <v/>
      </c>
      <c r="EJ40" s="376"/>
      <c r="EK40" s="1369"/>
      <c r="EL40" s="455"/>
      <c r="EM40" s="1356"/>
      <c r="EN40" s="1509" t="b">
        <v>0</v>
      </c>
      <c r="EO40" s="1514"/>
      <c r="EP40" s="1512" t="str">
        <f>IFNA(VLOOKUP(EO40,'法術資料'!$K$2:$X$805,4,FALSE),"")
</f>
        <v/>
      </c>
      <c r="EQ40" s="1511" t="str">
        <f>IFNA(VLOOKUP(EO40,'法術資料'!$K$2:$X$805,7,FALSE),"")</f>
        <v/>
      </c>
      <c r="ER40" s="1141"/>
      <c r="ES40" s="1511" t="str">
        <f>IFNA(VLOOKUP(EO40,'法術資料'!$K$2:$X$805,8,FALSE),"")</f>
        <v/>
      </c>
      <c r="ET40" s="1141"/>
      <c r="EU40" s="1511" t="str">
        <f>IFNA(VLOOKUP(EO40,'法術資料'!$K$2:$X$805,14,FALSE),"")</f>
        <v/>
      </c>
      <c r="EV40" s="1141"/>
      <c r="EW40" s="1365" t="str">
        <f>IFNA(VLOOKUP(EO40,'法術資料'!$K$2:$X$805,13,FALSE),"")</f>
        <v/>
      </c>
      <c r="EX40" s="1365" t="str">
        <f>IFNA(VLOOKUP(EO40,'法術資料'!$K$2:$X$805,5,FALSE),"")</f>
        <v/>
      </c>
      <c r="EY40" s="1365" t="str">
        <f>IFNA(VLOOKUP(EO40,'法術資料'!$K$2:$X$805,6,FALSE),"")</f>
        <v/>
      </c>
      <c r="EZ40" s="1366" t="str">
        <f>IFNA(VLOOKUP(EO40,'法術資料'!$K$2:$X$805,9,FALSE),"")</f>
        <v/>
      </c>
      <c r="FA40" s="1367" t="str">
        <f>IFNA(VLOOKUP(EO40,'法術資料'!$K$2:$X$805,10,FALSE),"")</f>
        <v/>
      </c>
      <c r="FB40" s="1367" t="str">
        <f>IFNA(VLOOKUP($Y40,'法術資料'!$K$2:$X$805,11,FALSE),"")</f>
        <v/>
      </c>
      <c r="FC40" s="1511" t="str">
        <f>IFNA(VLOOKUP(EO40,'法術資料'!$K$2:$X$805,12,FALSE),"")</f>
        <v/>
      </c>
      <c r="FD40" s="376"/>
      <c r="FE40" s="1369"/>
      <c r="FF40" s="455"/>
      <c r="FG40" s="1356"/>
      <c r="FH40" s="1509" t="b">
        <v>0</v>
      </c>
      <c r="FI40" s="1514"/>
      <c r="FJ40" s="1512" t="str">
        <f>IFNA(VLOOKUP(FI40,'法術資料'!$K$2:$X$805,4,FALSE),"")
</f>
        <v/>
      </c>
      <c r="FK40" s="1511" t="str">
        <f>IFNA(VLOOKUP(FI40,'法術資料'!$K$2:$X$805,7,FALSE),"")</f>
        <v/>
      </c>
      <c r="FL40" s="1141"/>
      <c r="FM40" s="1511" t="str">
        <f>IFNA(VLOOKUP(FI40,'法術資料'!$K$2:$X$805,8,FALSE),"")</f>
        <v/>
      </c>
      <c r="FN40" s="1141"/>
      <c r="FO40" s="1511" t="str">
        <f>IFNA(VLOOKUP(FI40,'法術資料'!$K$2:$X$805,14,FALSE),"")</f>
        <v/>
      </c>
      <c r="FP40" s="1141"/>
      <c r="FQ40" s="1365" t="str">
        <f>IFNA(VLOOKUP(FI40,'法術資料'!$K$2:$X$805,13,FALSE),"")</f>
        <v/>
      </c>
      <c r="FR40" s="1365" t="str">
        <f>IFNA(VLOOKUP(FI40,'法術資料'!$K$2:$X$805,5,FALSE),"")</f>
        <v/>
      </c>
      <c r="FS40" s="1365" t="str">
        <f>IFNA(VLOOKUP(FI40,'法術資料'!$K$2:$X$805,6,FALSE),"")</f>
        <v/>
      </c>
      <c r="FT40" s="1366" t="str">
        <f>IFNA(VLOOKUP(FI40,'法術資料'!$K$2:$X$805,9,FALSE),"")</f>
        <v/>
      </c>
      <c r="FU40" s="1367" t="str">
        <f>IFNA(VLOOKUP(FI40,'法術資料'!$K$2:$X$805,10,FALSE),"")</f>
        <v/>
      </c>
      <c r="FV40" s="1367" t="str">
        <f>IFNA(VLOOKUP($Y40,'法術資料'!$K$2:$X$805,11,FALSE),"")</f>
        <v/>
      </c>
      <c r="FW40" s="1511" t="str">
        <f>IFNA(VLOOKUP(FI40,'法術資料'!$K$2:$X$805,12,FALSE),"")</f>
        <v/>
      </c>
      <c r="FX40" s="376"/>
      <c r="FY40" s="1369"/>
      <c r="FZ40" s="455"/>
    </row>
    <row r="41">
      <c r="A41" s="455"/>
      <c r="B41" s="1356"/>
      <c r="C41" s="1503" t="b">
        <v>0</v>
      </c>
      <c r="D41" s="1504"/>
      <c r="E41" s="1505" t="str">
        <f>IFNA(VLOOKUP($D41,'法術資料'!$K$2:$X$805,4,FALSE),"")
</f>
        <v/>
      </c>
      <c r="F41" s="1506" t="str">
        <f>IFNA(VLOOKUP($D41,'法術資料'!$K$2:$X$805,7,FALSE),"")</f>
        <v/>
      </c>
      <c r="G41" s="1141"/>
      <c r="H41" s="1506" t="str">
        <f>IFNA(VLOOKUP($D41,'法術資料'!$K$2:$X$805,8,FALSE),"")</f>
        <v/>
      </c>
      <c r="I41" s="1141"/>
      <c r="J41" s="1506" t="str">
        <f>IFNA(VLOOKUP($D41,'法術資料'!$K$2:$X$805,14,FALSE),"")</f>
        <v/>
      </c>
      <c r="K41" s="1141"/>
      <c r="L41" s="1506" t="str">
        <f>IFNA(VLOOKUP($D41,'法術資料'!$K$2:$X$805,13,FALSE),"")</f>
        <v/>
      </c>
      <c r="M41" s="1141"/>
      <c r="N41" s="1377" t="str">
        <f>IFNA(VLOOKUP($D41,'法術資料'!$K$2:$X$805,5,FALSE),"")</f>
        <v/>
      </c>
      <c r="O41" s="1377" t="str">
        <f>IFNA(VLOOKUP($D41,'法術資料'!$K$2:$X$805,6,FALSE),"")</f>
        <v/>
      </c>
      <c r="P41" s="1378" t="str">
        <f>IFNA(VLOOKUP($D41,'法術資料'!$K$2:$X$805,9,FALSE),"")</f>
        <v/>
      </c>
      <c r="Q41" s="1379" t="str">
        <f>IFNA(VLOOKUP($D41,'法術資料'!$K$2:$X$805,10,FALSE),"")</f>
        <v/>
      </c>
      <c r="R41" s="1379" t="str">
        <f>IFNA(VLOOKUP($D41,'法術資料'!$K$2:$X$805,11,FALSE),"")</f>
        <v/>
      </c>
      <c r="S41" s="1506" t="str">
        <f>IFNA(VLOOKUP($D41,'法術資料'!$K$2:$X$805,12,FALSE),"")</f>
        <v/>
      </c>
      <c r="T41" s="376"/>
      <c r="U41" s="1369"/>
      <c r="V41" s="455"/>
      <c r="W41" s="1356"/>
      <c r="X41" s="1503" t="b">
        <v>0</v>
      </c>
      <c r="Y41" s="1508"/>
      <c r="Z41" s="1507" t="str">
        <f>IFNA(VLOOKUP(Y41,'法術資料'!$K$2:$X$805,4,FALSE),"")
</f>
        <v/>
      </c>
      <c r="AA41" s="1506" t="str">
        <f>IFNA(VLOOKUP($Y41,'法術資料'!$K$2:$X$805,7,FALSE),"")</f>
        <v/>
      </c>
      <c r="AB41" s="1141"/>
      <c r="AC41" s="1506" t="str">
        <f>IFNA(VLOOKUP($Y41,'法術資料'!$K$2:$X$805,8,FALSE),"")</f>
        <v/>
      </c>
      <c r="AD41" s="1141"/>
      <c r="AE41" s="1506" t="str">
        <f>IFNA(VLOOKUP($Y41,'法術資料'!$K$2:$X$805,14,FALSE),"")</f>
        <v/>
      </c>
      <c r="AF41" s="1141"/>
      <c r="AG41" s="1377" t="str">
        <f>IFNA(VLOOKUP($Y41,'法術資料'!$K$2:$X$805,13,FALSE),"")</f>
        <v/>
      </c>
      <c r="AH41" s="1377" t="str">
        <f>IFNA(VLOOKUP($Y41,'法術資料'!$K$2:$X$805,5,FALSE),"")</f>
        <v/>
      </c>
      <c r="AI41" s="1377" t="str">
        <f>IFNA(VLOOKUP($Y41,'法術資料'!$K$2:$X$805,6,FALSE),"")</f>
        <v/>
      </c>
      <c r="AJ41" s="1378" t="str">
        <f>IFNA(VLOOKUP($Y41,'法術資料'!$K$2:$X$805,9,FALSE),"")</f>
        <v/>
      </c>
      <c r="AK41" s="1379" t="str">
        <f>IFNA(VLOOKUP($Y41,'法術資料'!$K$2:$X$805,10,FALSE),"")</f>
        <v/>
      </c>
      <c r="AL41" s="1379" t="str">
        <f>IFNA(VLOOKUP($Y41,'法術資料'!$K$2:$X$805,11,FALSE),"")</f>
        <v/>
      </c>
      <c r="AM41" s="1506" t="str">
        <f>IFNA(VLOOKUP($Y41,'法術資料'!$K$2:$X$805,12,FALSE),"")</f>
        <v/>
      </c>
      <c r="AN41" s="376"/>
      <c r="AO41" s="1369"/>
      <c r="AP41" s="455"/>
      <c r="AQ41" s="1356"/>
      <c r="AR41" s="1503" t="b">
        <v>0</v>
      </c>
      <c r="AS41" s="1508"/>
      <c r="AT41" s="1507" t="str">
        <f>IFNA(VLOOKUP(AS41,'法術資料'!$K$2:$X$805,4,FALSE),"")
</f>
        <v/>
      </c>
      <c r="AU41" s="1506" t="str">
        <f>IFNA(VLOOKUP(AS41,'法術資料'!$K$2:$X$805,7,FALSE),"")</f>
        <v/>
      </c>
      <c r="AV41" s="1141"/>
      <c r="AW41" s="1506" t="str">
        <f>IFNA(VLOOKUP(AS41,'法術資料'!$K$2:$X$805,8,FALSE),"")</f>
        <v/>
      </c>
      <c r="AX41" s="1141"/>
      <c r="AY41" s="1506" t="str">
        <f>IFNA(VLOOKUP(AS41,'法術資料'!$K$2:$X$805,14,FALSE),"")</f>
        <v/>
      </c>
      <c r="AZ41" s="1141"/>
      <c r="BA41" s="1377" t="str">
        <f>IFNA(VLOOKUP(AS41,'法術資料'!$K$2:$X$805,13,FALSE),"")</f>
        <v/>
      </c>
      <c r="BB41" s="1377" t="str">
        <f>IFNA(VLOOKUP(AS41,'法術資料'!$K$2:$X$805,5,FALSE),"")</f>
        <v/>
      </c>
      <c r="BC41" s="1377" t="str">
        <f>IFNA(VLOOKUP(AS41,'法術資料'!$K$2:$X$805,6,FALSE),"")</f>
        <v/>
      </c>
      <c r="BD41" s="1378" t="str">
        <f>IFNA(VLOOKUP(AS41,'法術資料'!$K$2:$X$805,9,FALSE),"")</f>
        <v/>
      </c>
      <c r="BE41" s="1379" t="str">
        <f>IFNA(VLOOKUP(AS41,'法術資料'!$K$2:$X$805,10,FALSE),"")</f>
        <v/>
      </c>
      <c r="BF41" s="1379" t="str">
        <f>IFNA(VLOOKUP($Y41,'法術資料'!$K$2:$X$805,11,FALSE),"")</f>
        <v/>
      </c>
      <c r="BG41" s="1506" t="str">
        <f>IFNA(VLOOKUP(AS41,'法術資料'!$K$2:$X$805,12,FALSE),"")</f>
        <v/>
      </c>
      <c r="BH41" s="376"/>
      <c r="BI41" s="1369"/>
      <c r="BJ41" s="455"/>
      <c r="BK41" s="1356"/>
      <c r="BL41" s="1503" t="b">
        <v>0</v>
      </c>
      <c r="BM41" s="1508"/>
      <c r="BN41" s="1507" t="str">
        <f>IFNA(VLOOKUP(BM41,'法術資料'!$K$2:$X$805,4,FALSE),"")
</f>
        <v/>
      </c>
      <c r="BO41" s="1506" t="str">
        <f>IFNA(VLOOKUP(BM41,'法術資料'!$K$2:$X$805,7,FALSE),"")</f>
        <v/>
      </c>
      <c r="BP41" s="1141"/>
      <c r="BQ41" s="1506" t="str">
        <f>IFNA(VLOOKUP(BM41,'法術資料'!$K$2:$X$805,8,FALSE),"")</f>
        <v/>
      </c>
      <c r="BR41" s="1141"/>
      <c r="BS41" s="1506" t="str">
        <f>IFNA(VLOOKUP(BM41,'法術資料'!$K$2:$X$805,14,FALSE),"")</f>
        <v/>
      </c>
      <c r="BT41" s="1141"/>
      <c r="BU41" s="1377" t="str">
        <f>IFNA(VLOOKUP(BM41,'法術資料'!$K$2:$X$805,13,FALSE),"")</f>
        <v/>
      </c>
      <c r="BV41" s="1377" t="str">
        <f>IFNA(VLOOKUP(BM41,'法術資料'!$K$2:$X$805,5,FALSE),"")</f>
        <v/>
      </c>
      <c r="BW41" s="1377" t="str">
        <f>IFNA(VLOOKUP(BM41,'法術資料'!$K$2:$X$805,6,FALSE),"")</f>
        <v/>
      </c>
      <c r="BX41" s="1378" t="str">
        <f>IFNA(VLOOKUP(BM41,'法術資料'!$K$2:$X$805,9,FALSE),"")</f>
        <v/>
      </c>
      <c r="BY41" s="1379" t="str">
        <f>IFNA(VLOOKUP(BM41,'法術資料'!$K$2:$X$805,10,FALSE),"")</f>
        <v/>
      </c>
      <c r="BZ41" s="1379" t="str">
        <f>IFNA(VLOOKUP($Y41,'法術資料'!$K$2:$X$805,11,FALSE),"")</f>
        <v/>
      </c>
      <c r="CA41" s="1506" t="str">
        <f>IFNA(VLOOKUP(BM41,'法術資料'!$K$2:$X$805,12,FALSE),"")</f>
        <v/>
      </c>
      <c r="CB41" s="376"/>
      <c r="CC41" s="1369"/>
      <c r="CD41" s="455"/>
      <c r="CE41" s="1356"/>
      <c r="CF41" s="1503" t="b">
        <v>0</v>
      </c>
      <c r="CG41" s="1508"/>
      <c r="CH41" s="1507" t="str">
        <f>IFNA(VLOOKUP(CG41,'法術資料'!$K$2:$X$805,4,FALSE),"")
</f>
        <v/>
      </c>
      <c r="CI41" s="1506" t="str">
        <f>IFNA(VLOOKUP(CG41,'法術資料'!$K$2:$X$805,7,FALSE),"")</f>
        <v/>
      </c>
      <c r="CJ41" s="1141"/>
      <c r="CK41" s="1506" t="str">
        <f>IFNA(VLOOKUP(CG41,'法術資料'!$K$2:$X$805,8,FALSE),"")</f>
        <v/>
      </c>
      <c r="CL41" s="1141"/>
      <c r="CM41" s="1506" t="str">
        <f>IFNA(VLOOKUP(CG41,'法術資料'!$K$2:$X$805,14,FALSE),"")</f>
        <v/>
      </c>
      <c r="CN41" s="1141"/>
      <c r="CO41" s="1377" t="str">
        <f>IFNA(VLOOKUP(CG41,'法術資料'!$K$2:$X$805,13,FALSE),"")</f>
        <v/>
      </c>
      <c r="CP41" s="1377" t="str">
        <f>IFNA(VLOOKUP(CG41,'法術資料'!$K$2:$X$805,5,FALSE),"")</f>
        <v/>
      </c>
      <c r="CQ41" s="1377" t="str">
        <f>IFNA(VLOOKUP(CG41,'法術資料'!$K$2:$X$805,6,FALSE),"")</f>
        <v/>
      </c>
      <c r="CR41" s="1378" t="str">
        <f>IFNA(VLOOKUP(CG41,'法術資料'!$K$2:$X$805,9,FALSE),"")</f>
        <v/>
      </c>
      <c r="CS41" s="1379" t="str">
        <f>IFNA(VLOOKUP(CG41,'法術資料'!$K$2:$X$805,10,FALSE),"")</f>
        <v/>
      </c>
      <c r="CT41" s="1379" t="str">
        <f>IFNA(VLOOKUP($Y41,'法術資料'!$K$2:$X$805,11,FALSE),"")</f>
        <v/>
      </c>
      <c r="CU41" s="1506" t="str">
        <f>IFNA(VLOOKUP(CG41,'法術資料'!$K$2:$X$805,12,FALSE),"")</f>
        <v/>
      </c>
      <c r="CV41" s="376"/>
      <c r="CW41" s="1369"/>
      <c r="CX41" s="455"/>
      <c r="CY41" s="1356"/>
      <c r="CZ41" s="1503" t="b">
        <v>0</v>
      </c>
      <c r="DA41" s="1515"/>
      <c r="DB41" s="1507" t="str">
        <f>IFNA(VLOOKUP(DA41,'法術資料'!$K$2:$X$805,4,FALSE),"")
</f>
        <v/>
      </c>
      <c r="DC41" s="1506" t="str">
        <f>IFNA(VLOOKUP(DA41,'法術資料'!$K$2:$X$805,7,FALSE),"")</f>
        <v/>
      </c>
      <c r="DD41" s="1141"/>
      <c r="DE41" s="1506" t="str">
        <f>IFNA(VLOOKUP(DA41,'法術資料'!$K$2:$X$805,8,FALSE),"")</f>
        <v/>
      </c>
      <c r="DF41" s="1141"/>
      <c r="DG41" s="1506" t="str">
        <f>IFNA(VLOOKUP(DA41,'法術資料'!$K$2:$X$805,14,FALSE),"")</f>
        <v/>
      </c>
      <c r="DH41" s="1141"/>
      <c r="DI41" s="1377" t="str">
        <f>IFNA(VLOOKUP(DA41,'法術資料'!$K$2:$X$805,13,FALSE),"")</f>
        <v/>
      </c>
      <c r="DJ41" s="1377" t="str">
        <f>IFNA(VLOOKUP(DA41,'法術資料'!$K$2:$X$805,5,FALSE),"")</f>
        <v/>
      </c>
      <c r="DK41" s="1377" t="str">
        <f>IFNA(VLOOKUP(DA41,'法術資料'!$K$2:$X$805,6,FALSE),"")</f>
        <v/>
      </c>
      <c r="DL41" s="1378" t="str">
        <f>IFNA(VLOOKUP(DA41,'法術資料'!$K$2:$X$805,9,FALSE),"")</f>
        <v/>
      </c>
      <c r="DM41" s="1379" t="str">
        <f>IFNA(VLOOKUP(DA41,'法術資料'!$K$2:$X$805,10,FALSE),"")</f>
        <v/>
      </c>
      <c r="DN41" s="1379" t="str">
        <f>IFNA(VLOOKUP($Y41,'法術資料'!$K$2:$X$805,11,FALSE),"")</f>
        <v/>
      </c>
      <c r="DO41" s="1506" t="str">
        <f>IFNA(VLOOKUP(DA41,'法術資料'!$K$2:$X$805,12,FALSE),"")</f>
        <v/>
      </c>
      <c r="DP41" s="376"/>
      <c r="DQ41" s="1369"/>
      <c r="DR41" s="455"/>
      <c r="DS41" s="1356"/>
      <c r="DT41" s="1503" t="b">
        <v>0</v>
      </c>
      <c r="DU41" s="1515"/>
      <c r="DV41" s="1507" t="str">
        <f>IFNA(VLOOKUP(DU41,'法術資料'!$K$2:$X$805,4,FALSE),"")
</f>
        <v/>
      </c>
      <c r="DW41" s="1506" t="str">
        <f>IFNA(VLOOKUP(DU41,'法術資料'!$K$2:$X$805,7,FALSE),"")</f>
        <v/>
      </c>
      <c r="DX41" s="1141"/>
      <c r="DY41" s="1506" t="str">
        <f>IFNA(VLOOKUP(DU41,'法術資料'!$K$2:$X$805,8,FALSE),"")</f>
        <v/>
      </c>
      <c r="DZ41" s="1141"/>
      <c r="EA41" s="1506" t="str">
        <f>IFNA(VLOOKUP(DU41,'法術資料'!$K$2:$X$805,14,FALSE),"")</f>
        <v/>
      </c>
      <c r="EB41" s="1141"/>
      <c r="EC41" s="1377" t="str">
        <f>IFNA(VLOOKUP(DU41,'法術資料'!$K$2:$X$805,13,FALSE),"")</f>
        <v/>
      </c>
      <c r="ED41" s="1377" t="str">
        <f>IFNA(VLOOKUP(DU41,'法術資料'!$K$2:$X$805,5,FALSE),"")</f>
        <v/>
      </c>
      <c r="EE41" s="1377" t="str">
        <f>IFNA(VLOOKUP(DU41,'法術資料'!$K$2:$X$805,6,FALSE),"")</f>
        <v/>
      </c>
      <c r="EF41" s="1378" t="str">
        <f>IFNA(VLOOKUP(DU41,'法術資料'!$K$2:$X$805,9,FALSE),"")</f>
        <v/>
      </c>
      <c r="EG41" s="1379" t="str">
        <f>IFNA(VLOOKUP(DU41,'法術資料'!$K$2:$X$805,10,FALSE),"")</f>
        <v/>
      </c>
      <c r="EH41" s="1379" t="str">
        <f>IFNA(VLOOKUP($Y41,'法術資料'!$K$2:$X$805,11,FALSE),"")</f>
        <v/>
      </c>
      <c r="EI41" s="1506" t="str">
        <f>IFNA(VLOOKUP(DU41,'法術資料'!$K$2:$X$805,12,FALSE),"")</f>
        <v/>
      </c>
      <c r="EJ41" s="376"/>
      <c r="EK41" s="1369"/>
      <c r="EL41" s="455"/>
      <c r="EM41" s="1356"/>
      <c r="EN41" s="1503" t="b">
        <v>0</v>
      </c>
      <c r="EO41" s="1515"/>
      <c r="EP41" s="1507" t="str">
        <f>IFNA(VLOOKUP(EO41,'法術資料'!$K$2:$X$805,4,FALSE),"")
</f>
        <v/>
      </c>
      <c r="EQ41" s="1506" t="str">
        <f>IFNA(VLOOKUP(EO41,'法術資料'!$K$2:$X$805,7,FALSE),"")</f>
        <v/>
      </c>
      <c r="ER41" s="1141"/>
      <c r="ES41" s="1506" t="str">
        <f>IFNA(VLOOKUP(EO41,'法術資料'!$K$2:$X$805,8,FALSE),"")</f>
        <v/>
      </c>
      <c r="ET41" s="1141"/>
      <c r="EU41" s="1506" t="str">
        <f>IFNA(VLOOKUP(EO41,'法術資料'!$K$2:$X$805,14,FALSE),"")</f>
        <v/>
      </c>
      <c r="EV41" s="1141"/>
      <c r="EW41" s="1377" t="str">
        <f>IFNA(VLOOKUP(EO41,'法術資料'!$K$2:$X$805,13,FALSE),"")</f>
        <v/>
      </c>
      <c r="EX41" s="1377" t="str">
        <f>IFNA(VLOOKUP(EO41,'法術資料'!$K$2:$X$805,5,FALSE),"")</f>
        <v/>
      </c>
      <c r="EY41" s="1377" t="str">
        <f>IFNA(VLOOKUP(EO41,'法術資料'!$K$2:$X$805,6,FALSE),"")</f>
        <v/>
      </c>
      <c r="EZ41" s="1378" t="str">
        <f>IFNA(VLOOKUP(EO41,'法術資料'!$K$2:$X$805,9,FALSE),"")</f>
        <v/>
      </c>
      <c r="FA41" s="1379" t="str">
        <f>IFNA(VLOOKUP(EO41,'法術資料'!$K$2:$X$805,10,FALSE),"")</f>
        <v/>
      </c>
      <c r="FB41" s="1379" t="str">
        <f>IFNA(VLOOKUP($Y41,'法術資料'!$K$2:$X$805,11,FALSE),"")</f>
        <v/>
      </c>
      <c r="FC41" s="1506" t="str">
        <f>IFNA(VLOOKUP(EO41,'法術資料'!$K$2:$X$805,12,FALSE),"")</f>
        <v/>
      </c>
      <c r="FD41" s="376"/>
      <c r="FE41" s="1369"/>
      <c r="FF41" s="455"/>
      <c r="FG41" s="1356"/>
      <c r="FH41" s="1503" t="b">
        <v>0</v>
      </c>
      <c r="FI41" s="1515"/>
      <c r="FJ41" s="1507" t="str">
        <f>IFNA(VLOOKUP(FI41,'法術資料'!$K$2:$X$805,4,FALSE),"")
</f>
        <v/>
      </c>
      <c r="FK41" s="1506" t="str">
        <f>IFNA(VLOOKUP(FI41,'法術資料'!$K$2:$X$805,7,FALSE),"")</f>
        <v/>
      </c>
      <c r="FL41" s="1141"/>
      <c r="FM41" s="1506" t="str">
        <f>IFNA(VLOOKUP(FI41,'法術資料'!$K$2:$X$805,8,FALSE),"")</f>
        <v/>
      </c>
      <c r="FN41" s="1141"/>
      <c r="FO41" s="1506" t="str">
        <f>IFNA(VLOOKUP(FI41,'法術資料'!$K$2:$X$805,14,FALSE),"")</f>
        <v/>
      </c>
      <c r="FP41" s="1141"/>
      <c r="FQ41" s="1377" t="str">
        <f>IFNA(VLOOKUP(FI41,'法術資料'!$K$2:$X$805,13,FALSE),"")</f>
        <v/>
      </c>
      <c r="FR41" s="1377" t="str">
        <f>IFNA(VLOOKUP(FI41,'法術資料'!$K$2:$X$805,5,FALSE),"")</f>
        <v/>
      </c>
      <c r="FS41" s="1377" t="str">
        <f>IFNA(VLOOKUP(FI41,'法術資料'!$K$2:$X$805,6,FALSE),"")</f>
        <v/>
      </c>
      <c r="FT41" s="1378" t="str">
        <f>IFNA(VLOOKUP(FI41,'法術資料'!$K$2:$X$805,9,FALSE),"")</f>
        <v/>
      </c>
      <c r="FU41" s="1379" t="str">
        <f>IFNA(VLOOKUP(FI41,'法術資料'!$K$2:$X$805,10,FALSE),"")</f>
        <v/>
      </c>
      <c r="FV41" s="1379" t="str">
        <f>IFNA(VLOOKUP($Y41,'法術資料'!$K$2:$X$805,11,FALSE),"")</f>
        <v/>
      </c>
      <c r="FW41" s="1506" t="str">
        <f>IFNA(VLOOKUP(FI41,'法術資料'!$K$2:$X$805,12,FALSE),"")</f>
        <v/>
      </c>
      <c r="FX41" s="376"/>
      <c r="FY41" s="1369"/>
      <c r="FZ41" s="455"/>
    </row>
    <row r="42">
      <c r="A42" s="455"/>
      <c r="B42" s="1356"/>
      <c r="C42" s="1509" t="b">
        <v>0</v>
      </c>
      <c r="D42" s="1502"/>
      <c r="E42" s="1510" t="str">
        <f>IFNA(VLOOKUP($D42,'法術資料'!$K$2:$X$805,4,FALSE),"")
</f>
        <v/>
      </c>
      <c r="F42" s="1511" t="str">
        <f>IFNA(VLOOKUP($D42,'法術資料'!$K$2:$X$805,7,FALSE),"")</f>
        <v/>
      </c>
      <c r="G42" s="1141"/>
      <c r="H42" s="1511" t="str">
        <f>IFNA(VLOOKUP($D42,'法術資料'!$K$2:$X$805,8,FALSE),"")</f>
        <v/>
      </c>
      <c r="I42" s="1141"/>
      <c r="J42" s="1511" t="str">
        <f>IFNA(VLOOKUP($D42,'法術資料'!$K$2:$X$805,14,FALSE),"")</f>
        <v/>
      </c>
      <c r="K42" s="1141"/>
      <c r="L42" s="1511" t="str">
        <f>IFNA(VLOOKUP($D42,'法術資料'!$K$2:$X$805,13,FALSE),"")</f>
        <v/>
      </c>
      <c r="M42" s="1141"/>
      <c r="N42" s="1365" t="str">
        <f>IFNA(VLOOKUP($D42,'法術資料'!$K$2:$X$805,5,FALSE),"")</f>
        <v/>
      </c>
      <c r="O42" s="1365" t="str">
        <f>IFNA(VLOOKUP($D42,'法術資料'!$K$2:$X$805,6,FALSE),"")</f>
        <v/>
      </c>
      <c r="P42" s="1366" t="str">
        <f>IFNA(VLOOKUP($D42,'法術資料'!$K$2:$X$805,9,FALSE),"")</f>
        <v/>
      </c>
      <c r="Q42" s="1367" t="str">
        <f>IFNA(VLOOKUP($D42,'法術資料'!$K$2:$X$805,10,FALSE),"")</f>
        <v/>
      </c>
      <c r="R42" s="1367" t="str">
        <f>IFNA(VLOOKUP($D42,'法術資料'!$K$2:$X$805,11,FALSE),"")</f>
        <v/>
      </c>
      <c r="S42" s="1511" t="str">
        <f>IFNA(VLOOKUP($D42,'法術資料'!$K$2:$X$805,12,FALSE),"")</f>
        <v/>
      </c>
      <c r="T42" s="376"/>
      <c r="U42" s="1369"/>
      <c r="V42" s="455"/>
      <c r="W42" s="1356"/>
      <c r="X42" s="1509" t="b">
        <v>0</v>
      </c>
      <c r="Y42" s="1499"/>
      <c r="Z42" s="1512" t="str">
        <f>IFNA(VLOOKUP(Y42,'法術資料'!$K$2:$X$805,4,FALSE),"")
</f>
        <v/>
      </c>
      <c r="AA42" s="1511" t="str">
        <f>IFNA(VLOOKUP($Y42,'法術資料'!$K$2:$X$805,7,FALSE),"")</f>
        <v/>
      </c>
      <c r="AB42" s="1141"/>
      <c r="AC42" s="1511" t="str">
        <f>IFNA(VLOOKUP($Y42,'法術資料'!$K$2:$X$805,8,FALSE),"")</f>
        <v/>
      </c>
      <c r="AD42" s="1141"/>
      <c r="AE42" s="1511" t="str">
        <f>IFNA(VLOOKUP($Y42,'法術資料'!$K$2:$X$805,14,FALSE),"")</f>
        <v/>
      </c>
      <c r="AF42" s="1141"/>
      <c r="AG42" s="1365" t="str">
        <f>IFNA(VLOOKUP($Y42,'法術資料'!$K$2:$X$805,13,FALSE),"")</f>
        <v/>
      </c>
      <c r="AH42" s="1365" t="str">
        <f>IFNA(VLOOKUP($Y42,'法術資料'!$K$2:$X$805,5,FALSE),"")</f>
        <v/>
      </c>
      <c r="AI42" s="1365" t="str">
        <f>IFNA(VLOOKUP($Y42,'法術資料'!$K$2:$X$805,6,FALSE),"")</f>
        <v/>
      </c>
      <c r="AJ42" s="1366" t="str">
        <f>IFNA(VLOOKUP($Y42,'法術資料'!$K$2:$X$805,9,FALSE),"")</f>
        <v/>
      </c>
      <c r="AK42" s="1367" t="str">
        <f>IFNA(VLOOKUP($Y42,'法術資料'!$K$2:$X$805,10,FALSE),"")</f>
        <v/>
      </c>
      <c r="AL42" s="1367" t="str">
        <f>IFNA(VLOOKUP($Y42,'法術資料'!$K$2:$X$805,11,FALSE),"")</f>
        <v/>
      </c>
      <c r="AM42" s="1511" t="str">
        <f>IFNA(VLOOKUP($Y42,'法術資料'!$K$2:$X$805,12,FALSE),"")</f>
        <v/>
      </c>
      <c r="AN42" s="376"/>
      <c r="AO42" s="1369"/>
      <c r="AP42" s="455"/>
      <c r="AQ42" s="1356"/>
      <c r="AR42" s="1509" t="b">
        <v>0</v>
      </c>
      <c r="AS42" s="1499"/>
      <c r="AT42" s="1512" t="str">
        <f>IFNA(VLOOKUP(AS42,'法術資料'!$K$2:$X$805,4,FALSE),"")
</f>
        <v/>
      </c>
      <c r="AU42" s="1511" t="str">
        <f>IFNA(VLOOKUP(AS42,'法術資料'!$K$2:$X$805,7,FALSE),"")</f>
        <v/>
      </c>
      <c r="AV42" s="1141"/>
      <c r="AW42" s="1511" t="str">
        <f>IFNA(VLOOKUP(AS42,'法術資料'!$K$2:$X$805,8,FALSE),"")</f>
        <v/>
      </c>
      <c r="AX42" s="1141"/>
      <c r="AY42" s="1511" t="str">
        <f>IFNA(VLOOKUP(AS42,'法術資料'!$K$2:$X$805,14,FALSE),"")</f>
        <v/>
      </c>
      <c r="AZ42" s="1141"/>
      <c r="BA42" s="1365" t="str">
        <f>IFNA(VLOOKUP(AS42,'法術資料'!$K$2:$X$805,13,FALSE),"")</f>
        <v/>
      </c>
      <c r="BB42" s="1365" t="str">
        <f>IFNA(VLOOKUP(AS42,'法術資料'!$K$2:$X$805,5,FALSE),"")</f>
        <v/>
      </c>
      <c r="BC42" s="1365" t="str">
        <f>IFNA(VLOOKUP(AS42,'法術資料'!$K$2:$X$805,6,FALSE),"")</f>
        <v/>
      </c>
      <c r="BD42" s="1366" t="str">
        <f>IFNA(VLOOKUP(AS42,'法術資料'!$K$2:$X$805,9,FALSE),"")</f>
        <v/>
      </c>
      <c r="BE42" s="1367" t="str">
        <f>IFNA(VLOOKUP(AS42,'法術資料'!$K$2:$X$805,10,FALSE),"")</f>
        <v/>
      </c>
      <c r="BF42" s="1367" t="str">
        <f>IFNA(VLOOKUP($Y42,'法術資料'!$K$2:$X$805,11,FALSE),"")</f>
        <v/>
      </c>
      <c r="BG42" s="1511" t="str">
        <f>IFNA(VLOOKUP(AS42,'法術資料'!$K$2:$X$805,12,FALSE),"")</f>
        <v/>
      </c>
      <c r="BH42" s="376"/>
      <c r="BI42" s="1369"/>
      <c r="BJ42" s="455"/>
      <c r="BK42" s="1356"/>
      <c r="BL42" s="1509" t="b">
        <v>0</v>
      </c>
      <c r="BM42" s="1499"/>
      <c r="BN42" s="1512" t="str">
        <f>IFNA(VLOOKUP(BM42,'法術資料'!$K$2:$X$805,4,FALSE),"")
</f>
        <v/>
      </c>
      <c r="BO42" s="1511" t="str">
        <f>IFNA(VLOOKUP(BM42,'法術資料'!$K$2:$X$805,7,FALSE),"")</f>
        <v/>
      </c>
      <c r="BP42" s="1141"/>
      <c r="BQ42" s="1511" t="str">
        <f>IFNA(VLOOKUP(BM42,'法術資料'!$K$2:$X$805,8,FALSE),"")</f>
        <v/>
      </c>
      <c r="BR42" s="1141"/>
      <c r="BS42" s="1511" t="str">
        <f>IFNA(VLOOKUP(BM42,'法術資料'!$K$2:$X$805,14,FALSE),"")</f>
        <v/>
      </c>
      <c r="BT42" s="1141"/>
      <c r="BU42" s="1365" t="str">
        <f>IFNA(VLOOKUP(BM42,'法術資料'!$K$2:$X$805,13,FALSE),"")</f>
        <v/>
      </c>
      <c r="BV42" s="1365" t="str">
        <f>IFNA(VLOOKUP(BM42,'法術資料'!$K$2:$X$805,5,FALSE),"")</f>
        <v/>
      </c>
      <c r="BW42" s="1365" t="str">
        <f>IFNA(VLOOKUP(BM42,'法術資料'!$K$2:$X$805,6,FALSE),"")</f>
        <v/>
      </c>
      <c r="BX42" s="1366" t="str">
        <f>IFNA(VLOOKUP(BM42,'法術資料'!$K$2:$X$805,9,FALSE),"")</f>
        <v/>
      </c>
      <c r="BY42" s="1367" t="str">
        <f>IFNA(VLOOKUP(BM42,'法術資料'!$K$2:$X$805,10,FALSE),"")</f>
        <v/>
      </c>
      <c r="BZ42" s="1367" t="str">
        <f>IFNA(VLOOKUP($Y42,'法術資料'!$K$2:$X$805,11,FALSE),"")</f>
        <v/>
      </c>
      <c r="CA42" s="1511" t="str">
        <f>IFNA(VLOOKUP(BM42,'法術資料'!$K$2:$X$805,12,FALSE),"")</f>
        <v/>
      </c>
      <c r="CB42" s="376"/>
      <c r="CC42" s="1369"/>
      <c r="CD42" s="455"/>
      <c r="CE42" s="1356"/>
      <c r="CF42" s="1509" t="b">
        <v>0</v>
      </c>
      <c r="CG42" s="1499"/>
      <c r="CH42" s="1512" t="str">
        <f>IFNA(VLOOKUP(CG42,'法術資料'!$K$2:$X$805,4,FALSE),"")
</f>
        <v/>
      </c>
      <c r="CI42" s="1511" t="str">
        <f>IFNA(VLOOKUP(CG42,'法術資料'!$K$2:$X$805,7,FALSE),"")</f>
        <v/>
      </c>
      <c r="CJ42" s="1141"/>
      <c r="CK42" s="1511" t="str">
        <f>IFNA(VLOOKUP(CG42,'法術資料'!$K$2:$X$805,8,FALSE),"")</f>
        <v/>
      </c>
      <c r="CL42" s="1141"/>
      <c r="CM42" s="1511" t="str">
        <f>IFNA(VLOOKUP(CG42,'法術資料'!$K$2:$X$805,14,FALSE),"")</f>
        <v/>
      </c>
      <c r="CN42" s="1141"/>
      <c r="CO42" s="1365" t="str">
        <f>IFNA(VLOOKUP(CG42,'法術資料'!$K$2:$X$805,13,FALSE),"")</f>
        <v/>
      </c>
      <c r="CP42" s="1365" t="str">
        <f>IFNA(VLOOKUP(CG42,'法術資料'!$K$2:$X$805,5,FALSE),"")</f>
        <v/>
      </c>
      <c r="CQ42" s="1365" t="str">
        <f>IFNA(VLOOKUP(CG42,'法術資料'!$K$2:$X$805,6,FALSE),"")</f>
        <v/>
      </c>
      <c r="CR42" s="1366" t="str">
        <f>IFNA(VLOOKUP(CG42,'法術資料'!$K$2:$X$805,9,FALSE),"")</f>
        <v/>
      </c>
      <c r="CS42" s="1367" t="str">
        <f>IFNA(VLOOKUP(CG42,'法術資料'!$K$2:$X$805,10,FALSE),"")</f>
        <v/>
      </c>
      <c r="CT42" s="1367" t="str">
        <f>IFNA(VLOOKUP($Y42,'法術資料'!$K$2:$X$805,11,FALSE),"")</f>
        <v/>
      </c>
      <c r="CU42" s="1511" t="str">
        <f>IFNA(VLOOKUP(CG42,'法術資料'!$K$2:$X$805,12,FALSE),"")</f>
        <v/>
      </c>
      <c r="CV42" s="376"/>
      <c r="CW42" s="1369"/>
      <c r="CX42" s="455"/>
      <c r="CY42" s="1356"/>
      <c r="CZ42" s="1509" t="b">
        <v>0</v>
      </c>
      <c r="DA42" s="1514"/>
      <c r="DB42" s="1512" t="str">
        <f>IFNA(VLOOKUP(DA42,'法術資料'!$K$2:$X$805,4,FALSE),"")
</f>
        <v/>
      </c>
      <c r="DC42" s="1511" t="str">
        <f>IFNA(VLOOKUP(DA42,'法術資料'!$K$2:$X$805,7,FALSE),"")</f>
        <v/>
      </c>
      <c r="DD42" s="1141"/>
      <c r="DE42" s="1511" t="str">
        <f>IFNA(VLOOKUP(DA42,'法術資料'!$K$2:$X$805,8,FALSE),"")</f>
        <v/>
      </c>
      <c r="DF42" s="1141"/>
      <c r="DG42" s="1511" t="str">
        <f>IFNA(VLOOKUP(DA42,'法術資料'!$K$2:$X$805,14,FALSE),"")</f>
        <v/>
      </c>
      <c r="DH42" s="1141"/>
      <c r="DI42" s="1365" t="str">
        <f>IFNA(VLOOKUP(DA42,'法術資料'!$K$2:$X$805,13,FALSE),"")</f>
        <v/>
      </c>
      <c r="DJ42" s="1365" t="str">
        <f>IFNA(VLOOKUP(DA42,'法術資料'!$K$2:$X$805,5,FALSE),"")</f>
        <v/>
      </c>
      <c r="DK42" s="1365" t="str">
        <f>IFNA(VLOOKUP(DA42,'法術資料'!$K$2:$X$805,6,FALSE),"")</f>
        <v/>
      </c>
      <c r="DL42" s="1366" t="str">
        <f>IFNA(VLOOKUP(DA42,'法術資料'!$K$2:$X$805,9,FALSE),"")</f>
        <v/>
      </c>
      <c r="DM42" s="1367" t="str">
        <f>IFNA(VLOOKUP(DA42,'法術資料'!$K$2:$X$805,10,FALSE),"")</f>
        <v/>
      </c>
      <c r="DN42" s="1367" t="str">
        <f>IFNA(VLOOKUP($Y42,'法術資料'!$K$2:$X$805,11,FALSE),"")</f>
        <v/>
      </c>
      <c r="DO42" s="1511" t="str">
        <f>IFNA(VLOOKUP(DA42,'法術資料'!$K$2:$X$805,12,FALSE),"")</f>
        <v/>
      </c>
      <c r="DP42" s="376"/>
      <c r="DQ42" s="1369"/>
      <c r="DR42" s="455"/>
      <c r="DS42" s="1356"/>
      <c r="DT42" s="1509" t="b">
        <v>0</v>
      </c>
      <c r="DU42" s="1514"/>
      <c r="DV42" s="1512" t="str">
        <f>IFNA(VLOOKUP(DU42,'法術資料'!$K$2:$X$805,4,FALSE),"")
</f>
        <v/>
      </c>
      <c r="DW42" s="1511" t="str">
        <f>IFNA(VLOOKUP(DU42,'法術資料'!$K$2:$X$805,7,FALSE),"")</f>
        <v/>
      </c>
      <c r="DX42" s="1141"/>
      <c r="DY42" s="1511" t="str">
        <f>IFNA(VLOOKUP(DU42,'法術資料'!$K$2:$X$805,8,FALSE),"")</f>
        <v/>
      </c>
      <c r="DZ42" s="1141"/>
      <c r="EA42" s="1511" t="str">
        <f>IFNA(VLOOKUP(DU42,'法術資料'!$K$2:$X$805,14,FALSE),"")</f>
        <v/>
      </c>
      <c r="EB42" s="1141"/>
      <c r="EC42" s="1365" t="str">
        <f>IFNA(VLOOKUP(DU42,'法術資料'!$K$2:$X$805,13,FALSE),"")</f>
        <v/>
      </c>
      <c r="ED42" s="1365" t="str">
        <f>IFNA(VLOOKUP(DU42,'法術資料'!$K$2:$X$805,5,FALSE),"")</f>
        <v/>
      </c>
      <c r="EE42" s="1365" t="str">
        <f>IFNA(VLOOKUP(DU42,'法術資料'!$K$2:$X$805,6,FALSE),"")</f>
        <v/>
      </c>
      <c r="EF42" s="1366" t="str">
        <f>IFNA(VLOOKUP(DU42,'法術資料'!$K$2:$X$805,9,FALSE),"")</f>
        <v/>
      </c>
      <c r="EG42" s="1367" t="str">
        <f>IFNA(VLOOKUP(DU42,'法術資料'!$K$2:$X$805,10,FALSE),"")</f>
        <v/>
      </c>
      <c r="EH42" s="1367" t="str">
        <f>IFNA(VLOOKUP($Y42,'法術資料'!$K$2:$X$805,11,FALSE),"")</f>
        <v/>
      </c>
      <c r="EI42" s="1511" t="str">
        <f>IFNA(VLOOKUP(DU42,'法術資料'!$K$2:$X$805,12,FALSE),"")</f>
        <v/>
      </c>
      <c r="EJ42" s="376"/>
      <c r="EK42" s="1369"/>
      <c r="EL42" s="455"/>
      <c r="EM42" s="1356"/>
      <c r="EN42" s="1509" t="b">
        <v>0</v>
      </c>
      <c r="EO42" s="1514"/>
      <c r="EP42" s="1512" t="str">
        <f>IFNA(VLOOKUP(EO42,'法術資料'!$K$2:$X$805,4,FALSE),"")
</f>
        <v/>
      </c>
      <c r="EQ42" s="1511" t="str">
        <f>IFNA(VLOOKUP(EO42,'法術資料'!$K$2:$X$805,7,FALSE),"")</f>
        <v/>
      </c>
      <c r="ER42" s="1141"/>
      <c r="ES42" s="1511" t="str">
        <f>IFNA(VLOOKUP(EO42,'法術資料'!$K$2:$X$805,8,FALSE),"")</f>
        <v/>
      </c>
      <c r="ET42" s="1141"/>
      <c r="EU42" s="1511" t="str">
        <f>IFNA(VLOOKUP(EO42,'法術資料'!$K$2:$X$805,14,FALSE),"")</f>
        <v/>
      </c>
      <c r="EV42" s="1141"/>
      <c r="EW42" s="1365" t="str">
        <f>IFNA(VLOOKUP(EO42,'法術資料'!$K$2:$X$805,13,FALSE),"")</f>
        <v/>
      </c>
      <c r="EX42" s="1365" t="str">
        <f>IFNA(VLOOKUP(EO42,'法術資料'!$K$2:$X$805,5,FALSE),"")</f>
        <v/>
      </c>
      <c r="EY42" s="1365" t="str">
        <f>IFNA(VLOOKUP(EO42,'法術資料'!$K$2:$X$805,6,FALSE),"")</f>
        <v/>
      </c>
      <c r="EZ42" s="1366" t="str">
        <f>IFNA(VLOOKUP(EO42,'法術資料'!$K$2:$X$805,9,FALSE),"")</f>
        <v/>
      </c>
      <c r="FA42" s="1367" t="str">
        <f>IFNA(VLOOKUP(EO42,'法術資料'!$K$2:$X$805,10,FALSE),"")</f>
        <v/>
      </c>
      <c r="FB42" s="1367" t="str">
        <f>IFNA(VLOOKUP($Y42,'法術資料'!$K$2:$X$805,11,FALSE),"")</f>
        <v/>
      </c>
      <c r="FC42" s="1511" t="str">
        <f>IFNA(VLOOKUP(EO42,'法術資料'!$K$2:$X$805,12,FALSE),"")</f>
        <v/>
      </c>
      <c r="FD42" s="376"/>
      <c r="FE42" s="1369"/>
      <c r="FF42" s="455"/>
      <c r="FG42" s="1356"/>
      <c r="FH42" s="1509" t="b">
        <v>0</v>
      </c>
      <c r="FI42" s="1514"/>
      <c r="FJ42" s="1512" t="str">
        <f>IFNA(VLOOKUP(FI42,'法術資料'!$K$2:$X$805,4,FALSE),"")
</f>
        <v/>
      </c>
      <c r="FK42" s="1511" t="str">
        <f>IFNA(VLOOKUP(FI42,'法術資料'!$K$2:$X$805,7,FALSE),"")</f>
        <v/>
      </c>
      <c r="FL42" s="1141"/>
      <c r="FM42" s="1511" t="str">
        <f>IFNA(VLOOKUP(FI42,'法術資料'!$K$2:$X$805,8,FALSE),"")</f>
        <v/>
      </c>
      <c r="FN42" s="1141"/>
      <c r="FO42" s="1511" t="str">
        <f>IFNA(VLOOKUP(FI42,'法術資料'!$K$2:$X$805,14,FALSE),"")</f>
        <v/>
      </c>
      <c r="FP42" s="1141"/>
      <c r="FQ42" s="1365" t="str">
        <f>IFNA(VLOOKUP(FI42,'法術資料'!$K$2:$X$805,13,FALSE),"")</f>
        <v/>
      </c>
      <c r="FR42" s="1365" t="str">
        <f>IFNA(VLOOKUP(FI42,'法術資料'!$K$2:$X$805,5,FALSE),"")</f>
        <v/>
      </c>
      <c r="FS42" s="1365" t="str">
        <f>IFNA(VLOOKUP(FI42,'法術資料'!$K$2:$X$805,6,FALSE),"")</f>
        <v/>
      </c>
      <c r="FT42" s="1366" t="str">
        <f>IFNA(VLOOKUP(FI42,'法術資料'!$K$2:$X$805,9,FALSE),"")</f>
        <v/>
      </c>
      <c r="FU42" s="1367" t="str">
        <f>IFNA(VLOOKUP(FI42,'法術資料'!$K$2:$X$805,10,FALSE),"")</f>
        <v/>
      </c>
      <c r="FV42" s="1367" t="str">
        <f>IFNA(VLOOKUP($Y42,'法術資料'!$K$2:$X$805,11,FALSE),"")</f>
        <v/>
      </c>
      <c r="FW42" s="1511" t="str">
        <f>IFNA(VLOOKUP(FI42,'法術資料'!$K$2:$X$805,12,FALSE),"")</f>
        <v/>
      </c>
      <c r="FX42" s="376"/>
      <c r="FY42" s="1369"/>
      <c r="FZ42" s="455"/>
    </row>
    <row r="43">
      <c r="A43" s="455"/>
      <c r="B43" s="1356"/>
      <c r="C43" s="1503" t="b">
        <v>0</v>
      </c>
      <c r="D43" s="1504"/>
      <c r="E43" s="1505" t="str">
        <f>IFNA(VLOOKUP($D43,'法術資料'!$K$2:$X$805,4,FALSE),"")
</f>
        <v/>
      </c>
      <c r="F43" s="1506" t="str">
        <f>IFNA(VLOOKUP($D43,'法術資料'!$K$2:$X$805,7,FALSE),"")</f>
        <v/>
      </c>
      <c r="G43" s="1141"/>
      <c r="H43" s="1506" t="str">
        <f>IFNA(VLOOKUP($D43,'法術資料'!$K$2:$X$805,8,FALSE),"")</f>
        <v/>
      </c>
      <c r="I43" s="1141"/>
      <c r="J43" s="1506" t="str">
        <f>IFNA(VLOOKUP($D43,'法術資料'!$K$2:$X$805,14,FALSE),"")</f>
        <v/>
      </c>
      <c r="K43" s="1141"/>
      <c r="L43" s="1506" t="str">
        <f>IFNA(VLOOKUP($D43,'法術資料'!$K$2:$X$805,13,FALSE),"")</f>
        <v/>
      </c>
      <c r="M43" s="1141"/>
      <c r="N43" s="1377" t="str">
        <f>IFNA(VLOOKUP($D43,'法術資料'!$K$2:$X$805,5,FALSE),"")</f>
        <v/>
      </c>
      <c r="O43" s="1377" t="str">
        <f>IFNA(VLOOKUP($D43,'法術資料'!$K$2:$X$805,6,FALSE),"")</f>
        <v/>
      </c>
      <c r="P43" s="1378" t="str">
        <f>IFNA(VLOOKUP($D43,'法術資料'!$K$2:$X$805,9,FALSE),"")</f>
        <v/>
      </c>
      <c r="Q43" s="1379" t="str">
        <f>IFNA(VLOOKUP($D43,'法術資料'!$K$2:$X$805,10,FALSE),"")</f>
        <v/>
      </c>
      <c r="R43" s="1379" t="str">
        <f>IFNA(VLOOKUP($D43,'法術資料'!$K$2:$X$805,11,FALSE),"")</f>
        <v/>
      </c>
      <c r="S43" s="1506" t="str">
        <f>IFNA(VLOOKUP($D43,'法術資料'!$K$2:$X$805,12,FALSE),"")</f>
        <v/>
      </c>
      <c r="T43" s="376"/>
      <c r="U43" s="1369"/>
      <c r="V43" s="455"/>
      <c r="W43" s="1356"/>
      <c r="X43" s="1503" t="b">
        <v>0</v>
      </c>
      <c r="Y43" s="1504"/>
      <c r="Z43" s="1507" t="str">
        <f>IFNA(VLOOKUP(Y43,'法術資料'!$K$2:$X$805,4,FALSE),"")
</f>
        <v/>
      </c>
      <c r="AA43" s="1506" t="str">
        <f>IFNA(VLOOKUP($Y43,'法術資料'!$K$2:$X$805,7,FALSE),"")</f>
        <v/>
      </c>
      <c r="AB43" s="1141"/>
      <c r="AC43" s="1506" t="str">
        <f>IFNA(VLOOKUP($Y43,'法術資料'!$K$2:$X$805,8,FALSE),"")</f>
        <v/>
      </c>
      <c r="AD43" s="1141"/>
      <c r="AE43" s="1506" t="str">
        <f>IFNA(VLOOKUP($Y43,'法術資料'!$K$2:$X$805,14,FALSE),"")</f>
        <v/>
      </c>
      <c r="AF43" s="1141"/>
      <c r="AG43" s="1377" t="str">
        <f>IFNA(VLOOKUP($Y43,'法術資料'!$K$2:$X$805,13,FALSE),"")</f>
        <v/>
      </c>
      <c r="AH43" s="1377" t="str">
        <f>IFNA(VLOOKUP($Y43,'法術資料'!$K$2:$X$805,5,FALSE),"")</f>
        <v/>
      </c>
      <c r="AI43" s="1377" t="str">
        <f>IFNA(VLOOKUP($Y43,'法術資料'!$K$2:$X$805,6,FALSE),"")</f>
        <v/>
      </c>
      <c r="AJ43" s="1378" t="str">
        <f>IFNA(VLOOKUP($Y43,'法術資料'!$K$2:$X$805,9,FALSE),"")</f>
        <v/>
      </c>
      <c r="AK43" s="1379" t="str">
        <f>IFNA(VLOOKUP($Y43,'法術資料'!$K$2:$X$805,10,FALSE),"")</f>
        <v/>
      </c>
      <c r="AL43" s="1379" t="str">
        <f>IFNA(VLOOKUP($Y43,'法術資料'!$K$2:$X$805,11,FALSE),"")</f>
        <v/>
      </c>
      <c r="AM43" s="1506" t="str">
        <f>IFNA(VLOOKUP($Y43,'法術資料'!$K$2:$X$805,12,FALSE),"")</f>
        <v/>
      </c>
      <c r="AN43" s="376"/>
      <c r="AO43" s="1369"/>
      <c r="AP43" s="455"/>
      <c r="AQ43" s="1356"/>
      <c r="AR43" s="1503" t="b">
        <v>0</v>
      </c>
      <c r="AS43" s="1504"/>
      <c r="AT43" s="1507" t="str">
        <f>IFNA(VLOOKUP(AS43,'法術資料'!$K$2:$X$805,4,FALSE),"")
</f>
        <v/>
      </c>
      <c r="AU43" s="1506" t="str">
        <f>IFNA(VLOOKUP(AS43,'法術資料'!$K$2:$X$805,7,FALSE),"")</f>
        <v/>
      </c>
      <c r="AV43" s="1141"/>
      <c r="AW43" s="1506" t="str">
        <f>IFNA(VLOOKUP(AS43,'法術資料'!$K$2:$X$805,8,FALSE),"")</f>
        <v/>
      </c>
      <c r="AX43" s="1141"/>
      <c r="AY43" s="1506" t="str">
        <f>IFNA(VLOOKUP(AS43,'法術資料'!$K$2:$X$805,14,FALSE),"")</f>
        <v/>
      </c>
      <c r="AZ43" s="1141"/>
      <c r="BA43" s="1377" t="str">
        <f>IFNA(VLOOKUP(AS43,'法術資料'!$K$2:$X$805,13,FALSE),"")</f>
        <v/>
      </c>
      <c r="BB43" s="1377" t="str">
        <f>IFNA(VLOOKUP(AS43,'法術資料'!$K$2:$X$805,5,FALSE),"")</f>
        <v/>
      </c>
      <c r="BC43" s="1377" t="str">
        <f>IFNA(VLOOKUP(AS43,'法術資料'!$K$2:$X$805,6,FALSE),"")</f>
        <v/>
      </c>
      <c r="BD43" s="1378" t="str">
        <f>IFNA(VLOOKUP(AS43,'法術資料'!$K$2:$X$805,9,FALSE),"")</f>
        <v/>
      </c>
      <c r="BE43" s="1379" t="str">
        <f>IFNA(VLOOKUP(AS43,'法術資料'!$K$2:$X$805,10,FALSE),"")</f>
        <v/>
      </c>
      <c r="BF43" s="1379" t="str">
        <f>IFNA(VLOOKUP($Y43,'法術資料'!$K$2:$X$805,11,FALSE),"")</f>
        <v/>
      </c>
      <c r="BG43" s="1506" t="str">
        <f>IFNA(VLOOKUP(AS43,'法術資料'!$K$2:$X$805,12,FALSE),"")</f>
        <v/>
      </c>
      <c r="BH43" s="376"/>
      <c r="BI43" s="1369"/>
      <c r="BJ43" s="455"/>
      <c r="BK43" s="1356"/>
      <c r="BL43" s="1503" t="b">
        <v>0</v>
      </c>
      <c r="BM43" s="1504"/>
      <c r="BN43" s="1507" t="str">
        <f>IFNA(VLOOKUP(BM43,'法術資料'!$K$2:$X$805,4,FALSE),"")
</f>
        <v/>
      </c>
      <c r="BO43" s="1506" t="str">
        <f>IFNA(VLOOKUP(BM43,'法術資料'!$K$2:$X$805,7,FALSE),"")</f>
        <v/>
      </c>
      <c r="BP43" s="1141"/>
      <c r="BQ43" s="1506" t="str">
        <f>IFNA(VLOOKUP(BM43,'法術資料'!$K$2:$X$805,8,FALSE),"")</f>
        <v/>
      </c>
      <c r="BR43" s="1141"/>
      <c r="BS43" s="1506" t="str">
        <f>IFNA(VLOOKUP(BM43,'法術資料'!$K$2:$X$805,14,FALSE),"")</f>
        <v/>
      </c>
      <c r="BT43" s="1141"/>
      <c r="BU43" s="1377" t="str">
        <f>IFNA(VLOOKUP(BM43,'法術資料'!$K$2:$X$805,13,FALSE),"")</f>
        <v/>
      </c>
      <c r="BV43" s="1377" t="str">
        <f>IFNA(VLOOKUP(BM43,'法術資料'!$K$2:$X$805,5,FALSE),"")</f>
        <v/>
      </c>
      <c r="BW43" s="1377" t="str">
        <f>IFNA(VLOOKUP(BM43,'法術資料'!$K$2:$X$805,6,FALSE),"")</f>
        <v/>
      </c>
      <c r="BX43" s="1378" t="str">
        <f>IFNA(VLOOKUP(BM43,'法術資料'!$K$2:$X$805,9,FALSE),"")</f>
        <v/>
      </c>
      <c r="BY43" s="1379" t="str">
        <f>IFNA(VLOOKUP(BM43,'法術資料'!$K$2:$X$805,10,FALSE),"")</f>
        <v/>
      </c>
      <c r="BZ43" s="1379" t="str">
        <f>IFNA(VLOOKUP($Y43,'法術資料'!$K$2:$X$805,11,FALSE),"")</f>
        <v/>
      </c>
      <c r="CA43" s="1506" t="str">
        <f>IFNA(VLOOKUP(BM43,'法術資料'!$K$2:$X$805,12,FALSE),"")</f>
        <v/>
      </c>
      <c r="CB43" s="376"/>
      <c r="CC43" s="1369"/>
      <c r="CD43" s="455"/>
      <c r="CE43" s="1356"/>
      <c r="CF43" s="1503" t="b">
        <v>0</v>
      </c>
      <c r="CG43" s="1504"/>
      <c r="CH43" s="1507" t="str">
        <f>IFNA(VLOOKUP(CG43,'法術資料'!$K$2:$X$805,4,FALSE),"")
</f>
        <v/>
      </c>
      <c r="CI43" s="1506" t="str">
        <f>IFNA(VLOOKUP(CG43,'法術資料'!$K$2:$X$805,7,FALSE),"")</f>
        <v/>
      </c>
      <c r="CJ43" s="1141"/>
      <c r="CK43" s="1506" t="str">
        <f>IFNA(VLOOKUP(CG43,'法術資料'!$K$2:$X$805,8,FALSE),"")</f>
        <v/>
      </c>
      <c r="CL43" s="1141"/>
      <c r="CM43" s="1506" t="str">
        <f>IFNA(VLOOKUP(CG43,'法術資料'!$K$2:$X$805,14,FALSE),"")</f>
        <v/>
      </c>
      <c r="CN43" s="1141"/>
      <c r="CO43" s="1377" t="str">
        <f>IFNA(VLOOKUP(CG43,'法術資料'!$K$2:$X$805,13,FALSE),"")</f>
        <v/>
      </c>
      <c r="CP43" s="1377" t="str">
        <f>IFNA(VLOOKUP(CG43,'法術資料'!$K$2:$X$805,5,FALSE),"")</f>
        <v/>
      </c>
      <c r="CQ43" s="1377" t="str">
        <f>IFNA(VLOOKUP(CG43,'法術資料'!$K$2:$X$805,6,FALSE),"")</f>
        <v/>
      </c>
      <c r="CR43" s="1378" t="str">
        <f>IFNA(VLOOKUP(CG43,'法術資料'!$K$2:$X$805,9,FALSE),"")</f>
        <v/>
      </c>
      <c r="CS43" s="1379" t="str">
        <f>IFNA(VLOOKUP(CG43,'法術資料'!$K$2:$X$805,10,FALSE),"")</f>
        <v/>
      </c>
      <c r="CT43" s="1379" t="str">
        <f>IFNA(VLOOKUP($Y43,'法術資料'!$K$2:$X$805,11,FALSE),"")</f>
        <v/>
      </c>
      <c r="CU43" s="1506" t="str">
        <f>IFNA(VLOOKUP(CG43,'法術資料'!$K$2:$X$805,12,FALSE),"")</f>
        <v/>
      </c>
      <c r="CV43" s="376"/>
      <c r="CW43" s="1369"/>
      <c r="CX43" s="455"/>
      <c r="CY43" s="1356"/>
      <c r="CZ43" s="1503" t="b">
        <v>0</v>
      </c>
      <c r="DA43" s="1515"/>
      <c r="DB43" s="1507" t="str">
        <f>IFNA(VLOOKUP(DA43,'法術資料'!$K$2:$X$805,4,FALSE),"")
</f>
        <v/>
      </c>
      <c r="DC43" s="1506" t="str">
        <f>IFNA(VLOOKUP(DA43,'法術資料'!$K$2:$X$805,7,FALSE),"")</f>
        <v/>
      </c>
      <c r="DD43" s="1141"/>
      <c r="DE43" s="1506" t="str">
        <f>IFNA(VLOOKUP(DA43,'法術資料'!$K$2:$X$805,8,FALSE),"")</f>
        <v/>
      </c>
      <c r="DF43" s="1141"/>
      <c r="DG43" s="1506" t="str">
        <f>IFNA(VLOOKUP(DA43,'法術資料'!$K$2:$X$805,14,FALSE),"")</f>
        <v/>
      </c>
      <c r="DH43" s="1141"/>
      <c r="DI43" s="1377" t="str">
        <f>IFNA(VLOOKUP(DA43,'法術資料'!$K$2:$X$805,13,FALSE),"")</f>
        <v/>
      </c>
      <c r="DJ43" s="1377" t="str">
        <f>IFNA(VLOOKUP(DA43,'法術資料'!$K$2:$X$805,5,FALSE),"")</f>
        <v/>
      </c>
      <c r="DK43" s="1377" t="str">
        <f>IFNA(VLOOKUP(DA43,'法術資料'!$K$2:$X$805,6,FALSE),"")</f>
        <v/>
      </c>
      <c r="DL43" s="1378" t="str">
        <f>IFNA(VLOOKUP(DA43,'法術資料'!$K$2:$X$805,9,FALSE),"")</f>
        <v/>
      </c>
      <c r="DM43" s="1379" t="str">
        <f>IFNA(VLOOKUP(DA43,'法術資料'!$K$2:$X$805,10,FALSE),"")</f>
        <v/>
      </c>
      <c r="DN43" s="1379" t="str">
        <f>IFNA(VLOOKUP($Y43,'法術資料'!$K$2:$X$805,11,FALSE),"")</f>
        <v/>
      </c>
      <c r="DO43" s="1506" t="str">
        <f>IFNA(VLOOKUP(DA43,'法術資料'!$K$2:$X$805,12,FALSE),"")</f>
        <v/>
      </c>
      <c r="DP43" s="376"/>
      <c r="DQ43" s="1369"/>
      <c r="DR43" s="455"/>
      <c r="DS43" s="1356"/>
      <c r="DT43" s="1503" t="b">
        <v>0</v>
      </c>
      <c r="DU43" s="1515"/>
      <c r="DV43" s="1507" t="str">
        <f>IFNA(VLOOKUP(DU43,'法術資料'!$K$2:$X$805,4,FALSE),"")
</f>
        <v/>
      </c>
      <c r="DW43" s="1506" t="str">
        <f>IFNA(VLOOKUP(DU43,'法術資料'!$K$2:$X$805,7,FALSE),"")</f>
        <v/>
      </c>
      <c r="DX43" s="1141"/>
      <c r="DY43" s="1506" t="str">
        <f>IFNA(VLOOKUP(DU43,'法術資料'!$K$2:$X$805,8,FALSE),"")</f>
        <v/>
      </c>
      <c r="DZ43" s="1141"/>
      <c r="EA43" s="1506" t="str">
        <f>IFNA(VLOOKUP(DU43,'法術資料'!$K$2:$X$805,14,FALSE),"")</f>
        <v/>
      </c>
      <c r="EB43" s="1141"/>
      <c r="EC43" s="1377" t="str">
        <f>IFNA(VLOOKUP(DU43,'法術資料'!$K$2:$X$805,13,FALSE),"")</f>
        <v/>
      </c>
      <c r="ED43" s="1377" t="str">
        <f>IFNA(VLOOKUP(DU43,'法術資料'!$K$2:$X$805,5,FALSE),"")</f>
        <v/>
      </c>
      <c r="EE43" s="1377" t="str">
        <f>IFNA(VLOOKUP(DU43,'法術資料'!$K$2:$X$805,6,FALSE),"")</f>
        <v/>
      </c>
      <c r="EF43" s="1378" t="str">
        <f>IFNA(VLOOKUP(DU43,'法術資料'!$K$2:$X$805,9,FALSE),"")</f>
        <v/>
      </c>
      <c r="EG43" s="1379" t="str">
        <f>IFNA(VLOOKUP(DU43,'法術資料'!$K$2:$X$805,10,FALSE),"")</f>
        <v/>
      </c>
      <c r="EH43" s="1379" t="str">
        <f>IFNA(VLOOKUP($Y43,'法術資料'!$K$2:$X$805,11,FALSE),"")</f>
        <v/>
      </c>
      <c r="EI43" s="1506" t="str">
        <f>IFNA(VLOOKUP(DU43,'法術資料'!$K$2:$X$805,12,FALSE),"")</f>
        <v/>
      </c>
      <c r="EJ43" s="376"/>
      <c r="EK43" s="1369"/>
      <c r="EL43" s="455"/>
      <c r="EM43" s="1356"/>
      <c r="EN43" s="1503" t="b">
        <v>0</v>
      </c>
      <c r="EO43" s="1515"/>
      <c r="EP43" s="1507" t="str">
        <f>IFNA(VLOOKUP(EO43,'法術資料'!$K$2:$X$805,4,FALSE),"")
</f>
        <v/>
      </c>
      <c r="EQ43" s="1506" t="str">
        <f>IFNA(VLOOKUP(EO43,'法術資料'!$K$2:$X$805,7,FALSE),"")</f>
        <v/>
      </c>
      <c r="ER43" s="1141"/>
      <c r="ES43" s="1506" t="str">
        <f>IFNA(VLOOKUP(EO43,'法術資料'!$K$2:$X$805,8,FALSE),"")</f>
        <v/>
      </c>
      <c r="ET43" s="1141"/>
      <c r="EU43" s="1506" t="str">
        <f>IFNA(VLOOKUP(EO43,'法術資料'!$K$2:$X$805,14,FALSE),"")</f>
        <v/>
      </c>
      <c r="EV43" s="1141"/>
      <c r="EW43" s="1377" t="str">
        <f>IFNA(VLOOKUP(EO43,'法術資料'!$K$2:$X$805,13,FALSE),"")</f>
        <v/>
      </c>
      <c r="EX43" s="1377" t="str">
        <f>IFNA(VLOOKUP(EO43,'法術資料'!$K$2:$X$805,5,FALSE),"")</f>
        <v/>
      </c>
      <c r="EY43" s="1377" t="str">
        <f>IFNA(VLOOKUP(EO43,'法術資料'!$K$2:$X$805,6,FALSE),"")</f>
        <v/>
      </c>
      <c r="EZ43" s="1378" t="str">
        <f>IFNA(VLOOKUP(EO43,'法術資料'!$K$2:$X$805,9,FALSE),"")</f>
        <v/>
      </c>
      <c r="FA43" s="1379" t="str">
        <f>IFNA(VLOOKUP(EO43,'法術資料'!$K$2:$X$805,10,FALSE),"")</f>
        <v/>
      </c>
      <c r="FB43" s="1379" t="str">
        <f>IFNA(VLOOKUP($Y43,'法術資料'!$K$2:$X$805,11,FALSE),"")</f>
        <v/>
      </c>
      <c r="FC43" s="1506" t="str">
        <f>IFNA(VLOOKUP(EO43,'法術資料'!$K$2:$X$805,12,FALSE),"")</f>
        <v/>
      </c>
      <c r="FD43" s="376"/>
      <c r="FE43" s="1369"/>
      <c r="FF43" s="455"/>
      <c r="FG43" s="1356"/>
      <c r="FH43" s="1503" t="b">
        <v>0</v>
      </c>
      <c r="FI43" s="1515"/>
      <c r="FJ43" s="1507" t="str">
        <f>IFNA(VLOOKUP(FI43,'法術資料'!$K$2:$X$805,4,FALSE),"")
</f>
        <v/>
      </c>
      <c r="FK43" s="1506" t="str">
        <f>IFNA(VLOOKUP(FI43,'法術資料'!$K$2:$X$805,7,FALSE),"")</f>
        <v/>
      </c>
      <c r="FL43" s="1141"/>
      <c r="FM43" s="1506" t="str">
        <f>IFNA(VLOOKUP(FI43,'法術資料'!$K$2:$X$805,8,FALSE),"")</f>
        <v/>
      </c>
      <c r="FN43" s="1141"/>
      <c r="FO43" s="1506" t="str">
        <f>IFNA(VLOOKUP(FI43,'法術資料'!$K$2:$X$805,14,FALSE),"")</f>
        <v/>
      </c>
      <c r="FP43" s="1141"/>
      <c r="FQ43" s="1377" t="str">
        <f>IFNA(VLOOKUP(FI43,'法術資料'!$K$2:$X$805,13,FALSE),"")</f>
        <v/>
      </c>
      <c r="FR43" s="1377" t="str">
        <f>IFNA(VLOOKUP(FI43,'法術資料'!$K$2:$X$805,5,FALSE),"")</f>
        <v/>
      </c>
      <c r="FS43" s="1377" t="str">
        <f>IFNA(VLOOKUP(FI43,'法術資料'!$K$2:$X$805,6,FALSE),"")</f>
        <v/>
      </c>
      <c r="FT43" s="1378" t="str">
        <f>IFNA(VLOOKUP(FI43,'法術資料'!$K$2:$X$805,9,FALSE),"")</f>
        <v/>
      </c>
      <c r="FU43" s="1379" t="str">
        <f>IFNA(VLOOKUP(FI43,'法術資料'!$K$2:$X$805,10,FALSE),"")</f>
        <v/>
      </c>
      <c r="FV43" s="1379" t="str">
        <f>IFNA(VLOOKUP($Y43,'法術資料'!$K$2:$X$805,11,FALSE),"")</f>
        <v/>
      </c>
      <c r="FW43" s="1506" t="str">
        <f>IFNA(VLOOKUP(FI43,'法術資料'!$K$2:$X$805,12,FALSE),"")</f>
        <v/>
      </c>
      <c r="FX43" s="376"/>
      <c r="FY43" s="1369"/>
      <c r="FZ43" s="455"/>
    </row>
    <row r="44">
      <c r="A44" s="455"/>
      <c r="B44" s="1356"/>
      <c r="C44" s="1509" t="b">
        <v>0</v>
      </c>
      <c r="D44" s="1502"/>
      <c r="E44" s="1510" t="str">
        <f>IFNA(VLOOKUP($D44,'法術資料'!$K$2:$X$805,4,FALSE),"")
</f>
        <v/>
      </c>
      <c r="F44" s="1511" t="str">
        <f>IFNA(VLOOKUP($D44,'法術資料'!$K$2:$X$805,7,FALSE),"")</f>
        <v/>
      </c>
      <c r="G44" s="1141"/>
      <c r="H44" s="1511" t="str">
        <f>IFNA(VLOOKUP($D44,'法術資料'!$K$2:$X$805,8,FALSE),"")</f>
        <v/>
      </c>
      <c r="I44" s="1141"/>
      <c r="J44" s="1511" t="str">
        <f>IFNA(VLOOKUP($D44,'法術資料'!$K$2:$X$805,14,FALSE),"")</f>
        <v/>
      </c>
      <c r="K44" s="1141"/>
      <c r="L44" s="1511" t="str">
        <f>IFNA(VLOOKUP($D44,'法術資料'!$K$2:$X$805,13,FALSE),"")</f>
        <v/>
      </c>
      <c r="M44" s="1141"/>
      <c r="N44" s="1365" t="str">
        <f>IFNA(VLOOKUP($D44,'法術資料'!$K$2:$X$805,5,FALSE),"")</f>
        <v/>
      </c>
      <c r="O44" s="1365" t="str">
        <f>IFNA(VLOOKUP($D44,'法術資料'!$K$2:$X$805,6,FALSE),"")</f>
        <v/>
      </c>
      <c r="P44" s="1366" t="str">
        <f>IFNA(VLOOKUP($D44,'法術資料'!$K$2:$X$805,9,FALSE),"")</f>
        <v/>
      </c>
      <c r="Q44" s="1367" t="str">
        <f>IFNA(VLOOKUP($D44,'法術資料'!$K$2:$X$805,10,FALSE),"")</f>
        <v/>
      </c>
      <c r="R44" s="1367" t="str">
        <f>IFNA(VLOOKUP($D44,'法術資料'!$K$2:$X$805,11,FALSE),"")</f>
        <v/>
      </c>
      <c r="S44" s="1511" t="str">
        <f>IFNA(VLOOKUP($D44,'法術資料'!$K$2:$X$805,12,FALSE),"")</f>
        <v/>
      </c>
      <c r="T44" s="376"/>
      <c r="U44" s="1369"/>
      <c r="V44" s="455"/>
      <c r="W44" s="1356"/>
      <c r="X44" s="1509" t="b">
        <v>0</v>
      </c>
      <c r="Y44" s="1502"/>
      <c r="Z44" s="1512" t="str">
        <f>IFNA(VLOOKUP(Y44,'法術資料'!$K$2:$X$805,4,FALSE),"")
</f>
        <v/>
      </c>
      <c r="AA44" s="1511" t="str">
        <f>IFNA(VLOOKUP($Y44,'法術資料'!$K$2:$X$805,7,FALSE),"")</f>
        <v/>
      </c>
      <c r="AB44" s="1141"/>
      <c r="AC44" s="1511" t="str">
        <f>IFNA(VLOOKUP($Y44,'法術資料'!$K$2:$X$805,8,FALSE),"")</f>
        <v/>
      </c>
      <c r="AD44" s="1141"/>
      <c r="AE44" s="1511" t="str">
        <f>IFNA(VLOOKUP($Y44,'法術資料'!$K$2:$X$805,14,FALSE),"")</f>
        <v/>
      </c>
      <c r="AF44" s="1141"/>
      <c r="AG44" s="1365" t="str">
        <f>IFNA(VLOOKUP($Y44,'法術資料'!$K$2:$X$805,13,FALSE),"")</f>
        <v/>
      </c>
      <c r="AH44" s="1365" t="str">
        <f>IFNA(VLOOKUP($Y44,'法術資料'!$K$2:$X$805,5,FALSE),"")</f>
        <v/>
      </c>
      <c r="AI44" s="1365" t="str">
        <f>IFNA(VLOOKUP($Y44,'法術資料'!$K$2:$X$805,6,FALSE),"")</f>
        <v/>
      </c>
      <c r="AJ44" s="1366" t="str">
        <f>IFNA(VLOOKUP($Y44,'法術資料'!$K$2:$X$805,9,FALSE),"")</f>
        <v/>
      </c>
      <c r="AK44" s="1367" t="str">
        <f>IFNA(VLOOKUP($Y44,'法術資料'!$K$2:$X$805,10,FALSE),"")</f>
        <v/>
      </c>
      <c r="AL44" s="1367" t="str">
        <f>IFNA(VLOOKUP($Y44,'法術資料'!$K$2:$X$805,11,FALSE),"")</f>
        <v/>
      </c>
      <c r="AM44" s="1511" t="str">
        <f>IFNA(VLOOKUP($Y44,'法術資料'!$K$2:$X$805,12,FALSE),"")</f>
        <v/>
      </c>
      <c r="AN44" s="376"/>
      <c r="AO44" s="1369"/>
      <c r="AP44" s="455"/>
      <c r="AQ44" s="1356"/>
      <c r="AR44" s="1509" t="b">
        <v>0</v>
      </c>
      <c r="AS44" s="1502"/>
      <c r="AT44" s="1512" t="str">
        <f>IFNA(VLOOKUP(AS44,'法術資料'!$K$2:$X$805,4,FALSE),"")
</f>
        <v/>
      </c>
      <c r="AU44" s="1511" t="str">
        <f>IFNA(VLOOKUP(AS44,'法術資料'!$K$2:$X$805,7,FALSE),"")</f>
        <v/>
      </c>
      <c r="AV44" s="1141"/>
      <c r="AW44" s="1511" t="str">
        <f>IFNA(VLOOKUP(AS44,'法術資料'!$K$2:$X$805,8,FALSE),"")</f>
        <v/>
      </c>
      <c r="AX44" s="1141"/>
      <c r="AY44" s="1511" t="str">
        <f>IFNA(VLOOKUP(AS44,'法術資料'!$K$2:$X$805,14,FALSE),"")</f>
        <v/>
      </c>
      <c r="AZ44" s="1141"/>
      <c r="BA44" s="1365" t="str">
        <f>IFNA(VLOOKUP(AS44,'法術資料'!$K$2:$X$805,13,FALSE),"")</f>
        <v/>
      </c>
      <c r="BB44" s="1365" t="str">
        <f>IFNA(VLOOKUP(AS44,'法術資料'!$K$2:$X$805,5,FALSE),"")</f>
        <v/>
      </c>
      <c r="BC44" s="1365" t="str">
        <f>IFNA(VLOOKUP(AS44,'法術資料'!$K$2:$X$805,6,FALSE),"")</f>
        <v/>
      </c>
      <c r="BD44" s="1366" t="str">
        <f>IFNA(VLOOKUP(AS44,'法術資料'!$K$2:$X$805,9,FALSE),"")</f>
        <v/>
      </c>
      <c r="BE44" s="1367" t="str">
        <f>IFNA(VLOOKUP(AS44,'法術資料'!$K$2:$X$805,10,FALSE),"")</f>
        <v/>
      </c>
      <c r="BF44" s="1367" t="str">
        <f>IFNA(VLOOKUP($Y44,'法術資料'!$K$2:$X$805,11,FALSE),"")</f>
        <v/>
      </c>
      <c r="BG44" s="1511" t="str">
        <f>IFNA(VLOOKUP(AS44,'法術資料'!$K$2:$X$805,12,FALSE),"")</f>
        <v/>
      </c>
      <c r="BH44" s="376"/>
      <c r="BI44" s="1369"/>
      <c r="BJ44" s="455"/>
      <c r="BK44" s="1356"/>
      <c r="BL44" s="1509" t="b">
        <v>0</v>
      </c>
      <c r="BM44" s="1502"/>
      <c r="BN44" s="1512" t="str">
        <f>IFNA(VLOOKUP(BM44,'法術資料'!$K$2:$X$805,4,FALSE),"")
</f>
        <v/>
      </c>
      <c r="BO44" s="1511" t="str">
        <f>IFNA(VLOOKUP(BM44,'法術資料'!$K$2:$X$805,7,FALSE),"")</f>
        <v/>
      </c>
      <c r="BP44" s="1141"/>
      <c r="BQ44" s="1511" t="str">
        <f>IFNA(VLOOKUP(BM44,'法術資料'!$K$2:$X$805,8,FALSE),"")</f>
        <v/>
      </c>
      <c r="BR44" s="1141"/>
      <c r="BS44" s="1511" t="str">
        <f>IFNA(VLOOKUP(BM44,'法術資料'!$K$2:$X$805,14,FALSE),"")</f>
        <v/>
      </c>
      <c r="BT44" s="1141"/>
      <c r="BU44" s="1365" t="str">
        <f>IFNA(VLOOKUP(BM44,'法術資料'!$K$2:$X$805,13,FALSE),"")</f>
        <v/>
      </c>
      <c r="BV44" s="1365" t="str">
        <f>IFNA(VLOOKUP(BM44,'法術資料'!$K$2:$X$805,5,FALSE),"")</f>
        <v/>
      </c>
      <c r="BW44" s="1365" t="str">
        <f>IFNA(VLOOKUP(BM44,'法術資料'!$K$2:$X$805,6,FALSE),"")</f>
        <v/>
      </c>
      <c r="BX44" s="1366" t="str">
        <f>IFNA(VLOOKUP(BM44,'法術資料'!$K$2:$X$805,9,FALSE),"")</f>
        <v/>
      </c>
      <c r="BY44" s="1367" t="str">
        <f>IFNA(VLOOKUP(BM44,'法術資料'!$K$2:$X$805,10,FALSE),"")</f>
        <v/>
      </c>
      <c r="BZ44" s="1367" t="str">
        <f>IFNA(VLOOKUP($Y44,'法術資料'!$K$2:$X$805,11,FALSE),"")</f>
        <v/>
      </c>
      <c r="CA44" s="1511" t="str">
        <f>IFNA(VLOOKUP(BM44,'法術資料'!$K$2:$X$805,12,FALSE),"")</f>
        <v/>
      </c>
      <c r="CB44" s="376"/>
      <c r="CC44" s="1369"/>
      <c r="CD44" s="455"/>
      <c r="CE44" s="1356"/>
      <c r="CF44" s="1509" t="b">
        <v>0</v>
      </c>
      <c r="CG44" s="1502"/>
      <c r="CH44" s="1512" t="str">
        <f>IFNA(VLOOKUP(CG44,'法術資料'!$K$2:$X$805,4,FALSE),"")
</f>
        <v/>
      </c>
      <c r="CI44" s="1511" t="str">
        <f>IFNA(VLOOKUP(CG44,'法術資料'!$K$2:$X$805,7,FALSE),"")</f>
        <v/>
      </c>
      <c r="CJ44" s="1141"/>
      <c r="CK44" s="1511" t="str">
        <f>IFNA(VLOOKUP(CG44,'法術資料'!$K$2:$X$805,8,FALSE),"")</f>
        <v/>
      </c>
      <c r="CL44" s="1141"/>
      <c r="CM44" s="1511" t="str">
        <f>IFNA(VLOOKUP(CG44,'法術資料'!$K$2:$X$805,14,FALSE),"")</f>
        <v/>
      </c>
      <c r="CN44" s="1141"/>
      <c r="CO44" s="1365" t="str">
        <f>IFNA(VLOOKUP(CG44,'法術資料'!$K$2:$X$805,13,FALSE),"")</f>
        <v/>
      </c>
      <c r="CP44" s="1365" t="str">
        <f>IFNA(VLOOKUP(CG44,'法術資料'!$K$2:$X$805,5,FALSE),"")</f>
        <v/>
      </c>
      <c r="CQ44" s="1365" t="str">
        <f>IFNA(VLOOKUP(CG44,'法術資料'!$K$2:$X$805,6,FALSE),"")</f>
        <v/>
      </c>
      <c r="CR44" s="1366" t="str">
        <f>IFNA(VLOOKUP(CG44,'法術資料'!$K$2:$X$805,9,FALSE),"")</f>
        <v/>
      </c>
      <c r="CS44" s="1367" t="str">
        <f>IFNA(VLOOKUP(CG44,'法術資料'!$K$2:$X$805,10,FALSE),"")</f>
        <v/>
      </c>
      <c r="CT44" s="1367" t="str">
        <f>IFNA(VLOOKUP($Y44,'法術資料'!$K$2:$X$805,11,FALSE),"")</f>
        <v/>
      </c>
      <c r="CU44" s="1511" t="str">
        <f>IFNA(VLOOKUP(CG44,'法術資料'!$K$2:$X$805,12,FALSE),"")</f>
        <v/>
      </c>
      <c r="CV44" s="376"/>
      <c r="CW44" s="1369"/>
      <c r="CX44" s="455"/>
      <c r="CY44" s="1356"/>
      <c r="CZ44" s="1509" t="b">
        <v>0</v>
      </c>
      <c r="DA44" s="1514"/>
      <c r="DB44" s="1512" t="str">
        <f>IFNA(VLOOKUP(DA44,'法術資料'!$K$2:$X$805,4,FALSE),"")
</f>
        <v/>
      </c>
      <c r="DC44" s="1511" t="str">
        <f>IFNA(VLOOKUP(DA44,'法術資料'!$K$2:$X$805,7,FALSE),"")</f>
        <v/>
      </c>
      <c r="DD44" s="1141"/>
      <c r="DE44" s="1511" t="str">
        <f>IFNA(VLOOKUP(DA44,'法術資料'!$K$2:$X$805,8,FALSE),"")</f>
        <v/>
      </c>
      <c r="DF44" s="1141"/>
      <c r="DG44" s="1511" t="str">
        <f>IFNA(VLOOKUP(DA44,'法術資料'!$K$2:$X$805,14,FALSE),"")</f>
        <v/>
      </c>
      <c r="DH44" s="1141"/>
      <c r="DI44" s="1365" t="str">
        <f>IFNA(VLOOKUP(DA44,'法術資料'!$K$2:$X$805,13,FALSE),"")</f>
        <v/>
      </c>
      <c r="DJ44" s="1365" t="str">
        <f>IFNA(VLOOKUP(DA44,'法術資料'!$K$2:$X$805,5,FALSE),"")</f>
        <v/>
      </c>
      <c r="DK44" s="1365" t="str">
        <f>IFNA(VLOOKUP(DA44,'法術資料'!$K$2:$X$805,6,FALSE),"")</f>
        <v/>
      </c>
      <c r="DL44" s="1366" t="str">
        <f>IFNA(VLOOKUP(DA44,'法術資料'!$K$2:$X$805,9,FALSE),"")</f>
        <v/>
      </c>
      <c r="DM44" s="1367" t="str">
        <f>IFNA(VLOOKUP(DA44,'法術資料'!$K$2:$X$805,10,FALSE),"")</f>
        <v/>
      </c>
      <c r="DN44" s="1367" t="str">
        <f>IFNA(VLOOKUP($Y44,'法術資料'!$K$2:$X$805,11,FALSE),"")</f>
        <v/>
      </c>
      <c r="DO44" s="1511" t="str">
        <f>IFNA(VLOOKUP(DA44,'法術資料'!$K$2:$X$805,12,FALSE),"")</f>
        <v/>
      </c>
      <c r="DP44" s="376"/>
      <c r="DQ44" s="1369"/>
      <c r="DR44" s="455"/>
      <c r="DS44" s="1356"/>
      <c r="DT44" s="1509" t="b">
        <v>0</v>
      </c>
      <c r="DU44" s="1514"/>
      <c r="DV44" s="1512" t="str">
        <f>IFNA(VLOOKUP(DU44,'法術資料'!$K$2:$X$805,4,FALSE),"")
</f>
        <v/>
      </c>
      <c r="DW44" s="1511" t="str">
        <f>IFNA(VLOOKUP(DU44,'法術資料'!$K$2:$X$805,7,FALSE),"")</f>
        <v/>
      </c>
      <c r="DX44" s="1141"/>
      <c r="DY44" s="1511" t="str">
        <f>IFNA(VLOOKUP(DU44,'法術資料'!$K$2:$X$805,8,FALSE),"")</f>
        <v/>
      </c>
      <c r="DZ44" s="1141"/>
      <c r="EA44" s="1511" t="str">
        <f>IFNA(VLOOKUP(DU44,'法術資料'!$K$2:$X$805,14,FALSE),"")</f>
        <v/>
      </c>
      <c r="EB44" s="1141"/>
      <c r="EC44" s="1365" t="str">
        <f>IFNA(VLOOKUP(DU44,'法術資料'!$K$2:$X$805,13,FALSE),"")</f>
        <v/>
      </c>
      <c r="ED44" s="1365" t="str">
        <f>IFNA(VLOOKUP(DU44,'法術資料'!$K$2:$X$805,5,FALSE),"")</f>
        <v/>
      </c>
      <c r="EE44" s="1365" t="str">
        <f>IFNA(VLOOKUP(DU44,'法術資料'!$K$2:$X$805,6,FALSE),"")</f>
        <v/>
      </c>
      <c r="EF44" s="1366" t="str">
        <f>IFNA(VLOOKUP(DU44,'法術資料'!$K$2:$X$805,9,FALSE),"")</f>
        <v/>
      </c>
      <c r="EG44" s="1367" t="str">
        <f>IFNA(VLOOKUP(DU44,'法術資料'!$K$2:$X$805,10,FALSE),"")</f>
        <v/>
      </c>
      <c r="EH44" s="1367" t="str">
        <f>IFNA(VLOOKUP($Y44,'法術資料'!$K$2:$X$805,11,FALSE),"")</f>
        <v/>
      </c>
      <c r="EI44" s="1511" t="str">
        <f>IFNA(VLOOKUP(DU44,'法術資料'!$K$2:$X$805,12,FALSE),"")</f>
        <v/>
      </c>
      <c r="EJ44" s="376"/>
      <c r="EK44" s="1369"/>
      <c r="EL44" s="455"/>
      <c r="EM44" s="1356"/>
      <c r="EN44" s="1509" t="b">
        <v>0</v>
      </c>
      <c r="EO44" s="1514"/>
      <c r="EP44" s="1512" t="str">
        <f>IFNA(VLOOKUP(EO44,'法術資料'!$K$2:$X$805,4,FALSE),"")
</f>
        <v/>
      </c>
      <c r="EQ44" s="1511" t="str">
        <f>IFNA(VLOOKUP(EO44,'法術資料'!$K$2:$X$805,7,FALSE),"")</f>
        <v/>
      </c>
      <c r="ER44" s="1141"/>
      <c r="ES44" s="1511" t="str">
        <f>IFNA(VLOOKUP(EO44,'法術資料'!$K$2:$X$805,8,FALSE),"")</f>
        <v/>
      </c>
      <c r="ET44" s="1141"/>
      <c r="EU44" s="1511" t="str">
        <f>IFNA(VLOOKUP(EO44,'法術資料'!$K$2:$X$805,14,FALSE),"")</f>
        <v/>
      </c>
      <c r="EV44" s="1141"/>
      <c r="EW44" s="1365" t="str">
        <f>IFNA(VLOOKUP(EO44,'法術資料'!$K$2:$X$805,13,FALSE),"")</f>
        <v/>
      </c>
      <c r="EX44" s="1365" t="str">
        <f>IFNA(VLOOKUP(EO44,'法術資料'!$K$2:$X$805,5,FALSE),"")</f>
        <v/>
      </c>
      <c r="EY44" s="1365" t="str">
        <f>IFNA(VLOOKUP(EO44,'法術資料'!$K$2:$X$805,6,FALSE),"")</f>
        <v/>
      </c>
      <c r="EZ44" s="1366" t="str">
        <f>IFNA(VLOOKUP(EO44,'法術資料'!$K$2:$X$805,9,FALSE),"")</f>
        <v/>
      </c>
      <c r="FA44" s="1367" t="str">
        <f>IFNA(VLOOKUP(EO44,'法術資料'!$K$2:$X$805,10,FALSE),"")</f>
        <v/>
      </c>
      <c r="FB44" s="1367" t="str">
        <f>IFNA(VLOOKUP($Y44,'法術資料'!$K$2:$X$805,11,FALSE),"")</f>
        <v/>
      </c>
      <c r="FC44" s="1511" t="str">
        <f>IFNA(VLOOKUP(EO44,'法術資料'!$K$2:$X$805,12,FALSE),"")</f>
        <v/>
      </c>
      <c r="FD44" s="376"/>
      <c r="FE44" s="1369"/>
      <c r="FF44" s="455"/>
      <c r="FG44" s="1356"/>
      <c r="FH44" s="1509" t="b">
        <v>0</v>
      </c>
      <c r="FI44" s="1514"/>
      <c r="FJ44" s="1512" t="str">
        <f>IFNA(VLOOKUP(FI44,'法術資料'!$K$2:$X$805,4,FALSE),"")
</f>
        <v/>
      </c>
      <c r="FK44" s="1511" t="str">
        <f>IFNA(VLOOKUP(FI44,'法術資料'!$K$2:$X$805,7,FALSE),"")</f>
        <v/>
      </c>
      <c r="FL44" s="1141"/>
      <c r="FM44" s="1511" t="str">
        <f>IFNA(VLOOKUP(FI44,'法術資料'!$K$2:$X$805,8,FALSE),"")</f>
        <v/>
      </c>
      <c r="FN44" s="1141"/>
      <c r="FO44" s="1511" t="str">
        <f>IFNA(VLOOKUP(FI44,'法術資料'!$K$2:$X$805,14,FALSE),"")</f>
        <v/>
      </c>
      <c r="FP44" s="1141"/>
      <c r="FQ44" s="1365" t="str">
        <f>IFNA(VLOOKUP(FI44,'法術資料'!$K$2:$X$805,13,FALSE),"")</f>
        <v/>
      </c>
      <c r="FR44" s="1365" t="str">
        <f>IFNA(VLOOKUP(FI44,'法術資料'!$K$2:$X$805,5,FALSE),"")</f>
        <v/>
      </c>
      <c r="FS44" s="1365" t="str">
        <f>IFNA(VLOOKUP(FI44,'法術資料'!$K$2:$X$805,6,FALSE),"")</f>
        <v/>
      </c>
      <c r="FT44" s="1366" t="str">
        <f>IFNA(VLOOKUP(FI44,'法術資料'!$K$2:$X$805,9,FALSE),"")</f>
        <v/>
      </c>
      <c r="FU44" s="1367" t="str">
        <f>IFNA(VLOOKUP(FI44,'法術資料'!$K$2:$X$805,10,FALSE),"")</f>
        <v/>
      </c>
      <c r="FV44" s="1367" t="str">
        <f>IFNA(VLOOKUP($Y44,'法術資料'!$K$2:$X$805,11,FALSE),"")</f>
        <v/>
      </c>
      <c r="FW44" s="1511" t="str">
        <f>IFNA(VLOOKUP(FI44,'法術資料'!$K$2:$X$805,12,FALSE),"")</f>
        <v/>
      </c>
      <c r="FX44" s="376"/>
      <c r="FY44" s="1369"/>
      <c r="FZ44" s="455"/>
    </row>
    <row r="45">
      <c r="A45" s="455"/>
      <c r="B45" s="1356"/>
      <c r="C45" s="1503" t="b">
        <v>0</v>
      </c>
      <c r="D45" s="1504"/>
      <c r="E45" s="1505" t="str">
        <f>IFNA(VLOOKUP($D45,'法術資料'!$K$2:$X$805,4,FALSE),"")
</f>
        <v/>
      </c>
      <c r="F45" s="1506" t="str">
        <f>IFNA(VLOOKUP($D45,'法術資料'!$K$2:$X$805,7,FALSE),"")</f>
        <v/>
      </c>
      <c r="G45" s="1141"/>
      <c r="H45" s="1506" t="str">
        <f>IFNA(VLOOKUP($D45,'法術資料'!$K$2:$X$805,8,FALSE),"")</f>
        <v/>
      </c>
      <c r="I45" s="1141"/>
      <c r="J45" s="1506" t="str">
        <f>IFNA(VLOOKUP($D45,'法術資料'!$K$2:$X$805,14,FALSE),"")</f>
        <v/>
      </c>
      <c r="K45" s="1141"/>
      <c r="L45" s="1506" t="str">
        <f>IFNA(VLOOKUP($D45,'法術資料'!$K$2:$X$805,13,FALSE),"")</f>
        <v/>
      </c>
      <c r="M45" s="1141"/>
      <c r="N45" s="1377" t="str">
        <f>IFNA(VLOOKUP($D45,'法術資料'!$K$2:$X$805,5,FALSE),"")</f>
        <v/>
      </c>
      <c r="O45" s="1377" t="str">
        <f>IFNA(VLOOKUP($D45,'法術資料'!$K$2:$X$805,6,FALSE),"")</f>
        <v/>
      </c>
      <c r="P45" s="1378" t="str">
        <f>IFNA(VLOOKUP($D45,'法術資料'!$K$2:$X$805,9,FALSE),"")</f>
        <v/>
      </c>
      <c r="Q45" s="1379" t="str">
        <f>IFNA(VLOOKUP($D45,'法術資料'!$K$2:$X$805,10,FALSE),"")</f>
        <v/>
      </c>
      <c r="R45" s="1379" t="str">
        <f>IFNA(VLOOKUP($D45,'法術資料'!$K$2:$X$805,11,FALSE),"")</f>
        <v/>
      </c>
      <c r="S45" s="1506" t="str">
        <f>IFNA(VLOOKUP($D45,'法術資料'!$K$2:$X$805,12,FALSE),"")</f>
        <v/>
      </c>
      <c r="T45" s="376"/>
      <c r="U45" s="1369"/>
      <c r="V45" s="455"/>
      <c r="W45" s="1356"/>
      <c r="X45" s="1503" t="b">
        <v>0</v>
      </c>
      <c r="Y45" s="1504"/>
      <c r="Z45" s="1507" t="str">
        <f>IFNA(VLOOKUP(Y45,'法術資料'!$K$2:$X$805,4,FALSE),"")
</f>
        <v/>
      </c>
      <c r="AA45" s="1506" t="str">
        <f>IFNA(VLOOKUP($Y45,'法術資料'!$K$2:$X$805,7,FALSE),"")</f>
        <v/>
      </c>
      <c r="AB45" s="1141"/>
      <c r="AC45" s="1506" t="str">
        <f>IFNA(VLOOKUP($Y45,'法術資料'!$K$2:$X$805,8,FALSE),"")</f>
        <v/>
      </c>
      <c r="AD45" s="1141"/>
      <c r="AE45" s="1506" t="str">
        <f>IFNA(VLOOKUP($Y45,'法術資料'!$K$2:$X$805,14,FALSE),"")</f>
        <v/>
      </c>
      <c r="AF45" s="1141"/>
      <c r="AG45" s="1377" t="str">
        <f>IFNA(VLOOKUP($Y45,'法術資料'!$K$2:$X$805,13,FALSE),"")</f>
        <v/>
      </c>
      <c r="AH45" s="1377" t="str">
        <f>IFNA(VLOOKUP($Y45,'法術資料'!$K$2:$X$805,5,FALSE),"")</f>
        <v/>
      </c>
      <c r="AI45" s="1377" t="str">
        <f>IFNA(VLOOKUP($Y45,'法術資料'!$K$2:$X$805,6,FALSE),"")</f>
        <v/>
      </c>
      <c r="AJ45" s="1378" t="str">
        <f>IFNA(VLOOKUP($Y45,'法術資料'!$K$2:$X$805,9,FALSE),"")</f>
        <v/>
      </c>
      <c r="AK45" s="1379" t="str">
        <f>IFNA(VLOOKUP($Y45,'法術資料'!$K$2:$X$805,10,FALSE),"")</f>
        <v/>
      </c>
      <c r="AL45" s="1379" t="str">
        <f>IFNA(VLOOKUP($Y45,'法術資料'!$K$2:$X$805,11,FALSE),"")</f>
        <v/>
      </c>
      <c r="AM45" s="1506" t="str">
        <f>IFNA(VLOOKUP($Y45,'法術資料'!$K$2:$X$805,12,FALSE),"")</f>
        <v/>
      </c>
      <c r="AN45" s="376"/>
      <c r="AO45" s="1369"/>
      <c r="AP45" s="455"/>
      <c r="AQ45" s="1356"/>
      <c r="AR45" s="1503" t="b">
        <v>0</v>
      </c>
      <c r="AS45" s="1504"/>
      <c r="AT45" s="1507" t="str">
        <f>IFNA(VLOOKUP(AS45,'法術資料'!$K$2:$X$805,4,FALSE),"")
</f>
        <v/>
      </c>
      <c r="AU45" s="1506" t="str">
        <f>IFNA(VLOOKUP(AS45,'法術資料'!$K$2:$X$805,7,FALSE),"")</f>
        <v/>
      </c>
      <c r="AV45" s="1141"/>
      <c r="AW45" s="1506" t="str">
        <f>IFNA(VLOOKUP(AS45,'法術資料'!$K$2:$X$805,8,FALSE),"")</f>
        <v/>
      </c>
      <c r="AX45" s="1141"/>
      <c r="AY45" s="1506" t="str">
        <f>IFNA(VLOOKUP(AS45,'法術資料'!$K$2:$X$805,14,FALSE),"")</f>
        <v/>
      </c>
      <c r="AZ45" s="1141"/>
      <c r="BA45" s="1377" t="str">
        <f>IFNA(VLOOKUP(AS45,'法術資料'!$K$2:$X$805,13,FALSE),"")</f>
        <v/>
      </c>
      <c r="BB45" s="1377" t="str">
        <f>IFNA(VLOOKUP(AS45,'法術資料'!$K$2:$X$805,5,FALSE),"")</f>
        <v/>
      </c>
      <c r="BC45" s="1377" t="str">
        <f>IFNA(VLOOKUP(AS45,'法術資料'!$K$2:$X$805,6,FALSE),"")</f>
        <v/>
      </c>
      <c r="BD45" s="1378" t="str">
        <f>IFNA(VLOOKUP(AS45,'法術資料'!$K$2:$X$805,9,FALSE),"")</f>
        <v/>
      </c>
      <c r="BE45" s="1379" t="str">
        <f>IFNA(VLOOKUP(AS45,'法術資料'!$K$2:$X$805,10,FALSE),"")</f>
        <v/>
      </c>
      <c r="BF45" s="1379" t="str">
        <f>IFNA(VLOOKUP($Y45,'法術資料'!$K$2:$X$805,11,FALSE),"")</f>
        <v/>
      </c>
      <c r="BG45" s="1506" t="str">
        <f>IFNA(VLOOKUP(AS45,'法術資料'!$K$2:$X$805,12,FALSE),"")</f>
        <v/>
      </c>
      <c r="BH45" s="376"/>
      <c r="BI45" s="1369"/>
      <c r="BJ45" s="455"/>
      <c r="BK45" s="1356"/>
      <c r="BL45" s="1503" t="b">
        <v>0</v>
      </c>
      <c r="BM45" s="1504"/>
      <c r="BN45" s="1507" t="str">
        <f>IFNA(VLOOKUP(BM45,'法術資料'!$K$2:$X$805,4,FALSE),"")
</f>
        <v/>
      </c>
      <c r="BO45" s="1506" t="str">
        <f>IFNA(VLOOKUP(BM45,'法術資料'!$K$2:$X$805,7,FALSE),"")</f>
        <v/>
      </c>
      <c r="BP45" s="1141"/>
      <c r="BQ45" s="1506" t="str">
        <f>IFNA(VLOOKUP(BM45,'法術資料'!$K$2:$X$805,8,FALSE),"")</f>
        <v/>
      </c>
      <c r="BR45" s="1141"/>
      <c r="BS45" s="1506" t="str">
        <f>IFNA(VLOOKUP(BM45,'法術資料'!$K$2:$X$805,14,FALSE),"")</f>
        <v/>
      </c>
      <c r="BT45" s="1141"/>
      <c r="BU45" s="1377" t="str">
        <f>IFNA(VLOOKUP(BM45,'法術資料'!$K$2:$X$805,13,FALSE),"")</f>
        <v/>
      </c>
      <c r="BV45" s="1377" t="str">
        <f>IFNA(VLOOKUP(BM45,'法術資料'!$K$2:$X$805,5,FALSE),"")</f>
        <v/>
      </c>
      <c r="BW45" s="1377" t="str">
        <f>IFNA(VLOOKUP(BM45,'法術資料'!$K$2:$X$805,6,FALSE),"")</f>
        <v/>
      </c>
      <c r="BX45" s="1378" t="str">
        <f>IFNA(VLOOKUP(BM45,'法術資料'!$K$2:$X$805,9,FALSE),"")</f>
        <v/>
      </c>
      <c r="BY45" s="1379" t="str">
        <f>IFNA(VLOOKUP(BM45,'法術資料'!$K$2:$X$805,10,FALSE),"")</f>
        <v/>
      </c>
      <c r="BZ45" s="1379" t="str">
        <f>IFNA(VLOOKUP($Y45,'法術資料'!$K$2:$X$805,11,FALSE),"")</f>
        <v/>
      </c>
      <c r="CA45" s="1506" t="str">
        <f>IFNA(VLOOKUP(BM45,'法術資料'!$K$2:$X$805,12,FALSE),"")</f>
        <v/>
      </c>
      <c r="CB45" s="376"/>
      <c r="CC45" s="1369"/>
      <c r="CD45" s="455"/>
      <c r="CE45" s="1356"/>
      <c r="CF45" s="1503" t="b">
        <v>0</v>
      </c>
      <c r="CG45" s="1504"/>
      <c r="CH45" s="1507" t="str">
        <f>IFNA(VLOOKUP(CG45,'法術資料'!$K$2:$X$805,4,FALSE),"")
</f>
        <v/>
      </c>
      <c r="CI45" s="1506" t="str">
        <f>IFNA(VLOOKUP(CG45,'法術資料'!$K$2:$X$805,7,FALSE),"")</f>
        <v/>
      </c>
      <c r="CJ45" s="1141"/>
      <c r="CK45" s="1506" t="str">
        <f>IFNA(VLOOKUP(CG45,'法術資料'!$K$2:$X$805,8,FALSE),"")</f>
        <v/>
      </c>
      <c r="CL45" s="1141"/>
      <c r="CM45" s="1506" t="str">
        <f>IFNA(VLOOKUP(CG45,'法術資料'!$K$2:$X$805,14,FALSE),"")</f>
        <v/>
      </c>
      <c r="CN45" s="1141"/>
      <c r="CO45" s="1377" t="str">
        <f>IFNA(VLOOKUP(CG45,'法術資料'!$K$2:$X$805,13,FALSE),"")</f>
        <v/>
      </c>
      <c r="CP45" s="1377" t="str">
        <f>IFNA(VLOOKUP(CG45,'法術資料'!$K$2:$X$805,5,FALSE),"")</f>
        <v/>
      </c>
      <c r="CQ45" s="1377" t="str">
        <f>IFNA(VLOOKUP(CG45,'法術資料'!$K$2:$X$805,6,FALSE),"")</f>
        <v/>
      </c>
      <c r="CR45" s="1378" t="str">
        <f>IFNA(VLOOKUP(CG45,'法術資料'!$K$2:$X$805,9,FALSE),"")</f>
        <v/>
      </c>
      <c r="CS45" s="1379" t="str">
        <f>IFNA(VLOOKUP(CG45,'法術資料'!$K$2:$X$805,10,FALSE),"")</f>
        <v/>
      </c>
      <c r="CT45" s="1379" t="str">
        <f>IFNA(VLOOKUP($Y45,'法術資料'!$K$2:$X$805,11,FALSE),"")</f>
        <v/>
      </c>
      <c r="CU45" s="1506" t="str">
        <f>IFNA(VLOOKUP(CG45,'法術資料'!$K$2:$X$805,12,FALSE),"")</f>
        <v/>
      </c>
      <c r="CV45" s="376"/>
      <c r="CW45" s="1369"/>
      <c r="CX45" s="455"/>
      <c r="CY45" s="1356"/>
      <c r="CZ45" s="1503" t="b">
        <v>0</v>
      </c>
      <c r="DA45" s="1515"/>
      <c r="DB45" s="1507" t="str">
        <f>IFNA(VLOOKUP(DA45,'法術資料'!$K$2:$X$805,4,FALSE),"")
</f>
        <v/>
      </c>
      <c r="DC45" s="1506" t="str">
        <f>IFNA(VLOOKUP(DA45,'法術資料'!$K$2:$X$805,7,FALSE),"")</f>
        <v/>
      </c>
      <c r="DD45" s="1141"/>
      <c r="DE45" s="1506" t="str">
        <f>IFNA(VLOOKUP(DA45,'法術資料'!$K$2:$X$805,8,FALSE),"")</f>
        <v/>
      </c>
      <c r="DF45" s="1141"/>
      <c r="DG45" s="1506" t="str">
        <f>IFNA(VLOOKUP(DA45,'法術資料'!$K$2:$X$805,14,FALSE),"")</f>
        <v/>
      </c>
      <c r="DH45" s="1141"/>
      <c r="DI45" s="1377" t="str">
        <f>IFNA(VLOOKUP(DA45,'法術資料'!$K$2:$X$805,13,FALSE),"")</f>
        <v/>
      </c>
      <c r="DJ45" s="1377" t="str">
        <f>IFNA(VLOOKUP(DA45,'法術資料'!$K$2:$X$805,5,FALSE),"")</f>
        <v/>
      </c>
      <c r="DK45" s="1377" t="str">
        <f>IFNA(VLOOKUP(DA45,'法術資料'!$K$2:$X$805,6,FALSE),"")</f>
        <v/>
      </c>
      <c r="DL45" s="1378" t="str">
        <f>IFNA(VLOOKUP(DA45,'法術資料'!$K$2:$X$805,9,FALSE),"")</f>
        <v/>
      </c>
      <c r="DM45" s="1379" t="str">
        <f>IFNA(VLOOKUP(DA45,'法術資料'!$K$2:$X$805,10,FALSE),"")</f>
        <v/>
      </c>
      <c r="DN45" s="1379" t="str">
        <f>IFNA(VLOOKUP($Y45,'法術資料'!$K$2:$X$805,11,FALSE),"")</f>
        <v/>
      </c>
      <c r="DO45" s="1506" t="str">
        <f>IFNA(VLOOKUP(DA45,'法術資料'!$K$2:$X$805,12,FALSE),"")</f>
        <v/>
      </c>
      <c r="DP45" s="376"/>
      <c r="DQ45" s="1369"/>
      <c r="DR45" s="455"/>
      <c r="DS45" s="1356"/>
      <c r="DT45" s="1503" t="b">
        <v>0</v>
      </c>
      <c r="DU45" s="1515"/>
      <c r="DV45" s="1507" t="str">
        <f>IFNA(VLOOKUP(DU45,'法術資料'!$K$2:$X$805,4,FALSE),"")
</f>
        <v/>
      </c>
      <c r="DW45" s="1506" t="str">
        <f>IFNA(VLOOKUP(DU45,'法術資料'!$K$2:$X$805,7,FALSE),"")</f>
        <v/>
      </c>
      <c r="DX45" s="1141"/>
      <c r="DY45" s="1506" t="str">
        <f>IFNA(VLOOKUP(DU45,'法術資料'!$K$2:$X$805,8,FALSE),"")</f>
        <v/>
      </c>
      <c r="DZ45" s="1141"/>
      <c r="EA45" s="1506" t="str">
        <f>IFNA(VLOOKUP(DU45,'法術資料'!$K$2:$X$805,14,FALSE),"")</f>
        <v/>
      </c>
      <c r="EB45" s="1141"/>
      <c r="EC45" s="1377" t="str">
        <f>IFNA(VLOOKUP(DU45,'法術資料'!$K$2:$X$805,13,FALSE),"")</f>
        <v/>
      </c>
      <c r="ED45" s="1377" t="str">
        <f>IFNA(VLOOKUP(DU45,'法術資料'!$K$2:$X$805,5,FALSE),"")</f>
        <v/>
      </c>
      <c r="EE45" s="1377" t="str">
        <f>IFNA(VLOOKUP(DU45,'法術資料'!$K$2:$X$805,6,FALSE),"")</f>
        <v/>
      </c>
      <c r="EF45" s="1378" t="str">
        <f>IFNA(VLOOKUP(DU45,'法術資料'!$K$2:$X$805,9,FALSE),"")</f>
        <v/>
      </c>
      <c r="EG45" s="1379" t="str">
        <f>IFNA(VLOOKUP(DU45,'法術資料'!$K$2:$X$805,10,FALSE),"")</f>
        <v/>
      </c>
      <c r="EH45" s="1379" t="str">
        <f>IFNA(VLOOKUP($Y45,'法術資料'!$K$2:$X$805,11,FALSE),"")</f>
        <v/>
      </c>
      <c r="EI45" s="1506" t="str">
        <f>IFNA(VLOOKUP(DU45,'法術資料'!$K$2:$X$805,12,FALSE),"")</f>
        <v/>
      </c>
      <c r="EJ45" s="376"/>
      <c r="EK45" s="1369"/>
      <c r="EL45" s="455"/>
      <c r="EM45" s="1356"/>
      <c r="EN45" s="1503" t="b">
        <v>0</v>
      </c>
      <c r="EO45" s="1515"/>
      <c r="EP45" s="1507" t="str">
        <f>IFNA(VLOOKUP(EO45,'法術資料'!$K$2:$X$805,4,FALSE),"")
</f>
        <v/>
      </c>
      <c r="EQ45" s="1506" t="str">
        <f>IFNA(VLOOKUP(EO45,'法術資料'!$K$2:$X$805,7,FALSE),"")</f>
        <v/>
      </c>
      <c r="ER45" s="1141"/>
      <c r="ES45" s="1506" t="str">
        <f>IFNA(VLOOKUP(EO45,'法術資料'!$K$2:$X$805,8,FALSE),"")</f>
        <v/>
      </c>
      <c r="ET45" s="1141"/>
      <c r="EU45" s="1506" t="str">
        <f>IFNA(VLOOKUP(EO45,'法術資料'!$K$2:$X$805,14,FALSE),"")</f>
        <v/>
      </c>
      <c r="EV45" s="1141"/>
      <c r="EW45" s="1377" t="str">
        <f>IFNA(VLOOKUP(EO45,'法術資料'!$K$2:$X$805,13,FALSE),"")</f>
        <v/>
      </c>
      <c r="EX45" s="1377" t="str">
        <f>IFNA(VLOOKUP(EO45,'法術資料'!$K$2:$X$805,5,FALSE),"")</f>
        <v/>
      </c>
      <c r="EY45" s="1377" t="str">
        <f>IFNA(VLOOKUP(EO45,'法術資料'!$K$2:$X$805,6,FALSE),"")</f>
        <v/>
      </c>
      <c r="EZ45" s="1378" t="str">
        <f>IFNA(VLOOKUP(EO45,'法術資料'!$K$2:$X$805,9,FALSE),"")</f>
        <v/>
      </c>
      <c r="FA45" s="1379" t="str">
        <f>IFNA(VLOOKUP(EO45,'法術資料'!$K$2:$X$805,10,FALSE),"")</f>
        <v/>
      </c>
      <c r="FB45" s="1379" t="str">
        <f>IFNA(VLOOKUP($Y45,'法術資料'!$K$2:$X$805,11,FALSE),"")</f>
        <v/>
      </c>
      <c r="FC45" s="1506" t="str">
        <f>IFNA(VLOOKUP(EO45,'法術資料'!$K$2:$X$805,12,FALSE),"")</f>
        <v/>
      </c>
      <c r="FD45" s="376"/>
      <c r="FE45" s="1369"/>
      <c r="FF45" s="455"/>
      <c r="FG45" s="1356"/>
      <c r="FH45" s="1503" t="b">
        <v>0</v>
      </c>
      <c r="FI45" s="1515"/>
      <c r="FJ45" s="1507" t="str">
        <f>IFNA(VLOOKUP(FI45,'法術資料'!$K$2:$X$805,4,FALSE),"")
</f>
        <v/>
      </c>
      <c r="FK45" s="1506" t="str">
        <f>IFNA(VLOOKUP(FI45,'法術資料'!$K$2:$X$805,7,FALSE),"")</f>
        <v/>
      </c>
      <c r="FL45" s="1141"/>
      <c r="FM45" s="1506" t="str">
        <f>IFNA(VLOOKUP(FI45,'法術資料'!$K$2:$X$805,8,FALSE),"")</f>
        <v/>
      </c>
      <c r="FN45" s="1141"/>
      <c r="FO45" s="1506" t="str">
        <f>IFNA(VLOOKUP(FI45,'法術資料'!$K$2:$X$805,14,FALSE),"")</f>
        <v/>
      </c>
      <c r="FP45" s="1141"/>
      <c r="FQ45" s="1377" t="str">
        <f>IFNA(VLOOKUP(FI45,'法術資料'!$K$2:$X$805,13,FALSE),"")</f>
        <v/>
      </c>
      <c r="FR45" s="1377" t="str">
        <f>IFNA(VLOOKUP(FI45,'法術資料'!$K$2:$X$805,5,FALSE),"")</f>
        <v/>
      </c>
      <c r="FS45" s="1377" t="str">
        <f>IFNA(VLOOKUP(FI45,'法術資料'!$K$2:$X$805,6,FALSE),"")</f>
        <v/>
      </c>
      <c r="FT45" s="1378" t="str">
        <f>IFNA(VLOOKUP(FI45,'法術資料'!$K$2:$X$805,9,FALSE),"")</f>
        <v/>
      </c>
      <c r="FU45" s="1379" t="str">
        <f>IFNA(VLOOKUP(FI45,'法術資料'!$K$2:$X$805,10,FALSE),"")</f>
        <v/>
      </c>
      <c r="FV45" s="1379" t="str">
        <f>IFNA(VLOOKUP($Y45,'法術資料'!$K$2:$X$805,11,FALSE),"")</f>
        <v/>
      </c>
      <c r="FW45" s="1506" t="str">
        <f>IFNA(VLOOKUP(FI45,'法術資料'!$K$2:$X$805,12,FALSE),"")</f>
        <v/>
      </c>
      <c r="FX45" s="376"/>
      <c r="FY45" s="1369"/>
      <c r="FZ45" s="455"/>
    </row>
    <row r="46">
      <c r="A46" s="455"/>
      <c r="B46" s="1356"/>
      <c r="C46" s="1509" t="b">
        <v>0</v>
      </c>
      <c r="D46" s="1502"/>
      <c r="E46" s="1510" t="str">
        <f>IFNA(VLOOKUP($D46,'法術資料'!$K$2:$X$805,4,FALSE),"")
</f>
        <v/>
      </c>
      <c r="F46" s="1511" t="str">
        <f>IFNA(VLOOKUP($D46,'法術資料'!$K$2:$X$805,7,FALSE),"")</f>
        <v/>
      </c>
      <c r="G46" s="1141"/>
      <c r="H46" s="1511" t="str">
        <f>IFNA(VLOOKUP($D46,'法術資料'!$K$2:$X$805,8,FALSE),"")</f>
        <v/>
      </c>
      <c r="I46" s="1141"/>
      <c r="J46" s="1511" t="str">
        <f>IFNA(VLOOKUP($D46,'法術資料'!$K$2:$X$805,14,FALSE),"")</f>
        <v/>
      </c>
      <c r="K46" s="1141"/>
      <c r="L46" s="1511" t="str">
        <f>IFNA(VLOOKUP($D46,'法術資料'!$K$2:$X$805,13,FALSE),"")</f>
        <v/>
      </c>
      <c r="M46" s="1141"/>
      <c r="N46" s="1365" t="str">
        <f>IFNA(VLOOKUP($D46,'法術資料'!$K$2:$X$805,5,FALSE),"")</f>
        <v/>
      </c>
      <c r="O46" s="1365" t="str">
        <f>IFNA(VLOOKUP($D46,'法術資料'!$K$2:$X$805,6,FALSE),"")</f>
        <v/>
      </c>
      <c r="P46" s="1366" t="str">
        <f>IFNA(VLOOKUP($D46,'法術資料'!$K$2:$X$805,9,FALSE),"")</f>
        <v/>
      </c>
      <c r="Q46" s="1367" t="str">
        <f>IFNA(VLOOKUP($D46,'法術資料'!$K$2:$X$805,10,FALSE),"")</f>
        <v/>
      </c>
      <c r="R46" s="1367" t="str">
        <f>IFNA(VLOOKUP($D46,'法術資料'!$K$2:$X$805,11,FALSE),"")</f>
        <v/>
      </c>
      <c r="S46" s="1511" t="str">
        <f>IFNA(VLOOKUP($D46,'法術資料'!$K$2:$X$805,12,FALSE),"")</f>
        <v/>
      </c>
      <c r="T46" s="376"/>
      <c r="U46" s="1369"/>
      <c r="V46" s="455"/>
      <c r="W46" s="1356"/>
      <c r="X46" s="1509" t="b">
        <v>0</v>
      </c>
      <c r="Y46" s="1502"/>
      <c r="Z46" s="1512" t="str">
        <f>IFNA(VLOOKUP(Y46,'法術資料'!$K$2:$X$805,4,FALSE),"")
</f>
        <v/>
      </c>
      <c r="AA46" s="1511" t="str">
        <f>IFNA(VLOOKUP($Y46,'法術資料'!$K$2:$X$805,7,FALSE),"")</f>
        <v/>
      </c>
      <c r="AB46" s="1141"/>
      <c r="AC46" s="1511" t="str">
        <f>IFNA(VLOOKUP($Y46,'法術資料'!$K$2:$X$805,8,FALSE),"")</f>
        <v/>
      </c>
      <c r="AD46" s="1141"/>
      <c r="AE46" s="1511" t="str">
        <f>IFNA(VLOOKUP($Y46,'法術資料'!$K$2:$X$805,14,FALSE),"")</f>
        <v/>
      </c>
      <c r="AF46" s="1141"/>
      <c r="AG46" s="1365" t="str">
        <f>IFNA(VLOOKUP($Y46,'法術資料'!$K$2:$X$805,13,FALSE),"")</f>
        <v/>
      </c>
      <c r="AH46" s="1365" t="str">
        <f>IFNA(VLOOKUP($Y46,'法術資料'!$K$2:$X$805,5,FALSE),"")</f>
        <v/>
      </c>
      <c r="AI46" s="1365" t="str">
        <f>IFNA(VLOOKUP($Y46,'法術資料'!$K$2:$X$805,6,FALSE),"")</f>
        <v/>
      </c>
      <c r="AJ46" s="1366" t="str">
        <f>IFNA(VLOOKUP($Y46,'法術資料'!$K$2:$X$805,9,FALSE),"")</f>
        <v/>
      </c>
      <c r="AK46" s="1367" t="str">
        <f>IFNA(VLOOKUP($Y46,'法術資料'!$K$2:$X$805,10,FALSE),"")</f>
        <v/>
      </c>
      <c r="AL46" s="1367" t="str">
        <f>IFNA(VLOOKUP($Y46,'法術資料'!$K$2:$X$805,11,FALSE),"")</f>
        <v/>
      </c>
      <c r="AM46" s="1511" t="str">
        <f>IFNA(VLOOKUP($Y46,'法術資料'!$K$2:$X$805,12,FALSE),"")</f>
        <v/>
      </c>
      <c r="AN46" s="376"/>
      <c r="AO46" s="1369"/>
      <c r="AP46" s="455"/>
      <c r="AQ46" s="1356"/>
      <c r="AR46" s="1509" t="b">
        <v>0</v>
      </c>
      <c r="AS46" s="1502"/>
      <c r="AT46" s="1512" t="str">
        <f>IFNA(VLOOKUP(AS46,'法術資料'!$K$2:$X$805,4,FALSE),"")
</f>
        <v/>
      </c>
      <c r="AU46" s="1511" t="str">
        <f>IFNA(VLOOKUP(AS46,'法術資料'!$K$2:$X$805,7,FALSE),"")</f>
        <v/>
      </c>
      <c r="AV46" s="1141"/>
      <c r="AW46" s="1511" t="str">
        <f>IFNA(VLOOKUP(AS46,'法術資料'!$K$2:$X$805,8,FALSE),"")</f>
        <v/>
      </c>
      <c r="AX46" s="1141"/>
      <c r="AY46" s="1511" t="str">
        <f>IFNA(VLOOKUP(AS46,'法術資料'!$K$2:$X$805,14,FALSE),"")</f>
        <v/>
      </c>
      <c r="AZ46" s="1141"/>
      <c r="BA46" s="1365" t="str">
        <f>IFNA(VLOOKUP(AS46,'法術資料'!$K$2:$X$805,13,FALSE),"")</f>
        <v/>
      </c>
      <c r="BB46" s="1365" t="str">
        <f>IFNA(VLOOKUP(AS46,'法術資料'!$K$2:$X$805,5,FALSE),"")</f>
        <v/>
      </c>
      <c r="BC46" s="1365" t="str">
        <f>IFNA(VLOOKUP(AS46,'法術資料'!$K$2:$X$805,6,FALSE),"")</f>
        <v/>
      </c>
      <c r="BD46" s="1366" t="str">
        <f>IFNA(VLOOKUP(AS46,'法術資料'!$K$2:$X$805,9,FALSE),"")</f>
        <v/>
      </c>
      <c r="BE46" s="1367" t="str">
        <f>IFNA(VLOOKUP(AS46,'法術資料'!$K$2:$X$805,10,FALSE),"")</f>
        <v/>
      </c>
      <c r="BF46" s="1367" t="str">
        <f>IFNA(VLOOKUP($Y46,'法術資料'!$K$2:$X$805,11,FALSE),"")</f>
        <v/>
      </c>
      <c r="BG46" s="1511" t="str">
        <f>IFNA(VLOOKUP(AS46,'法術資料'!$K$2:$X$805,12,FALSE),"")</f>
        <v/>
      </c>
      <c r="BH46" s="376"/>
      <c r="BI46" s="1369"/>
      <c r="BJ46" s="455"/>
      <c r="BK46" s="1356"/>
      <c r="BL46" s="1509" t="b">
        <v>0</v>
      </c>
      <c r="BM46" s="1502"/>
      <c r="BN46" s="1512" t="str">
        <f>IFNA(VLOOKUP(BM46,'法術資料'!$K$2:$X$805,4,FALSE),"")
</f>
        <v/>
      </c>
      <c r="BO46" s="1511" t="str">
        <f>IFNA(VLOOKUP(BM46,'法術資料'!$K$2:$X$805,7,FALSE),"")</f>
        <v/>
      </c>
      <c r="BP46" s="1141"/>
      <c r="BQ46" s="1511" t="str">
        <f>IFNA(VLOOKUP(BM46,'法術資料'!$K$2:$X$805,8,FALSE),"")</f>
        <v/>
      </c>
      <c r="BR46" s="1141"/>
      <c r="BS46" s="1511" t="str">
        <f>IFNA(VLOOKUP(BM46,'法術資料'!$K$2:$X$805,14,FALSE),"")</f>
        <v/>
      </c>
      <c r="BT46" s="1141"/>
      <c r="BU46" s="1365" t="str">
        <f>IFNA(VLOOKUP(BM46,'法術資料'!$K$2:$X$805,13,FALSE),"")</f>
        <v/>
      </c>
      <c r="BV46" s="1365" t="str">
        <f>IFNA(VLOOKUP(BM46,'法術資料'!$K$2:$X$805,5,FALSE),"")</f>
        <v/>
      </c>
      <c r="BW46" s="1365" t="str">
        <f>IFNA(VLOOKUP(BM46,'法術資料'!$K$2:$X$805,6,FALSE),"")</f>
        <v/>
      </c>
      <c r="BX46" s="1366" t="str">
        <f>IFNA(VLOOKUP(BM46,'法術資料'!$K$2:$X$805,9,FALSE),"")</f>
        <v/>
      </c>
      <c r="BY46" s="1367" t="str">
        <f>IFNA(VLOOKUP(BM46,'法術資料'!$K$2:$X$805,10,FALSE),"")</f>
        <v/>
      </c>
      <c r="BZ46" s="1367" t="str">
        <f>IFNA(VLOOKUP($Y46,'法術資料'!$K$2:$X$805,11,FALSE),"")</f>
        <v/>
      </c>
      <c r="CA46" s="1511" t="str">
        <f>IFNA(VLOOKUP(BM46,'法術資料'!$K$2:$X$805,12,FALSE),"")</f>
        <v/>
      </c>
      <c r="CB46" s="376"/>
      <c r="CC46" s="1369"/>
      <c r="CD46" s="455"/>
      <c r="CE46" s="1356"/>
      <c r="CF46" s="1509" t="b">
        <v>0</v>
      </c>
      <c r="CG46" s="1502"/>
      <c r="CH46" s="1512" t="str">
        <f>IFNA(VLOOKUP(CG46,'法術資料'!$K$2:$X$805,4,FALSE),"")
</f>
        <v/>
      </c>
      <c r="CI46" s="1511" t="str">
        <f>IFNA(VLOOKUP(CG46,'法術資料'!$K$2:$X$805,7,FALSE),"")</f>
        <v/>
      </c>
      <c r="CJ46" s="1141"/>
      <c r="CK46" s="1511" t="str">
        <f>IFNA(VLOOKUP(CG46,'法術資料'!$K$2:$X$805,8,FALSE),"")</f>
        <v/>
      </c>
      <c r="CL46" s="1141"/>
      <c r="CM46" s="1511" t="str">
        <f>IFNA(VLOOKUP(CG46,'法術資料'!$K$2:$X$805,14,FALSE),"")</f>
        <v/>
      </c>
      <c r="CN46" s="1141"/>
      <c r="CO46" s="1365" t="str">
        <f>IFNA(VLOOKUP(CG46,'法術資料'!$K$2:$X$805,13,FALSE),"")</f>
        <v/>
      </c>
      <c r="CP46" s="1365" t="str">
        <f>IFNA(VLOOKUP(CG46,'法術資料'!$K$2:$X$805,5,FALSE),"")</f>
        <v/>
      </c>
      <c r="CQ46" s="1365" t="str">
        <f>IFNA(VLOOKUP(CG46,'法術資料'!$K$2:$X$805,6,FALSE),"")</f>
        <v/>
      </c>
      <c r="CR46" s="1366" t="str">
        <f>IFNA(VLOOKUP(CG46,'法術資料'!$K$2:$X$805,9,FALSE),"")</f>
        <v/>
      </c>
      <c r="CS46" s="1367" t="str">
        <f>IFNA(VLOOKUP(CG46,'法術資料'!$K$2:$X$805,10,FALSE),"")</f>
        <v/>
      </c>
      <c r="CT46" s="1367" t="str">
        <f>IFNA(VLOOKUP($Y46,'法術資料'!$K$2:$X$805,11,FALSE),"")</f>
        <v/>
      </c>
      <c r="CU46" s="1511" t="str">
        <f>IFNA(VLOOKUP(CG46,'法術資料'!$K$2:$X$805,12,FALSE),"")</f>
        <v/>
      </c>
      <c r="CV46" s="376"/>
      <c r="CW46" s="1369"/>
      <c r="CX46" s="455"/>
      <c r="CY46" s="1356"/>
      <c r="CZ46" s="1509" t="b">
        <v>0</v>
      </c>
      <c r="DA46" s="1514"/>
      <c r="DB46" s="1512" t="str">
        <f>IFNA(VLOOKUP(DA46,'法術資料'!$K$2:$X$805,4,FALSE),"")
</f>
        <v/>
      </c>
      <c r="DC46" s="1511" t="str">
        <f>IFNA(VLOOKUP(DA46,'法術資料'!$K$2:$X$805,7,FALSE),"")</f>
        <v/>
      </c>
      <c r="DD46" s="1141"/>
      <c r="DE46" s="1511" t="str">
        <f>IFNA(VLOOKUP(DA46,'法術資料'!$K$2:$X$805,8,FALSE),"")</f>
        <v/>
      </c>
      <c r="DF46" s="1141"/>
      <c r="DG46" s="1511" t="str">
        <f>IFNA(VLOOKUP(DA46,'法術資料'!$K$2:$X$805,14,FALSE),"")</f>
        <v/>
      </c>
      <c r="DH46" s="1141"/>
      <c r="DI46" s="1365" t="str">
        <f>IFNA(VLOOKUP(DA46,'法術資料'!$K$2:$X$805,13,FALSE),"")</f>
        <v/>
      </c>
      <c r="DJ46" s="1365" t="str">
        <f>IFNA(VLOOKUP(DA46,'法術資料'!$K$2:$X$805,5,FALSE),"")</f>
        <v/>
      </c>
      <c r="DK46" s="1365" t="str">
        <f>IFNA(VLOOKUP(DA46,'法術資料'!$K$2:$X$805,6,FALSE),"")</f>
        <v/>
      </c>
      <c r="DL46" s="1366" t="str">
        <f>IFNA(VLOOKUP(DA46,'法術資料'!$K$2:$X$805,9,FALSE),"")</f>
        <v/>
      </c>
      <c r="DM46" s="1367" t="str">
        <f>IFNA(VLOOKUP(DA46,'法術資料'!$K$2:$X$805,10,FALSE),"")</f>
        <v/>
      </c>
      <c r="DN46" s="1367" t="str">
        <f>IFNA(VLOOKUP($Y46,'法術資料'!$K$2:$X$805,11,FALSE),"")</f>
        <v/>
      </c>
      <c r="DO46" s="1511" t="str">
        <f>IFNA(VLOOKUP(DA46,'法術資料'!$K$2:$X$805,12,FALSE),"")</f>
        <v/>
      </c>
      <c r="DP46" s="376"/>
      <c r="DQ46" s="1369"/>
      <c r="DR46" s="455"/>
      <c r="DS46" s="1356"/>
      <c r="DT46" s="1509" t="b">
        <v>0</v>
      </c>
      <c r="DU46" s="1514"/>
      <c r="DV46" s="1512" t="str">
        <f>IFNA(VLOOKUP(DU46,'法術資料'!$K$2:$X$805,4,FALSE),"")
</f>
        <v/>
      </c>
      <c r="DW46" s="1511" t="str">
        <f>IFNA(VLOOKUP(DU46,'法術資料'!$K$2:$X$805,7,FALSE),"")</f>
        <v/>
      </c>
      <c r="DX46" s="1141"/>
      <c r="DY46" s="1511" t="str">
        <f>IFNA(VLOOKUP(DU46,'法術資料'!$K$2:$X$805,8,FALSE),"")</f>
        <v/>
      </c>
      <c r="DZ46" s="1141"/>
      <c r="EA46" s="1511" t="str">
        <f>IFNA(VLOOKUP(DU46,'法術資料'!$K$2:$X$805,14,FALSE),"")</f>
        <v/>
      </c>
      <c r="EB46" s="1141"/>
      <c r="EC46" s="1365" t="str">
        <f>IFNA(VLOOKUP(DU46,'法術資料'!$K$2:$X$805,13,FALSE),"")</f>
        <v/>
      </c>
      <c r="ED46" s="1365" t="str">
        <f>IFNA(VLOOKUP(DU46,'法術資料'!$K$2:$X$805,5,FALSE),"")</f>
        <v/>
      </c>
      <c r="EE46" s="1365" t="str">
        <f>IFNA(VLOOKUP(DU46,'法術資料'!$K$2:$X$805,6,FALSE),"")</f>
        <v/>
      </c>
      <c r="EF46" s="1366" t="str">
        <f>IFNA(VLOOKUP(DU46,'法術資料'!$K$2:$X$805,9,FALSE),"")</f>
        <v/>
      </c>
      <c r="EG46" s="1367" t="str">
        <f>IFNA(VLOOKUP(DU46,'法術資料'!$K$2:$X$805,10,FALSE),"")</f>
        <v/>
      </c>
      <c r="EH46" s="1367" t="str">
        <f>IFNA(VLOOKUP($Y46,'法術資料'!$K$2:$X$805,11,FALSE),"")</f>
        <v/>
      </c>
      <c r="EI46" s="1511" t="str">
        <f>IFNA(VLOOKUP(DU46,'法術資料'!$K$2:$X$805,12,FALSE),"")</f>
        <v/>
      </c>
      <c r="EJ46" s="376"/>
      <c r="EK46" s="1369"/>
      <c r="EL46" s="455"/>
      <c r="EM46" s="1356"/>
      <c r="EN46" s="1509" t="b">
        <v>0</v>
      </c>
      <c r="EO46" s="1514"/>
      <c r="EP46" s="1512" t="str">
        <f>IFNA(VLOOKUP(EO46,'法術資料'!$K$2:$X$805,4,FALSE),"")
</f>
        <v/>
      </c>
      <c r="EQ46" s="1511" t="str">
        <f>IFNA(VLOOKUP(EO46,'法術資料'!$K$2:$X$805,7,FALSE),"")</f>
        <v/>
      </c>
      <c r="ER46" s="1141"/>
      <c r="ES46" s="1511" t="str">
        <f>IFNA(VLOOKUP(EO46,'法術資料'!$K$2:$X$805,8,FALSE),"")</f>
        <v/>
      </c>
      <c r="ET46" s="1141"/>
      <c r="EU46" s="1511" t="str">
        <f>IFNA(VLOOKUP(EO46,'法術資料'!$K$2:$X$805,14,FALSE),"")</f>
        <v/>
      </c>
      <c r="EV46" s="1141"/>
      <c r="EW46" s="1365" t="str">
        <f>IFNA(VLOOKUP(EO46,'法術資料'!$K$2:$X$805,13,FALSE),"")</f>
        <v/>
      </c>
      <c r="EX46" s="1365" t="str">
        <f>IFNA(VLOOKUP(EO46,'法術資料'!$K$2:$X$805,5,FALSE),"")</f>
        <v/>
      </c>
      <c r="EY46" s="1365" t="str">
        <f>IFNA(VLOOKUP(EO46,'法術資料'!$K$2:$X$805,6,FALSE),"")</f>
        <v/>
      </c>
      <c r="EZ46" s="1366" t="str">
        <f>IFNA(VLOOKUP(EO46,'法術資料'!$K$2:$X$805,9,FALSE),"")</f>
        <v/>
      </c>
      <c r="FA46" s="1367" t="str">
        <f>IFNA(VLOOKUP(EO46,'法術資料'!$K$2:$X$805,10,FALSE),"")</f>
        <v/>
      </c>
      <c r="FB46" s="1367" t="str">
        <f>IFNA(VLOOKUP($Y46,'法術資料'!$K$2:$X$805,11,FALSE),"")</f>
        <v/>
      </c>
      <c r="FC46" s="1511" t="str">
        <f>IFNA(VLOOKUP(EO46,'法術資料'!$K$2:$X$805,12,FALSE),"")</f>
        <v/>
      </c>
      <c r="FD46" s="376"/>
      <c r="FE46" s="1369"/>
      <c r="FF46" s="455"/>
      <c r="FG46" s="1356"/>
      <c r="FH46" s="1509" t="b">
        <v>0</v>
      </c>
      <c r="FI46" s="1514"/>
      <c r="FJ46" s="1512" t="str">
        <f>IFNA(VLOOKUP(FI46,'法術資料'!$K$2:$X$805,4,FALSE),"")
</f>
        <v/>
      </c>
      <c r="FK46" s="1511" t="str">
        <f>IFNA(VLOOKUP(FI46,'法術資料'!$K$2:$X$805,7,FALSE),"")</f>
        <v/>
      </c>
      <c r="FL46" s="1141"/>
      <c r="FM46" s="1511" t="str">
        <f>IFNA(VLOOKUP(FI46,'法術資料'!$K$2:$X$805,8,FALSE),"")</f>
        <v/>
      </c>
      <c r="FN46" s="1141"/>
      <c r="FO46" s="1511" t="str">
        <f>IFNA(VLOOKUP(FI46,'法術資料'!$K$2:$X$805,14,FALSE),"")</f>
        <v/>
      </c>
      <c r="FP46" s="1141"/>
      <c r="FQ46" s="1365" t="str">
        <f>IFNA(VLOOKUP(FI46,'法術資料'!$K$2:$X$805,13,FALSE),"")</f>
        <v/>
      </c>
      <c r="FR46" s="1365" t="str">
        <f>IFNA(VLOOKUP(FI46,'法術資料'!$K$2:$X$805,5,FALSE),"")</f>
        <v/>
      </c>
      <c r="FS46" s="1365" t="str">
        <f>IFNA(VLOOKUP(FI46,'法術資料'!$K$2:$X$805,6,FALSE),"")</f>
        <v/>
      </c>
      <c r="FT46" s="1366" t="str">
        <f>IFNA(VLOOKUP(FI46,'法術資料'!$K$2:$X$805,9,FALSE),"")</f>
        <v/>
      </c>
      <c r="FU46" s="1367" t="str">
        <f>IFNA(VLOOKUP(FI46,'法術資料'!$K$2:$X$805,10,FALSE),"")</f>
        <v/>
      </c>
      <c r="FV46" s="1367" t="str">
        <f>IFNA(VLOOKUP($Y46,'法術資料'!$K$2:$X$805,11,FALSE),"")</f>
        <v/>
      </c>
      <c r="FW46" s="1511" t="str">
        <f>IFNA(VLOOKUP(FI46,'法術資料'!$K$2:$X$805,12,FALSE),"")</f>
        <v/>
      </c>
      <c r="FX46" s="376"/>
      <c r="FY46" s="1369"/>
      <c r="FZ46" s="455"/>
    </row>
    <row r="47">
      <c r="A47" s="455"/>
      <c r="B47" s="1356"/>
      <c r="C47" s="1503" t="b">
        <v>0</v>
      </c>
      <c r="D47" s="1504"/>
      <c r="E47" s="1505" t="str">
        <f>IFNA(VLOOKUP($D47,'法術資料'!$K$2:$X$805,4,FALSE),"")
</f>
        <v/>
      </c>
      <c r="F47" s="1506" t="str">
        <f>IFNA(VLOOKUP($D47,'法術資料'!$K$2:$X$805,7,FALSE),"")</f>
        <v/>
      </c>
      <c r="G47" s="1141"/>
      <c r="H47" s="1506" t="str">
        <f>IFNA(VLOOKUP($D47,'法術資料'!$K$2:$X$805,8,FALSE),"")</f>
        <v/>
      </c>
      <c r="I47" s="1141"/>
      <c r="J47" s="1506" t="str">
        <f>IFNA(VLOOKUP($D47,'法術資料'!$K$2:$X$805,14,FALSE),"")</f>
        <v/>
      </c>
      <c r="K47" s="1141"/>
      <c r="L47" s="1506" t="str">
        <f>IFNA(VLOOKUP($D47,'法術資料'!$K$2:$X$805,13,FALSE),"")</f>
        <v/>
      </c>
      <c r="M47" s="1141"/>
      <c r="N47" s="1377" t="str">
        <f>IFNA(VLOOKUP($D47,'法術資料'!$K$2:$X$805,5,FALSE),"")</f>
        <v/>
      </c>
      <c r="O47" s="1377" t="str">
        <f>IFNA(VLOOKUP($D47,'法術資料'!$K$2:$X$805,6,FALSE),"")</f>
        <v/>
      </c>
      <c r="P47" s="1378" t="str">
        <f>IFNA(VLOOKUP($D47,'法術資料'!$K$2:$X$805,9,FALSE),"")</f>
        <v/>
      </c>
      <c r="Q47" s="1379" t="str">
        <f>IFNA(VLOOKUP($D47,'法術資料'!$K$2:$X$805,10,FALSE),"")</f>
        <v/>
      </c>
      <c r="R47" s="1379" t="str">
        <f>IFNA(VLOOKUP($D47,'法術資料'!$K$2:$X$805,11,FALSE),"")</f>
        <v/>
      </c>
      <c r="S47" s="1506" t="str">
        <f>IFNA(VLOOKUP($D47,'法術資料'!$K$2:$X$805,12,FALSE),"")</f>
        <v/>
      </c>
      <c r="T47" s="376"/>
      <c r="U47" s="1369"/>
      <c r="V47" s="455"/>
      <c r="W47" s="1356"/>
      <c r="X47" s="1503" t="b">
        <v>0</v>
      </c>
      <c r="Y47" s="1508"/>
      <c r="Z47" s="1507" t="str">
        <f>IFNA(VLOOKUP(Y47,'法術資料'!$K$2:$X$805,4,FALSE),"")
</f>
        <v/>
      </c>
      <c r="AA47" s="1506" t="str">
        <f>IFNA(VLOOKUP($Y47,'法術資料'!$K$2:$X$805,7,FALSE),"")</f>
        <v/>
      </c>
      <c r="AB47" s="1141"/>
      <c r="AC47" s="1506" t="str">
        <f>IFNA(VLOOKUP($Y47,'法術資料'!$K$2:$X$805,8,FALSE),"")</f>
        <v/>
      </c>
      <c r="AD47" s="1141"/>
      <c r="AE47" s="1506" t="str">
        <f>IFNA(VLOOKUP($Y47,'法術資料'!$K$2:$X$805,14,FALSE),"")</f>
        <v/>
      </c>
      <c r="AF47" s="1141"/>
      <c r="AG47" s="1377" t="str">
        <f>IFNA(VLOOKUP($Y47,'法術資料'!$K$2:$X$805,13,FALSE),"")</f>
        <v/>
      </c>
      <c r="AH47" s="1377" t="str">
        <f>IFNA(VLOOKUP($Y47,'法術資料'!$K$2:$X$805,5,FALSE),"")</f>
        <v/>
      </c>
      <c r="AI47" s="1377" t="str">
        <f>IFNA(VLOOKUP($Y47,'法術資料'!$K$2:$X$805,6,FALSE),"")</f>
        <v/>
      </c>
      <c r="AJ47" s="1378" t="str">
        <f>IFNA(VLOOKUP($Y47,'法術資料'!$K$2:$X$805,9,FALSE),"")</f>
        <v/>
      </c>
      <c r="AK47" s="1379" t="str">
        <f>IFNA(VLOOKUP($Y47,'法術資料'!$K$2:$X$805,10,FALSE),"")</f>
        <v/>
      </c>
      <c r="AL47" s="1379" t="str">
        <f>IFNA(VLOOKUP($Y47,'法術資料'!$K$2:$X$805,11,FALSE),"")</f>
        <v/>
      </c>
      <c r="AM47" s="1506" t="str">
        <f>IFNA(VLOOKUP($Y47,'法術資料'!$K$2:$X$805,12,FALSE),"")</f>
        <v/>
      </c>
      <c r="AN47" s="376"/>
      <c r="AO47" s="1369"/>
      <c r="AP47" s="455"/>
      <c r="AQ47" s="1356"/>
      <c r="AR47" s="1503" t="b">
        <v>0</v>
      </c>
      <c r="AS47" s="1508"/>
      <c r="AT47" s="1507" t="str">
        <f>IFNA(VLOOKUP(AS47,'法術資料'!$K$2:$X$805,4,FALSE),"")
</f>
        <v/>
      </c>
      <c r="AU47" s="1506" t="str">
        <f>IFNA(VLOOKUP(AS47,'法術資料'!$K$2:$X$805,7,FALSE),"")</f>
        <v/>
      </c>
      <c r="AV47" s="1141"/>
      <c r="AW47" s="1506" t="str">
        <f>IFNA(VLOOKUP(AS47,'法術資料'!$K$2:$X$805,8,FALSE),"")</f>
        <v/>
      </c>
      <c r="AX47" s="1141"/>
      <c r="AY47" s="1506" t="str">
        <f>IFNA(VLOOKUP(AS47,'法術資料'!$K$2:$X$805,14,FALSE),"")</f>
        <v/>
      </c>
      <c r="AZ47" s="1141"/>
      <c r="BA47" s="1377" t="str">
        <f>IFNA(VLOOKUP(AS47,'法術資料'!$K$2:$X$805,13,FALSE),"")</f>
        <v/>
      </c>
      <c r="BB47" s="1377" t="str">
        <f>IFNA(VLOOKUP(AS47,'法術資料'!$K$2:$X$805,5,FALSE),"")</f>
        <v/>
      </c>
      <c r="BC47" s="1377" t="str">
        <f>IFNA(VLOOKUP(AS47,'法術資料'!$K$2:$X$805,6,FALSE),"")</f>
        <v/>
      </c>
      <c r="BD47" s="1378" t="str">
        <f>IFNA(VLOOKUP(AS47,'法術資料'!$K$2:$X$805,9,FALSE),"")</f>
        <v/>
      </c>
      <c r="BE47" s="1379" t="str">
        <f>IFNA(VLOOKUP(AS47,'法術資料'!$K$2:$X$805,10,FALSE),"")</f>
        <v/>
      </c>
      <c r="BF47" s="1379" t="str">
        <f>IFNA(VLOOKUP($Y47,'法術資料'!$K$2:$X$805,11,FALSE),"")</f>
        <v/>
      </c>
      <c r="BG47" s="1506" t="str">
        <f>IFNA(VLOOKUP(AS47,'法術資料'!$K$2:$X$805,12,FALSE),"")</f>
        <v/>
      </c>
      <c r="BH47" s="376"/>
      <c r="BI47" s="1369"/>
      <c r="BJ47" s="455"/>
      <c r="BK47" s="1356"/>
      <c r="BL47" s="1503" t="b">
        <v>0</v>
      </c>
      <c r="BM47" s="1508"/>
      <c r="BN47" s="1507" t="str">
        <f>IFNA(VLOOKUP(BM47,'法術資料'!$K$2:$X$805,4,FALSE),"")
</f>
        <v/>
      </c>
      <c r="BO47" s="1506" t="str">
        <f>IFNA(VLOOKUP(BM47,'法術資料'!$K$2:$X$805,7,FALSE),"")</f>
        <v/>
      </c>
      <c r="BP47" s="1141"/>
      <c r="BQ47" s="1506" t="str">
        <f>IFNA(VLOOKUP(BM47,'法術資料'!$K$2:$X$805,8,FALSE),"")</f>
        <v/>
      </c>
      <c r="BR47" s="1141"/>
      <c r="BS47" s="1506" t="str">
        <f>IFNA(VLOOKUP(BM47,'法術資料'!$K$2:$X$805,14,FALSE),"")</f>
        <v/>
      </c>
      <c r="BT47" s="1141"/>
      <c r="BU47" s="1377" t="str">
        <f>IFNA(VLOOKUP(BM47,'法術資料'!$K$2:$X$805,13,FALSE),"")</f>
        <v/>
      </c>
      <c r="BV47" s="1377" t="str">
        <f>IFNA(VLOOKUP(BM47,'法術資料'!$K$2:$X$805,5,FALSE),"")</f>
        <v/>
      </c>
      <c r="BW47" s="1377" t="str">
        <f>IFNA(VLOOKUP(BM47,'法術資料'!$K$2:$X$805,6,FALSE),"")</f>
        <v/>
      </c>
      <c r="BX47" s="1378" t="str">
        <f>IFNA(VLOOKUP(BM47,'法術資料'!$K$2:$X$805,9,FALSE),"")</f>
        <v/>
      </c>
      <c r="BY47" s="1379" t="str">
        <f>IFNA(VLOOKUP(BM47,'法術資料'!$K$2:$X$805,10,FALSE),"")</f>
        <v/>
      </c>
      <c r="BZ47" s="1379" t="str">
        <f>IFNA(VLOOKUP($Y47,'法術資料'!$K$2:$X$805,11,FALSE),"")</f>
        <v/>
      </c>
      <c r="CA47" s="1506" t="str">
        <f>IFNA(VLOOKUP(BM47,'法術資料'!$K$2:$X$805,12,FALSE),"")</f>
        <v/>
      </c>
      <c r="CB47" s="376"/>
      <c r="CC47" s="1369"/>
      <c r="CD47" s="455"/>
      <c r="CE47" s="1356"/>
      <c r="CF47" s="1503" t="b">
        <v>0</v>
      </c>
      <c r="CG47" s="1508"/>
      <c r="CH47" s="1507" t="str">
        <f>IFNA(VLOOKUP(CG47,'法術資料'!$K$2:$X$805,4,FALSE),"")
</f>
        <v/>
      </c>
      <c r="CI47" s="1506" t="str">
        <f>IFNA(VLOOKUP(CG47,'法術資料'!$K$2:$X$805,7,FALSE),"")</f>
        <v/>
      </c>
      <c r="CJ47" s="1141"/>
      <c r="CK47" s="1506" t="str">
        <f>IFNA(VLOOKUP(CG47,'法術資料'!$K$2:$X$805,8,FALSE),"")</f>
        <v/>
      </c>
      <c r="CL47" s="1141"/>
      <c r="CM47" s="1506" t="str">
        <f>IFNA(VLOOKUP(CG47,'法術資料'!$K$2:$X$805,14,FALSE),"")</f>
        <v/>
      </c>
      <c r="CN47" s="1141"/>
      <c r="CO47" s="1377" t="str">
        <f>IFNA(VLOOKUP(CG47,'法術資料'!$K$2:$X$805,13,FALSE),"")</f>
        <v/>
      </c>
      <c r="CP47" s="1377" t="str">
        <f>IFNA(VLOOKUP(CG47,'法術資料'!$K$2:$X$805,5,FALSE),"")</f>
        <v/>
      </c>
      <c r="CQ47" s="1377" t="str">
        <f>IFNA(VLOOKUP(CG47,'法術資料'!$K$2:$X$805,6,FALSE),"")</f>
        <v/>
      </c>
      <c r="CR47" s="1378" t="str">
        <f>IFNA(VLOOKUP(CG47,'法術資料'!$K$2:$X$805,9,FALSE),"")</f>
        <v/>
      </c>
      <c r="CS47" s="1379" t="str">
        <f>IFNA(VLOOKUP(CG47,'法術資料'!$K$2:$X$805,10,FALSE),"")</f>
        <v/>
      </c>
      <c r="CT47" s="1379" t="str">
        <f>IFNA(VLOOKUP($Y47,'法術資料'!$K$2:$X$805,11,FALSE),"")</f>
        <v/>
      </c>
      <c r="CU47" s="1506" t="str">
        <f>IFNA(VLOOKUP(CG47,'法術資料'!$K$2:$X$805,12,FALSE),"")</f>
        <v/>
      </c>
      <c r="CV47" s="376"/>
      <c r="CW47" s="1369"/>
      <c r="CX47" s="455"/>
      <c r="CY47" s="1356"/>
      <c r="CZ47" s="1503" t="b">
        <v>0</v>
      </c>
      <c r="DA47" s="1515"/>
      <c r="DB47" s="1507" t="str">
        <f>IFNA(VLOOKUP(DA47,'法術資料'!$K$2:$X$805,4,FALSE),"")
</f>
        <v/>
      </c>
      <c r="DC47" s="1506" t="str">
        <f>IFNA(VLOOKUP(DA47,'法術資料'!$K$2:$X$805,7,FALSE),"")</f>
        <v/>
      </c>
      <c r="DD47" s="1141"/>
      <c r="DE47" s="1506" t="str">
        <f>IFNA(VLOOKUP(DA47,'法術資料'!$K$2:$X$805,8,FALSE),"")</f>
        <v/>
      </c>
      <c r="DF47" s="1141"/>
      <c r="DG47" s="1506" t="str">
        <f>IFNA(VLOOKUP(DA47,'法術資料'!$K$2:$X$805,14,FALSE),"")</f>
        <v/>
      </c>
      <c r="DH47" s="1141"/>
      <c r="DI47" s="1377" t="str">
        <f>IFNA(VLOOKUP(DA47,'法術資料'!$K$2:$X$805,13,FALSE),"")</f>
        <v/>
      </c>
      <c r="DJ47" s="1377" t="str">
        <f>IFNA(VLOOKUP(DA47,'法術資料'!$K$2:$X$805,5,FALSE),"")</f>
        <v/>
      </c>
      <c r="DK47" s="1377" t="str">
        <f>IFNA(VLOOKUP(DA47,'法術資料'!$K$2:$X$805,6,FALSE),"")</f>
        <v/>
      </c>
      <c r="DL47" s="1378" t="str">
        <f>IFNA(VLOOKUP(DA47,'法術資料'!$K$2:$X$805,9,FALSE),"")</f>
        <v/>
      </c>
      <c r="DM47" s="1379" t="str">
        <f>IFNA(VLOOKUP(DA47,'法術資料'!$K$2:$X$805,10,FALSE),"")</f>
        <v/>
      </c>
      <c r="DN47" s="1379" t="str">
        <f>IFNA(VLOOKUP($Y47,'法術資料'!$K$2:$X$805,11,FALSE),"")</f>
        <v/>
      </c>
      <c r="DO47" s="1506" t="str">
        <f>IFNA(VLOOKUP(DA47,'法術資料'!$K$2:$X$805,12,FALSE),"")</f>
        <v/>
      </c>
      <c r="DP47" s="376"/>
      <c r="DQ47" s="1369"/>
      <c r="DR47" s="455"/>
      <c r="DS47" s="1356"/>
      <c r="DT47" s="1503" t="b">
        <v>0</v>
      </c>
      <c r="DU47" s="1515"/>
      <c r="DV47" s="1507" t="str">
        <f>IFNA(VLOOKUP(DU47,'法術資料'!$K$2:$X$805,4,FALSE),"")
</f>
        <v/>
      </c>
      <c r="DW47" s="1506" t="str">
        <f>IFNA(VLOOKUP(DU47,'法術資料'!$K$2:$X$805,7,FALSE),"")</f>
        <v/>
      </c>
      <c r="DX47" s="1141"/>
      <c r="DY47" s="1506" t="str">
        <f>IFNA(VLOOKUP(DU47,'法術資料'!$K$2:$X$805,8,FALSE),"")</f>
        <v/>
      </c>
      <c r="DZ47" s="1141"/>
      <c r="EA47" s="1506" t="str">
        <f>IFNA(VLOOKUP(DU47,'法術資料'!$K$2:$X$805,14,FALSE),"")</f>
        <v/>
      </c>
      <c r="EB47" s="1141"/>
      <c r="EC47" s="1377" t="str">
        <f>IFNA(VLOOKUP(DU47,'法術資料'!$K$2:$X$805,13,FALSE),"")</f>
        <v/>
      </c>
      <c r="ED47" s="1377" t="str">
        <f>IFNA(VLOOKUP(DU47,'法術資料'!$K$2:$X$805,5,FALSE),"")</f>
        <v/>
      </c>
      <c r="EE47" s="1377" t="str">
        <f>IFNA(VLOOKUP(DU47,'法術資料'!$K$2:$X$805,6,FALSE),"")</f>
        <v/>
      </c>
      <c r="EF47" s="1378" t="str">
        <f>IFNA(VLOOKUP(DU47,'法術資料'!$K$2:$X$805,9,FALSE),"")</f>
        <v/>
      </c>
      <c r="EG47" s="1379" t="str">
        <f>IFNA(VLOOKUP(DU47,'法術資料'!$K$2:$X$805,10,FALSE),"")</f>
        <v/>
      </c>
      <c r="EH47" s="1379" t="str">
        <f>IFNA(VLOOKUP($Y47,'法術資料'!$K$2:$X$805,11,FALSE),"")</f>
        <v/>
      </c>
      <c r="EI47" s="1506" t="str">
        <f>IFNA(VLOOKUP(DU47,'法術資料'!$K$2:$X$805,12,FALSE),"")</f>
        <v/>
      </c>
      <c r="EJ47" s="376"/>
      <c r="EK47" s="1369"/>
      <c r="EL47" s="455"/>
      <c r="EM47" s="1356"/>
      <c r="EN47" s="1503" t="b">
        <v>0</v>
      </c>
      <c r="EO47" s="1515"/>
      <c r="EP47" s="1507" t="str">
        <f>IFNA(VLOOKUP(EO47,'法術資料'!$K$2:$X$805,4,FALSE),"")
</f>
        <v/>
      </c>
      <c r="EQ47" s="1506" t="str">
        <f>IFNA(VLOOKUP(EO47,'法術資料'!$K$2:$X$805,7,FALSE),"")</f>
        <v/>
      </c>
      <c r="ER47" s="1141"/>
      <c r="ES47" s="1506" t="str">
        <f>IFNA(VLOOKUP(EO47,'法術資料'!$K$2:$X$805,8,FALSE),"")</f>
        <v/>
      </c>
      <c r="ET47" s="1141"/>
      <c r="EU47" s="1506" t="str">
        <f>IFNA(VLOOKUP(EO47,'法術資料'!$K$2:$X$805,14,FALSE),"")</f>
        <v/>
      </c>
      <c r="EV47" s="1141"/>
      <c r="EW47" s="1377" t="str">
        <f>IFNA(VLOOKUP(EO47,'法術資料'!$K$2:$X$805,13,FALSE),"")</f>
        <v/>
      </c>
      <c r="EX47" s="1377" t="str">
        <f>IFNA(VLOOKUP(EO47,'法術資料'!$K$2:$X$805,5,FALSE),"")</f>
        <v/>
      </c>
      <c r="EY47" s="1377" t="str">
        <f>IFNA(VLOOKUP(EO47,'法術資料'!$K$2:$X$805,6,FALSE),"")</f>
        <v/>
      </c>
      <c r="EZ47" s="1378" t="str">
        <f>IFNA(VLOOKUP(EO47,'法術資料'!$K$2:$X$805,9,FALSE),"")</f>
        <v/>
      </c>
      <c r="FA47" s="1379" t="str">
        <f>IFNA(VLOOKUP(EO47,'法術資料'!$K$2:$X$805,10,FALSE),"")</f>
        <v/>
      </c>
      <c r="FB47" s="1379" t="str">
        <f>IFNA(VLOOKUP($Y47,'法術資料'!$K$2:$X$805,11,FALSE),"")</f>
        <v/>
      </c>
      <c r="FC47" s="1506" t="str">
        <f>IFNA(VLOOKUP(EO47,'法術資料'!$K$2:$X$805,12,FALSE),"")</f>
        <v/>
      </c>
      <c r="FD47" s="376"/>
      <c r="FE47" s="1369"/>
      <c r="FF47" s="455"/>
      <c r="FG47" s="1356"/>
      <c r="FH47" s="1503" t="b">
        <v>0</v>
      </c>
      <c r="FI47" s="1515"/>
      <c r="FJ47" s="1507" t="str">
        <f>IFNA(VLOOKUP(FI47,'法術資料'!$K$2:$X$805,4,FALSE),"")
</f>
        <v/>
      </c>
      <c r="FK47" s="1506" t="str">
        <f>IFNA(VLOOKUP(FI47,'法術資料'!$K$2:$X$805,7,FALSE),"")</f>
        <v/>
      </c>
      <c r="FL47" s="1141"/>
      <c r="FM47" s="1506" t="str">
        <f>IFNA(VLOOKUP(FI47,'法術資料'!$K$2:$X$805,8,FALSE),"")</f>
        <v/>
      </c>
      <c r="FN47" s="1141"/>
      <c r="FO47" s="1506" t="str">
        <f>IFNA(VLOOKUP(FI47,'法術資料'!$K$2:$X$805,14,FALSE),"")</f>
        <v/>
      </c>
      <c r="FP47" s="1141"/>
      <c r="FQ47" s="1377" t="str">
        <f>IFNA(VLOOKUP(FI47,'法術資料'!$K$2:$X$805,13,FALSE),"")</f>
        <v/>
      </c>
      <c r="FR47" s="1377" t="str">
        <f>IFNA(VLOOKUP(FI47,'法術資料'!$K$2:$X$805,5,FALSE),"")</f>
        <v/>
      </c>
      <c r="FS47" s="1377" t="str">
        <f>IFNA(VLOOKUP(FI47,'法術資料'!$K$2:$X$805,6,FALSE),"")</f>
        <v/>
      </c>
      <c r="FT47" s="1378" t="str">
        <f>IFNA(VLOOKUP(FI47,'法術資料'!$K$2:$X$805,9,FALSE),"")</f>
        <v/>
      </c>
      <c r="FU47" s="1379" t="str">
        <f>IFNA(VLOOKUP(FI47,'法術資料'!$K$2:$X$805,10,FALSE),"")</f>
        <v/>
      </c>
      <c r="FV47" s="1379" t="str">
        <f>IFNA(VLOOKUP($Y47,'法術資料'!$K$2:$X$805,11,FALSE),"")</f>
        <v/>
      </c>
      <c r="FW47" s="1506" t="str">
        <f>IFNA(VLOOKUP(FI47,'法術資料'!$K$2:$X$805,12,FALSE),"")</f>
        <v/>
      </c>
      <c r="FX47" s="376"/>
      <c r="FY47" s="1369"/>
      <c r="FZ47" s="455"/>
    </row>
    <row r="48">
      <c r="A48" s="455"/>
      <c r="B48" s="1356"/>
      <c r="C48" s="1509" t="b">
        <v>0</v>
      </c>
      <c r="D48" s="1502"/>
      <c r="E48" s="1510" t="str">
        <f>IFNA(VLOOKUP($D48,'法術資料'!$K$2:$X$805,4,FALSE),"")
</f>
        <v/>
      </c>
      <c r="F48" s="1511" t="str">
        <f>IFNA(VLOOKUP($D48,'法術資料'!$K$2:$X$805,7,FALSE),"")</f>
        <v/>
      </c>
      <c r="G48" s="1141"/>
      <c r="H48" s="1511" t="str">
        <f>IFNA(VLOOKUP($D48,'法術資料'!$K$2:$X$805,8,FALSE),"")</f>
        <v/>
      </c>
      <c r="I48" s="1141"/>
      <c r="J48" s="1511" t="str">
        <f>IFNA(VLOOKUP($D48,'法術資料'!$K$2:$X$805,14,FALSE),"")</f>
        <v/>
      </c>
      <c r="K48" s="1141"/>
      <c r="L48" s="1511" t="str">
        <f>IFNA(VLOOKUP($D48,'法術資料'!$K$2:$X$805,13,FALSE),"")</f>
        <v/>
      </c>
      <c r="M48" s="1141"/>
      <c r="N48" s="1365" t="str">
        <f>IFNA(VLOOKUP($D48,'法術資料'!$K$2:$X$805,5,FALSE),"")</f>
        <v/>
      </c>
      <c r="O48" s="1365" t="str">
        <f>IFNA(VLOOKUP($D48,'法術資料'!$K$2:$X$805,6,FALSE),"")</f>
        <v/>
      </c>
      <c r="P48" s="1366" t="str">
        <f>IFNA(VLOOKUP($D48,'法術資料'!$K$2:$X$805,9,FALSE),"")</f>
        <v/>
      </c>
      <c r="Q48" s="1367" t="str">
        <f>IFNA(VLOOKUP($D48,'法術資料'!$K$2:$X$805,10,FALSE),"")</f>
        <v/>
      </c>
      <c r="R48" s="1367" t="str">
        <f>IFNA(VLOOKUP($D48,'法術資料'!$K$2:$X$805,11,FALSE),"")</f>
        <v/>
      </c>
      <c r="S48" s="1511" t="str">
        <f>IFNA(VLOOKUP($D48,'法術資料'!$K$2:$X$805,12,FALSE),"")</f>
        <v/>
      </c>
      <c r="T48" s="376"/>
      <c r="U48" s="1369"/>
      <c r="V48" s="455"/>
      <c r="W48" s="1356"/>
      <c r="X48" s="1509" t="b">
        <v>0</v>
      </c>
      <c r="Y48" s="1499"/>
      <c r="Z48" s="1512" t="str">
        <f>IFNA(VLOOKUP(Y48,'法術資料'!$K$2:$X$805,4,FALSE),"")
</f>
        <v/>
      </c>
      <c r="AA48" s="1511" t="str">
        <f>IFNA(VLOOKUP($Y48,'法術資料'!$K$2:$X$805,7,FALSE),"")</f>
        <v/>
      </c>
      <c r="AB48" s="1141"/>
      <c r="AC48" s="1511" t="str">
        <f>IFNA(VLOOKUP($Y48,'法術資料'!$K$2:$X$805,8,FALSE),"")</f>
        <v/>
      </c>
      <c r="AD48" s="1141"/>
      <c r="AE48" s="1511" t="str">
        <f>IFNA(VLOOKUP($Y48,'法術資料'!$K$2:$X$805,14,FALSE),"")</f>
        <v/>
      </c>
      <c r="AF48" s="1141"/>
      <c r="AG48" s="1365" t="str">
        <f>IFNA(VLOOKUP($Y48,'法術資料'!$K$2:$X$805,13,FALSE),"")</f>
        <v/>
      </c>
      <c r="AH48" s="1365" t="str">
        <f>IFNA(VLOOKUP($Y48,'法術資料'!$K$2:$X$805,5,FALSE),"")</f>
        <v/>
      </c>
      <c r="AI48" s="1365" t="str">
        <f>IFNA(VLOOKUP($Y48,'法術資料'!$K$2:$X$805,6,FALSE),"")</f>
        <v/>
      </c>
      <c r="AJ48" s="1366" t="str">
        <f>IFNA(VLOOKUP($Y48,'法術資料'!$K$2:$X$805,9,FALSE),"")</f>
        <v/>
      </c>
      <c r="AK48" s="1367" t="str">
        <f>IFNA(VLOOKUP($Y48,'法術資料'!$K$2:$X$805,10,FALSE),"")</f>
        <v/>
      </c>
      <c r="AL48" s="1367" t="str">
        <f>IFNA(VLOOKUP($Y48,'法術資料'!$K$2:$X$805,11,FALSE),"")</f>
        <v/>
      </c>
      <c r="AM48" s="1511" t="str">
        <f>IFNA(VLOOKUP($Y48,'法術資料'!$K$2:$X$805,12,FALSE),"")</f>
        <v/>
      </c>
      <c r="AN48" s="376"/>
      <c r="AO48" s="1369"/>
      <c r="AP48" s="455"/>
      <c r="AQ48" s="1356"/>
      <c r="AR48" s="1509" t="b">
        <v>0</v>
      </c>
      <c r="AS48" s="1499"/>
      <c r="AT48" s="1512" t="str">
        <f>IFNA(VLOOKUP(AS48,'法術資料'!$K$2:$X$805,4,FALSE),"")
</f>
        <v/>
      </c>
      <c r="AU48" s="1511" t="str">
        <f>IFNA(VLOOKUP(AS48,'法術資料'!$K$2:$X$805,7,FALSE),"")</f>
        <v/>
      </c>
      <c r="AV48" s="1141"/>
      <c r="AW48" s="1511" t="str">
        <f>IFNA(VLOOKUP(AS48,'法術資料'!$K$2:$X$805,8,FALSE),"")</f>
        <v/>
      </c>
      <c r="AX48" s="1141"/>
      <c r="AY48" s="1511" t="str">
        <f>IFNA(VLOOKUP(AS48,'法術資料'!$K$2:$X$805,14,FALSE),"")</f>
        <v/>
      </c>
      <c r="AZ48" s="1141"/>
      <c r="BA48" s="1365" t="str">
        <f>IFNA(VLOOKUP(AS48,'法術資料'!$K$2:$X$805,13,FALSE),"")</f>
        <v/>
      </c>
      <c r="BB48" s="1365" t="str">
        <f>IFNA(VLOOKUP(AS48,'法術資料'!$K$2:$X$805,5,FALSE),"")</f>
        <v/>
      </c>
      <c r="BC48" s="1365" t="str">
        <f>IFNA(VLOOKUP(AS48,'法術資料'!$K$2:$X$805,6,FALSE),"")</f>
        <v/>
      </c>
      <c r="BD48" s="1366" t="str">
        <f>IFNA(VLOOKUP(AS48,'法術資料'!$K$2:$X$805,9,FALSE),"")</f>
        <v/>
      </c>
      <c r="BE48" s="1367" t="str">
        <f>IFNA(VLOOKUP(AS48,'法術資料'!$K$2:$X$805,10,FALSE),"")</f>
        <v/>
      </c>
      <c r="BF48" s="1367" t="str">
        <f>IFNA(VLOOKUP($Y48,'法術資料'!$K$2:$X$805,11,FALSE),"")</f>
        <v/>
      </c>
      <c r="BG48" s="1511" t="str">
        <f>IFNA(VLOOKUP(AS48,'法術資料'!$K$2:$X$805,12,FALSE),"")</f>
        <v/>
      </c>
      <c r="BH48" s="376"/>
      <c r="BI48" s="1369"/>
      <c r="BJ48" s="455"/>
      <c r="BK48" s="1356"/>
      <c r="BL48" s="1509" t="b">
        <v>0</v>
      </c>
      <c r="BM48" s="1499"/>
      <c r="BN48" s="1512" t="str">
        <f>IFNA(VLOOKUP(BM48,'法術資料'!$K$2:$X$805,4,FALSE),"")
</f>
        <v/>
      </c>
      <c r="BO48" s="1511" t="str">
        <f>IFNA(VLOOKUP(BM48,'法術資料'!$K$2:$X$805,7,FALSE),"")</f>
        <v/>
      </c>
      <c r="BP48" s="1141"/>
      <c r="BQ48" s="1511" t="str">
        <f>IFNA(VLOOKUP(BM48,'法術資料'!$K$2:$X$805,8,FALSE),"")</f>
        <v/>
      </c>
      <c r="BR48" s="1141"/>
      <c r="BS48" s="1511" t="str">
        <f>IFNA(VLOOKUP(BM48,'法術資料'!$K$2:$X$805,14,FALSE),"")</f>
        <v/>
      </c>
      <c r="BT48" s="1141"/>
      <c r="BU48" s="1365" t="str">
        <f>IFNA(VLOOKUP(BM48,'法術資料'!$K$2:$X$805,13,FALSE),"")</f>
        <v/>
      </c>
      <c r="BV48" s="1365" t="str">
        <f>IFNA(VLOOKUP(BM48,'法術資料'!$K$2:$X$805,5,FALSE),"")</f>
        <v/>
      </c>
      <c r="BW48" s="1365" t="str">
        <f>IFNA(VLOOKUP(BM48,'法術資料'!$K$2:$X$805,6,FALSE),"")</f>
        <v/>
      </c>
      <c r="BX48" s="1366" t="str">
        <f>IFNA(VLOOKUP(BM48,'法術資料'!$K$2:$X$805,9,FALSE),"")</f>
        <v/>
      </c>
      <c r="BY48" s="1367" t="str">
        <f>IFNA(VLOOKUP(BM48,'法術資料'!$K$2:$X$805,10,FALSE),"")</f>
        <v/>
      </c>
      <c r="BZ48" s="1367" t="str">
        <f>IFNA(VLOOKUP($Y48,'法術資料'!$K$2:$X$805,11,FALSE),"")</f>
        <v/>
      </c>
      <c r="CA48" s="1511" t="str">
        <f>IFNA(VLOOKUP(BM48,'法術資料'!$K$2:$X$805,12,FALSE),"")</f>
        <v/>
      </c>
      <c r="CB48" s="376"/>
      <c r="CC48" s="1369"/>
      <c r="CD48" s="455"/>
      <c r="CE48" s="1356"/>
      <c r="CF48" s="1509" t="b">
        <v>0</v>
      </c>
      <c r="CG48" s="1499"/>
      <c r="CH48" s="1512" t="str">
        <f>IFNA(VLOOKUP(CG48,'法術資料'!$K$2:$X$805,4,FALSE),"")
</f>
        <v/>
      </c>
      <c r="CI48" s="1511" t="str">
        <f>IFNA(VLOOKUP(CG48,'法術資料'!$K$2:$X$805,7,FALSE),"")</f>
        <v/>
      </c>
      <c r="CJ48" s="1141"/>
      <c r="CK48" s="1511" t="str">
        <f>IFNA(VLOOKUP(CG48,'法術資料'!$K$2:$X$805,8,FALSE),"")</f>
        <v/>
      </c>
      <c r="CL48" s="1141"/>
      <c r="CM48" s="1511" t="str">
        <f>IFNA(VLOOKUP(CG48,'法術資料'!$K$2:$X$805,14,FALSE),"")</f>
        <v/>
      </c>
      <c r="CN48" s="1141"/>
      <c r="CO48" s="1365" t="str">
        <f>IFNA(VLOOKUP(CG48,'法術資料'!$K$2:$X$805,13,FALSE),"")</f>
        <v/>
      </c>
      <c r="CP48" s="1365" t="str">
        <f>IFNA(VLOOKUP(CG48,'法術資料'!$K$2:$X$805,5,FALSE),"")</f>
        <v/>
      </c>
      <c r="CQ48" s="1365" t="str">
        <f>IFNA(VLOOKUP(CG48,'法術資料'!$K$2:$X$805,6,FALSE),"")</f>
        <v/>
      </c>
      <c r="CR48" s="1366" t="str">
        <f>IFNA(VLOOKUP(CG48,'法術資料'!$K$2:$X$805,9,FALSE),"")</f>
        <v/>
      </c>
      <c r="CS48" s="1367" t="str">
        <f>IFNA(VLOOKUP(CG48,'法術資料'!$K$2:$X$805,10,FALSE),"")</f>
        <v/>
      </c>
      <c r="CT48" s="1367" t="str">
        <f>IFNA(VLOOKUP($Y48,'法術資料'!$K$2:$X$805,11,FALSE),"")</f>
        <v/>
      </c>
      <c r="CU48" s="1511" t="str">
        <f>IFNA(VLOOKUP(CG48,'法術資料'!$K$2:$X$805,12,FALSE),"")</f>
        <v/>
      </c>
      <c r="CV48" s="376"/>
      <c r="CW48" s="1369"/>
      <c r="CX48" s="455"/>
      <c r="CY48" s="1356"/>
      <c r="CZ48" s="1509" t="b">
        <v>0</v>
      </c>
      <c r="DA48" s="1514"/>
      <c r="DB48" s="1512" t="str">
        <f>IFNA(VLOOKUP(DA48,'法術資料'!$K$2:$X$805,4,FALSE),"")
</f>
        <v/>
      </c>
      <c r="DC48" s="1511" t="str">
        <f>IFNA(VLOOKUP(DA48,'法術資料'!$K$2:$X$805,7,FALSE),"")</f>
        <v/>
      </c>
      <c r="DD48" s="1141"/>
      <c r="DE48" s="1511" t="str">
        <f>IFNA(VLOOKUP(DA48,'法術資料'!$K$2:$X$805,8,FALSE),"")</f>
        <v/>
      </c>
      <c r="DF48" s="1141"/>
      <c r="DG48" s="1511" t="str">
        <f>IFNA(VLOOKUP(DA48,'法術資料'!$K$2:$X$805,14,FALSE),"")</f>
        <v/>
      </c>
      <c r="DH48" s="1141"/>
      <c r="DI48" s="1365" t="str">
        <f>IFNA(VLOOKUP(DA48,'法術資料'!$K$2:$X$805,13,FALSE),"")</f>
        <v/>
      </c>
      <c r="DJ48" s="1365" t="str">
        <f>IFNA(VLOOKUP(DA48,'法術資料'!$K$2:$X$805,5,FALSE),"")</f>
        <v/>
      </c>
      <c r="DK48" s="1365" t="str">
        <f>IFNA(VLOOKUP(DA48,'法術資料'!$K$2:$X$805,6,FALSE),"")</f>
        <v/>
      </c>
      <c r="DL48" s="1366" t="str">
        <f>IFNA(VLOOKUP(DA48,'法術資料'!$K$2:$X$805,9,FALSE),"")</f>
        <v/>
      </c>
      <c r="DM48" s="1367" t="str">
        <f>IFNA(VLOOKUP(DA48,'法術資料'!$K$2:$X$805,10,FALSE),"")</f>
        <v/>
      </c>
      <c r="DN48" s="1367" t="str">
        <f>IFNA(VLOOKUP($Y48,'法術資料'!$K$2:$X$805,11,FALSE),"")</f>
        <v/>
      </c>
      <c r="DO48" s="1511" t="str">
        <f>IFNA(VLOOKUP(DA48,'法術資料'!$K$2:$X$805,12,FALSE),"")</f>
        <v/>
      </c>
      <c r="DP48" s="376"/>
      <c r="DQ48" s="1369"/>
      <c r="DR48" s="455"/>
      <c r="DS48" s="1356"/>
      <c r="DT48" s="1509" t="b">
        <v>0</v>
      </c>
      <c r="DU48" s="1514"/>
      <c r="DV48" s="1512" t="str">
        <f>IFNA(VLOOKUP(DU48,'法術資料'!$K$2:$X$805,4,FALSE),"")
</f>
        <v/>
      </c>
      <c r="DW48" s="1511" t="str">
        <f>IFNA(VLOOKUP(DU48,'法術資料'!$K$2:$X$805,7,FALSE),"")</f>
        <v/>
      </c>
      <c r="DX48" s="1141"/>
      <c r="DY48" s="1511" t="str">
        <f>IFNA(VLOOKUP(DU48,'法術資料'!$K$2:$X$805,8,FALSE),"")</f>
        <v/>
      </c>
      <c r="DZ48" s="1141"/>
      <c r="EA48" s="1511" t="str">
        <f>IFNA(VLOOKUP(DU48,'法術資料'!$K$2:$X$805,14,FALSE),"")</f>
        <v/>
      </c>
      <c r="EB48" s="1141"/>
      <c r="EC48" s="1365" t="str">
        <f>IFNA(VLOOKUP(DU48,'法術資料'!$K$2:$X$805,13,FALSE),"")</f>
        <v/>
      </c>
      <c r="ED48" s="1365" t="str">
        <f>IFNA(VLOOKUP(DU48,'法術資料'!$K$2:$X$805,5,FALSE),"")</f>
        <v/>
      </c>
      <c r="EE48" s="1365" t="str">
        <f>IFNA(VLOOKUP(DU48,'法術資料'!$K$2:$X$805,6,FALSE),"")</f>
        <v/>
      </c>
      <c r="EF48" s="1366" t="str">
        <f>IFNA(VLOOKUP(DU48,'法術資料'!$K$2:$X$805,9,FALSE),"")</f>
        <v/>
      </c>
      <c r="EG48" s="1367" t="str">
        <f>IFNA(VLOOKUP(DU48,'法術資料'!$K$2:$X$805,10,FALSE),"")</f>
        <v/>
      </c>
      <c r="EH48" s="1367" t="str">
        <f>IFNA(VLOOKUP($Y48,'法術資料'!$K$2:$X$805,11,FALSE),"")</f>
        <v/>
      </c>
      <c r="EI48" s="1511" t="str">
        <f>IFNA(VLOOKUP(DU48,'法術資料'!$K$2:$X$805,12,FALSE),"")</f>
        <v/>
      </c>
      <c r="EJ48" s="376"/>
      <c r="EK48" s="1369"/>
      <c r="EL48" s="455"/>
      <c r="EM48" s="1356"/>
      <c r="EN48" s="1509" t="b">
        <v>0</v>
      </c>
      <c r="EO48" s="1514"/>
      <c r="EP48" s="1512" t="str">
        <f>IFNA(VLOOKUP(EO48,'法術資料'!$K$2:$X$805,4,FALSE),"")
</f>
        <v/>
      </c>
      <c r="EQ48" s="1511" t="str">
        <f>IFNA(VLOOKUP(EO48,'法術資料'!$K$2:$X$805,7,FALSE),"")</f>
        <v/>
      </c>
      <c r="ER48" s="1141"/>
      <c r="ES48" s="1511" t="str">
        <f>IFNA(VLOOKUP(EO48,'法術資料'!$K$2:$X$805,8,FALSE),"")</f>
        <v/>
      </c>
      <c r="ET48" s="1141"/>
      <c r="EU48" s="1511" t="str">
        <f>IFNA(VLOOKUP(EO48,'法術資料'!$K$2:$X$805,14,FALSE),"")</f>
        <v/>
      </c>
      <c r="EV48" s="1141"/>
      <c r="EW48" s="1365" t="str">
        <f>IFNA(VLOOKUP(EO48,'法術資料'!$K$2:$X$805,13,FALSE),"")</f>
        <v/>
      </c>
      <c r="EX48" s="1365" t="str">
        <f>IFNA(VLOOKUP(EO48,'法術資料'!$K$2:$X$805,5,FALSE),"")</f>
        <v/>
      </c>
      <c r="EY48" s="1365" t="str">
        <f>IFNA(VLOOKUP(EO48,'法術資料'!$K$2:$X$805,6,FALSE),"")</f>
        <v/>
      </c>
      <c r="EZ48" s="1366" t="str">
        <f>IFNA(VLOOKUP(EO48,'法術資料'!$K$2:$X$805,9,FALSE),"")</f>
        <v/>
      </c>
      <c r="FA48" s="1367" t="str">
        <f>IFNA(VLOOKUP(EO48,'法術資料'!$K$2:$X$805,10,FALSE),"")</f>
        <v/>
      </c>
      <c r="FB48" s="1367" t="str">
        <f>IFNA(VLOOKUP($Y48,'法術資料'!$K$2:$X$805,11,FALSE),"")</f>
        <v/>
      </c>
      <c r="FC48" s="1511" t="str">
        <f>IFNA(VLOOKUP(EO48,'法術資料'!$K$2:$X$805,12,FALSE),"")</f>
        <v/>
      </c>
      <c r="FD48" s="376"/>
      <c r="FE48" s="1369"/>
      <c r="FF48" s="455"/>
      <c r="FG48" s="1356"/>
      <c r="FH48" s="1509" t="b">
        <v>0</v>
      </c>
      <c r="FI48" s="1514"/>
      <c r="FJ48" s="1512" t="str">
        <f>IFNA(VLOOKUP(FI48,'法術資料'!$K$2:$X$805,4,FALSE),"")
</f>
        <v/>
      </c>
      <c r="FK48" s="1511" t="str">
        <f>IFNA(VLOOKUP(FI48,'法術資料'!$K$2:$X$805,7,FALSE),"")</f>
        <v/>
      </c>
      <c r="FL48" s="1141"/>
      <c r="FM48" s="1511" t="str">
        <f>IFNA(VLOOKUP(FI48,'法術資料'!$K$2:$X$805,8,FALSE),"")</f>
        <v/>
      </c>
      <c r="FN48" s="1141"/>
      <c r="FO48" s="1511" t="str">
        <f>IFNA(VLOOKUP(FI48,'法術資料'!$K$2:$X$805,14,FALSE),"")</f>
        <v/>
      </c>
      <c r="FP48" s="1141"/>
      <c r="FQ48" s="1365" t="str">
        <f>IFNA(VLOOKUP(FI48,'法術資料'!$K$2:$X$805,13,FALSE),"")</f>
        <v/>
      </c>
      <c r="FR48" s="1365" t="str">
        <f>IFNA(VLOOKUP(FI48,'法術資料'!$K$2:$X$805,5,FALSE),"")</f>
        <v/>
      </c>
      <c r="FS48" s="1365" t="str">
        <f>IFNA(VLOOKUP(FI48,'法術資料'!$K$2:$X$805,6,FALSE),"")</f>
        <v/>
      </c>
      <c r="FT48" s="1366" t="str">
        <f>IFNA(VLOOKUP(FI48,'法術資料'!$K$2:$X$805,9,FALSE),"")</f>
        <v/>
      </c>
      <c r="FU48" s="1367" t="str">
        <f>IFNA(VLOOKUP(FI48,'法術資料'!$K$2:$X$805,10,FALSE),"")</f>
        <v/>
      </c>
      <c r="FV48" s="1367" t="str">
        <f>IFNA(VLOOKUP($Y48,'法術資料'!$K$2:$X$805,11,FALSE),"")</f>
        <v/>
      </c>
      <c r="FW48" s="1511" t="str">
        <f>IFNA(VLOOKUP(FI48,'法術資料'!$K$2:$X$805,12,FALSE),"")</f>
        <v/>
      </c>
      <c r="FX48" s="376"/>
      <c r="FY48" s="1369"/>
      <c r="FZ48" s="455"/>
    </row>
    <row r="49">
      <c r="A49" s="455"/>
      <c r="B49" s="1356"/>
      <c r="C49" s="1503" t="b">
        <v>0</v>
      </c>
      <c r="D49" s="1504"/>
      <c r="E49" s="1505" t="str">
        <f>IFNA(VLOOKUP($D49,'法術資料'!$K$2:$X$805,4,FALSE),"")
</f>
        <v/>
      </c>
      <c r="F49" s="1506" t="str">
        <f>IFNA(VLOOKUP($D49,'法術資料'!$K$2:$X$805,7,FALSE),"")</f>
        <v/>
      </c>
      <c r="G49" s="1141"/>
      <c r="H49" s="1506" t="str">
        <f>IFNA(VLOOKUP($D49,'法術資料'!$K$2:$X$805,8,FALSE),"")</f>
        <v/>
      </c>
      <c r="I49" s="1141"/>
      <c r="J49" s="1506" t="str">
        <f>IFNA(VLOOKUP($D49,'法術資料'!$K$2:$X$805,14,FALSE),"")</f>
        <v/>
      </c>
      <c r="K49" s="1141"/>
      <c r="L49" s="1506" t="str">
        <f>IFNA(VLOOKUP($D49,'法術資料'!$K$2:$X$805,13,FALSE),"")</f>
        <v/>
      </c>
      <c r="M49" s="1141"/>
      <c r="N49" s="1377" t="str">
        <f>IFNA(VLOOKUP($D49,'法術資料'!$K$2:$X$805,5,FALSE),"")</f>
        <v/>
      </c>
      <c r="O49" s="1377" t="str">
        <f>IFNA(VLOOKUP($D49,'法術資料'!$K$2:$X$805,6,FALSE),"")</f>
        <v/>
      </c>
      <c r="P49" s="1378" t="str">
        <f>IFNA(VLOOKUP($D49,'法術資料'!$K$2:$X$805,9,FALSE),"")</f>
        <v/>
      </c>
      <c r="Q49" s="1379" t="str">
        <f>IFNA(VLOOKUP($D49,'法術資料'!$K$2:$X$805,10,FALSE),"")</f>
        <v/>
      </c>
      <c r="R49" s="1379" t="str">
        <f>IFNA(VLOOKUP($D49,'法術資料'!$K$2:$X$805,11,FALSE),"")</f>
        <v/>
      </c>
      <c r="S49" s="1506" t="str">
        <f>IFNA(VLOOKUP($D49,'法術資料'!$K$2:$X$805,12,FALSE),"")</f>
        <v/>
      </c>
      <c r="T49" s="376"/>
      <c r="U49" s="1369"/>
      <c r="V49" s="455"/>
      <c r="W49" s="1356"/>
      <c r="X49" s="1503" t="b">
        <v>0</v>
      </c>
      <c r="Y49" s="1504"/>
      <c r="Z49" s="1507" t="str">
        <f>IFNA(VLOOKUP(Y49,'法術資料'!$K$2:$X$805,4,FALSE),"")
</f>
        <v/>
      </c>
      <c r="AA49" s="1506" t="str">
        <f>IFNA(VLOOKUP($Y49,'法術資料'!$K$2:$X$805,7,FALSE),"")</f>
        <v/>
      </c>
      <c r="AB49" s="1141"/>
      <c r="AC49" s="1506" t="str">
        <f>IFNA(VLOOKUP($Y49,'法術資料'!$K$2:$X$805,8,FALSE),"")</f>
        <v/>
      </c>
      <c r="AD49" s="1141"/>
      <c r="AE49" s="1506" t="str">
        <f>IFNA(VLOOKUP($Y49,'法術資料'!$K$2:$X$805,14,FALSE),"")</f>
        <v/>
      </c>
      <c r="AF49" s="1141"/>
      <c r="AG49" s="1377" t="str">
        <f>IFNA(VLOOKUP($Y49,'法術資料'!$K$2:$X$805,13,FALSE),"")</f>
        <v/>
      </c>
      <c r="AH49" s="1377" t="str">
        <f>IFNA(VLOOKUP($Y49,'法術資料'!$K$2:$X$805,5,FALSE),"")</f>
        <v/>
      </c>
      <c r="AI49" s="1377" t="str">
        <f>IFNA(VLOOKUP($Y49,'法術資料'!$K$2:$X$805,6,FALSE),"")</f>
        <v/>
      </c>
      <c r="AJ49" s="1378" t="str">
        <f>IFNA(VLOOKUP($Y49,'法術資料'!$K$2:$X$805,9,FALSE),"")</f>
        <v/>
      </c>
      <c r="AK49" s="1379" t="str">
        <f>IFNA(VLOOKUP($Y49,'法術資料'!$K$2:$X$805,10,FALSE),"")</f>
        <v/>
      </c>
      <c r="AL49" s="1379" t="str">
        <f>IFNA(VLOOKUP($Y49,'法術資料'!$K$2:$X$805,11,FALSE),"")</f>
        <v/>
      </c>
      <c r="AM49" s="1506" t="str">
        <f>IFNA(VLOOKUP($Y49,'法術資料'!$K$2:$X$805,12,FALSE),"")</f>
        <v/>
      </c>
      <c r="AN49" s="376"/>
      <c r="AO49" s="1369"/>
      <c r="AP49" s="455"/>
      <c r="AQ49" s="1356"/>
      <c r="AR49" s="1503" t="b">
        <v>0</v>
      </c>
      <c r="AS49" s="1504"/>
      <c r="AT49" s="1507" t="str">
        <f>IFNA(VLOOKUP(AS49,'法術資料'!$K$2:$X$805,4,FALSE),"")
</f>
        <v/>
      </c>
      <c r="AU49" s="1506" t="str">
        <f>IFNA(VLOOKUP(AS49,'法術資料'!$K$2:$X$805,7,FALSE),"")</f>
        <v/>
      </c>
      <c r="AV49" s="1141"/>
      <c r="AW49" s="1506" t="str">
        <f>IFNA(VLOOKUP(AS49,'法術資料'!$K$2:$X$805,8,FALSE),"")</f>
        <v/>
      </c>
      <c r="AX49" s="1141"/>
      <c r="AY49" s="1506" t="str">
        <f>IFNA(VLOOKUP(AS49,'法術資料'!$K$2:$X$805,14,FALSE),"")</f>
        <v/>
      </c>
      <c r="AZ49" s="1141"/>
      <c r="BA49" s="1377" t="str">
        <f>IFNA(VLOOKUP(AS49,'法術資料'!$K$2:$X$805,13,FALSE),"")</f>
        <v/>
      </c>
      <c r="BB49" s="1377" t="str">
        <f>IFNA(VLOOKUP(AS49,'法術資料'!$K$2:$X$805,5,FALSE),"")</f>
        <v/>
      </c>
      <c r="BC49" s="1377" t="str">
        <f>IFNA(VLOOKUP(AS49,'法術資料'!$K$2:$X$805,6,FALSE),"")</f>
        <v/>
      </c>
      <c r="BD49" s="1378" t="str">
        <f>IFNA(VLOOKUP(AS49,'法術資料'!$K$2:$X$805,9,FALSE),"")</f>
        <v/>
      </c>
      <c r="BE49" s="1379" t="str">
        <f>IFNA(VLOOKUP(AS49,'法術資料'!$K$2:$X$805,10,FALSE),"")</f>
        <v/>
      </c>
      <c r="BF49" s="1379" t="str">
        <f>IFNA(VLOOKUP($Y49,'法術資料'!$K$2:$X$805,11,FALSE),"")</f>
        <v/>
      </c>
      <c r="BG49" s="1506" t="str">
        <f>IFNA(VLOOKUP(AS49,'法術資料'!$K$2:$X$805,12,FALSE),"")</f>
        <v/>
      </c>
      <c r="BH49" s="376"/>
      <c r="BI49" s="1369"/>
      <c r="BJ49" s="455"/>
      <c r="BK49" s="1356"/>
      <c r="BL49" s="1503" t="b">
        <v>0</v>
      </c>
      <c r="BM49" s="1504"/>
      <c r="BN49" s="1507" t="str">
        <f>IFNA(VLOOKUP(BM49,'法術資料'!$K$2:$X$805,4,FALSE),"")
</f>
        <v/>
      </c>
      <c r="BO49" s="1506" t="str">
        <f>IFNA(VLOOKUP(BM49,'法術資料'!$K$2:$X$805,7,FALSE),"")</f>
        <v/>
      </c>
      <c r="BP49" s="1141"/>
      <c r="BQ49" s="1506" t="str">
        <f>IFNA(VLOOKUP(BM49,'法術資料'!$K$2:$X$805,8,FALSE),"")</f>
        <v/>
      </c>
      <c r="BR49" s="1141"/>
      <c r="BS49" s="1506" t="str">
        <f>IFNA(VLOOKUP(BM49,'法術資料'!$K$2:$X$805,14,FALSE),"")</f>
        <v/>
      </c>
      <c r="BT49" s="1141"/>
      <c r="BU49" s="1377" t="str">
        <f>IFNA(VLOOKUP(BM49,'法術資料'!$K$2:$X$805,13,FALSE),"")</f>
        <v/>
      </c>
      <c r="BV49" s="1377" t="str">
        <f>IFNA(VLOOKUP(BM49,'法術資料'!$K$2:$X$805,5,FALSE),"")</f>
        <v/>
      </c>
      <c r="BW49" s="1377" t="str">
        <f>IFNA(VLOOKUP(BM49,'法術資料'!$K$2:$X$805,6,FALSE),"")</f>
        <v/>
      </c>
      <c r="BX49" s="1378" t="str">
        <f>IFNA(VLOOKUP(BM49,'法術資料'!$K$2:$X$805,9,FALSE),"")</f>
        <v/>
      </c>
      <c r="BY49" s="1379" t="str">
        <f>IFNA(VLOOKUP(BM49,'法術資料'!$K$2:$X$805,10,FALSE),"")</f>
        <v/>
      </c>
      <c r="BZ49" s="1379" t="str">
        <f>IFNA(VLOOKUP($Y49,'法術資料'!$K$2:$X$805,11,FALSE),"")</f>
        <v/>
      </c>
      <c r="CA49" s="1506" t="str">
        <f>IFNA(VLOOKUP(BM49,'法術資料'!$K$2:$X$805,12,FALSE),"")</f>
        <v/>
      </c>
      <c r="CB49" s="376"/>
      <c r="CC49" s="1369"/>
      <c r="CD49" s="455"/>
      <c r="CE49" s="1356"/>
      <c r="CF49" s="1503" t="b">
        <v>0</v>
      </c>
      <c r="CG49" s="1504"/>
      <c r="CH49" s="1507" t="str">
        <f>IFNA(VLOOKUP(CG49,'法術資料'!$K$2:$X$805,4,FALSE),"")
</f>
        <v/>
      </c>
      <c r="CI49" s="1506" t="str">
        <f>IFNA(VLOOKUP(CG49,'法術資料'!$K$2:$X$805,7,FALSE),"")</f>
        <v/>
      </c>
      <c r="CJ49" s="1141"/>
      <c r="CK49" s="1506" t="str">
        <f>IFNA(VLOOKUP(CG49,'法術資料'!$K$2:$X$805,8,FALSE),"")</f>
        <v/>
      </c>
      <c r="CL49" s="1141"/>
      <c r="CM49" s="1506" t="str">
        <f>IFNA(VLOOKUP(CG49,'法術資料'!$K$2:$X$805,14,FALSE),"")</f>
        <v/>
      </c>
      <c r="CN49" s="1141"/>
      <c r="CO49" s="1377" t="str">
        <f>IFNA(VLOOKUP(CG49,'法術資料'!$K$2:$X$805,13,FALSE),"")</f>
        <v/>
      </c>
      <c r="CP49" s="1377" t="str">
        <f>IFNA(VLOOKUP(CG49,'法術資料'!$K$2:$X$805,5,FALSE),"")</f>
        <v/>
      </c>
      <c r="CQ49" s="1377" t="str">
        <f>IFNA(VLOOKUP(CG49,'法術資料'!$K$2:$X$805,6,FALSE),"")</f>
        <v/>
      </c>
      <c r="CR49" s="1378" t="str">
        <f>IFNA(VLOOKUP(CG49,'法術資料'!$K$2:$X$805,9,FALSE),"")</f>
        <v/>
      </c>
      <c r="CS49" s="1379" t="str">
        <f>IFNA(VLOOKUP(CG49,'法術資料'!$K$2:$X$805,10,FALSE),"")</f>
        <v/>
      </c>
      <c r="CT49" s="1379" t="str">
        <f>IFNA(VLOOKUP($Y49,'法術資料'!$K$2:$X$805,11,FALSE),"")</f>
        <v/>
      </c>
      <c r="CU49" s="1506" t="str">
        <f>IFNA(VLOOKUP(CG49,'法術資料'!$K$2:$X$805,12,FALSE),"")</f>
        <v/>
      </c>
      <c r="CV49" s="376"/>
      <c r="CW49" s="1369"/>
      <c r="CX49" s="455"/>
      <c r="CY49" s="1356"/>
      <c r="CZ49" s="1503" t="b">
        <v>0</v>
      </c>
      <c r="DA49" s="1515"/>
      <c r="DB49" s="1507" t="str">
        <f>IFNA(VLOOKUP(DA49,'法術資料'!$K$2:$X$805,4,FALSE),"")
</f>
        <v/>
      </c>
      <c r="DC49" s="1506" t="str">
        <f>IFNA(VLOOKUP(DA49,'法術資料'!$K$2:$X$805,7,FALSE),"")</f>
        <v/>
      </c>
      <c r="DD49" s="1141"/>
      <c r="DE49" s="1506" t="str">
        <f>IFNA(VLOOKUP(DA49,'法術資料'!$K$2:$X$805,8,FALSE),"")</f>
        <v/>
      </c>
      <c r="DF49" s="1141"/>
      <c r="DG49" s="1506" t="str">
        <f>IFNA(VLOOKUP(DA49,'法術資料'!$K$2:$X$805,14,FALSE),"")</f>
        <v/>
      </c>
      <c r="DH49" s="1141"/>
      <c r="DI49" s="1377" t="str">
        <f>IFNA(VLOOKUP(DA49,'法術資料'!$K$2:$X$805,13,FALSE),"")</f>
        <v/>
      </c>
      <c r="DJ49" s="1377" t="str">
        <f>IFNA(VLOOKUP(DA49,'法術資料'!$K$2:$X$805,5,FALSE),"")</f>
        <v/>
      </c>
      <c r="DK49" s="1377" t="str">
        <f>IFNA(VLOOKUP(DA49,'法術資料'!$K$2:$X$805,6,FALSE),"")</f>
        <v/>
      </c>
      <c r="DL49" s="1378" t="str">
        <f>IFNA(VLOOKUP(DA49,'法術資料'!$K$2:$X$805,9,FALSE),"")</f>
        <v/>
      </c>
      <c r="DM49" s="1379" t="str">
        <f>IFNA(VLOOKUP(DA49,'法術資料'!$K$2:$X$805,10,FALSE),"")</f>
        <v/>
      </c>
      <c r="DN49" s="1379" t="str">
        <f>IFNA(VLOOKUP($Y49,'法術資料'!$K$2:$X$805,11,FALSE),"")</f>
        <v/>
      </c>
      <c r="DO49" s="1506" t="str">
        <f>IFNA(VLOOKUP(DA49,'法術資料'!$K$2:$X$805,12,FALSE),"")</f>
        <v/>
      </c>
      <c r="DP49" s="376"/>
      <c r="DQ49" s="1369"/>
      <c r="DR49" s="455"/>
      <c r="DS49" s="1356"/>
      <c r="DT49" s="1503" t="b">
        <v>0</v>
      </c>
      <c r="DU49" s="1515"/>
      <c r="DV49" s="1507" t="str">
        <f>IFNA(VLOOKUP(DU49,'法術資料'!$K$2:$X$805,4,FALSE),"")
</f>
        <v/>
      </c>
      <c r="DW49" s="1506" t="str">
        <f>IFNA(VLOOKUP(DU49,'法術資料'!$K$2:$X$805,7,FALSE),"")</f>
        <v/>
      </c>
      <c r="DX49" s="1141"/>
      <c r="DY49" s="1506" t="str">
        <f>IFNA(VLOOKUP(DU49,'法術資料'!$K$2:$X$805,8,FALSE),"")</f>
        <v/>
      </c>
      <c r="DZ49" s="1141"/>
      <c r="EA49" s="1506" t="str">
        <f>IFNA(VLOOKUP(DU49,'法術資料'!$K$2:$X$805,14,FALSE),"")</f>
        <v/>
      </c>
      <c r="EB49" s="1141"/>
      <c r="EC49" s="1377" t="str">
        <f>IFNA(VLOOKUP(DU49,'法術資料'!$K$2:$X$805,13,FALSE),"")</f>
        <v/>
      </c>
      <c r="ED49" s="1377" t="str">
        <f>IFNA(VLOOKUP(DU49,'法術資料'!$K$2:$X$805,5,FALSE),"")</f>
        <v/>
      </c>
      <c r="EE49" s="1377" t="str">
        <f>IFNA(VLOOKUP(DU49,'法術資料'!$K$2:$X$805,6,FALSE),"")</f>
        <v/>
      </c>
      <c r="EF49" s="1378" t="str">
        <f>IFNA(VLOOKUP(DU49,'法術資料'!$K$2:$X$805,9,FALSE),"")</f>
        <v/>
      </c>
      <c r="EG49" s="1379" t="str">
        <f>IFNA(VLOOKUP(DU49,'法術資料'!$K$2:$X$805,10,FALSE),"")</f>
        <v/>
      </c>
      <c r="EH49" s="1379" t="str">
        <f>IFNA(VLOOKUP($Y49,'法術資料'!$K$2:$X$805,11,FALSE),"")</f>
        <v/>
      </c>
      <c r="EI49" s="1506" t="str">
        <f>IFNA(VLOOKUP(DU49,'法術資料'!$K$2:$X$805,12,FALSE),"")</f>
        <v/>
      </c>
      <c r="EJ49" s="376"/>
      <c r="EK49" s="1369"/>
      <c r="EL49" s="455"/>
      <c r="EM49" s="1356"/>
      <c r="EN49" s="1503" t="b">
        <v>0</v>
      </c>
      <c r="EO49" s="1515"/>
      <c r="EP49" s="1507" t="str">
        <f>IFNA(VLOOKUP(EO49,'法術資料'!$K$2:$X$805,4,FALSE),"")
</f>
        <v/>
      </c>
      <c r="EQ49" s="1506" t="str">
        <f>IFNA(VLOOKUP(EO49,'法術資料'!$K$2:$X$805,7,FALSE),"")</f>
        <v/>
      </c>
      <c r="ER49" s="1141"/>
      <c r="ES49" s="1506" t="str">
        <f>IFNA(VLOOKUP(EO49,'法術資料'!$K$2:$X$805,8,FALSE),"")</f>
        <v/>
      </c>
      <c r="ET49" s="1141"/>
      <c r="EU49" s="1506" t="str">
        <f>IFNA(VLOOKUP(EO49,'法術資料'!$K$2:$X$805,14,FALSE),"")</f>
        <v/>
      </c>
      <c r="EV49" s="1141"/>
      <c r="EW49" s="1377" t="str">
        <f>IFNA(VLOOKUP(EO49,'法術資料'!$K$2:$X$805,13,FALSE),"")</f>
        <v/>
      </c>
      <c r="EX49" s="1377" t="str">
        <f>IFNA(VLOOKUP(EO49,'法術資料'!$K$2:$X$805,5,FALSE),"")</f>
        <v/>
      </c>
      <c r="EY49" s="1377" t="str">
        <f>IFNA(VLOOKUP(EO49,'法術資料'!$K$2:$X$805,6,FALSE),"")</f>
        <v/>
      </c>
      <c r="EZ49" s="1378" t="str">
        <f>IFNA(VLOOKUP(EO49,'法術資料'!$K$2:$X$805,9,FALSE),"")</f>
        <v/>
      </c>
      <c r="FA49" s="1379" t="str">
        <f>IFNA(VLOOKUP(EO49,'法術資料'!$K$2:$X$805,10,FALSE),"")</f>
        <v/>
      </c>
      <c r="FB49" s="1379" t="str">
        <f>IFNA(VLOOKUP($Y49,'法術資料'!$K$2:$X$805,11,FALSE),"")</f>
        <v/>
      </c>
      <c r="FC49" s="1506" t="str">
        <f>IFNA(VLOOKUP(EO49,'法術資料'!$K$2:$X$805,12,FALSE),"")</f>
        <v/>
      </c>
      <c r="FD49" s="376"/>
      <c r="FE49" s="1369"/>
      <c r="FF49" s="455"/>
      <c r="FG49" s="1356"/>
      <c r="FH49" s="1503" t="b">
        <v>0</v>
      </c>
      <c r="FI49" s="1515"/>
      <c r="FJ49" s="1507" t="str">
        <f>IFNA(VLOOKUP(FI49,'法術資料'!$K$2:$X$805,4,FALSE),"")
</f>
        <v/>
      </c>
      <c r="FK49" s="1506" t="str">
        <f>IFNA(VLOOKUP(FI49,'法術資料'!$K$2:$X$805,7,FALSE),"")</f>
        <v/>
      </c>
      <c r="FL49" s="1141"/>
      <c r="FM49" s="1506" t="str">
        <f>IFNA(VLOOKUP(FI49,'法術資料'!$K$2:$X$805,8,FALSE),"")</f>
        <v/>
      </c>
      <c r="FN49" s="1141"/>
      <c r="FO49" s="1506" t="str">
        <f>IFNA(VLOOKUP(FI49,'法術資料'!$K$2:$X$805,14,FALSE),"")</f>
        <v/>
      </c>
      <c r="FP49" s="1141"/>
      <c r="FQ49" s="1377" t="str">
        <f>IFNA(VLOOKUP(FI49,'法術資料'!$K$2:$X$805,13,FALSE),"")</f>
        <v/>
      </c>
      <c r="FR49" s="1377" t="str">
        <f>IFNA(VLOOKUP(FI49,'法術資料'!$K$2:$X$805,5,FALSE),"")</f>
        <v/>
      </c>
      <c r="FS49" s="1377" t="str">
        <f>IFNA(VLOOKUP(FI49,'法術資料'!$K$2:$X$805,6,FALSE),"")</f>
        <v/>
      </c>
      <c r="FT49" s="1378" t="str">
        <f>IFNA(VLOOKUP(FI49,'法術資料'!$K$2:$X$805,9,FALSE),"")</f>
        <v/>
      </c>
      <c r="FU49" s="1379" t="str">
        <f>IFNA(VLOOKUP(FI49,'法術資料'!$K$2:$X$805,10,FALSE),"")</f>
        <v/>
      </c>
      <c r="FV49" s="1379" t="str">
        <f>IFNA(VLOOKUP($Y49,'法術資料'!$K$2:$X$805,11,FALSE),"")</f>
        <v/>
      </c>
      <c r="FW49" s="1506" t="str">
        <f>IFNA(VLOOKUP(FI49,'法術資料'!$K$2:$X$805,12,FALSE),"")</f>
        <v/>
      </c>
      <c r="FX49" s="376"/>
      <c r="FY49" s="1369"/>
      <c r="FZ49" s="455"/>
    </row>
    <row r="50">
      <c r="A50" s="455"/>
      <c r="B50" s="1356"/>
      <c r="C50" s="1509" t="b">
        <v>0</v>
      </c>
      <c r="D50" s="1502"/>
      <c r="E50" s="1510" t="str">
        <f>IFNA(VLOOKUP($D50,'法術資料'!$K$2:$X$805,4,FALSE),"")
</f>
        <v/>
      </c>
      <c r="F50" s="1511" t="str">
        <f>IFNA(VLOOKUP($D50,'法術資料'!$K$2:$X$805,7,FALSE),"")</f>
        <v/>
      </c>
      <c r="G50" s="1141"/>
      <c r="H50" s="1511" t="str">
        <f>IFNA(VLOOKUP($D50,'法術資料'!$K$2:$X$805,8,FALSE),"")</f>
        <v/>
      </c>
      <c r="I50" s="1141"/>
      <c r="J50" s="1511" t="str">
        <f>IFNA(VLOOKUP($D50,'法術資料'!$K$2:$X$805,14,FALSE),"")</f>
        <v/>
      </c>
      <c r="K50" s="1141"/>
      <c r="L50" s="1511" t="str">
        <f>IFNA(VLOOKUP($D50,'法術資料'!$K$2:$X$805,13,FALSE),"")</f>
        <v/>
      </c>
      <c r="M50" s="1141"/>
      <c r="N50" s="1365" t="str">
        <f>IFNA(VLOOKUP($D50,'法術資料'!$K$2:$X$805,5,FALSE),"")</f>
        <v/>
      </c>
      <c r="O50" s="1365" t="str">
        <f>IFNA(VLOOKUP($D50,'法術資料'!$K$2:$X$805,6,FALSE),"")</f>
        <v/>
      </c>
      <c r="P50" s="1366" t="str">
        <f>IFNA(VLOOKUP($D50,'法術資料'!$K$2:$X$805,9,FALSE),"")</f>
        <v/>
      </c>
      <c r="Q50" s="1367" t="str">
        <f>IFNA(VLOOKUP($D50,'法術資料'!$K$2:$X$805,10,FALSE),"")</f>
        <v/>
      </c>
      <c r="R50" s="1367" t="str">
        <f>IFNA(VLOOKUP($D50,'法術資料'!$K$2:$X$805,11,FALSE),"")</f>
        <v/>
      </c>
      <c r="S50" s="1511" t="str">
        <f>IFNA(VLOOKUP($D50,'法術資料'!$K$2:$X$805,12,FALSE),"")</f>
        <v/>
      </c>
      <c r="T50" s="376"/>
      <c r="U50" s="1369"/>
      <c r="V50" s="455"/>
      <c r="W50" s="1356"/>
      <c r="X50" s="1509" t="b">
        <v>0</v>
      </c>
      <c r="Y50" s="1499"/>
      <c r="Z50" s="1512" t="str">
        <f>IFNA(VLOOKUP(Y50,'法術資料'!$K$2:$X$805,4,FALSE),"")
</f>
        <v/>
      </c>
      <c r="AA50" s="1511" t="str">
        <f>IFNA(VLOOKUP($Y50,'法術資料'!$K$2:$X$805,7,FALSE),"")</f>
        <v/>
      </c>
      <c r="AB50" s="1141"/>
      <c r="AC50" s="1511" t="str">
        <f>IFNA(VLOOKUP($Y50,'法術資料'!$K$2:$X$805,8,FALSE),"")</f>
        <v/>
      </c>
      <c r="AD50" s="1141"/>
      <c r="AE50" s="1511" t="str">
        <f>IFNA(VLOOKUP($Y50,'法術資料'!$K$2:$X$805,14,FALSE),"")</f>
        <v/>
      </c>
      <c r="AF50" s="1141"/>
      <c r="AG50" s="1365" t="str">
        <f>IFNA(VLOOKUP($Y50,'法術資料'!$K$2:$X$805,13,FALSE),"")</f>
        <v/>
      </c>
      <c r="AH50" s="1365" t="str">
        <f>IFNA(VLOOKUP($Y50,'法術資料'!$K$2:$X$805,5,FALSE),"")</f>
        <v/>
      </c>
      <c r="AI50" s="1365" t="str">
        <f>IFNA(VLOOKUP($Y50,'法術資料'!$K$2:$X$805,6,FALSE),"")</f>
        <v/>
      </c>
      <c r="AJ50" s="1366" t="str">
        <f>IFNA(VLOOKUP($Y50,'法術資料'!$K$2:$X$805,9,FALSE),"")</f>
        <v/>
      </c>
      <c r="AK50" s="1367" t="str">
        <f>IFNA(VLOOKUP($Y50,'法術資料'!$K$2:$X$805,10,FALSE),"")</f>
        <v/>
      </c>
      <c r="AL50" s="1367" t="str">
        <f>IFNA(VLOOKUP($Y50,'法術資料'!$K$2:$X$805,11,FALSE),"")</f>
        <v/>
      </c>
      <c r="AM50" s="1511" t="str">
        <f>IFNA(VLOOKUP($Y50,'法術資料'!$K$2:$X$805,12,FALSE),"")</f>
        <v/>
      </c>
      <c r="AN50" s="376"/>
      <c r="AO50" s="1369"/>
      <c r="AP50" s="455"/>
      <c r="AQ50" s="1356"/>
      <c r="AR50" s="1509" t="b">
        <v>0</v>
      </c>
      <c r="AS50" s="1499"/>
      <c r="AT50" s="1512" t="str">
        <f>IFNA(VLOOKUP(AS50,'法術資料'!$K$2:$X$805,4,FALSE),"")
</f>
        <v/>
      </c>
      <c r="AU50" s="1511" t="str">
        <f>IFNA(VLOOKUP(AS50,'法術資料'!$K$2:$X$805,7,FALSE),"")</f>
        <v/>
      </c>
      <c r="AV50" s="1141"/>
      <c r="AW50" s="1511" t="str">
        <f>IFNA(VLOOKUP(AS50,'法術資料'!$K$2:$X$805,8,FALSE),"")</f>
        <v/>
      </c>
      <c r="AX50" s="1141"/>
      <c r="AY50" s="1511" t="str">
        <f>IFNA(VLOOKUP(AS50,'法術資料'!$K$2:$X$805,14,FALSE),"")</f>
        <v/>
      </c>
      <c r="AZ50" s="1141"/>
      <c r="BA50" s="1365" t="str">
        <f>IFNA(VLOOKUP(AS50,'法術資料'!$K$2:$X$805,13,FALSE),"")</f>
        <v/>
      </c>
      <c r="BB50" s="1365" t="str">
        <f>IFNA(VLOOKUP(AS50,'法術資料'!$K$2:$X$805,5,FALSE),"")</f>
        <v/>
      </c>
      <c r="BC50" s="1365" t="str">
        <f>IFNA(VLOOKUP(AS50,'法術資料'!$K$2:$X$805,6,FALSE),"")</f>
        <v/>
      </c>
      <c r="BD50" s="1366" t="str">
        <f>IFNA(VLOOKUP(AS50,'法術資料'!$K$2:$X$805,9,FALSE),"")</f>
        <v/>
      </c>
      <c r="BE50" s="1367" t="str">
        <f>IFNA(VLOOKUP(AS50,'法術資料'!$K$2:$X$805,10,FALSE),"")</f>
        <v/>
      </c>
      <c r="BF50" s="1367" t="str">
        <f>IFNA(VLOOKUP($Y50,'法術資料'!$K$2:$X$805,11,FALSE),"")</f>
        <v/>
      </c>
      <c r="BG50" s="1511" t="str">
        <f>IFNA(VLOOKUP(AS50,'法術資料'!$K$2:$X$805,12,FALSE),"")</f>
        <v/>
      </c>
      <c r="BH50" s="376"/>
      <c r="BI50" s="1369"/>
      <c r="BJ50" s="455"/>
      <c r="BK50" s="1356"/>
      <c r="BL50" s="1509" t="b">
        <v>0</v>
      </c>
      <c r="BM50" s="1499"/>
      <c r="BN50" s="1512" t="str">
        <f>IFNA(VLOOKUP(BM50,'法術資料'!$K$2:$X$805,4,FALSE),"")
</f>
        <v/>
      </c>
      <c r="BO50" s="1511" t="str">
        <f>IFNA(VLOOKUP(BM50,'法術資料'!$K$2:$X$805,7,FALSE),"")</f>
        <v/>
      </c>
      <c r="BP50" s="1141"/>
      <c r="BQ50" s="1511" t="str">
        <f>IFNA(VLOOKUP(BM50,'法術資料'!$K$2:$X$805,8,FALSE),"")</f>
        <v/>
      </c>
      <c r="BR50" s="1141"/>
      <c r="BS50" s="1511" t="str">
        <f>IFNA(VLOOKUP(BM50,'法術資料'!$K$2:$X$805,14,FALSE),"")</f>
        <v/>
      </c>
      <c r="BT50" s="1141"/>
      <c r="BU50" s="1365" t="str">
        <f>IFNA(VLOOKUP(BM50,'法術資料'!$K$2:$X$805,13,FALSE),"")</f>
        <v/>
      </c>
      <c r="BV50" s="1365" t="str">
        <f>IFNA(VLOOKUP(BM50,'法術資料'!$K$2:$X$805,5,FALSE),"")</f>
        <v/>
      </c>
      <c r="BW50" s="1365" t="str">
        <f>IFNA(VLOOKUP(BM50,'法術資料'!$K$2:$X$805,6,FALSE),"")</f>
        <v/>
      </c>
      <c r="BX50" s="1366" t="str">
        <f>IFNA(VLOOKUP(BM50,'法術資料'!$K$2:$X$805,9,FALSE),"")</f>
        <v/>
      </c>
      <c r="BY50" s="1367" t="str">
        <f>IFNA(VLOOKUP(BM50,'法術資料'!$K$2:$X$805,10,FALSE),"")</f>
        <v/>
      </c>
      <c r="BZ50" s="1367" t="str">
        <f>IFNA(VLOOKUP($Y50,'法術資料'!$K$2:$X$805,11,FALSE),"")</f>
        <v/>
      </c>
      <c r="CA50" s="1511" t="str">
        <f>IFNA(VLOOKUP(BM50,'法術資料'!$K$2:$X$805,12,FALSE),"")</f>
        <v/>
      </c>
      <c r="CB50" s="376"/>
      <c r="CC50" s="1369"/>
      <c r="CD50" s="455"/>
      <c r="CE50" s="1356"/>
      <c r="CF50" s="1509" t="b">
        <v>0</v>
      </c>
      <c r="CG50" s="1499"/>
      <c r="CH50" s="1512" t="str">
        <f>IFNA(VLOOKUP(CG50,'法術資料'!$K$2:$X$805,4,FALSE),"")
</f>
        <v/>
      </c>
      <c r="CI50" s="1511" t="str">
        <f>IFNA(VLOOKUP(CG50,'法術資料'!$K$2:$X$805,7,FALSE),"")</f>
        <v/>
      </c>
      <c r="CJ50" s="1141"/>
      <c r="CK50" s="1511" t="str">
        <f>IFNA(VLOOKUP(CG50,'法術資料'!$K$2:$X$805,8,FALSE),"")</f>
        <v/>
      </c>
      <c r="CL50" s="1141"/>
      <c r="CM50" s="1511" t="str">
        <f>IFNA(VLOOKUP(CG50,'法術資料'!$K$2:$X$805,14,FALSE),"")</f>
        <v/>
      </c>
      <c r="CN50" s="1141"/>
      <c r="CO50" s="1365" t="str">
        <f>IFNA(VLOOKUP(CG50,'法術資料'!$K$2:$X$805,13,FALSE),"")</f>
        <v/>
      </c>
      <c r="CP50" s="1365" t="str">
        <f>IFNA(VLOOKUP(CG50,'法術資料'!$K$2:$X$805,5,FALSE),"")</f>
        <v/>
      </c>
      <c r="CQ50" s="1365" t="str">
        <f>IFNA(VLOOKUP(CG50,'法術資料'!$K$2:$X$805,6,FALSE),"")</f>
        <v/>
      </c>
      <c r="CR50" s="1366" t="str">
        <f>IFNA(VLOOKUP(CG50,'法術資料'!$K$2:$X$805,9,FALSE),"")</f>
        <v/>
      </c>
      <c r="CS50" s="1367" t="str">
        <f>IFNA(VLOOKUP(CG50,'法術資料'!$K$2:$X$805,10,FALSE),"")</f>
        <v/>
      </c>
      <c r="CT50" s="1367" t="str">
        <f>IFNA(VLOOKUP($Y50,'法術資料'!$K$2:$X$805,11,FALSE),"")</f>
        <v/>
      </c>
      <c r="CU50" s="1511" t="str">
        <f>IFNA(VLOOKUP(CG50,'法術資料'!$K$2:$X$805,12,FALSE),"")</f>
        <v/>
      </c>
      <c r="CV50" s="376"/>
      <c r="CW50" s="1369"/>
      <c r="CX50" s="455"/>
      <c r="CY50" s="1356"/>
      <c r="CZ50" s="1509" t="b">
        <v>0</v>
      </c>
      <c r="DA50" s="1514"/>
      <c r="DB50" s="1512" t="str">
        <f>IFNA(VLOOKUP(DA50,'法術資料'!$K$2:$X$805,4,FALSE),"")
</f>
        <v/>
      </c>
      <c r="DC50" s="1511" t="str">
        <f>IFNA(VLOOKUP(DA50,'法術資料'!$K$2:$X$805,7,FALSE),"")</f>
        <v/>
      </c>
      <c r="DD50" s="1141"/>
      <c r="DE50" s="1511" t="str">
        <f>IFNA(VLOOKUP(DA50,'法術資料'!$K$2:$X$805,8,FALSE),"")</f>
        <v/>
      </c>
      <c r="DF50" s="1141"/>
      <c r="DG50" s="1511" t="str">
        <f>IFNA(VLOOKUP(DA50,'法術資料'!$K$2:$X$805,14,FALSE),"")</f>
        <v/>
      </c>
      <c r="DH50" s="1141"/>
      <c r="DI50" s="1365" t="str">
        <f>IFNA(VLOOKUP(DA50,'法術資料'!$K$2:$X$805,13,FALSE),"")</f>
        <v/>
      </c>
      <c r="DJ50" s="1365" t="str">
        <f>IFNA(VLOOKUP(DA50,'法術資料'!$K$2:$X$805,5,FALSE),"")</f>
        <v/>
      </c>
      <c r="DK50" s="1365" t="str">
        <f>IFNA(VLOOKUP(DA50,'法術資料'!$K$2:$X$805,6,FALSE),"")</f>
        <v/>
      </c>
      <c r="DL50" s="1366" t="str">
        <f>IFNA(VLOOKUP(DA50,'法術資料'!$K$2:$X$805,9,FALSE),"")</f>
        <v/>
      </c>
      <c r="DM50" s="1367" t="str">
        <f>IFNA(VLOOKUP(DA50,'法術資料'!$K$2:$X$805,10,FALSE),"")</f>
        <v/>
      </c>
      <c r="DN50" s="1367" t="str">
        <f>IFNA(VLOOKUP($Y50,'法術資料'!$K$2:$X$805,11,FALSE),"")</f>
        <v/>
      </c>
      <c r="DO50" s="1511" t="str">
        <f>IFNA(VLOOKUP(DA50,'法術資料'!$K$2:$X$805,12,FALSE),"")</f>
        <v/>
      </c>
      <c r="DP50" s="376"/>
      <c r="DQ50" s="1369"/>
      <c r="DR50" s="455"/>
      <c r="DS50" s="1356"/>
      <c r="DT50" s="1509" t="b">
        <v>0</v>
      </c>
      <c r="DU50" s="1514"/>
      <c r="DV50" s="1512" t="str">
        <f>IFNA(VLOOKUP(DU50,'法術資料'!$K$2:$X$805,4,FALSE),"")
</f>
        <v/>
      </c>
      <c r="DW50" s="1511" t="str">
        <f>IFNA(VLOOKUP(DU50,'法術資料'!$K$2:$X$805,7,FALSE),"")</f>
        <v/>
      </c>
      <c r="DX50" s="1141"/>
      <c r="DY50" s="1511" t="str">
        <f>IFNA(VLOOKUP(DU50,'法術資料'!$K$2:$X$805,8,FALSE),"")</f>
        <v/>
      </c>
      <c r="DZ50" s="1141"/>
      <c r="EA50" s="1511" t="str">
        <f>IFNA(VLOOKUP(DU50,'法術資料'!$K$2:$X$805,14,FALSE),"")</f>
        <v/>
      </c>
      <c r="EB50" s="1141"/>
      <c r="EC50" s="1365" t="str">
        <f>IFNA(VLOOKUP(DU50,'法術資料'!$K$2:$X$805,13,FALSE),"")</f>
        <v/>
      </c>
      <c r="ED50" s="1365" t="str">
        <f>IFNA(VLOOKUP(DU50,'法術資料'!$K$2:$X$805,5,FALSE),"")</f>
        <v/>
      </c>
      <c r="EE50" s="1365" t="str">
        <f>IFNA(VLOOKUP(DU50,'法術資料'!$K$2:$X$805,6,FALSE),"")</f>
        <v/>
      </c>
      <c r="EF50" s="1366" t="str">
        <f>IFNA(VLOOKUP(DU50,'法術資料'!$K$2:$X$805,9,FALSE),"")</f>
        <v/>
      </c>
      <c r="EG50" s="1367" t="str">
        <f>IFNA(VLOOKUP(DU50,'法術資料'!$K$2:$X$805,10,FALSE),"")</f>
        <v/>
      </c>
      <c r="EH50" s="1367" t="str">
        <f>IFNA(VLOOKUP($Y50,'法術資料'!$K$2:$X$805,11,FALSE),"")</f>
        <v/>
      </c>
      <c r="EI50" s="1511" t="str">
        <f>IFNA(VLOOKUP(DU50,'法術資料'!$K$2:$X$805,12,FALSE),"")</f>
        <v/>
      </c>
      <c r="EJ50" s="376"/>
      <c r="EK50" s="1369"/>
      <c r="EL50" s="455"/>
      <c r="EM50" s="1356"/>
      <c r="EN50" s="1509" t="b">
        <v>0</v>
      </c>
      <c r="EO50" s="1514"/>
      <c r="EP50" s="1512" t="str">
        <f>IFNA(VLOOKUP(EO50,'法術資料'!$K$2:$X$805,4,FALSE),"")
</f>
        <v/>
      </c>
      <c r="EQ50" s="1511" t="str">
        <f>IFNA(VLOOKUP(EO50,'法術資料'!$K$2:$X$805,7,FALSE),"")</f>
        <v/>
      </c>
      <c r="ER50" s="1141"/>
      <c r="ES50" s="1511" t="str">
        <f>IFNA(VLOOKUP(EO50,'法術資料'!$K$2:$X$805,8,FALSE),"")</f>
        <v/>
      </c>
      <c r="ET50" s="1141"/>
      <c r="EU50" s="1511" t="str">
        <f>IFNA(VLOOKUP(EO50,'法術資料'!$K$2:$X$805,14,FALSE),"")</f>
        <v/>
      </c>
      <c r="EV50" s="1141"/>
      <c r="EW50" s="1365" t="str">
        <f>IFNA(VLOOKUP(EO50,'法術資料'!$K$2:$X$805,13,FALSE),"")</f>
        <v/>
      </c>
      <c r="EX50" s="1365" t="str">
        <f>IFNA(VLOOKUP(EO50,'法術資料'!$K$2:$X$805,5,FALSE),"")</f>
        <v/>
      </c>
      <c r="EY50" s="1365" t="str">
        <f>IFNA(VLOOKUP(EO50,'法術資料'!$K$2:$X$805,6,FALSE),"")</f>
        <v/>
      </c>
      <c r="EZ50" s="1366" t="str">
        <f>IFNA(VLOOKUP(EO50,'法術資料'!$K$2:$X$805,9,FALSE),"")</f>
        <v/>
      </c>
      <c r="FA50" s="1367" t="str">
        <f>IFNA(VLOOKUP(EO50,'法術資料'!$K$2:$X$805,10,FALSE),"")</f>
        <v/>
      </c>
      <c r="FB50" s="1367" t="str">
        <f>IFNA(VLOOKUP($Y50,'法術資料'!$K$2:$X$805,11,FALSE),"")</f>
        <v/>
      </c>
      <c r="FC50" s="1511" t="str">
        <f>IFNA(VLOOKUP(EO50,'法術資料'!$K$2:$X$805,12,FALSE),"")</f>
        <v/>
      </c>
      <c r="FD50" s="376"/>
      <c r="FE50" s="1369"/>
      <c r="FF50" s="455"/>
      <c r="FG50" s="1356"/>
      <c r="FH50" s="1509" t="b">
        <v>0</v>
      </c>
      <c r="FI50" s="1514"/>
      <c r="FJ50" s="1512" t="str">
        <f>IFNA(VLOOKUP(FI50,'法術資料'!$K$2:$X$805,4,FALSE),"")
</f>
        <v/>
      </c>
      <c r="FK50" s="1511" t="str">
        <f>IFNA(VLOOKUP(FI50,'法術資料'!$K$2:$X$805,7,FALSE),"")</f>
        <v/>
      </c>
      <c r="FL50" s="1141"/>
      <c r="FM50" s="1511" t="str">
        <f>IFNA(VLOOKUP(FI50,'法術資料'!$K$2:$X$805,8,FALSE),"")</f>
        <v/>
      </c>
      <c r="FN50" s="1141"/>
      <c r="FO50" s="1511" t="str">
        <f>IFNA(VLOOKUP(FI50,'法術資料'!$K$2:$X$805,14,FALSE),"")</f>
        <v/>
      </c>
      <c r="FP50" s="1141"/>
      <c r="FQ50" s="1365" t="str">
        <f>IFNA(VLOOKUP(FI50,'法術資料'!$K$2:$X$805,13,FALSE),"")</f>
        <v/>
      </c>
      <c r="FR50" s="1365" t="str">
        <f>IFNA(VLOOKUP(FI50,'法術資料'!$K$2:$X$805,5,FALSE),"")</f>
        <v/>
      </c>
      <c r="FS50" s="1365" t="str">
        <f>IFNA(VLOOKUP(FI50,'法術資料'!$K$2:$X$805,6,FALSE),"")</f>
        <v/>
      </c>
      <c r="FT50" s="1366" t="str">
        <f>IFNA(VLOOKUP(FI50,'法術資料'!$K$2:$X$805,9,FALSE),"")</f>
        <v/>
      </c>
      <c r="FU50" s="1367" t="str">
        <f>IFNA(VLOOKUP(FI50,'法術資料'!$K$2:$X$805,10,FALSE),"")</f>
        <v/>
      </c>
      <c r="FV50" s="1367" t="str">
        <f>IFNA(VLOOKUP($Y50,'法術資料'!$K$2:$X$805,11,FALSE),"")</f>
        <v/>
      </c>
      <c r="FW50" s="1511" t="str">
        <f>IFNA(VLOOKUP(FI50,'法術資料'!$K$2:$X$805,12,FALSE),"")</f>
        <v/>
      </c>
      <c r="FX50" s="376"/>
      <c r="FY50" s="1369"/>
      <c r="FZ50" s="455"/>
    </row>
    <row r="51">
      <c r="A51" s="455"/>
      <c r="B51" s="1356"/>
      <c r="C51" s="1503" t="b">
        <v>0</v>
      </c>
      <c r="D51" s="1504"/>
      <c r="E51" s="1505" t="str">
        <f>IFNA(VLOOKUP($D51,'法術資料'!$K$2:$X$805,4,FALSE),"")
</f>
        <v/>
      </c>
      <c r="F51" s="1506" t="str">
        <f>IFNA(VLOOKUP($D51,'法術資料'!$K$2:$X$805,7,FALSE),"")</f>
        <v/>
      </c>
      <c r="G51" s="1141"/>
      <c r="H51" s="1506" t="str">
        <f>IFNA(VLOOKUP($D51,'法術資料'!$K$2:$X$805,8,FALSE),"")</f>
        <v/>
      </c>
      <c r="I51" s="1141"/>
      <c r="J51" s="1506" t="str">
        <f>IFNA(VLOOKUP($D51,'法術資料'!$K$2:$X$805,14,FALSE),"")</f>
        <v/>
      </c>
      <c r="K51" s="1141"/>
      <c r="L51" s="1506" t="str">
        <f>IFNA(VLOOKUP($D51,'法術資料'!$K$2:$X$805,13,FALSE),"")</f>
        <v/>
      </c>
      <c r="M51" s="1141"/>
      <c r="N51" s="1377" t="str">
        <f>IFNA(VLOOKUP($D51,'法術資料'!$K$2:$X$805,5,FALSE),"")</f>
        <v/>
      </c>
      <c r="O51" s="1377" t="str">
        <f>IFNA(VLOOKUP($D51,'法術資料'!$K$2:$X$805,6,FALSE),"")</f>
        <v/>
      </c>
      <c r="P51" s="1378" t="str">
        <f>IFNA(VLOOKUP($D51,'法術資料'!$K$2:$X$805,9,FALSE),"")</f>
        <v/>
      </c>
      <c r="Q51" s="1379" t="str">
        <f>IFNA(VLOOKUP($D51,'法術資料'!$K$2:$X$805,10,FALSE),"")</f>
        <v/>
      </c>
      <c r="R51" s="1379" t="str">
        <f>IFNA(VLOOKUP($D51,'法術資料'!$K$2:$X$805,11,FALSE),"")</f>
        <v/>
      </c>
      <c r="S51" s="1506" t="str">
        <f>IFNA(VLOOKUP($D51,'法術資料'!$K$2:$X$805,12,FALSE),"")</f>
        <v/>
      </c>
      <c r="T51" s="376"/>
      <c r="U51" s="1369"/>
      <c r="V51" s="455"/>
      <c r="W51" s="1356"/>
      <c r="X51" s="1503" t="b">
        <v>0</v>
      </c>
      <c r="Y51" s="1504"/>
      <c r="Z51" s="1507" t="str">
        <f>IFNA(VLOOKUP(Y51,'法術資料'!$K$2:$X$805,4,FALSE),"")
</f>
        <v/>
      </c>
      <c r="AA51" s="1506" t="str">
        <f>IFNA(VLOOKUP($Y51,'法術資料'!$K$2:$X$805,7,FALSE),"")</f>
        <v/>
      </c>
      <c r="AB51" s="1141"/>
      <c r="AC51" s="1506" t="str">
        <f>IFNA(VLOOKUP($Y51,'法術資料'!$K$2:$X$805,8,FALSE),"")</f>
        <v/>
      </c>
      <c r="AD51" s="1141"/>
      <c r="AE51" s="1506" t="str">
        <f>IFNA(VLOOKUP($Y51,'法術資料'!$K$2:$X$805,14,FALSE),"")</f>
        <v/>
      </c>
      <c r="AF51" s="1141"/>
      <c r="AG51" s="1377" t="str">
        <f>IFNA(VLOOKUP($Y51,'法術資料'!$K$2:$X$805,13,FALSE),"")</f>
        <v/>
      </c>
      <c r="AH51" s="1377" t="str">
        <f>IFNA(VLOOKUP($Y51,'法術資料'!$K$2:$X$805,5,FALSE),"")</f>
        <v/>
      </c>
      <c r="AI51" s="1377" t="str">
        <f>IFNA(VLOOKUP($Y51,'法術資料'!$K$2:$X$805,6,FALSE),"")</f>
        <v/>
      </c>
      <c r="AJ51" s="1378" t="str">
        <f>IFNA(VLOOKUP($Y51,'法術資料'!$K$2:$X$805,9,FALSE),"")</f>
        <v/>
      </c>
      <c r="AK51" s="1379" t="str">
        <f>IFNA(VLOOKUP($Y51,'法術資料'!$K$2:$X$805,10,FALSE),"")</f>
        <v/>
      </c>
      <c r="AL51" s="1379" t="str">
        <f>IFNA(VLOOKUP($Y51,'法術資料'!$K$2:$X$805,11,FALSE),"")</f>
        <v/>
      </c>
      <c r="AM51" s="1506" t="str">
        <f>IFNA(VLOOKUP($Y51,'法術資料'!$K$2:$X$805,12,FALSE),"")</f>
        <v/>
      </c>
      <c r="AN51" s="376"/>
      <c r="AO51" s="1369"/>
      <c r="AP51" s="455"/>
      <c r="AQ51" s="1356"/>
      <c r="AR51" s="1503" t="b">
        <v>0</v>
      </c>
      <c r="AS51" s="1504"/>
      <c r="AT51" s="1507" t="str">
        <f>IFNA(VLOOKUP(AS51,'法術資料'!$K$2:$X$805,4,FALSE),"")
</f>
        <v/>
      </c>
      <c r="AU51" s="1506" t="str">
        <f>IFNA(VLOOKUP(AS51,'法術資料'!$K$2:$X$805,7,FALSE),"")</f>
        <v/>
      </c>
      <c r="AV51" s="1141"/>
      <c r="AW51" s="1506" t="str">
        <f>IFNA(VLOOKUP(AS51,'法術資料'!$K$2:$X$805,8,FALSE),"")</f>
        <v/>
      </c>
      <c r="AX51" s="1141"/>
      <c r="AY51" s="1506" t="str">
        <f>IFNA(VLOOKUP(AS51,'法術資料'!$K$2:$X$805,14,FALSE),"")</f>
        <v/>
      </c>
      <c r="AZ51" s="1141"/>
      <c r="BA51" s="1377" t="str">
        <f>IFNA(VLOOKUP(AS51,'法術資料'!$K$2:$X$805,13,FALSE),"")</f>
        <v/>
      </c>
      <c r="BB51" s="1377" t="str">
        <f>IFNA(VLOOKUP(AS51,'法術資料'!$K$2:$X$805,5,FALSE),"")</f>
        <v/>
      </c>
      <c r="BC51" s="1377" t="str">
        <f>IFNA(VLOOKUP(AS51,'法術資料'!$K$2:$X$805,6,FALSE),"")</f>
        <v/>
      </c>
      <c r="BD51" s="1378" t="str">
        <f>IFNA(VLOOKUP(AS51,'法術資料'!$K$2:$X$805,9,FALSE),"")</f>
        <v/>
      </c>
      <c r="BE51" s="1379" t="str">
        <f>IFNA(VLOOKUP(AS51,'法術資料'!$K$2:$X$805,10,FALSE),"")</f>
        <v/>
      </c>
      <c r="BF51" s="1379" t="str">
        <f>IFNA(VLOOKUP($Y51,'法術資料'!$K$2:$X$805,11,FALSE),"")</f>
        <v/>
      </c>
      <c r="BG51" s="1506" t="str">
        <f>IFNA(VLOOKUP(AS51,'法術資料'!$K$2:$X$805,12,FALSE),"")</f>
        <v/>
      </c>
      <c r="BH51" s="376"/>
      <c r="BI51" s="1369"/>
      <c r="BJ51" s="455"/>
      <c r="BK51" s="1356"/>
      <c r="BL51" s="1503" t="b">
        <v>0</v>
      </c>
      <c r="BM51" s="1504"/>
      <c r="BN51" s="1507" t="str">
        <f>IFNA(VLOOKUP(BM51,'法術資料'!$K$2:$X$805,4,FALSE),"")
</f>
        <v/>
      </c>
      <c r="BO51" s="1506" t="str">
        <f>IFNA(VLOOKUP(BM51,'法術資料'!$K$2:$X$805,7,FALSE),"")</f>
        <v/>
      </c>
      <c r="BP51" s="1141"/>
      <c r="BQ51" s="1506" t="str">
        <f>IFNA(VLOOKUP(BM51,'法術資料'!$K$2:$X$805,8,FALSE),"")</f>
        <v/>
      </c>
      <c r="BR51" s="1141"/>
      <c r="BS51" s="1506" t="str">
        <f>IFNA(VLOOKUP(BM51,'法術資料'!$K$2:$X$805,14,FALSE),"")</f>
        <v/>
      </c>
      <c r="BT51" s="1141"/>
      <c r="BU51" s="1377" t="str">
        <f>IFNA(VLOOKUP(BM51,'法術資料'!$K$2:$X$805,13,FALSE),"")</f>
        <v/>
      </c>
      <c r="BV51" s="1377" t="str">
        <f>IFNA(VLOOKUP(BM51,'法術資料'!$K$2:$X$805,5,FALSE),"")</f>
        <v/>
      </c>
      <c r="BW51" s="1377" t="str">
        <f>IFNA(VLOOKUP(BM51,'法術資料'!$K$2:$X$805,6,FALSE),"")</f>
        <v/>
      </c>
      <c r="BX51" s="1378" t="str">
        <f>IFNA(VLOOKUP(BM51,'法術資料'!$K$2:$X$805,9,FALSE),"")</f>
        <v/>
      </c>
      <c r="BY51" s="1379" t="str">
        <f>IFNA(VLOOKUP(BM51,'法術資料'!$K$2:$X$805,10,FALSE),"")</f>
        <v/>
      </c>
      <c r="BZ51" s="1379" t="str">
        <f>IFNA(VLOOKUP($Y51,'法術資料'!$K$2:$X$805,11,FALSE),"")</f>
        <v/>
      </c>
      <c r="CA51" s="1506" t="str">
        <f>IFNA(VLOOKUP(BM51,'法術資料'!$K$2:$X$805,12,FALSE),"")</f>
        <v/>
      </c>
      <c r="CB51" s="376"/>
      <c r="CC51" s="1369"/>
      <c r="CD51" s="455"/>
      <c r="CE51" s="1356"/>
      <c r="CF51" s="1503" t="b">
        <v>0</v>
      </c>
      <c r="CG51" s="1504"/>
      <c r="CH51" s="1507" t="str">
        <f>IFNA(VLOOKUP(CG51,'法術資料'!$K$2:$X$805,4,FALSE),"")
</f>
        <v/>
      </c>
      <c r="CI51" s="1506" t="str">
        <f>IFNA(VLOOKUP(CG51,'法術資料'!$K$2:$X$805,7,FALSE),"")</f>
        <v/>
      </c>
      <c r="CJ51" s="1141"/>
      <c r="CK51" s="1506" t="str">
        <f>IFNA(VLOOKUP(CG51,'法術資料'!$K$2:$X$805,8,FALSE),"")</f>
        <v/>
      </c>
      <c r="CL51" s="1141"/>
      <c r="CM51" s="1506" t="str">
        <f>IFNA(VLOOKUP(CG51,'法術資料'!$K$2:$X$805,14,FALSE),"")</f>
        <v/>
      </c>
      <c r="CN51" s="1141"/>
      <c r="CO51" s="1377" t="str">
        <f>IFNA(VLOOKUP(CG51,'法術資料'!$K$2:$X$805,13,FALSE),"")</f>
        <v/>
      </c>
      <c r="CP51" s="1377" t="str">
        <f>IFNA(VLOOKUP(CG51,'法術資料'!$K$2:$X$805,5,FALSE),"")</f>
        <v/>
      </c>
      <c r="CQ51" s="1377" t="str">
        <f>IFNA(VLOOKUP(CG51,'法術資料'!$K$2:$X$805,6,FALSE),"")</f>
        <v/>
      </c>
      <c r="CR51" s="1378" t="str">
        <f>IFNA(VLOOKUP(CG51,'法術資料'!$K$2:$X$805,9,FALSE),"")</f>
        <v/>
      </c>
      <c r="CS51" s="1379" t="str">
        <f>IFNA(VLOOKUP(CG51,'法術資料'!$K$2:$X$805,10,FALSE),"")</f>
        <v/>
      </c>
      <c r="CT51" s="1379" t="str">
        <f>IFNA(VLOOKUP($Y51,'法術資料'!$K$2:$X$805,11,FALSE),"")</f>
        <v/>
      </c>
      <c r="CU51" s="1506" t="str">
        <f>IFNA(VLOOKUP(CG51,'法術資料'!$K$2:$X$805,12,FALSE),"")</f>
        <v/>
      </c>
      <c r="CV51" s="376"/>
      <c r="CW51" s="1369"/>
      <c r="CX51" s="455"/>
      <c r="CY51" s="1356"/>
      <c r="CZ51" s="1503" t="b">
        <v>0</v>
      </c>
      <c r="DA51" s="1515"/>
      <c r="DB51" s="1507" t="str">
        <f>IFNA(VLOOKUP(DA51,'法術資料'!$K$2:$X$805,4,FALSE),"")
</f>
        <v/>
      </c>
      <c r="DC51" s="1506" t="str">
        <f>IFNA(VLOOKUP(DA51,'法術資料'!$K$2:$X$805,7,FALSE),"")</f>
        <v/>
      </c>
      <c r="DD51" s="1141"/>
      <c r="DE51" s="1506" t="str">
        <f>IFNA(VLOOKUP(DA51,'法術資料'!$K$2:$X$805,8,FALSE),"")</f>
        <v/>
      </c>
      <c r="DF51" s="1141"/>
      <c r="DG51" s="1506" t="str">
        <f>IFNA(VLOOKUP(DA51,'法術資料'!$K$2:$X$805,14,FALSE),"")</f>
        <v/>
      </c>
      <c r="DH51" s="1141"/>
      <c r="DI51" s="1377" t="str">
        <f>IFNA(VLOOKUP(DA51,'法術資料'!$K$2:$X$805,13,FALSE),"")</f>
        <v/>
      </c>
      <c r="DJ51" s="1377" t="str">
        <f>IFNA(VLOOKUP(DA51,'法術資料'!$K$2:$X$805,5,FALSE),"")</f>
        <v/>
      </c>
      <c r="DK51" s="1377" t="str">
        <f>IFNA(VLOOKUP(DA51,'法術資料'!$K$2:$X$805,6,FALSE),"")</f>
        <v/>
      </c>
      <c r="DL51" s="1378" t="str">
        <f>IFNA(VLOOKUP(DA51,'法術資料'!$K$2:$X$805,9,FALSE),"")</f>
        <v/>
      </c>
      <c r="DM51" s="1379" t="str">
        <f>IFNA(VLOOKUP(DA51,'法術資料'!$K$2:$X$805,10,FALSE),"")</f>
        <v/>
      </c>
      <c r="DN51" s="1379" t="str">
        <f>IFNA(VLOOKUP($Y51,'法術資料'!$K$2:$X$805,11,FALSE),"")</f>
        <v/>
      </c>
      <c r="DO51" s="1506" t="str">
        <f>IFNA(VLOOKUP(DA51,'法術資料'!$K$2:$X$805,12,FALSE),"")</f>
        <v/>
      </c>
      <c r="DP51" s="376"/>
      <c r="DQ51" s="1369"/>
      <c r="DR51" s="455"/>
      <c r="DS51" s="1356"/>
      <c r="DT51" s="1503" t="b">
        <v>0</v>
      </c>
      <c r="DU51" s="1515"/>
      <c r="DV51" s="1507" t="str">
        <f>IFNA(VLOOKUP(DU51,'法術資料'!$K$2:$X$805,4,FALSE),"")
</f>
        <v/>
      </c>
      <c r="DW51" s="1506" t="str">
        <f>IFNA(VLOOKUP(DU51,'法術資料'!$K$2:$X$805,7,FALSE),"")</f>
        <v/>
      </c>
      <c r="DX51" s="1141"/>
      <c r="DY51" s="1506" t="str">
        <f>IFNA(VLOOKUP(DU51,'法術資料'!$K$2:$X$805,8,FALSE),"")</f>
        <v/>
      </c>
      <c r="DZ51" s="1141"/>
      <c r="EA51" s="1506" t="str">
        <f>IFNA(VLOOKUP(DU51,'法術資料'!$K$2:$X$805,14,FALSE),"")</f>
        <v/>
      </c>
      <c r="EB51" s="1141"/>
      <c r="EC51" s="1377" t="str">
        <f>IFNA(VLOOKUP(DU51,'法術資料'!$K$2:$X$805,13,FALSE),"")</f>
        <v/>
      </c>
      <c r="ED51" s="1377" t="str">
        <f>IFNA(VLOOKUP(DU51,'法術資料'!$K$2:$X$805,5,FALSE),"")</f>
        <v/>
      </c>
      <c r="EE51" s="1377" t="str">
        <f>IFNA(VLOOKUP(DU51,'法術資料'!$K$2:$X$805,6,FALSE),"")</f>
        <v/>
      </c>
      <c r="EF51" s="1378" t="str">
        <f>IFNA(VLOOKUP(DU51,'法術資料'!$K$2:$X$805,9,FALSE),"")</f>
        <v/>
      </c>
      <c r="EG51" s="1379" t="str">
        <f>IFNA(VLOOKUP(DU51,'法術資料'!$K$2:$X$805,10,FALSE),"")</f>
        <v/>
      </c>
      <c r="EH51" s="1379" t="str">
        <f>IFNA(VLOOKUP($Y51,'法術資料'!$K$2:$X$805,11,FALSE),"")</f>
        <v/>
      </c>
      <c r="EI51" s="1506" t="str">
        <f>IFNA(VLOOKUP(DU51,'法術資料'!$K$2:$X$805,12,FALSE),"")</f>
        <v/>
      </c>
      <c r="EJ51" s="376"/>
      <c r="EK51" s="1369"/>
      <c r="EL51" s="455"/>
      <c r="EM51" s="1356"/>
      <c r="EN51" s="1503" t="b">
        <v>0</v>
      </c>
      <c r="EO51" s="1515"/>
      <c r="EP51" s="1507" t="str">
        <f>IFNA(VLOOKUP(EO51,'法術資料'!$K$2:$X$805,4,FALSE),"")
</f>
        <v/>
      </c>
      <c r="EQ51" s="1506" t="str">
        <f>IFNA(VLOOKUP(EO51,'法術資料'!$K$2:$X$805,7,FALSE),"")</f>
        <v/>
      </c>
      <c r="ER51" s="1141"/>
      <c r="ES51" s="1506" t="str">
        <f>IFNA(VLOOKUP(EO51,'法術資料'!$K$2:$X$805,8,FALSE),"")</f>
        <v/>
      </c>
      <c r="ET51" s="1141"/>
      <c r="EU51" s="1506" t="str">
        <f>IFNA(VLOOKUP(EO51,'法術資料'!$K$2:$X$805,14,FALSE),"")</f>
        <v/>
      </c>
      <c r="EV51" s="1141"/>
      <c r="EW51" s="1377" t="str">
        <f>IFNA(VLOOKUP(EO51,'法術資料'!$K$2:$X$805,13,FALSE),"")</f>
        <v/>
      </c>
      <c r="EX51" s="1377" t="str">
        <f>IFNA(VLOOKUP(EO51,'法術資料'!$K$2:$X$805,5,FALSE),"")</f>
        <v/>
      </c>
      <c r="EY51" s="1377" t="str">
        <f>IFNA(VLOOKUP(EO51,'法術資料'!$K$2:$X$805,6,FALSE),"")</f>
        <v/>
      </c>
      <c r="EZ51" s="1378" t="str">
        <f>IFNA(VLOOKUP(EO51,'法術資料'!$K$2:$X$805,9,FALSE),"")</f>
        <v/>
      </c>
      <c r="FA51" s="1379" t="str">
        <f>IFNA(VLOOKUP(EO51,'法術資料'!$K$2:$X$805,10,FALSE),"")</f>
        <v/>
      </c>
      <c r="FB51" s="1379" t="str">
        <f>IFNA(VLOOKUP($Y51,'法術資料'!$K$2:$X$805,11,FALSE),"")</f>
        <v/>
      </c>
      <c r="FC51" s="1506" t="str">
        <f>IFNA(VLOOKUP(EO51,'法術資料'!$K$2:$X$805,12,FALSE),"")</f>
        <v/>
      </c>
      <c r="FD51" s="376"/>
      <c r="FE51" s="1369"/>
      <c r="FF51" s="455"/>
      <c r="FG51" s="1356"/>
      <c r="FH51" s="1503" t="b">
        <v>0</v>
      </c>
      <c r="FI51" s="1515"/>
      <c r="FJ51" s="1507" t="str">
        <f>IFNA(VLOOKUP(FI51,'法術資料'!$K$2:$X$805,4,FALSE),"")
</f>
        <v/>
      </c>
      <c r="FK51" s="1506" t="str">
        <f>IFNA(VLOOKUP(FI51,'法術資料'!$K$2:$X$805,7,FALSE),"")</f>
        <v/>
      </c>
      <c r="FL51" s="1141"/>
      <c r="FM51" s="1506" t="str">
        <f>IFNA(VLOOKUP(FI51,'法術資料'!$K$2:$X$805,8,FALSE),"")</f>
        <v/>
      </c>
      <c r="FN51" s="1141"/>
      <c r="FO51" s="1506" t="str">
        <f>IFNA(VLOOKUP(FI51,'法術資料'!$K$2:$X$805,14,FALSE),"")</f>
        <v/>
      </c>
      <c r="FP51" s="1141"/>
      <c r="FQ51" s="1377" t="str">
        <f>IFNA(VLOOKUP(FI51,'法術資料'!$K$2:$X$805,13,FALSE),"")</f>
        <v/>
      </c>
      <c r="FR51" s="1377" t="str">
        <f>IFNA(VLOOKUP(FI51,'法術資料'!$K$2:$X$805,5,FALSE),"")</f>
        <v/>
      </c>
      <c r="FS51" s="1377" t="str">
        <f>IFNA(VLOOKUP(FI51,'法術資料'!$K$2:$X$805,6,FALSE),"")</f>
        <v/>
      </c>
      <c r="FT51" s="1378" t="str">
        <f>IFNA(VLOOKUP(FI51,'法術資料'!$K$2:$X$805,9,FALSE),"")</f>
        <v/>
      </c>
      <c r="FU51" s="1379" t="str">
        <f>IFNA(VLOOKUP(FI51,'法術資料'!$K$2:$X$805,10,FALSE),"")</f>
        <v/>
      </c>
      <c r="FV51" s="1379" t="str">
        <f>IFNA(VLOOKUP($Y51,'法術資料'!$K$2:$X$805,11,FALSE),"")</f>
        <v/>
      </c>
      <c r="FW51" s="1506" t="str">
        <f>IFNA(VLOOKUP(FI51,'法術資料'!$K$2:$X$805,12,FALSE),"")</f>
        <v/>
      </c>
      <c r="FX51" s="376"/>
      <c r="FY51" s="1369"/>
      <c r="FZ51" s="455"/>
    </row>
    <row r="52">
      <c r="A52" s="455"/>
      <c r="B52" s="1356"/>
      <c r="C52" s="1509" t="b">
        <v>0</v>
      </c>
      <c r="D52" s="1502"/>
      <c r="E52" s="1510" t="str">
        <f>IFNA(VLOOKUP($D52,'法術資料'!$K$2:$X$805,4,FALSE),"")
</f>
        <v/>
      </c>
      <c r="F52" s="1511" t="str">
        <f>IFNA(VLOOKUP($D52,'法術資料'!$K$2:$X$805,7,FALSE),"")</f>
        <v/>
      </c>
      <c r="G52" s="1141"/>
      <c r="H52" s="1511" t="str">
        <f>IFNA(VLOOKUP($D52,'法術資料'!$K$2:$X$805,8,FALSE),"")</f>
        <v/>
      </c>
      <c r="I52" s="1141"/>
      <c r="J52" s="1511" t="str">
        <f>IFNA(VLOOKUP($D52,'法術資料'!$K$2:$X$805,14,FALSE),"")</f>
        <v/>
      </c>
      <c r="K52" s="1141"/>
      <c r="L52" s="1511" t="str">
        <f>IFNA(VLOOKUP($D52,'法術資料'!$K$2:$X$805,13,FALSE),"")</f>
        <v/>
      </c>
      <c r="M52" s="1141"/>
      <c r="N52" s="1365" t="str">
        <f>IFNA(VLOOKUP($D52,'法術資料'!$K$2:$X$805,5,FALSE),"")</f>
        <v/>
      </c>
      <c r="O52" s="1365" t="str">
        <f>IFNA(VLOOKUP($D52,'法術資料'!$K$2:$X$805,6,FALSE),"")</f>
        <v/>
      </c>
      <c r="P52" s="1366" t="str">
        <f>IFNA(VLOOKUP($D52,'法術資料'!$K$2:$X$805,9,FALSE),"")</f>
        <v/>
      </c>
      <c r="Q52" s="1367" t="str">
        <f>IFNA(VLOOKUP($D52,'法術資料'!$K$2:$X$805,10,FALSE),"")</f>
        <v/>
      </c>
      <c r="R52" s="1367" t="str">
        <f>IFNA(VLOOKUP($D52,'法術資料'!$K$2:$X$805,11,FALSE),"")</f>
        <v/>
      </c>
      <c r="S52" s="1511" t="str">
        <f>IFNA(VLOOKUP($D52,'法術資料'!$K$2:$X$805,12,FALSE),"")</f>
        <v/>
      </c>
      <c r="T52" s="376"/>
      <c r="U52" s="1369"/>
      <c r="V52" s="455"/>
      <c r="W52" s="1356"/>
      <c r="X52" s="1509" t="b">
        <v>0</v>
      </c>
      <c r="Y52" s="1502"/>
      <c r="Z52" s="1512" t="str">
        <f>IFNA(VLOOKUP(Y52,'法術資料'!$K$2:$X$805,4,FALSE),"")
</f>
        <v/>
      </c>
      <c r="AA52" s="1511" t="str">
        <f>IFNA(VLOOKUP($Y52,'法術資料'!$K$2:$X$805,7,FALSE),"")</f>
        <v/>
      </c>
      <c r="AB52" s="1141"/>
      <c r="AC52" s="1511" t="str">
        <f>IFNA(VLOOKUP($Y52,'法術資料'!$K$2:$X$805,8,FALSE),"")</f>
        <v/>
      </c>
      <c r="AD52" s="1141"/>
      <c r="AE52" s="1511" t="str">
        <f>IFNA(VLOOKUP($Y52,'法術資料'!$K$2:$X$805,14,FALSE),"")</f>
        <v/>
      </c>
      <c r="AF52" s="1141"/>
      <c r="AG52" s="1365" t="str">
        <f>IFNA(VLOOKUP($Y52,'法術資料'!$K$2:$X$805,13,FALSE),"")</f>
        <v/>
      </c>
      <c r="AH52" s="1365" t="str">
        <f>IFNA(VLOOKUP($Y52,'法術資料'!$K$2:$X$805,5,FALSE),"")</f>
        <v/>
      </c>
      <c r="AI52" s="1365" t="str">
        <f>IFNA(VLOOKUP($Y52,'法術資料'!$K$2:$X$805,6,FALSE),"")</f>
        <v/>
      </c>
      <c r="AJ52" s="1366" t="str">
        <f>IFNA(VLOOKUP($Y52,'法術資料'!$K$2:$X$805,9,FALSE),"")</f>
        <v/>
      </c>
      <c r="AK52" s="1367" t="str">
        <f>IFNA(VLOOKUP($Y52,'法術資料'!$K$2:$X$805,10,FALSE),"")</f>
        <v/>
      </c>
      <c r="AL52" s="1367" t="str">
        <f>IFNA(VLOOKUP($Y52,'法術資料'!$K$2:$X$805,11,FALSE),"")</f>
        <v/>
      </c>
      <c r="AM52" s="1511" t="str">
        <f>IFNA(VLOOKUP($Y52,'法術資料'!$K$2:$X$805,12,FALSE),"")</f>
        <v/>
      </c>
      <c r="AN52" s="376"/>
      <c r="AO52" s="1369"/>
      <c r="AP52" s="455"/>
      <c r="AQ52" s="1356"/>
      <c r="AR52" s="1509" t="b">
        <v>0</v>
      </c>
      <c r="AS52" s="1502"/>
      <c r="AT52" s="1512" t="str">
        <f>IFNA(VLOOKUP(AS52,'法術資料'!$K$2:$X$805,4,FALSE),"")
</f>
        <v/>
      </c>
      <c r="AU52" s="1511" t="str">
        <f>IFNA(VLOOKUP(AS52,'法術資料'!$K$2:$X$805,7,FALSE),"")</f>
        <v/>
      </c>
      <c r="AV52" s="1141"/>
      <c r="AW52" s="1511" t="str">
        <f>IFNA(VLOOKUP(AS52,'法術資料'!$K$2:$X$805,8,FALSE),"")</f>
        <v/>
      </c>
      <c r="AX52" s="1141"/>
      <c r="AY52" s="1511" t="str">
        <f>IFNA(VLOOKUP(AS52,'法術資料'!$K$2:$X$805,14,FALSE),"")</f>
        <v/>
      </c>
      <c r="AZ52" s="1141"/>
      <c r="BA52" s="1365" t="str">
        <f>IFNA(VLOOKUP(AS52,'法術資料'!$K$2:$X$805,13,FALSE),"")</f>
        <v/>
      </c>
      <c r="BB52" s="1365" t="str">
        <f>IFNA(VLOOKUP(AS52,'法術資料'!$K$2:$X$805,5,FALSE),"")</f>
        <v/>
      </c>
      <c r="BC52" s="1365" t="str">
        <f>IFNA(VLOOKUP(AS52,'法術資料'!$K$2:$X$805,6,FALSE),"")</f>
        <v/>
      </c>
      <c r="BD52" s="1366" t="str">
        <f>IFNA(VLOOKUP(AS52,'法術資料'!$K$2:$X$805,9,FALSE),"")</f>
        <v/>
      </c>
      <c r="BE52" s="1367" t="str">
        <f>IFNA(VLOOKUP(AS52,'法術資料'!$K$2:$X$805,10,FALSE),"")</f>
        <v/>
      </c>
      <c r="BF52" s="1367" t="str">
        <f>IFNA(VLOOKUP($Y52,'法術資料'!$K$2:$X$805,11,FALSE),"")</f>
        <v/>
      </c>
      <c r="BG52" s="1511" t="str">
        <f>IFNA(VLOOKUP(AS52,'法術資料'!$K$2:$X$805,12,FALSE),"")</f>
        <v/>
      </c>
      <c r="BH52" s="376"/>
      <c r="BI52" s="1369"/>
      <c r="BJ52" s="455"/>
      <c r="BK52" s="1356"/>
      <c r="BL52" s="1509" t="b">
        <v>0</v>
      </c>
      <c r="BM52" s="1502"/>
      <c r="BN52" s="1512" t="str">
        <f>IFNA(VLOOKUP(BM52,'法術資料'!$K$2:$X$805,4,FALSE),"")
</f>
        <v/>
      </c>
      <c r="BO52" s="1511" t="str">
        <f>IFNA(VLOOKUP(BM52,'法術資料'!$K$2:$X$805,7,FALSE),"")</f>
        <v/>
      </c>
      <c r="BP52" s="1141"/>
      <c r="BQ52" s="1511" t="str">
        <f>IFNA(VLOOKUP(BM52,'法術資料'!$K$2:$X$805,8,FALSE),"")</f>
        <v/>
      </c>
      <c r="BR52" s="1141"/>
      <c r="BS52" s="1511" t="str">
        <f>IFNA(VLOOKUP(BM52,'法術資料'!$K$2:$X$805,14,FALSE),"")</f>
        <v/>
      </c>
      <c r="BT52" s="1141"/>
      <c r="BU52" s="1365" t="str">
        <f>IFNA(VLOOKUP(BM52,'法術資料'!$K$2:$X$805,13,FALSE),"")</f>
        <v/>
      </c>
      <c r="BV52" s="1365" t="str">
        <f>IFNA(VLOOKUP(BM52,'法術資料'!$K$2:$X$805,5,FALSE),"")</f>
        <v/>
      </c>
      <c r="BW52" s="1365" t="str">
        <f>IFNA(VLOOKUP(BM52,'法術資料'!$K$2:$X$805,6,FALSE),"")</f>
        <v/>
      </c>
      <c r="BX52" s="1366" t="str">
        <f>IFNA(VLOOKUP(BM52,'法術資料'!$K$2:$X$805,9,FALSE),"")</f>
        <v/>
      </c>
      <c r="BY52" s="1367" t="str">
        <f>IFNA(VLOOKUP(BM52,'法術資料'!$K$2:$X$805,10,FALSE),"")</f>
        <v/>
      </c>
      <c r="BZ52" s="1367" t="str">
        <f>IFNA(VLOOKUP($Y52,'法術資料'!$K$2:$X$805,11,FALSE),"")</f>
        <v/>
      </c>
      <c r="CA52" s="1511" t="str">
        <f>IFNA(VLOOKUP(BM52,'法術資料'!$K$2:$X$805,12,FALSE),"")</f>
        <v/>
      </c>
      <c r="CB52" s="376"/>
      <c r="CC52" s="1369"/>
      <c r="CD52" s="455"/>
      <c r="CE52" s="1356"/>
      <c r="CF52" s="1509" t="b">
        <v>0</v>
      </c>
      <c r="CG52" s="1502"/>
      <c r="CH52" s="1512" t="str">
        <f>IFNA(VLOOKUP(CG52,'法術資料'!$K$2:$X$805,4,FALSE),"")
</f>
        <v/>
      </c>
      <c r="CI52" s="1511" t="str">
        <f>IFNA(VLOOKUP(CG52,'法術資料'!$K$2:$X$805,7,FALSE),"")</f>
        <v/>
      </c>
      <c r="CJ52" s="1141"/>
      <c r="CK52" s="1511" t="str">
        <f>IFNA(VLOOKUP(CG52,'法術資料'!$K$2:$X$805,8,FALSE),"")</f>
        <v/>
      </c>
      <c r="CL52" s="1141"/>
      <c r="CM52" s="1511" t="str">
        <f>IFNA(VLOOKUP(CG52,'法術資料'!$K$2:$X$805,14,FALSE),"")</f>
        <v/>
      </c>
      <c r="CN52" s="1141"/>
      <c r="CO52" s="1365" t="str">
        <f>IFNA(VLOOKUP(CG52,'法術資料'!$K$2:$X$805,13,FALSE),"")</f>
        <v/>
      </c>
      <c r="CP52" s="1365" t="str">
        <f>IFNA(VLOOKUP(CG52,'法術資料'!$K$2:$X$805,5,FALSE),"")</f>
        <v/>
      </c>
      <c r="CQ52" s="1365" t="str">
        <f>IFNA(VLOOKUP(CG52,'法術資料'!$K$2:$X$805,6,FALSE),"")</f>
        <v/>
      </c>
      <c r="CR52" s="1366" t="str">
        <f>IFNA(VLOOKUP(CG52,'法術資料'!$K$2:$X$805,9,FALSE),"")</f>
        <v/>
      </c>
      <c r="CS52" s="1367" t="str">
        <f>IFNA(VLOOKUP(CG52,'法術資料'!$K$2:$X$805,10,FALSE),"")</f>
        <v/>
      </c>
      <c r="CT52" s="1367" t="str">
        <f>IFNA(VLOOKUP($Y52,'法術資料'!$K$2:$X$805,11,FALSE),"")</f>
        <v/>
      </c>
      <c r="CU52" s="1511" t="str">
        <f>IFNA(VLOOKUP(CG52,'法術資料'!$K$2:$X$805,12,FALSE),"")</f>
        <v/>
      </c>
      <c r="CV52" s="376"/>
      <c r="CW52" s="1369"/>
      <c r="CX52" s="455"/>
      <c r="CY52" s="1356"/>
      <c r="CZ52" s="1509" t="b">
        <v>0</v>
      </c>
      <c r="DA52" s="1514"/>
      <c r="DB52" s="1512" t="str">
        <f>IFNA(VLOOKUP(DA52,'法術資料'!$K$2:$X$805,4,FALSE),"")
</f>
        <v/>
      </c>
      <c r="DC52" s="1511" t="str">
        <f>IFNA(VLOOKUP(DA52,'法術資料'!$K$2:$X$805,7,FALSE),"")</f>
        <v/>
      </c>
      <c r="DD52" s="1141"/>
      <c r="DE52" s="1511" t="str">
        <f>IFNA(VLOOKUP(DA52,'法術資料'!$K$2:$X$805,8,FALSE),"")</f>
        <v/>
      </c>
      <c r="DF52" s="1141"/>
      <c r="DG52" s="1511" t="str">
        <f>IFNA(VLOOKUP(DA52,'法術資料'!$K$2:$X$805,14,FALSE),"")</f>
        <v/>
      </c>
      <c r="DH52" s="1141"/>
      <c r="DI52" s="1365" t="str">
        <f>IFNA(VLOOKUP(DA52,'法術資料'!$K$2:$X$805,13,FALSE),"")</f>
        <v/>
      </c>
      <c r="DJ52" s="1365" t="str">
        <f>IFNA(VLOOKUP(DA52,'法術資料'!$K$2:$X$805,5,FALSE),"")</f>
        <v/>
      </c>
      <c r="DK52" s="1365" t="str">
        <f>IFNA(VLOOKUP(DA52,'法術資料'!$K$2:$X$805,6,FALSE),"")</f>
        <v/>
      </c>
      <c r="DL52" s="1366" t="str">
        <f>IFNA(VLOOKUP(DA52,'法術資料'!$K$2:$X$805,9,FALSE),"")</f>
        <v/>
      </c>
      <c r="DM52" s="1367" t="str">
        <f>IFNA(VLOOKUP(DA52,'法術資料'!$K$2:$X$805,10,FALSE),"")</f>
        <v/>
      </c>
      <c r="DN52" s="1367" t="str">
        <f>IFNA(VLOOKUP($Y52,'法術資料'!$K$2:$X$805,11,FALSE),"")</f>
        <v/>
      </c>
      <c r="DO52" s="1511" t="str">
        <f>IFNA(VLOOKUP(DA52,'法術資料'!$K$2:$X$805,12,FALSE),"")</f>
        <v/>
      </c>
      <c r="DP52" s="376"/>
      <c r="DQ52" s="1369"/>
      <c r="DR52" s="455"/>
      <c r="DS52" s="1356"/>
      <c r="DT52" s="1509" t="b">
        <v>0</v>
      </c>
      <c r="DU52" s="1514"/>
      <c r="DV52" s="1512" t="str">
        <f>IFNA(VLOOKUP(DU52,'法術資料'!$K$2:$X$805,4,FALSE),"")
</f>
        <v/>
      </c>
      <c r="DW52" s="1511" t="str">
        <f>IFNA(VLOOKUP(DU52,'法術資料'!$K$2:$X$805,7,FALSE),"")</f>
        <v/>
      </c>
      <c r="DX52" s="1141"/>
      <c r="DY52" s="1511" t="str">
        <f>IFNA(VLOOKUP(DU52,'法術資料'!$K$2:$X$805,8,FALSE),"")</f>
        <v/>
      </c>
      <c r="DZ52" s="1141"/>
      <c r="EA52" s="1511" t="str">
        <f>IFNA(VLOOKUP(DU52,'法術資料'!$K$2:$X$805,14,FALSE),"")</f>
        <v/>
      </c>
      <c r="EB52" s="1141"/>
      <c r="EC52" s="1365" t="str">
        <f>IFNA(VLOOKUP(DU52,'法術資料'!$K$2:$X$805,13,FALSE),"")</f>
        <v/>
      </c>
      <c r="ED52" s="1365" t="str">
        <f>IFNA(VLOOKUP(DU52,'法術資料'!$K$2:$X$805,5,FALSE),"")</f>
        <v/>
      </c>
      <c r="EE52" s="1365" t="str">
        <f>IFNA(VLOOKUP(DU52,'法術資料'!$K$2:$X$805,6,FALSE),"")</f>
        <v/>
      </c>
      <c r="EF52" s="1366" t="str">
        <f>IFNA(VLOOKUP(DU52,'法術資料'!$K$2:$X$805,9,FALSE),"")</f>
        <v/>
      </c>
      <c r="EG52" s="1367" t="str">
        <f>IFNA(VLOOKUP(DU52,'法術資料'!$K$2:$X$805,10,FALSE),"")</f>
        <v/>
      </c>
      <c r="EH52" s="1367" t="str">
        <f>IFNA(VLOOKUP($Y52,'法術資料'!$K$2:$X$805,11,FALSE),"")</f>
        <v/>
      </c>
      <c r="EI52" s="1511" t="str">
        <f>IFNA(VLOOKUP(DU52,'法術資料'!$K$2:$X$805,12,FALSE),"")</f>
        <v/>
      </c>
      <c r="EJ52" s="376"/>
      <c r="EK52" s="1369"/>
      <c r="EL52" s="455"/>
      <c r="EM52" s="1356"/>
      <c r="EN52" s="1509" t="b">
        <v>0</v>
      </c>
      <c r="EO52" s="1514"/>
      <c r="EP52" s="1512" t="str">
        <f>IFNA(VLOOKUP(EO52,'法術資料'!$K$2:$X$805,4,FALSE),"")
</f>
        <v/>
      </c>
      <c r="EQ52" s="1511" t="str">
        <f>IFNA(VLOOKUP(EO52,'法術資料'!$K$2:$X$805,7,FALSE),"")</f>
        <v/>
      </c>
      <c r="ER52" s="1141"/>
      <c r="ES52" s="1511" t="str">
        <f>IFNA(VLOOKUP(EO52,'法術資料'!$K$2:$X$805,8,FALSE),"")</f>
        <v/>
      </c>
      <c r="ET52" s="1141"/>
      <c r="EU52" s="1511" t="str">
        <f>IFNA(VLOOKUP(EO52,'法術資料'!$K$2:$X$805,14,FALSE),"")</f>
        <v/>
      </c>
      <c r="EV52" s="1141"/>
      <c r="EW52" s="1365" t="str">
        <f>IFNA(VLOOKUP(EO52,'法術資料'!$K$2:$X$805,13,FALSE),"")</f>
        <v/>
      </c>
      <c r="EX52" s="1365" t="str">
        <f>IFNA(VLOOKUP(EO52,'法術資料'!$K$2:$X$805,5,FALSE),"")</f>
        <v/>
      </c>
      <c r="EY52" s="1365" t="str">
        <f>IFNA(VLOOKUP(EO52,'法術資料'!$K$2:$X$805,6,FALSE),"")</f>
        <v/>
      </c>
      <c r="EZ52" s="1366" t="str">
        <f>IFNA(VLOOKUP(EO52,'法術資料'!$K$2:$X$805,9,FALSE),"")</f>
        <v/>
      </c>
      <c r="FA52" s="1367" t="str">
        <f>IFNA(VLOOKUP(EO52,'法術資料'!$K$2:$X$805,10,FALSE),"")</f>
        <v/>
      </c>
      <c r="FB52" s="1367" t="str">
        <f>IFNA(VLOOKUP($Y52,'法術資料'!$K$2:$X$805,11,FALSE),"")</f>
        <v/>
      </c>
      <c r="FC52" s="1511" t="str">
        <f>IFNA(VLOOKUP(EO52,'法術資料'!$K$2:$X$805,12,FALSE),"")</f>
        <v/>
      </c>
      <c r="FD52" s="376"/>
      <c r="FE52" s="1369"/>
      <c r="FF52" s="455"/>
      <c r="FG52" s="1356"/>
      <c r="FH52" s="1509" t="b">
        <v>0</v>
      </c>
      <c r="FI52" s="1514"/>
      <c r="FJ52" s="1512" t="str">
        <f>IFNA(VLOOKUP(FI52,'法術資料'!$K$2:$X$805,4,FALSE),"")
</f>
        <v/>
      </c>
      <c r="FK52" s="1511" t="str">
        <f>IFNA(VLOOKUP(FI52,'法術資料'!$K$2:$X$805,7,FALSE),"")</f>
        <v/>
      </c>
      <c r="FL52" s="1141"/>
      <c r="FM52" s="1511" t="str">
        <f>IFNA(VLOOKUP(FI52,'法術資料'!$K$2:$X$805,8,FALSE),"")</f>
        <v/>
      </c>
      <c r="FN52" s="1141"/>
      <c r="FO52" s="1511" t="str">
        <f>IFNA(VLOOKUP(FI52,'法術資料'!$K$2:$X$805,14,FALSE),"")</f>
        <v/>
      </c>
      <c r="FP52" s="1141"/>
      <c r="FQ52" s="1365" t="str">
        <f>IFNA(VLOOKUP(FI52,'法術資料'!$K$2:$X$805,13,FALSE),"")</f>
        <v/>
      </c>
      <c r="FR52" s="1365" t="str">
        <f>IFNA(VLOOKUP(FI52,'法術資料'!$K$2:$X$805,5,FALSE),"")</f>
        <v/>
      </c>
      <c r="FS52" s="1365" t="str">
        <f>IFNA(VLOOKUP(FI52,'法術資料'!$K$2:$X$805,6,FALSE),"")</f>
        <v/>
      </c>
      <c r="FT52" s="1366" t="str">
        <f>IFNA(VLOOKUP(FI52,'法術資料'!$K$2:$X$805,9,FALSE),"")</f>
        <v/>
      </c>
      <c r="FU52" s="1367" t="str">
        <f>IFNA(VLOOKUP(FI52,'法術資料'!$K$2:$X$805,10,FALSE),"")</f>
        <v/>
      </c>
      <c r="FV52" s="1367" t="str">
        <f>IFNA(VLOOKUP($Y52,'法術資料'!$K$2:$X$805,11,FALSE),"")</f>
        <v/>
      </c>
      <c r="FW52" s="1511" t="str">
        <f>IFNA(VLOOKUP(FI52,'法術資料'!$K$2:$X$805,12,FALSE),"")</f>
        <v/>
      </c>
      <c r="FX52" s="376"/>
      <c r="FY52" s="1369"/>
      <c r="FZ52" s="455"/>
    </row>
    <row r="53">
      <c r="A53" s="455"/>
      <c r="B53" s="1356"/>
      <c r="C53" s="1503" t="b">
        <v>0</v>
      </c>
      <c r="D53" s="1504"/>
      <c r="E53" s="1505" t="str">
        <f>IFNA(VLOOKUP($D53,'法術資料'!$K$2:$X$805,4,FALSE),"")
</f>
        <v/>
      </c>
      <c r="F53" s="1506" t="str">
        <f>IFNA(VLOOKUP($D53,'法術資料'!$K$2:$X$805,7,FALSE),"")</f>
        <v/>
      </c>
      <c r="G53" s="1141"/>
      <c r="H53" s="1506" t="str">
        <f>IFNA(VLOOKUP($D53,'法術資料'!$K$2:$X$805,8,FALSE),"")</f>
        <v/>
      </c>
      <c r="I53" s="1141"/>
      <c r="J53" s="1506" t="str">
        <f>IFNA(VLOOKUP($D53,'法術資料'!$K$2:$X$805,14,FALSE),"")</f>
        <v/>
      </c>
      <c r="K53" s="1141"/>
      <c r="L53" s="1506" t="str">
        <f>IFNA(VLOOKUP($D53,'法術資料'!$K$2:$X$805,13,FALSE),"")</f>
        <v/>
      </c>
      <c r="M53" s="1141"/>
      <c r="N53" s="1377" t="str">
        <f>IFNA(VLOOKUP($D53,'法術資料'!$K$2:$X$805,5,FALSE),"")</f>
        <v/>
      </c>
      <c r="O53" s="1377" t="str">
        <f>IFNA(VLOOKUP($D53,'法術資料'!$K$2:$X$805,6,FALSE),"")</f>
        <v/>
      </c>
      <c r="P53" s="1378" t="str">
        <f>IFNA(VLOOKUP($D53,'法術資料'!$K$2:$X$805,9,FALSE),"")</f>
        <v/>
      </c>
      <c r="Q53" s="1379" t="str">
        <f>IFNA(VLOOKUP($D53,'法術資料'!$K$2:$X$805,10,FALSE),"")</f>
        <v/>
      </c>
      <c r="R53" s="1379" t="str">
        <f>IFNA(VLOOKUP($D53,'法術資料'!$K$2:$X$805,11,FALSE),"")</f>
        <v/>
      </c>
      <c r="S53" s="1506" t="str">
        <f>IFNA(VLOOKUP($D53,'法術資料'!$K$2:$X$805,12,FALSE),"")</f>
        <v/>
      </c>
      <c r="T53" s="376"/>
      <c r="U53" s="1369"/>
      <c r="V53" s="455"/>
      <c r="W53" s="1356"/>
      <c r="X53" s="1503" t="b">
        <v>0</v>
      </c>
      <c r="Y53" s="1504"/>
      <c r="Z53" s="1507" t="str">
        <f>IFNA(VLOOKUP(Y53,'法術資料'!$K$2:$X$805,4,FALSE),"")
</f>
        <v/>
      </c>
      <c r="AA53" s="1506" t="str">
        <f>IFNA(VLOOKUP($Y53,'法術資料'!$K$2:$X$805,7,FALSE),"")</f>
        <v/>
      </c>
      <c r="AB53" s="1141"/>
      <c r="AC53" s="1506" t="str">
        <f>IFNA(VLOOKUP($Y53,'法術資料'!$K$2:$X$805,8,FALSE),"")</f>
        <v/>
      </c>
      <c r="AD53" s="1141"/>
      <c r="AE53" s="1506" t="str">
        <f>IFNA(VLOOKUP($Y53,'法術資料'!$K$2:$X$805,14,FALSE),"")</f>
        <v/>
      </c>
      <c r="AF53" s="1141"/>
      <c r="AG53" s="1377" t="str">
        <f>IFNA(VLOOKUP($Y53,'法術資料'!$K$2:$X$805,13,FALSE),"")</f>
        <v/>
      </c>
      <c r="AH53" s="1377" t="str">
        <f>IFNA(VLOOKUP($Y53,'法術資料'!$K$2:$X$805,5,FALSE),"")</f>
        <v/>
      </c>
      <c r="AI53" s="1377" t="str">
        <f>IFNA(VLOOKUP($Y53,'法術資料'!$K$2:$X$805,6,FALSE),"")</f>
        <v/>
      </c>
      <c r="AJ53" s="1378" t="str">
        <f>IFNA(VLOOKUP($Y53,'法術資料'!$K$2:$X$805,9,FALSE),"")</f>
        <v/>
      </c>
      <c r="AK53" s="1379" t="str">
        <f>IFNA(VLOOKUP($Y53,'法術資料'!$K$2:$X$805,10,FALSE),"")</f>
        <v/>
      </c>
      <c r="AL53" s="1379" t="str">
        <f>IFNA(VLOOKUP($Y53,'法術資料'!$K$2:$X$805,11,FALSE),"")</f>
        <v/>
      </c>
      <c r="AM53" s="1506" t="str">
        <f>IFNA(VLOOKUP($Y53,'法術資料'!$K$2:$X$805,12,FALSE),"")</f>
        <v/>
      </c>
      <c r="AN53" s="376"/>
      <c r="AO53" s="1369"/>
      <c r="AP53" s="455"/>
      <c r="AQ53" s="1356"/>
      <c r="AR53" s="1503" t="b">
        <v>0</v>
      </c>
      <c r="AS53" s="1504"/>
      <c r="AT53" s="1507" t="str">
        <f>IFNA(VLOOKUP(AS53,'法術資料'!$K$2:$X$805,4,FALSE),"")
</f>
        <v/>
      </c>
      <c r="AU53" s="1506" t="str">
        <f>IFNA(VLOOKUP(AS53,'法術資料'!$K$2:$X$805,7,FALSE),"")</f>
        <v/>
      </c>
      <c r="AV53" s="1141"/>
      <c r="AW53" s="1506" t="str">
        <f>IFNA(VLOOKUP(AS53,'法術資料'!$K$2:$X$805,8,FALSE),"")</f>
        <v/>
      </c>
      <c r="AX53" s="1141"/>
      <c r="AY53" s="1506" t="str">
        <f>IFNA(VLOOKUP(AS53,'法術資料'!$K$2:$X$805,14,FALSE),"")</f>
        <v/>
      </c>
      <c r="AZ53" s="1141"/>
      <c r="BA53" s="1377" t="str">
        <f>IFNA(VLOOKUP(AS53,'法術資料'!$K$2:$X$805,13,FALSE),"")</f>
        <v/>
      </c>
      <c r="BB53" s="1377" t="str">
        <f>IFNA(VLOOKUP(AS53,'法術資料'!$K$2:$X$805,5,FALSE),"")</f>
        <v/>
      </c>
      <c r="BC53" s="1377" t="str">
        <f>IFNA(VLOOKUP(AS53,'法術資料'!$K$2:$X$805,6,FALSE),"")</f>
        <v/>
      </c>
      <c r="BD53" s="1378" t="str">
        <f>IFNA(VLOOKUP(AS53,'法術資料'!$K$2:$X$805,9,FALSE),"")</f>
        <v/>
      </c>
      <c r="BE53" s="1379" t="str">
        <f>IFNA(VLOOKUP(AS53,'法術資料'!$K$2:$X$805,10,FALSE),"")</f>
        <v/>
      </c>
      <c r="BF53" s="1379" t="str">
        <f>IFNA(VLOOKUP($Y53,'法術資料'!$K$2:$X$805,11,FALSE),"")</f>
        <v/>
      </c>
      <c r="BG53" s="1506" t="str">
        <f>IFNA(VLOOKUP(AS53,'法術資料'!$K$2:$X$805,12,FALSE),"")</f>
        <v/>
      </c>
      <c r="BH53" s="376"/>
      <c r="BI53" s="1369"/>
      <c r="BJ53" s="455"/>
      <c r="BK53" s="1356"/>
      <c r="BL53" s="1503" t="b">
        <v>0</v>
      </c>
      <c r="BM53" s="1504"/>
      <c r="BN53" s="1507" t="str">
        <f>IFNA(VLOOKUP(BM53,'法術資料'!$K$2:$X$805,4,FALSE),"")
</f>
        <v/>
      </c>
      <c r="BO53" s="1506" t="str">
        <f>IFNA(VLOOKUP(BM53,'法術資料'!$K$2:$X$805,7,FALSE),"")</f>
        <v/>
      </c>
      <c r="BP53" s="1141"/>
      <c r="BQ53" s="1506" t="str">
        <f>IFNA(VLOOKUP(BM53,'法術資料'!$K$2:$X$805,8,FALSE),"")</f>
        <v/>
      </c>
      <c r="BR53" s="1141"/>
      <c r="BS53" s="1506" t="str">
        <f>IFNA(VLOOKUP(BM53,'法術資料'!$K$2:$X$805,14,FALSE),"")</f>
        <v/>
      </c>
      <c r="BT53" s="1141"/>
      <c r="BU53" s="1377" t="str">
        <f>IFNA(VLOOKUP(BM53,'法術資料'!$K$2:$X$805,13,FALSE),"")</f>
        <v/>
      </c>
      <c r="BV53" s="1377" t="str">
        <f>IFNA(VLOOKUP(BM53,'法術資料'!$K$2:$X$805,5,FALSE),"")</f>
        <v/>
      </c>
      <c r="BW53" s="1377" t="str">
        <f>IFNA(VLOOKUP(BM53,'法術資料'!$K$2:$X$805,6,FALSE),"")</f>
        <v/>
      </c>
      <c r="BX53" s="1378" t="str">
        <f>IFNA(VLOOKUP(BM53,'法術資料'!$K$2:$X$805,9,FALSE),"")</f>
        <v/>
      </c>
      <c r="BY53" s="1379" t="str">
        <f>IFNA(VLOOKUP(BM53,'法術資料'!$K$2:$X$805,10,FALSE),"")</f>
        <v/>
      </c>
      <c r="BZ53" s="1379" t="str">
        <f>IFNA(VLOOKUP($Y53,'法術資料'!$K$2:$X$805,11,FALSE),"")</f>
        <v/>
      </c>
      <c r="CA53" s="1506" t="str">
        <f>IFNA(VLOOKUP(BM53,'法術資料'!$K$2:$X$805,12,FALSE),"")</f>
        <v/>
      </c>
      <c r="CB53" s="376"/>
      <c r="CC53" s="1369"/>
      <c r="CD53" s="455"/>
      <c r="CE53" s="1356"/>
      <c r="CF53" s="1503" t="b">
        <v>0</v>
      </c>
      <c r="CG53" s="1504"/>
      <c r="CH53" s="1507" t="str">
        <f>IFNA(VLOOKUP(CG53,'法術資料'!$K$2:$X$805,4,FALSE),"")
</f>
        <v/>
      </c>
      <c r="CI53" s="1506" t="str">
        <f>IFNA(VLOOKUP(CG53,'法術資料'!$K$2:$X$805,7,FALSE),"")</f>
        <v/>
      </c>
      <c r="CJ53" s="1141"/>
      <c r="CK53" s="1506" t="str">
        <f>IFNA(VLOOKUP(CG53,'法術資料'!$K$2:$X$805,8,FALSE),"")</f>
        <v/>
      </c>
      <c r="CL53" s="1141"/>
      <c r="CM53" s="1506" t="str">
        <f>IFNA(VLOOKUP(CG53,'法術資料'!$K$2:$X$805,14,FALSE),"")</f>
        <v/>
      </c>
      <c r="CN53" s="1141"/>
      <c r="CO53" s="1377" t="str">
        <f>IFNA(VLOOKUP(CG53,'法術資料'!$K$2:$X$805,13,FALSE),"")</f>
        <v/>
      </c>
      <c r="CP53" s="1377" t="str">
        <f>IFNA(VLOOKUP(CG53,'法術資料'!$K$2:$X$805,5,FALSE),"")</f>
        <v/>
      </c>
      <c r="CQ53" s="1377" t="str">
        <f>IFNA(VLOOKUP(CG53,'法術資料'!$K$2:$X$805,6,FALSE),"")</f>
        <v/>
      </c>
      <c r="CR53" s="1378" t="str">
        <f>IFNA(VLOOKUP(CG53,'法術資料'!$K$2:$X$805,9,FALSE),"")</f>
        <v/>
      </c>
      <c r="CS53" s="1379" t="str">
        <f>IFNA(VLOOKUP(CG53,'法術資料'!$K$2:$X$805,10,FALSE),"")</f>
        <v/>
      </c>
      <c r="CT53" s="1379" t="str">
        <f>IFNA(VLOOKUP($Y53,'法術資料'!$K$2:$X$805,11,FALSE),"")</f>
        <v/>
      </c>
      <c r="CU53" s="1506" t="str">
        <f>IFNA(VLOOKUP(CG53,'法術資料'!$K$2:$X$805,12,FALSE),"")</f>
        <v/>
      </c>
      <c r="CV53" s="376"/>
      <c r="CW53" s="1369"/>
      <c r="CX53" s="455"/>
      <c r="CY53" s="1356"/>
      <c r="CZ53" s="1503" t="b">
        <v>0</v>
      </c>
      <c r="DA53" s="1515"/>
      <c r="DB53" s="1507" t="str">
        <f>IFNA(VLOOKUP(DA53,'法術資料'!$K$2:$X$805,4,FALSE),"")
</f>
        <v/>
      </c>
      <c r="DC53" s="1506" t="str">
        <f>IFNA(VLOOKUP(DA53,'法術資料'!$K$2:$X$805,7,FALSE),"")</f>
        <v/>
      </c>
      <c r="DD53" s="1141"/>
      <c r="DE53" s="1506" t="str">
        <f>IFNA(VLOOKUP(DA53,'法術資料'!$K$2:$X$805,8,FALSE),"")</f>
        <v/>
      </c>
      <c r="DF53" s="1141"/>
      <c r="DG53" s="1506" t="str">
        <f>IFNA(VLOOKUP(DA53,'法術資料'!$K$2:$X$805,14,FALSE),"")</f>
        <v/>
      </c>
      <c r="DH53" s="1141"/>
      <c r="DI53" s="1377" t="str">
        <f>IFNA(VLOOKUP(DA53,'法術資料'!$K$2:$X$805,13,FALSE),"")</f>
        <v/>
      </c>
      <c r="DJ53" s="1377" t="str">
        <f>IFNA(VLOOKUP(DA53,'法術資料'!$K$2:$X$805,5,FALSE),"")</f>
        <v/>
      </c>
      <c r="DK53" s="1377" t="str">
        <f>IFNA(VLOOKUP(DA53,'法術資料'!$K$2:$X$805,6,FALSE),"")</f>
        <v/>
      </c>
      <c r="DL53" s="1378" t="str">
        <f>IFNA(VLOOKUP(DA53,'法術資料'!$K$2:$X$805,9,FALSE),"")</f>
        <v/>
      </c>
      <c r="DM53" s="1379" t="str">
        <f>IFNA(VLOOKUP(DA53,'法術資料'!$K$2:$X$805,10,FALSE),"")</f>
        <v/>
      </c>
      <c r="DN53" s="1379" t="str">
        <f>IFNA(VLOOKUP($Y53,'法術資料'!$K$2:$X$805,11,FALSE),"")</f>
        <v/>
      </c>
      <c r="DO53" s="1506" t="str">
        <f>IFNA(VLOOKUP(DA53,'法術資料'!$K$2:$X$805,12,FALSE),"")</f>
        <v/>
      </c>
      <c r="DP53" s="376"/>
      <c r="DQ53" s="1369"/>
      <c r="DR53" s="455"/>
      <c r="DS53" s="1356"/>
      <c r="DT53" s="1503" t="b">
        <v>0</v>
      </c>
      <c r="DU53" s="1515"/>
      <c r="DV53" s="1507" t="str">
        <f>IFNA(VLOOKUP(DU53,'法術資料'!$K$2:$X$805,4,FALSE),"")
</f>
        <v/>
      </c>
      <c r="DW53" s="1506" t="str">
        <f>IFNA(VLOOKUP(DU53,'法術資料'!$K$2:$X$805,7,FALSE),"")</f>
        <v/>
      </c>
      <c r="DX53" s="1141"/>
      <c r="DY53" s="1506" t="str">
        <f>IFNA(VLOOKUP(DU53,'法術資料'!$K$2:$X$805,8,FALSE),"")</f>
        <v/>
      </c>
      <c r="DZ53" s="1141"/>
      <c r="EA53" s="1506" t="str">
        <f>IFNA(VLOOKUP(DU53,'法術資料'!$K$2:$X$805,14,FALSE),"")</f>
        <v/>
      </c>
      <c r="EB53" s="1141"/>
      <c r="EC53" s="1377" t="str">
        <f>IFNA(VLOOKUP(DU53,'法術資料'!$K$2:$X$805,13,FALSE),"")</f>
        <v/>
      </c>
      <c r="ED53" s="1377" t="str">
        <f>IFNA(VLOOKUP(DU53,'法術資料'!$K$2:$X$805,5,FALSE),"")</f>
        <v/>
      </c>
      <c r="EE53" s="1377" t="str">
        <f>IFNA(VLOOKUP(DU53,'法術資料'!$K$2:$X$805,6,FALSE),"")</f>
        <v/>
      </c>
      <c r="EF53" s="1378" t="str">
        <f>IFNA(VLOOKUP(DU53,'法術資料'!$K$2:$X$805,9,FALSE),"")</f>
        <v/>
      </c>
      <c r="EG53" s="1379" t="str">
        <f>IFNA(VLOOKUP(DU53,'法術資料'!$K$2:$X$805,10,FALSE),"")</f>
        <v/>
      </c>
      <c r="EH53" s="1379" t="str">
        <f>IFNA(VLOOKUP($Y53,'法術資料'!$K$2:$X$805,11,FALSE),"")</f>
        <v/>
      </c>
      <c r="EI53" s="1506" t="str">
        <f>IFNA(VLOOKUP(DU53,'法術資料'!$K$2:$X$805,12,FALSE),"")</f>
        <v/>
      </c>
      <c r="EJ53" s="376"/>
      <c r="EK53" s="1369"/>
      <c r="EL53" s="455"/>
      <c r="EM53" s="1356"/>
      <c r="EN53" s="1503" t="b">
        <v>0</v>
      </c>
      <c r="EO53" s="1515"/>
      <c r="EP53" s="1507" t="str">
        <f>IFNA(VLOOKUP(EO53,'法術資料'!$K$2:$X$805,4,FALSE),"")
</f>
        <v/>
      </c>
      <c r="EQ53" s="1506" t="str">
        <f>IFNA(VLOOKUP(EO53,'法術資料'!$K$2:$X$805,7,FALSE),"")</f>
        <v/>
      </c>
      <c r="ER53" s="1141"/>
      <c r="ES53" s="1506" t="str">
        <f>IFNA(VLOOKUP(EO53,'法術資料'!$K$2:$X$805,8,FALSE),"")</f>
        <v/>
      </c>
      <c r="ET53" s="1141"/>
      <c r="EU53" s="1506" t="str">
        <f>IFNA(VLOOKUP(EO53,'法術資料'!$K$2:$X$805,14,FALSE),"")</f>
        <v/>
      </c>
      <c r="EV53" s="1141"/>
      <c r="EW53" s="1377" t="str">
        <f>IFNA(VLOOKUP(EO53,'法術資料'!$K$2:$X$805,13,FALSE),"")</f>
        <v/>
      </c>
      <c r="EX53" s="1377" t="str">
        <f>IFNA(VLOOKUP(EO53,'法術資料'!$K$2:$X$805,5,FALSE),"")</f>
        <v/>
      </c>
      <c r="EY53" s="1377" t="str">
        <f>IFNA(VLOOKUP(EO53,'法術資料'!$K$2:$X$805,6,FALSE),"")</f>
        <v/>
      </c>
      <c r="EZ53" s="1378" t="str">
        <f>IFNA(VLOOKUP(EO53,'法術資料'!$K$2:$X$805,9,FALSE),"")</f>
        <v/>
      </c>
      <c r="FA53" s="1379" t="str">
        <f>IFNA(VLOOKUP(EO53,'法術資料'!$K$2:$X$805,10,FALSE),"")</f>
        <v/>
      </c>
      <c r="FB53" s="1379" t="str">
        <f>IFNA(VLOOKUP($Y53,'法術資料'!$K$2:$X$805,11,FALSE),"")</f>
        <v/>
      </c>
      <c r="FC53" s="1506" t="str">
        <f>IFNA(VLOOKUP(EO53,'法術資料'!$K$2:$X$805,12,FALSE),"")</f>
        <v/>
      </c>
      <c r="FD53" s="376"/>
      <c r="FE53" s="1369"/>
      <c r="FF53" s="455"/>
      <c r="FG53" s="1356"/>
      <c r="FH53" s="1503" t="b">
        <v>0</v>
      </c>
      <c r="FI53" s="1515"/>
      <c r="FJ53" s="1507" t="str">
        <f>IFNA(VLOOKUP(FI53,'法術資料'!$K$2:$X$805,4,FALSE),"")
</f>
        <v/>
      </c>
      <c r="FK53" s="1506" t="str">
        <f>IFNA(VLOOKUP(FI53,'法術資料'!$K$2:$X$805,7,FALSE),"")</f>
        <v/>
      </c>
      <c r="FL53" s="1141"/>
      <c r="FM53" s="1506" t="str">
        <f>IFNA(VLOOKUP(FI53,'法術資料'!$K$2:$X$805,8,FALSE),"")</f>
        <v/>
      </c>
      <c r="FN53" s="1141"/>
      <c r="FO53" s="1506" t="str">
        <f>IFNA(VLOOKUP(FI53,'法術資料'!$K$2:$X$805,14,FALSE),"")</f>
        <v/>
      </c>
      <c r="FP53" s="1141"/>
      <c r="FQ53" s="1377" t="str">
        <f>IFNA(VLOOKUP(FI53,'法術資料'!$K$2:$X$805,13,FALSE),"")</f>
        <v/>
      </c>
      <c r="FR53" s="1377" t="str">
        <f>IFNA(VLOOKUP(FI53,'法術資料'!$K$2:$X$805,5,FALSE),"")</f>
        <v/>
      </c>
      <c r="FS53" s="1377" t="str">
        <f>IFNA(VLOOKUP(FI53,'法術資料'!$K$2:$X$805,6,FALSE),"")</f>
        <v/>
      </c>
      <c r="FT53" s="1378" t="str">
        <f>IFNA(VLOOKUP(FI53,'法術資料'!$K$2:$X$805,9,FALSE),"")</f>
        <v/>
      </c>
      <c r="FU53" s="1379" t="str">
        <f>IFNA(VLOOKUP(FI53,'法術資料'!$K$2:$X$805,10,FALSE),"")</f>
        <v/>
      </c>
      <c r="FV53" s="1379" t="str">
        <f>IFNA(VLOOKUP($Y53,'法術資料'!$K$2:$X$805,11,FALSE),"")</f>
        <v/>
      </c>
      <c r="FW53" s="1506" t="str">
        <f>IFNA(VLOOKUP(FI53,'法術資料'!$K$2:$X$805,12,FALSE),"")</f>
        <v/>
      </c>
      <c r="FX53" s="376"/>
      <c r="FY53" s="1369"/>
      <c r="FZ53" s="455"/>
    </row>
    <row r="54">
      <c r="A54" s="455"/>
      <c r="B54" s="1356"/>
      <c r="C54" s="1509" t="b">
        <v>0</v>
      </c>
      <c r="D54" s="1502"/>
      <c r="E54" s="1510" t="str">
        <f>IFNA(VLOOKUP($D54,'法術資料'!$K$2:$X$805,4,FALSE),"")
</f>
        <v/>
      </c>
      <c r="F54" s="1511" t="str">
        <f>IFNA(VLOOKUP($D54,'法術資料'!$K$2:$X$805,7,FALSE),"")</f>
        <v/>
      </c>
      <c r="G54" s="1141"/>
      <c r="H54" s="1511" t="str">
        <f>IFNA(VLOOKUP($D54,'法術資料'!$K$2:$X$805,8,FALSE),"")</f>
        <v/>
      </c>
      <c r="I54" s="1141"/>
      <c r="J54" s="1511" t="str">
        <f>IFNA(VLOOKUP($D54,'法術資料'!$K$2:$X$805,14,FALSE),"")</f>
        <v/>
      </c>
      <c r="K54" s="1141"/>
      <c r="L54" s="1511" t="str">
        <f>IFNA(VLOOKUP($D54,'法術資料'!$K$2:$X$805,13,FALSE),"")</f>
        <v/>
      </c>
      <c r="M54" s="1141"/>
      <c r="N54" s="1365" t="str">
        <f>IFNA(VLOOKUP($D54,'法術資料'!$K$2:$X$805,5,FALSE),"")</f>
        <v/>
      </c>
      <c r="O54" s="1365" t="str">
        <f>IFNA(VLOOKUP($D54,'法術資料'!$K$2:$X$805,6,FALSE),"")</f>
        <v/>
      </c>
      <c r="P54" s="1366" t="str">
        <f>IFNA(VLOOKUP($D54,'法術資料'!$K$2:$X$805,9,FALSE),"")</f>
        <v/>
      </c>
      <c r="Q54" s="1367" t="str">
        <f>IFNA(VLOOKUP($D54,'法術資料'!$K$2:$X$805,10,FALSE),"")</f>
        <v/>
      </c>
      <c r="R54" s="1367" t="str">
        <f>IFNA(VLOOKUP($D54,'法術資料'!$K$2:$X$805,11,FALSE),"")</f>
        <v/>
      </c>
      <c r="S54" s="1511" t="str">
        <f>IFNA(VLOOKUP($D54,'法術資料'!$K$2:$X$805,12,FALSE),"")</f>
        <v/>
      </c>
      <c r="T54" s="376"/>
      <c r="U54" s="1369"/>
      <c r="V54" s="455"/>
      <c r="W54" s="1356"/>
      <c r="X54" s="1509" t="b">
        <v>0</v>
      </c>
      <c r="Y54" s="1502"/>
      <c r="Z54" s="1512" t="str">
        <f>IFNA(VLOOKUP(Y54,'法術資料'!$K$2:$X$805,4,FALSE),"")
</f>
        <v/>
      </c>
      <c r="AA54" s="1511" t="str">
        <f>IFNA(VLOOKUP($Y54,'法術資料'!$K$2:$X$805,7,FALSE),"")</f>
        <v/>
      </c>
      <c r="AB54" s="1141"/>
      <c r="AC54" s="1511" t="str">
        <f>IFNA(VLOOKUP($Y54,'法術資料'!$K$2:$X$805,8,FALSE),"")</f>
        <v/>
      </c>
      <c r="AD54" s="1141"/>
      <c r="AE54" s="1511" t="str">
        <f>IFNA(VLOOKUP($Y54,'法術資料'!$K$2:$X$805,14,FALSE),"")</f>
        <v/>
      </c>
      <c r="AF54" s="1141"/>
      <c r="AG54" s="1365" t="str">
        <f>IFNA(VLOOKUP($Y54,'法術資料'!$K$2:$X$805,13,FALSE),"")</f>
        <v/>
      </c>
      <c r="AH54" s="1365" t="str">
        <f>IFNA(VLOOKUP($Y54,'法術資料'!$K$2:$X$805,5,FALSE),"")</f>
        <v/>
      </c>
      <c r="AI54" s="1365" t="str">
        <f>IFNA(VLOOKUP($Y54,'法術資料'!$K$2:$X$805,6,FALSE),"")</f>
        <v/>
      </c>
      <c r="AJ54" s="1366" t="str">
        <f>IFNA(VLOOKUP($Y54,'法術資料'!$K$2:$X$805,9,FALSE),"")</f>
        <v/>
      </c>
      <c r="AK54" s="1367" t="str">
        <f>IFNA(VLOOKUP($Y54,'法術資料'!$K$2:$X$805,10,FALSE),"")</f>
        <v/>
      </c>
      <c r="AL54" s="1367" t="str">
        <f>IFNA(VLOOKUP($Y54,'法術資料'!$K$2:$X$805,11,FALSE),"")</f>
        <v/>
      </c>
      <c r="AM54" s="1511" t="str">
        <f>IFNA(VLOOKUP($Y54,'法術資料'!$K$2:$X$805,12,FALSE),"")</f>
        <v/>
      </c>
      <c r="AN54" s="376"/>
      <c r="AO54" s="1369"/>
      <c r="AP54" s="455"/>
      <c r="AQ54" s="1356"/>
      <c r="AR54" s="1509" t="b">
        <v>0</v>
      </c>
      <c r="AS54" s="1502"/>
      <c r="AT54" s="1512" t="str">
        <f>IFNA(VLOOKUP(AS54,'法術資料'!$K$2:$X$805,4,FALSE),"")
</f>
        <v/>
      </c>
      <c r="AU54" s="1511" t="str">
        <f>IFNA(VLOOKUP(AS54,'法術資料'!$K$2:$X$805,7,FALSE),"")</f>
        <v/>
      </c>
      <c r="AV54" s="1141"/>
      <c r="AW54" s="1511" t="str">
        <f>IFNA(VLOOKUP(AS54,'法術資料'!$K$2:$X$805,8,FALSE),"")</f>
        <v/>
      </c>
      <c r="AX54" s="1141"/>
      <c r="AY54" s="1511" t="str">
        <f>IFNA(VLOOKUP(AS54,'法術資料'!$K$2:$X$805,14,FALSE),"")</f>
        <v/>
      </c>
      <c r="AZ54" s="1141"/>
      <c r="BA54" s="1365" t="str">
        <f>IFNA(VLOOKUP(AS54,'法術資料'!$K$2:$X$805,13,FALSE),"")</f>
        <v/>
      </c>
      <c r="BB54" s="1365" t="str">
        <f>IFNA(VLOOKUP(AS54,'法術資料'!$K$2:$X$805,5,FALSE),"")</f>
        <v/>
      </c>
      <c r="BC54" s="1365" t="str">
        <f>IFNA(VLOOKUP(AS54,'法術資料'!$K$2:$X$805,6,FALSE),"")</f>
        <v/>
      </c>
      <c r="BD54" s="1366" t="str">
        <f>IFNA(VLOOKUP(AS54,'法術資料'!$K$2:$X$805,9,FALSE),"")</f>
        <v/>
      </c>
      <c r="BE54" s="1367" t="str">
        <f>IFNA(VLOOKUP(AS54,'法術資料'!$K$2:$X$805,10,FALSE),"")</f>
        <v/>
      </c>
      <c r="BF54" s="1367" t="str">
        <f>IFNA(VLOOKUP($Y54,'法術資料'!$K$2:$X$805,11,FALSE),"")</f>
        <v/>
      </c>
      <c r="BG54" s="1511" t="str">
        <f>IFNA(VLOOKUP(AS54,'法術資料'!$K$2:$X$805,12,FALSE),"")</f>
        <v/>
      </c>
      <c r="BH54" s="376"/>
      <c r="BI54" s="1369"/>
      <c r="BJ54" s="455"/>
      <c r="BK54" s="1356"/>
      <c r="BL54" s="1509" t="b">
        <v>0</v>
      </c>
      <c r="BM54" s="1502"/>
      <c r="BN54" s="1512" t="str">
        <f>IFNA(VLOOKUP(BM54,'法術資料'!$K$2:$X$805,4,FALSE),"")
</f>
        <v/>
      </c>
      <c r="BO54" s="1511" t="str">
        <f>IFNA(VLOOKUP(BM54,'法術資料'!$K$2:$X$805,7,FALSE),"")</f>
        <v/>
      </c>
      <c r="BP54" s="1141"/>
      <c r="BQ54" s="1511" t="str">
        <f>IFNA(VLOOKUP(BM54,'法術資料'!$K$2:$X$805,8,FALSE),"")</f>
        <v/>
      </c>
      <c r="BR54" s="1141"/>
      <c r="BS54" s="1511" t="str">
        <f>IFNA(VLOOKUP(BM54,'法術資料'!$K$2:$X$805,14,FALSE),"")</f>
        <v/>
      </c>
      <c r="BT54" s="1141"/>
      <c r="BU54" s="1365" t="str">
        <f>IFNA(VLOOKUP(BM54,'法術資料'!$K$2:$X$805,13,FALSE),"")</f>
        <v/>
      </c>
      <c r="BV54" s="1365" t="str">
        <f>IFNA(VLOOKUP(BM54,'法術資料'!$K$2:$X$805,5,FALSE),"")</f>
        <v/>
      </c>
      <c r="BW54" s="1365" t="str">
        <f>IFNA(VLOOKUP(BM54,'法術資料'!$K$2:$X$805,6,FALSE),"")</f>
        <v/>
      </c>
      <c r="BX54" s="1366" t="str">
        <f>IFNA(VLOOKUP(BM54,'法術資料'!$K$2:$X$805,9,FALSE),"")</f>
        <v/>
      </c>
      <c r="BY54" s="1367" t="str">
        <f>IFNA(VLOOKUP(BM54,'法術資料'!$K$2:$X$805,10,FALSE),"")</f>
        <v/>
      </c>
      <c r="BZ54" s="1367" t="str">
        <f>IFNA(VLOOKUP($Y54,'法術資料'!$K$2:$X$805,11,FALSE),"")</f>
        <v/>
      </c>
      <c r="CA54" s="1511" t="str">
        <f>IFNA(VLOOKUP(BM54,'法術資料'!$K$2:$X$805,12,FALSE),"")</f>
        <v/>
      </c>
      <c r="CB54" s="376"/>
      <c r="CC54" s="1369"/>
      <c r="CD54" s="455"/>
      <c r="CE54" s="1356"/>
      <c r="CF54" s="1509" t="b">
        <v>0</v>
      </c>
      <c r="CG54" s="1502"/>
      <c r="CH54" s="1512" t="str">
        <f>IFNA(VLOOKUP(CG54,'法術資料'!$K$2:$X$805,4,FALSE),"")
</f>
        <v/>
      </c>
      <c r="CI54" s="1511" t="str">
        <f>IFNA(VLOOKUP(CG54,'法術資料'!$K$2:$X$805,7,FALSE),"")</f>
        <v/>
      </c>
      <c r="CJ54" s="1141"/>
      <c r="CK54" s="1511" t="str">
        <f>IFNA(VLOOKUP(CG54,'法術資料'!$K$2:$X$805,8,FALSE),"")</f>
        <v/>
      </c>
      <c r="CL54" s="1141"/>
      <c r="CM54" s="1511" t="str">
        <f>IFNA(VLOOKUP(CG54,'法術資料'!$K$2:$X$805,14,FALSE),"")</f>
        <v/>
      </c>
      <c r="CN54" s="1141"/>
      <c r="CO54" s="1365" t="str">
        <f>IFNA(VLOOKUP(CG54,'法術資料'!$K$2:$X$805,13,FALSE),"")</f>
        <v/>
      </c>
      <c r="CP54" s="1365" t="str">
        <f>IFNA(VLOOKUP(CG54,'法術資料'!$K$2:$X$805,5,FALSE),"")</f>
        <v/>
      </c>
      <c r="CQ54" s="1365" t="str">
        <f>IFNA(VLOOKUP(CG54,'法術資料'!$K$2:$X$805,6,FALSE),"")</f>
        <v/>
      </c>
      <c r="CR54" s="1366" t="str">
        <f>IFNA(VLOOKUP(CG54,'法術資料'!$K$2:$X$805,9,FALSE),"")</f>
        <v/>
      </c>
      <c r="CS54" s="1367" t="str">
        <f>IFNA(VLOOKUP(CG54,'法術資料'!$K$2:$X$805,10,FALSE),"")</f>
        <v/>
      </c>
      <c r="CT54" s="1367" t="str">
        <f>IFNA(VLOOKUP($Y54,'法術資料'!$K$2:$X$805,11,FALSE),"")</f>
        <v/>
      </c>
      <c r="CU54" s="1511" t="str">
        <f>IFNA(VLOOKUP(CG54,'法術資料'!$K$2:$X$805,12,FALSE),"")</f>
        <v/>
      </c>
      <c r="CV54" s="376"/>
      <c r="CW54" s="1369"/>
      <c r="CX54" s="455"/>
      <c r="CY54" s="1356"/>
      <c r="CZ54" s="1509" t="b">
        <v>0</v>
      </c>
      <c r="DA54" s="1514"/>
      <c r="DB54" s="1512" t="str">
        <f>IFNA(VLOOKUP(DA54,'法術資料'!$K$2:$X$805,4,FALSE),"")
</f>
        <v/>
      </c>
      <c r="DC54" s="1511" t="str">
        <f>IFNA(VLOOKUP(DA54,'法術資料'!$K$2:$X$805,7,FALSE),"")</f>
        <v/>
      </c>
      <c r="DD54" s="1141"/>
      <c r="DE54" s="1511" t="str">
        <f>IFNA(VLOOKUP(DA54,'法術資料'!$K$2:$X$805,8,FALSE),"")</f>
        <v/>
      </c>
      <c r="DF54" s="1141"/>
      <c r="DG54" s="1511" t="str">
        <f>IFNA(VLOOKUP(DA54,'法術資料'!$K$2:$X$805,14,FALSE),"")</f>
        <v/>
      </c>
      <c r="DH54" s="1141"/>
      <c r="DI54" s="1365" t="str">
        <f>IFNA(VLOOKUP(DA54,'法術資料'!$K$2:$X$805,13,FALSE),"")</f>
        <v/>
      </c>
      <c r="DJ54" s="1365" t="str">
        <f>IFNA(VLOOKUP(DA54,'法術資料'!$K$2:$X$805,5,FALSE),"")</f>
        <v/>
      </c>
      <c r="DK54" s="1365" t="str">
        <f>IFNA(VLOOKUP(DA54,'法術資料'!$K$2:$X$805,6,FALSE),"")</f>
        <v/>
      </c>
      <c r="DL54" s="1366" t="str">
        <f>IFNA(VLOOKUP(DA54,'法術資料'!$K$2:$X$805,9,FALSE),"")</f>
        <v/>
      </c>
      <c r="DM54" s="1367" t="str">
        <f>IFNA(VLOOKUP(DA54,'法術資料'!$K$2:$X$805,10,FALSE),"")</f>
        <v/>
      </c>
      <c r="DN54" s="1367" t="str">
        <f>IFNA(VLOOKUP($Y54,'法術資料'!$K$2:$X$805,11,FALSE),"")</f>
        <v/>
      </c>
      <c r="DO54" s="1511" t="str">
        <f>IFNA(VLOOKUP(DA54,'法術資料'!$K$2:$X$805,12,FALSE),"")</f>
        <v/>
      </c>
      <c r="DP54" s="376"/>
      <c r="DQ54" s="1369"/>
      <c r="DR54" s="455"/>
      <c r="DS54" s="1356"/>
      <c r="DT54" s="1509" t="b">
        <v>0</v>
      </c>
      <c r="DU54" s="1514"/>
      <c r="DV54" s="1512" t="str">
        <f>IFNA(VLOOKUP(DU54,'法術資料'!$K$2:$X$805,4,FALSE),"")
</f>
        <v/>
      </c>
      <c r="DW54" s="1511" t="str">
        <f>IFNA(VLOOKUP(DU54,'法術資料'!$K$2:$X$805,7,FALSE),"")</f>
        <v/>
      </c>
      <c r="DX54" s="1141"/>
      <c r="DY54" s="1511" t="str">
        <f>IFNA(VLOOKUP(DU54,'法術資料'!$K$2:$X$805,8,FALSE),"")</f>
        <v/>
      </c>
      <c r="DZ54" s="1141"/>
      <c r="EA54" s="1511" t="str">
        <f>IFNA(VLOOKUP(DU54,'法術資料'!$K$2:$X$805,14,FALSE),"")</f>
        <v/>
      </c>
      <c r="EB54" s="1141"/>
      <c r="EC54" s="1365" t="str">
        <f>IFNA(VLOOKUP(DU54,'法術資料'!$K$2:$X$805,13,FALSE),"")</f>
        <v/>
      </c>
      <c r="ED54" s="1365" t="str">
        <f>IFNA(VLOOKUP(DU54,'法術資料'!$K$2:$X$805,5,FALSE),"")</f>
        <v/>
      </c>
      <c r="EE54" s="1365" t="str">
        <f>IFNA(VLOOKUP(DU54,'法術資料'!$K$2:$X$805,6,FALSE),"")</f>
        <v/>
      </c>
      <c r="EF54" s="1366" t="str">
        <f>IFNA(VLOOKUP(DU54,'法術資料'!$K$2:$X$805,9,FALSE),"")</f>
        <v/>
      </c>
      <c r="EG54" s="1367" t="str">
        <f>IFNA(VLOOKUP(DU54,'法術資料'!$K$2:$X$805,10,FALSE),"")</f>
        <v/>
      </c>
      <c r="EH54" s="1367" t="str">
        <f>IFNA(VLOOKUP($Y54,'法術資料'!$K$2:$X$805,11,FALSE),"")</f>
        <v/>
      </c>
      <c r="EI54" s="1511" t="str">
        <f>IFNA(VLOOKUP(DU54,'法術資料'!$K$2:$X$805,12,FALSE),"")</f>
        <v/>
      </c>
      <c r="EJ54" s="376"/>
      <c r="EK54" s="1369"/>
      <c r="EL54" s="455"/>
      <c r="EM54" s="1356"/>
      <c r="EN54" s="1509" t="b">
        <v>0</v>
      </c>
      <c r="EO54" s="1514"/>
      <c r="EP54" s="1512" t="str">
        <f>IFNA(VLOOKUP(EO54,'法術資料'!$K$2:$X$805,4,FALSE),"")
</f>
        <v/>
      </c>
      <c r="EQ54" s="1511" t="str">
        <f>IFNA(VLOOKUP(EO54,'法術資料'!$K$2:$X$805,7,FALSE),"")</f>
        <v/>
      </c>
      <c r="ER54" s="1141"/>
      <c r="ES54" s="1511" t="str">
        <f>IFNA(VLOOKUP(EO54,'法術資料'!$K$2:$X$805,8,FALSE),"")</f>
        <v/>
      </c>
      <c r="ET54" s="1141"/>
      <c r="EU54" s="1511" t="str">
        <f>IFNA(VLOOKUP(EO54,'法術資料'!$K$2:$X$805,14,FALSE),"")</f>
        <v/>
      </c>
      <c r="EV54" s="1141"/>
      <c r="EW54" s="1365" t="str">
        <f>IFNA(VLOOKUP(EO54,'法術資料'!$K$2:$X$805,13,FALSE),"")</f>
        <v/>
      </c>
      <c r="EX54" s="1365" t="str">
        <f>IFNA(VLOOKUP(EO54,'法術資料'!$K$2:$X$805,5,FALSE),"")</f>
        <v/>
      </c>
      <c r="EY54" s="1365" t="str">
        <f>IFNA(VLOOKUP(EO54,'法術資料'!$K$2:$X$805,6,FALSE),"")</f>
        <v/>
      </c>
      <c r="EZ54" s="1366" t="str">
        <f>IFNA(VLOOKUP(EO54,'法術資料'!$K$2:$X$805,9,FALSE),"")</f>
        <v/>
      </c>
      <c r="FA54" s="1367" t="str">
        <f>IFNA(VLOOKUP(EO54,'法術資料'!$K$2:$X$805,10,FALSE),"")</f>
        <v/>
      </c>
      <c r="FB54" s="1367" t="str">
        <f>IFNA(VLOOKUP($Y54,'法術資料'!$K$2:$X$805,11,FALSE),"")</f>
        <v/>
      </c>
      <c r="FC54" s="1511" t="str">
        <f>IFNA(VLOOKUP(EO54,'法術資料'!$K$2:$X$805,12,FALSE),"")</f>
        <v/>
      </c>
      <c r="FD54" s="376"/>
      <c r="FE54" s="1369"/>
      <c r="FF54" s="455"/>
      <c r="FG54" s="1356"/>
      <c r="FH54" s="1509" t="b">
        <v>0</v>
      </c>
      <c r="FI54" s="1514"/>
      <c r="FJ54" s="1512" t="str">
        <f>IFNA(VLOOKUP(FI54,'法術資料'!$K$2:$X$805,4,FALSE),"")
</f>
        <v/>
      </c>
      <c r="FK54" s="1511" t="str">
        <f>IFNA(VLOOKUP(FI54,'法術資料'!$K$2:$X$805,7,FALSE),"")</f>
        <v/>
      </c>
      <c r="FL54" s="1141"/>
      <c r="FM54" s="1511" t="str">
        <f>IFNA(VLOOKUP(FI54,'法術資料'!$K$2:$X$805,8,FALSE),"")</f>
        <v/>
      </c>
      <c r="FN54" s="1141"/>
      <c r="FO54" s="1511" t="str">
        <f>IFNA(VLOOKUP(FI54,'法術資料'!$K$2:$X$805,14,FALSE),"")</f>
        <v/>
      </c>
      <c r="FP54" s="1141"/>
      <c r="FQ54" s="1365" t="str">
        <f>IFNA(VLOOKUP(FI54,'法術資料'!$K$2:$X$805,13,FALSE),"")</f>
        <v/>
      </c>
      <c r="FR54" s="1365" t="str">
        <f>IFNA(VLOOKUP(FI54,'法術資料'!$K$2:$X$805,5,FALSE),"")</f>
        <v/>
      </c>
      <c r="FS54" s="1365" t="str">
        <f>IFNA(VLOOKUP(FI54,'法術資料'!$K$2:$X$805,6,FALSE),"")</f>
        <v/>
      </c>
      <c r="FT54" s="1366" t="str">
        <f>IFNA(VLOOKUP(FI54,'法術資料'!$K$2:$X$805,9,FALSE),"")</f>
        <v/>
      </c>
      <c r="FU54" s="1367" t="str">
        <f>IFNA(VLOOKUP(FI54,'法術資料'!$K$2:$X$805,10,FALSE),"")</f>
        <v/>
      </c>
      <c r="FV54" s="1367" t="str">
        <f>IFNA(VLOOKUP($Y54,'法術資料'!$K$2:$X$805,11,FALSE),"")</f>
        <v/>
      </c>
      <c r="FW54" s="1511" t="str">
        <f>IFNA(VLOOKUP(FI54,'法術資料'!$K$2:$X$805,12,FALSE),"")</f>
        <v/>
      </c>
      <c r="FX54" s="376"/>
      <c r="FY54" s="1369"/>
      <c r="FZ54" s="455"/>
    </row>
    <row r="55">
      <c r="A55" s="455"/>
      <c r="B55" s="1356"/>
      <c r="C55" s="1503" t="b">
        <v>0</v>
      </c>
      <c r="D55" s="1508"/>
      <c r="E55" s="1505" t="str">
        <f>IFNA(VLOOKUP($D55,'法術資料'!$K$2:$X$805,4,FALSE),"")
</f>
        <v/>
      </c>
      <c r="F55" s="1506" t="str">
        <f>IFNA(VLOOKUP($D55,'法術資料'!$K$2:$X$805,7,FALSE),"")</f>
        <v/>
      </c>
      <c r="G55" s="1141"/>
      <c r="H55" s="1506" t="str">
        <f>IFNA(VLOOKUP($D55,'法術資料'!$K$2:$X$805,8,FALSE),"")</f>
        <v/>
      </c>
      <c r="I55" s="1141"/>
      <c r="J55" s="1506" t="str">
        <f>IFNA(VLOOKUP($D55,'法術資料'!$K$2:$X$805,14,FALSE),"")</f>
        <v/>
      </c>
      <c r="K55" s="1141"/>
      <c r="L55" s="1506" t="str">
        <f>IFNA(VLOOKUP($D55,'法術資料'!$K$2:$X$805,13,FALSE),"")</f>
        <v/>
      </c>
      <c r="M55" s="1141"/>
      <c r="N55" s="1377" t="str">
        <f>IFNA(VLOOKUP($D55,'法術資料'!$K$2:$X$805,5,FALSE),"")</f>
        <v/>
      </c>
      <c r="O55" s="1377" t="str">
        <f>IFNA(VLOOKUP($D55,'法術資料'!$K$2:$X$805,6,FALSE),"")</f>
        <v/>
      </c>
      <c r="P55" s="1378" t="str">
        <f>IFNA(VLOOKUP($D55,'法術資料'!$K$2:$X$805,9,FALSE),"")</f>
        <v/>
      </c>
      <c r="Q55" s="1379" t="str">
        <f>IFNA(VLOOKUP($D55,'法術資料'!$K$2:$X$805,10,FALSE),"")</f>
        <v/>
      </c>
      <c r="R55" s="1379" t="str">
        <f>IFNA(VLOOKUP($D55,'法術資料'!$K$2:$X$805,11,FALSE),"")</f>
        <v/>
      </c>
      <c r="S55" s="1506" t="str">
        <f>IFNA(VLOOKUP($D55,'法術資料'!$K$2:$X$805,12,FALSE),"")</f>
        <v/>
      </c>
      <c r="T55" s="376"/>
      <c r="U55" s="1369"/>
      <c r="V55" s="455"/>
      <c r="W55" s="1356"/>
      <c r="X55" s="1503" t="b">
        <v>0</v>
      </c>
      <c r="Y55" s="1508"/>
      <c r="Z55" s="1507" t="str">
        <f>IFNA(VLOOKUP(Y55,'法術資料'!$K$2:$X$805,4,FALSE),"")
</f>
        <v/>
      </c>
      <c r="AA55" s="1506" t="str">
        <f>IFNA(VLOOKUP($Y55,'法術資料'!$K$2:$X$805,7,FALSE),"")</f>
        <v/>
      </c>
      <c r="AB55" s="1141"/>
      <c r="AC55" s="1506" t="str">
        <f>IFNA(VLOOKUP($Y55,'法術資料'!$K$2:$X$805,8,FALSE),"")</f>
        <v/>
      </c>
      <c r="AD55" s="1141"/>
      <c r="AE55" s="1506" t="str">
        <f>IFNA(VLOOKUP($Y55,'法術資料'!$K$2:$X$805,14,FALSE),"")</f>
        <v/>
      </c>
      <c r="AF55" s="1141"/>
      <c r="AG55" s="1377" t="str">
        <f>IFNA(VLOOKUP($Y55,'法術資料'!$K$2:$X$805,13,FALSE),"")</f>
        <v/>
      </c>
      <c r="AH55" s="1377" t="str">
        <f>IFNA(VLOOKUP($Y55,'法術資料'!$K$2:$X$805,5,FALSE),"")</f>
        <v/>
      </c>
      <c r="AI55" s="1377" t="str">
        <f>IFNA(VLOOKUP($Y55,'法術資料'!$K$2:$X$805,6,FALSE),"")</f>
        <v/>
      </c>
      <c r="AJ55" s="1378" t="str">
        <f>IFNA(VLOOKUP($Y55,'法術資料'!$K$2:$X$805,9,FALSE),"")</f>
        <v/>
      </c>
      <c r="AK55" s="1379" t="str">
        <f>IFNA(VLOOKUP($Y55,'法術資料'!$K$2:$X$805,10,FALSE),"")</f>
        <v/>
      </c>
      <c r="AL55" s="1379" t="str">
        <f>IFNA(VLOOKUP($Y55,'法術資料'!$K$2:$X$805,11,FALSE),"")</f>
        <v/>
      </c>
      <c r="AM55" s="1506" t="str">
        <f>IFNA(VLOOKUP($Y55,'法術資料'!$K$2:$X$805,12,FALSE),"")</f>
        <v/>
      </c>
      <c r="AN55" s="376"/>
      <c r="AO55" s="1369"/>
      <c r="AP55" s="455"/>
      <c r="AQ55" s="1356"/>
      <c r="AR55" s="1503" t="b">
        <v>0</v>
      </c>
      <c r="AS55" s="1508"/>
      <c r="AT55" s="1507" t="str">
        <f>IFNA(VLOOKUP(AS55,'法術資料'!$K$2:$X$805,4,FALSE),"")
</f>
        <v/>
      </c>
      <c r="AU55" s="1506" t="str">
        <f>IFNA(VLOOKUP(AS55,'法術資料'!$K$2:$X$805,7,FALSE),"")</f>
        <v/>
      </c>
      <c r="AV55" s="1141"/>
      <c r="AW55" s="1506" t="str">
        <f>IFNA(VLOOKUP(AS55,'法術資料'!$K$2:$X$805,8,FALSE),"")</f>
        <v/>
      </c>
      <c r="AX55" s="1141"/>
      <c r="AY55" s="1506" t="str">
        <f>IFNA(VLOOKUP(AS55,'法術資料'!$K$2:$X$805,14,FALSE),"")</f>
        <v/>
      </c>
      <c r="AZ55" s="1141"/>
      <c r="BA55" s="1377" t="str">
        <f>IFNA(VLOOKUP(AS55,'法術資料'!$K$2:$X$805,13,FALSE),"")</f>
        <v/>
      </c>
      <c r="BB55" s="1377" t="str">
        <f>IFNA(VLOOKUP(AS55,'法術資料'!$K$2:$X$805,5,FALSE),"")</f>
        <v/>
      </c>
      <c r="BC55" s="1377" t="str">
        <f>IFNA(VLOOKUP(AS55,'法術資料'!$K$2:$X$805,6,FALSE),"")</f>
        <v/>
      </c>
      <c r="BD55" s="1378" t="str">
        <f>IFNA(VLOOKUP(AS55,'法術資料'!$K$2:$X$805,9,FALSE),"")</f>
        <v/>
      </c>
      <c r="BE55" s="1379" t="str">
        <f>IFNA(VLOOKUP(AS55,'法術資料'!$K$2:$X$805,10,FALSE),"")</f>
        <v/>
      </c>
      <c r="BF55" s="1379" t="str">
        <f>IFNA(VLOOKUP($Y55,'法術資料'!$K$2:$X$805,11,FALSE),"")</f>
        <v/>
      </c>
      <c r="BG55" s="1506" t="str">
        <f>IFNA(VLOOKUP(AS55,'法術資料'!$K$2:$X$805,12,FALSE),"")</f>
        <v/>
      </c>
      <c r="BH55" s="376"/>
      <c r="BI55" s="1369"/>
      <c r="BJ55" s="455"/>
      <c r="BK55" s="1356"/>
      <c r="BL55" s="1503" t="b">
        <v>0</v>
      </c>
      <c r="BM55" s="1508"/>
      <c r="BN55" s="1507" t="str">
        <f>IFNA(VLOOKUP(BM55,'法術資料'!$K$2:$X$805,4,FALSE),"")
</f>
        <v/>
      </c>
      <c r="BO55" s="1506" t="str">
        <f>IFNA(VLOOKUP(BM55,'法術資料'!$K$2:$X$805,7,FALSE),"")</f>
        <v/>
      </c>
      <c r="BP55" s="1141"/>
      <c r="BQ55" s="1506" t="str">
        <f>IFNA(VLOOKUP(BM55,'法術資料'!$K$2:$X$805,8,FALSE),"")</f>
        <v/>
      </c>
      <c r="BR55" s="1141"/>
      <c r="BS55" s="1506" t="str">
        <f>IFNA(VLOOKUP(BM55,'法術資料'!$K$2:$X$805,14,FALSE),"")</f>
        <v/>
      </c>
      <c r="BT55" s="1141"/>
      <c r="BU55" s="1377" t="str">
        <f>IFNA(VLOOKUP(BM55,'法術資料'!$K$2:$X$805,13,FALSE),"")</f>
        <v/>
      </c>
      <c r="BV55" s="1377" t="str">
        <f>IFNA(VLOOKUP(BM55,'法術資料'!$K$2:$X$805,5,FALSE),"")</f>
        <v/>
      </c>
      <c r="BW55" s="1377" t="str">
        <f>IFNA(VLOOKUP(BM55,'法術資料'!$K$2:$X$805,6,FALSE),"")</f>
        <v/>
      </c>
      <c r="BX55" s="1378" t="str">
        <f>IFNA(VLOOKUP(BM55,'法術資料'!$K$2:$X$805,9,FALSE),"")</f>
        <v/>
      </c>
      <c r="BY55" s="1379" t="str">
        <f>IFNA(VLOOKUP(BM55,'法術資料'!$K$2:$X$805,10,FALSE),"")</f>
        <v/>
      </c>
      <c r="BZ55" s="1379" t="str">
        <f>IFNA(VLOOKUP($Y55,'法術資料'!$K$2:$X$805,11,FALSE),"")</f>
        <v/>
      </c>
      <c r="CA55" s="1506" t="str">
        <f>IFNA(VLOOKUP(BM55,'法術資料'!$K$2:$X$805,12,FALSE),"")</f>
        <v/>
      </c>
      <c r="CB55" s="376"/>
      <c r="CC55" s="1369"/>
      <c r="CD55" s="455"/>
      <c r="CE55" s="1356"/>
      <c r="CF55" s="1503" t="b">
        <v>0</v>
      </c>
      <c r="CG55" s="1508"/>
      <c r="CH55" s="1507" t="str">
        <f>IFNA(VLOOKUP(CG55,'法術資料'!$K$2:$X$805,4,FALSE),"")
</f>
        <v/>
      </c>
      <c r="CI55" s="1506" t="str">
        <f>IFNA(VLOOKUP(CG55,'法術資料'!$K$2:$X$805,7,FALSE),"")</f>
        <v/>
      </c>
      <c r="CJ55" s="1141"/>
      <c r="CK55" s="1506" t="str">
        <f>IFNA(VLOOKUP(CG55,'法術資料'!$K$2:$X$805,8,FALSE),"")</f>
        <v/>
      </c>
      <c r="CL55" s="1141"/>
      <c r="CM55" s="1506" t="str">
        <f>IFNA(VLOOKUP(CG55,'法術資料'!$K$2:$X$805,14,FALSE),"")</f>
        <v/>
      </c>
      <c r="CN55" s="1141"/>
      <c r="CO55" s="1377" t="str">
        <f>IFNA(VLOOKUP(CG55,'法術資料'!$K$2:$X$805,13,FALSE),"")</f>
        <v/>
      </c>
      <c r="CP55" s="1377" t="str">
        <f>IFNA(VLOOKUP(CG55,'法術資料'!$K$2:$X$805,5,FALSE),"")</f>
        <v/>
      </c>
      <c r="CQ55" s="1377" t="str">
        <f>IFNA(VLOOKUP(CG55,'法術資料'!$K$2:$X$805,6,FALSE),"")</f>
        <v/>
      </c>
      <c r="CR55" s="1378" t="str">
        <f>IFNA(VLOOKUP(CG55,'法術資料'!$K$2:$X$805,9,FALSE),"")</f>
        <v/>
      </c>
      <c r="CS55" s="1379" t="str">
        <f>IFNA(VLOOKUP(CG55,'法術資料'!$K$2:$X$805,10,FALSE),"")</f>
        <v/>
      </c>
      <c r="CT55" s="1379" t="str">
        <f>IFNA(VLOOKUP($Y55,'法術資料'!$K$2:$X$805,11,FALSE),"")</f>
        <v/>
      </c>
      <c r="CU55" s="1506" t="str">
        <f>IFNA(VLOOKUP(CG55,'法術資料'!$K$2:$X$805,12,FALSE),"")</f>
        <v/>
      </c>
      <c r="CV55" s="376"/>
      <c r="CW55" s="1369"/>
      <c r="CX55" s="455"/>
      <c r="CY55" s="1356"/>
      <c r="CZ55" s="1503" t="b">
        <v>0</v>
      </c>
      <c r="DA55" s="1515"/>
      <c r="DB55" s="1507" t="str">
        <f>IFNA(VLOOKUP(DA55,'法術資料'!$K$2:$X$805,4,FALSE),"")
</f>
        <v/>
      </c>
      <c r="DC55" s="1506" t="str">
        <f>IFNA(VLOOKUP(DA55,'法術資料'!$K$2:$X$805,7,FALSE),"")</f>
        <v/>
      </c>
      <c r="DD55" s="1141"/>
      <c r="DE55" s="1506" t="str">
        <f>IFNA(VLOOKUP(DA55,'法術資料'!$K$2:$X$805,8,FALSE),"")</f>
        <v/>
      </c>
      <c r="DF55" s="1141"/>
      <c r="DG55" s="1506" t="str">
        <f>IFNA(VLOOKUP(DA55,'法術資料'!$K$2:$X$805,14,FALSE),"")</f>
        <v/>
      </c>
      <c r="DH55" s="1141"/>
      <c r="DI55" s="1377" t="str">
        <f>IFNA(VLOOKUP(DA55,'法術資料'!$K$2:$X$805,13,FALSE),"")</f>
        <v/>
      </c>
      <c r="DJ55" s="1377" t="str">
        <f>IFNA(VLOOKUP(DA55,'法術資料'!$K$2:$X$805,5,FALSE),"")</f>
        <v/>
      </c>
      <c r="DK55" s="1377" t="str">
        <f>IFNA(VLOOKUP(DA55,'法術資料'!$K$2:$X$805,6,FALSE),"")</f>
        <v/>
      </c>
      <c r="DL55" s="1378" t="str">
        <f>IFNA(VLOOKUP(DA55,'法術資料'!$K$2:$X$805,9,FALSE),"")</f>
        <v/>
      </c>
      <c r="DM55" s="1379" t="str">
        <f>IFNA(VLOOKUP(DA55,'法術資料'!$K$2:$X$805,10,FALSE),"")</f>
        <v/>
      </c>
      <c r="DN55" s="1379" t="str">
        <f>IFNA(VLOOKUP($Y55,'法術資料'!$K$2:$X$805,11,FALSE),"")</f>
        <v/>
      </c>
      <c r="DO55" s="1506" t="str">
        <f>IFNA(VLOOKUP(DA55,'法術資料'!$K$2:$X$805,12,FALSE),"")</f>
        <v/>
      </c>
      <c r="DP55" s="376"/>
      <c r="DQ55" s="1369"/>
      <c r="DR55" s="455"/>
      <c r="DS55" s="1356"/>
      <c r="DT55" s="1503" t="b">
        <v>0</v>
      </c>
      <c r="DU55" s="1515"/>
      <c r="DV55" s="1507" t="str">
        <f>IFNA(VLOOKUP(DU55,'法術資料'!$K$2:$X$805,4,FALSE),"")
</f>
        <v/>
      </c>
      <c r="DW55" s="1506" t="str">
        <f>IFNA(VLOOKUP(DU55,'法術資料'!$K$2:$X$805,7,FALSE),"")</f>
        <v/>
      </c>
      <c r="DX55" s="1141"/>
      <c r="DY55" s="1506" t="str">
        <f>IFNA(VLOOKUP(DU55,'法術資料'!$K$2:$X$805,8,FALSE),"")</f>
        <v/>
      </c>
      <c r="DZ55" s="1141"/>
      <c r="EA55" s="1506" t="str">
        <f>IFNA(VLOOKUP(DU55,'法術資料'!$K$2:$X$805,14,FALSE),"")</f>
        <v/>
      </c>
      <c r="EB55" s="1141"/>
      <c r="EC55" s="1377" t="str">
        <f>IFNA(VLOOKUP(DU55,'法術資料'!$K$2:$X$805,13,FALSE),"")</f>
        <v/>
      </c>
      <c r="ED55" s="1377" t="str">
        <f>IFNA(VLOOKUP(DU55,'法術資料'!$K$2:$X$805,5,FALSE),"")</f>
        <v/>
      </c>
      <c r="EE55" s="1377" t="str">
        <f>IFNA(VLOOKUP(DU55,'法術資料'!$K$2:$X$805,6,FALSE),"")</f>
        <v/>
      </c>
      <c r="EF55" s="1378" t="str">
        <f>IFNA(VLOOKUP(DU55,'法術資料'!$K$2:$X$805,9,FALSE),"")</f>
        <v/>
      </c>
      <c r="EG55" s="1379" t="str">
        <f>IFNA(VLOOKUP(DU55,'法術資料'!$K$2:$X$805,10,FALSE),"")</f>
        <v/>
      </c>
      <c r="EH55" s="1379" t="str">
        <f>IFNA(VLOOKUP($Y55,'法術資料'!$K$2:$X$805,11,FALSE),"")</f>
        <v/>
      </c>
      <c r="EI55" s="1506" t="str">
        <f>IFNA(VLOOKUP(DU55,'法術資料'!$K$2:$X$805,12,FALSE),"")</f>
        <v/>
      </c>
      <c r="EJ55" s="376"/>
      <c r="EK55" s="1369"/>
      <c r="EL55" s="455"/>
      <c r="EM55" s="1356"/>
      <c r="EN55" s="1503" t="b">
        <v>0</v>
      </c>
      <c r="EO55" s="1515"/>
      <c r="EP55" s="1507" t="str">
        <f>IFNA(VLOOKUP(EO55,'法術資料'!$K$2:$X$805,4,FALSE),"")
</f>
        <v/>
      </c>
      <c r="EQ55" s="1506" t="str">
        <f>IFNA(VLOOKUP(EO55,'法術資料'!$K$2:$X$805,7,FALSE),"")</f>
        <v/>
      </c>
      <c r="ER55" s="1141"/>
      <c r="ES55" s="1506" t="str">
        <f>IFNA(VLOOKUP(EO55,'法術資料'!$K$2:$X$805,8,FALSE),"")</f>
        <v/>
      </c>
      <c r="ET55" s="1141"/>
      <c r="EU55" s="1506" t="str">
        <f>IFNA(VLOOKUP(EO55,'法術資料'!$K$2:$X$805,14,FALSE),"")</f>
        <v/>
      </c>
      <c r="EV55" s="1141"/>
      <c r="EW55" s="1377" t="str">
        <f>IFNA(VLOOKUP(EO55,'法術資料'!$K$2:$X$805,13,FALSE),"")</f>
        <v/>
      </c>
      <c r="EX55" s="1377" t="str">
        <f>IFNA(VLOOKUP(EO55,'法術資料'!$K$2:$X$805,5,FALSE),"")</f>
        <v/>
      </c>
      <c r="EY55" s="1377" t="str">
        <f>IFNA(VLOOKUP(EO55,'法術資料'!$K$2:$X$805,6,FALSE),"")</f>
        <v/>
      </c>
      <c r="EZ55" s="1378" t="str">
        <f>IFNA(VLOOKUP(EO55,'法術資料'!$K$2:$X$805,9,FALSE),"")</f>
        <v/>
      </c>
      <c r="FA55" s="1379" t="str">
        <f>IFNA(VLOOKUP(EO55,'法術資料'!$K$2:$X$805,10,FALSE),"")</f>
        <v/>
      </c>
      <c r="FB55" s="1379" t="str">
        <f>IFNA(VLOOKUP($Y55,'法術資料'!$K$2:$X$805,11,FALSE),"")</f>
        <v/>
      </c>
      <c r="FC55" s="1506" t="str">
        <f>IFNA(VLOOKUP(EO55,'法術資料'!$K$2:$X$805,12,FALSE),"")</f>
        <v/>
      </c>
      <c r="FD55" s="376"/>
      <c r="FE55" s="1369"/>
      <c r="FF55" s="455"/>
      <c r="FG55" s="1356"/>
      <c r="FH55" s="1503" t="b">
        <v>0</v>
      </c>
      <c r="FI55" s="1515"/>
      <c r="FJ55" s="1507" t="str">
        <f>IFNA(VLOOKUP(FI55,'法術資料'!$K$2:$X$805,4,FALSE),"")
</f>
        <v/>
      </c>
      <c r="FK55" s="1506" t="str">
        <f>IFNA(VLOOKUP(FI55,'法術資料'!$K$2:$X$805,7,FALSE),"")</f>
        <v/>
      </c>
      <c r="FL55" s="1141"/>
      <c r="FM55" s="1506" t="str">
        <f>IFNA(VLOOKUP(FI55,'法術資料'!$K$2:$X$805,8,FALSE),"")</f>
        <v/>
      </c>
      <c r="FN55" s="1141"/>
      <c r="FO55" s="1506" t="str">
        <f>IFNA(VLOOKUP(FI55,'法術資料'!$K$2:$X$805,14,FALSE),"")</f>
        <v/>
      </c>
      <c r="FP55" s="1141"/>
      <c r="FQ55" s="1377" t="str">
        <f>IFNA(VLOOKUP(FI55,'法術資料'!$K$2:$X$805,13,FALSE),"")</f>
        <v/>
      </c>
      <c r="FR55" s="1377" t="str">
        <f>IFNA(VLOOKUP(FI55,'法術資料'!$K$2:$X$805,5,FALSE),"")</f>
        <v/>
      </c>
      <c r="FS55" s="1377" t="str">
        <f>IFNA(VLOOKUP(FI55,'法術資料'!$K$2:$X$805,6,FALSE),"")</f>
        <v/>
      </c>
      <c r="FT55" s="1378" t="str">
        <f>IFNA(VLOOKUP(FI55,'法術資料'!$K$2:$X$805,9,FALSE),"")</f>
        <v/>
      </c>
      <c r="FU55" s="1379" t="str">
        <f>IFNA(VLOOKUP(FI55,'法術資料'!$K$2:$X$805,10,FALSE),"")</f>
        <v/>
      </c>
      <c r="FV55" s="1379" t="str">
        <f>IFNA(VLOOKUP($Y55,'法術資料'!$K$2:$X$805,11,FALSE),"")</f>
        <v/>
      </c>
      <c r="FW55" s="1506" t="str">
        <f>IFNA(VLOOKUP(FI55,'法術資料'!$K$2:$X$805,12,FALSE),"")</f>
        <v/>
      </c>
      <c r="FX55" s="376"/>
      <c r="FY55" s="1369"/>
      <c r="FZ55" s="455"/>
    </row>
    <row r="56">
      <c r="A56" s="455"/>
      <c r="B56" s="1356"/>
      <c r="C56" s="1509" t="b">
        <v>0</v>
      </c>
      <c r="D56" s="1502"/>
      <c r="E56" s="1510" t="str">
        <f>IFNA(VLOOKUP($D56,'法術資料'!$K$2:$X$805,4,FALSE),"")
</f>
        <v/>
      </c>
      <c r="F56" s="1511" t="str">
        <f>IFNA(VLOOKUP($D56,'法術資料'!$K$2:$X$805,7,FALSE),"")</f>
        <v/>
      </c>
      <c r="G56" s="1141"/>
      <c r="H56" s="1511" t="str">
        <f>IFNA(VLOOKUP($D56,'法術資料'!$K$2:$X$805,8,FALSE),"")</f>
        <v/>
      </c>
      <c r="I56" s="1141"/>
      <c r="J56" s="1511" t="str">
        <f>IFNA(VLOOKUP($D56,'法術資料'!$K$2:$X$805,14,FALSE),"")</f>
        <v/>
      </c>
      <c r="K56" s="1141"/>
      <c r="L56" s="1511" t="str">
        <f>IFNA(VLOOKUP($D56,'法術資料'!$K$2:$X$805,13,FALSE),"")</f>
        <v/>
      </c>
      <c r="M56" s="1141"/>
      <c r="N56" s="1365" t="str">
        <f>IFNA(VLOOKUP($D56,'法術資料'!$K$2:$X$805,5,FALSE),"")</f>
        <v/>
      </c>
      <c r="O56" s="1365" t="str">
        <f>IFNA(VLOOKUP($D56,'法術資料'!$K$2:$X$805,6,FALSE),"")</f>
        <v/>
      </c>
      <c r="P56" s="1366" t="str">
        <f>IFNA(VLOOKUP($D56,'法術資料'!$K$2:$X$805,9,FALSE),"")</f>
        <v/>
      </c>
      <c r="Q56" s="1367" t="str">
        <f>IFNA(VLOOKUP($D56,'法術資料'!$K$2:$X$805,10,FALSE),"")</f>
        <v/>
      </c>
      <c r="R56" s="1367" t="str">
        <f>IFNA(VLOOKUP($D56,'法術資料'!$K$2:$X$805,11,FALSE),"")</f>
        <v/>
      </c>
      <c r="S56" s="1511" t="str">
        <f>IFNA(VLOOKUP($D56,'法術資料'!$K$2:$X$805,12,FALSE),"")</f>
        <v/>
      </c>
      <c r="T56" s="376"/>
      <c r="U56" s="1369"/>
      <c r="V56" s="455"/>
      <c r="W56" s="1356"/>
      <c r="X56" s="1509" t="b">
        <v>0</v>
      </c>
      <c r="Y56" s="1502"/>
      <c r="Z56" s="1512" t="str">
        <f>IFNA(VLOOKUP(Y56,'法術資料'!$K$2:$X$805,4,FALSE),"")
</f>
        <v/>
      </c>
      <c r="AA56" s="1511" t="str">
        <f>IFNA(VLOOKUP($Y56,'法術資料'!$K$2:$X$805,7,FALSE),"")</f>
        <v/>
      </c>
      <c r="AB56" s="1141"/>
      <c r="AC56" s="1511" t="str">
        <f>IFNA(VLOOKUP($Y56,'法術資料'!$K$2:$X$805,8,FALSE),"")</f>
        <v/>
      </c>
      <c r="AD56" s="1141"/>
      <c r="AE56" s="1511" t="str">
        <f>IFNA(VLOOKUP($Y56,'法術資料'!$K$2:$X$805,14,FALSE),"")</f>
        <v/>
      </c>
      <c r="AF56" s="1141"/>
      <c r="AG56" s="1365" t="str">
        <f>IFNA(VLOOKUP($Y56,'法術資料'!$K$2:$X$805,13,FALSE),"")</f>
        <v/>
      </c>
      <c r="AH56" s="1365" t="str">
        <f>IFNA(VLOOKUP($Y56,'法術資料'!$K$2:$X$805,5,FALSE),"")</f>
        <v/>
      </c>
      <c r="AI56" s="1365" t="str">
        <f>IFNA(VLOOKUP($Y56,'法術資料'!$K$2:$X$805,6,FALSE),"")</f>
        <v/>
      </c>
      <c r="AJ56" s="1366" t="str">
        <f>IFNA(VLOOKUP($Y56,'法術資料'!$K$2:$X$805,9,FALSE),"")</f>
        <v/>
      </c>
      <c r="AK56" s="1367" t="str">
        <f>IFNA(VLOOKUP($Y56,'法術資料'!$K$2:$X$805,10,FALSE),"")</f>
        <v/>
      </c>
      <c r="AL56" s="1367" t="str">
        <f>IFNA(VLOOKUP($Y56,'法術資料'!$K$2:$X$805,11,FALSE),"")</f>
        <v/>
      </c>
      <c r="AM56" s="1511" t="str">
        <f>IFNA(VLOOKUP($Y56,'法術資料'!$K$2:$X$805,12,FALSE),"")</f>
        <v/>
      </c>
      <c r="AN56" s="376"/>
      <c r="AO56" s="1369"/>
      <c r="AP56" s="455"/>
      <c r="AQ56" s="1356"/>
      <c r="AR56" s="1509" t="b">
        <v>0</v>
      </c>
      <c r="AS56" s="1502"/>
      <c r="AT56" s="1512" t="str">
        <f>IFNA(VLOOKUP(AS56,'法術資料'!$K$2:$X$805,4,FALSE),"")
</f>
        <v/>
      </c>
      <c r="AU56" s="1511" t="str">
        <f>IFNA(VLOOKUP(AS56,'法術資料'!$K$2:$X$805,7,FALSE),"")</f>
        <v/>
      </c>
      <c r="AV56" s="1141"/>
      <c r="AW56" s="1511" t="str">
        <f>IFNA(VLOOKUP(AS56,'法術資料'!$K$2:$X$805,8,FALSE),"")</f>
        <v/>
      </c>
      <c r="AX56" s="1141"/>
      <c r="AY56" s="1511" t="str">
        <f>IFNA(VLOOKUP(AS56,'法術資料'!$K$2:$X$805,14,FALSE),"")</f>
        <v/>
      </c>
      <c r="AZ56" s="1141"/>
      <c r="BA56" s="1365" t="str">
        <f>IFNA(VLOOKUP(AS56,'法術資料'!$K$2:$X$805,13,FALSE),"")</f>
        <v/>
      </c>
      <c r="BB56" s="1365" t="str">
        <f>IFNA(VLOOKUP(AS56,'法術資料'!$K$2:$X$805,5,FALSE),"")</f>
        <v/>
      </c>
      <c r="BC56" s="1365" t="str">
        <f>IFNA(VLOOKUP(AS56,'法術資料'!$K$2:$X$805,6,FALSE),"")</f>
        <v/>
      </c>
      <c r="BD56" s="1366" t="str">
        <f>IFNA(VLOOKUP(AS56,'法術資料'!$K$2:$X$805,9,FALSE),"")</f>
        <v/>
      </c>
      <c r="BE56" s="1367" t="str">
        <f>IFNA(VLOOKUP(AS56,'法術資料'!$K$2:$X$805,10,FALSE),"")</f>
        <v/>
      </c>
      <c r="BF56" s="1367" t="str">
        <f>IFNA(VLOOKUP($Y56,'法術資料'!$K$2:$X$805,11,FALSE),"")</f>
        <v/>
      </c>
      <c r="BG56" s="1511" t="str">
        <f>IFNA(VLOOKUP(AS56,'法術資料'!$K$2:$X$805,12,FALSE),"")</f>
        <v/>
      </c>
      <c r="BH56" s="376"/>
      <c r="BI56" s="1369"/>
      <c r="BJ56" s="455"/>
      <c r="BK56" s="1356"/>
      <c r="BL56" s="1509" t="b">
        <v>0</v>
      </c>
      <c r="BM56" s="1502"/>
      <c r="BN56" s="1512" t="str">
        <f>IFNA(VLOOKUP(BM56,'法術資料'!$K$2:$X$805,4,FALSE),"")
</f>
        <v/>
      </c>
      <c r="BO56" s="1511" t="str">
        <f>IFNA(VLOOKUP(BM56,'法術資料'!$K$2:$X$805,7,FALSE),"")</f>
        <v/>
      </c>
      <c r="BP56" s="1141"/>
      <c r="BQ56" s="1511" t="str">
        <f>IFNA(VLOOKUP(BM56,'法術資料'!$K$2:$X$805,8,FALSE),"")</f>
        <v/>
      </c>
      <c r="BR56" s="1141"/>
      <c r="BS56" s="1511" t="str">
        <f>IFNA(VLOOKUP(BM56,'法術資料'!$K$2:$X$805,14,FALSE),"")</f>
        <v/>
      </c>
      <c r="BT56" s="1141"/>
      <c r="BU56" s="1365" t="str">
        <f>IFNA(VLOOKUP(BM56,'法術資料'!$K$2:$X$805,13,FALSE),"")</f>
        <v/>
      </c>
      <c r="BV56" s="1365" t="str">
        <f>IFNA(VLOOKUP(BM56,'法術資料'!$K$2:$X$805,5,FALSE),"")</f>
        <v/>
      </c>
      <c r="BW56" s="1365" t="str">
        <f>IFNA(VLOOKUP(BM56,'法術資料'!$K$2:$X$805,6,FALSE),"")</f>
        <v/>
      </c>
      <c r="BX56" s="1366" t="str">
        <f>IFNA(VLOOKUP(BM56,'法術資料'!$K$2:$X$805,9,FALSE),"")</f>
        <v/>
      </c>
      <c r="BY56" s="1367" t="str">
        <f>IFNA(VLOOKUP(BM56,'法術資料'!$K$2:$X$805,10,FALSE),"")</f>
        <v/>
      </c>
      <c r="BZ56" s="1367" t="str">
        <f>IFNA(VLOOKUP($Y56,'法術資料'!$K$2:$X$805,11,FALSE),"")</f>
        <v/>
      </c>
      <c r="CA56" s="1511" t="str">
        <f>IFNA(VLOOKUP(BM56,'法術資料'!$K$2:$X$805,12,FALSE),"")</f>
        <v/>
      </c>
      <c r="CB56" s="376"/>
      <c r="CC56" s="1369"/>
      <c r="CD56" s="455"/>
      <c r="CE56" s="1356"/>
      <c r="CF56" s="1509" t="b">
        <v>0</v>
      </c>
      <c r="CG56" s="1502"/>
      <c r="CH56" s="1512" t="str">
        <f>IFNA(VLOOKUP(CG56,'法術資料'!$K$2:$X$805,4,FALSE),"")
</f>
        <v/>
      </c>
      <c r="CI56" s="1511" t="str">
        <f>IFNA(VLOOKUP(CG56,'法術資料'!$K$2:$X$805,7,FALSE),"")</f>
        <v/>
      </c>
      <c r="CJ56" s="1141"/>
      <c r="CK56" s="1511" t="str">
        <f>IFNA(VLOOKUP(CG56,'法術資料'!$K$2:$X$805,8,FALSE),"")</f>
        <v/>
      </c>
      <c r="CL56" s="1141"/>
      <c r="CM56" s="1511" t="str">
        <f>IFNA(VLOOKUP(CG56,'法術資料'!$K$2:$X$805,14,FALSE),"")</f>
        <v/>
      </c>
      <c r="CN56" s="1141"/>
      <c r="CO56" s="1365" t="str">
        <f>IFNA(VLOOKUP(CG56,'法術資料'!$K$2:$X$805,13,FALSE),"")</f>
        <v/>
      </c>
      <c r="CP56" s="1365" t="str">
        <f>IFNA(VLOOKUP(CG56,'法術資料'!$K$2:$X$805,5,FALSE),"")</f>
        <v/>
      </c>
      <c r="CQ56" s="1365" t="str">
        <f>IFNA(VLOOKUP(CG56,'法術資料'!$K$2:$X$805,6,FALSE),"")</f>
        <v/>
      </c>
      <c r="CR56" s="1366" t="str">
        <f>IFNA(VLOOKUP(CG56,'法術資料'!$K$2:$X$805,9,FALSE),"")</f>
        <v/>
      </c>
      <c r="CS56" s="1367" t="str">
        <f>IFNA(VLOOKUP(CG56,'法術資料'!$K$2:$X$805,10,FALSE),"")</f>
        <v/>
      </c>
      <c r="CT56" s="1367" t="str">
        <f>IFNA(VLOOKUP($Y56,'法術資料'!$K$2:$X$805,11,FALSE),"")</f>
        <v/>
      </c>
      <c r="CU56" s="1511" t="str">
        <f>IFNA(VLOOKUP(CG56,'法術資料'!$K$2:$X$805,12,FALSE),"")</f>
        <v/>
      </c>
      <c r="CV56" s="376"/>
      <c r="CW56" s="1369"/>
      <c r="CX56" s="455"/>
      <c r="CY56" s="1356"/>
      <c r="CZ56" s="1509" t="b">
        <v>0</v>
      </c>
      <c r="DA56" s="1514"/>
      <c r="DB56" s="1512" t="str">
        <f>IFNA(VLOOKUP(DA56,'法術資料'!$K$2:$X$805,4,FALSE),"")
</f>
        <v/>
      </c>
      <c r="DC56" s="1511" t="str">
        <f>IFNA(VLOOKUP(DA56,'法術資料'!$K$2:$X$805,7,FALSE),"")</f>
        <v/>
      </c>
      <c r="DD56" s="1141"/>
      <c r="DE56" s="1511" t="str">
        <f>IFNA(VLOOKUP(DA56,'法術資料'!$K$2:$X$805,8,FALSE),"")</f>
        <v/>
      </c>
      <c r="DF56" s="1141"/>
      <c r="DG56" s="1511" t="str">
        <f>IFNA(VLOOKUP(DA56,'法術資料'!$K$2:$X$805,14,FALSE),"")</f>
        <v/>
      </c>
      <c r="DH56" s="1141"/>
      <c r="DI56" s="1365" t="str">
        <f>IFNA(VLOOKUP(DA56,'法術資料'!$K$2:$X$805,13,FALSE),"")</f>
        <v/>
      </c>
      <c r="DJ56" s="1365" t="str">
        <f>IFNA(VLOOKUP(DA56,'法術資料'!$K$2:$X$805,5,FALSE),"")</f>
        <v/>
      </c>
      <c r="DK56" s="1365" t="str">
        <f>IFNA(VLOOKUP(DA56,'法術資料'!$K$2:$X$805,6,FALSE),"")</f>
        <v/>
      </c>
      <c r="DL56" s="1366" t="str">
        <f>IFNA(VLOOKUP(DA56,'法術資料'!$K$2:$X$805,9,FALSE),"")</f>
        <v/>
      </c>
      <c r="DM56" s="1367" t="str">
        <f>IFNA(VLOOKUP(DA56,'法術資料'!$K$2:$X$805,10,FALSE),"")</f>
        <v/>
      </c>
      <c r="DN56" s="1367" t="str">
        <f>IFNA(VLOOKUP($Y56,'法術資料'!$K$2:$X$805,11,FALSE),"")</f>
        <v/>
      </c>
      <c r="DO56" s="1511" t="str">
        <f>IFNA(VLOOKUP(DA56,'法術資料'!$K$2:$X$805,12,FALSE),"")</f>
        <v/>
      </c>
      <c r="DP56" s="376"/>
      <c r="DQ56" s="1369"/>
      <c r="DR56" s="455"/>
      <c r="DS56" s="1356"/>
      <c r="DT56" s="1509" t="b">
        <v>0</v>
      </c>
      <c r="DU56" s="1514"/>
      <c r="DV56" s="1512" t="str">
        <f>IFNA(VLOOKUP(DU56,'法術資料'!$K$2:$X$805,4,FALSE),"")
</f>
        <v/>
      </c>
      <c r="DW56" s="1511" t="str">
        <f>IFNA(VLOOKUP(DU56,'法術資料'!$K$2:$X$805,7,FALSE),"")</f>
        <v/>
      </c>
      <c r="DX56" s="1141"/>
      <c r="DY56" s="1511" t="str">
        <f>IFNA(VLOOKUP(DU56,'法術資料'!$K$2:$X$805,8,FALSE),"")</f>
        <v/>
      </c>
      <c r="DZ56" s="1141"/>
      <c r="EA56" s="1511" t="str">
        <f>IFNA(VLOOKUP(DU56,'法術資料'!$K$2:$X$805,14,FALSE),"")</f>
        <v/>
      </c>
      <c r="EB56" s="1141"/>
      <c r="EC56" s="1365" t="str">
        <f>IFNA(VLOOKUP(DU56,'法術資料'!$K$2:$X$805,13,FALSE),"")</f>
        <v/>
      </c>
      <c r="ED56" s="1365" t="str">
        <f>IFNA(VLOOKUP(DU56,'法術資料'!$K$2:$X$805,5,FALSE),"")</f>
        <v/>
      </c>
      <c r="EE56" s="1365" t="str">
        <f>IFNA(VLOOKUP(DU56,'法術資料'!$K$2:$X$805,6,FALSE),"")</f>
        <v/>
      </c>
      <c r="EF56" s="1366" t="str">
        <f>IFNA(VLOOKUP(DU56,'法術資料'!$K$2:$X$805,9,FALSE),"")</f>
        <v/>
      </c>
      <c r="EG56" s="1367" t="str">
        <f>IFNA(VLOOKUP(DU56,'法術資料'!$K$2:$X$805,10,FALSE),"")</f>
        <v/>
      </c>
      <c r="EH56" s="1367" t="str">
        <f>IFNA(VLOOKUP($Y56,'法術資料'!$K$2:$X$805,11,FALSE),"")</f>
        <v/>
      </c>
      <c r="EI56" s="1511" t="str">
        <f>IFNA(VLOOKUP(DU56,'法術資料'!$K$2:$X$805,12,FALSE),"")</f>
        <v/>
      </c>
      <c r="EJ56" s="376"/>
      <c r="EK56" s="1369"/>
      <c r="EL56" s="455"/>
      <c r="EM56" s="1356"/>
      <c r="EN56" s="1509" t="b">
        <v>0</v>
      </c>
      <c r="EO56" s="1514"/>
      <c r="EP56" s="1512" t="str">
        <f>IFNA(VLOOKUP(EO56,'法術資料'!$K$2:$X$805,4,FALSE),"")
</f>
        <v/>
      </c>
      <c r="EQ56" s="1511" t="str">
        <f>IFNA(VLOOKUP(EO56,'法術資料'!$K$2:$X$805,7,FALSE),"")</f>
        <v/>
      </c>
      <c r="ER56" s="1141"/>
      <c r="ES56" s="1511" t="str">
        <f>IFNA(VLOOKUP(EO56,'法術資料'!$K$2:$X$805,8,FALSE),"")</f>
        <v/>
      </c>
      <c r="ET56" s="1141"/>
      <c r="EU56" s="1511" t="str">
        <f>IFNA(VLOOKUP(EO56,'法術資料'!$K$2:$X$805,14,FALSE),"")</f>
        <v/>
      </c>
      <c r="EV56" s="1141"/>
      <c r="EW56" s="1365" t="str">
        <f>IFNA(VLOOKUP(EO56,'法術資料'!$K$2:$X$805,13,FALSE),"")</f>
        <v/>
      </c>
      <c r="EX56" s="1365" t="str">
        <f>IFNA(VLOOKUP(EO56,'法術資料'!$K$2:$X$805,5,FALSE),"")</f>
        <v/>
      </c>
      <c r="EY56" s="1365" t="str">
        <f>IFNA(VLOOKUP(EO56,'法術資料'!$K$2:$X$805,6,FALSE),"")</f>
        <v/>
      </c>
      <c r="EZ56" s="1366" t="str">
        <f>IFNA(VLOOKUP(EO56,'法術資料'!$K$2:$X$805,9,FALSE),"")</f>
        <v/>
      </c>
      <c r="FA56" s="1367" t="str">
        <f>IFNA(VLOOKUP(EO56,'法術資料'!$K$2:$X$805,10,FALSE),"")</f>
        <v/>
      </c>
      <c r="FB56" s="1367" t="str">
        <f>IFNA(VLOOKUP($Y56,'法術資料'!$K$2:$X$805,11,FALSE),"")</f>
        <v/>
      </c>
      <c r="FC56" s="1511" t="str">
        <f>IFNA(VLOOKUP(EO56,'法術資料'!$K$2:$X$805,12,FALSE),"")</f>
        <v/>
      </c>
      <c r="FD56" s="376"/>
      <c r="FE56" s="1369"/>
      <c r="FF56" s="455"/>
      <c r="FG56" s="1356"/>
      <c r="FH56" s="1509" t="b">
        <v>0</v>
      </c>
      <c r="FI56" s="1514"/>
      <c r="FJ56" s="1512" t="str">
        <f>IFNA(VLOOKUP(FI56,'法術資料'!$K$2:$X$805,4,FALSE),"")
</f>
        <v/>
      </c>
      <c r="FK56" s="1511" t="str">
        <f>IFNA(VLOOKUP(FI56,'法術資料'!$K$2:$X$805,7,FALSE),"")</f>
        <v/>
      </c>
      <c r="FL56" s="1141"/>
      <c r="FM56" s="1511" t="str">
        <f>IFNA(VLOOKUP(FI56,'法術資料'!$K$2:$X$805,8,FALSE),"")</f>
        <v/>
      </c>
      <c r="FN56" s="1141"/>
      <c r="FO56" s="1511" t="str">
        <f>IFNA(VLOOKUP(FI56,'法術資料'!$K$2:$X$805,14,FALSE),"")</f>
        <v/>
      </c>
      <c r="FP56" s="1141"/>
      <c r="FQ56" s="1365" t="str">
        <f>IFNA(VLOOKUP(FI56,'法術資料'!$K$2:$X$805,13,FALSE),"")</f>
        <v/>
      </c>
      <c r="FR56" s="1365" t="str">
        <f>IFNA(VLOOKUP(FI56,'法術資料'!$K$2:$X$805,5,FALSE),"")</f>
        <v/>
      </c>
      <c r="FS56" s="1365" t="str">
        <f>IFNA(VLOOKUP(FI56,'法術資料'!$K$2:$X$805,6,FALSE),"")</f>
        <v/>
      </c>
      <c r="FT56" s="1366" t="str">
        <f>IFNA(VLOOKUP(FI56,'法術資料'!$K$2:$X$805,9,FALSE),"")</f>
        <v/>
      </c>
      <c r="FU56" s="1367" t="str">
        <f>IFNA(VLOOKUP(FI56,'法術資料'!$K$2:$X$805,10,FALSE),"")</f>
        <v/>
      </c>
      <c r="FV56" s="1367" t="str">
        <f>IFNA(VLOOKUP($Y56,'法術資料'!$K$2:$X$805,11,FALSE),"")</f>
        <v/>
      </c>
      <c r="FW56" s="1511" t="str">
        <f>IFNA(VLOOKUP(FI56,'法術資料'!$K$2:$X$805,12,FALSE),"")</f>
        <v/>
      </c>
      <c r="FX56" s="376"/>
      <c r="FY56" s="1369"/>
      <c r="FZ56" s="455"/>
    </row>
    <row r="57">
      <c r="A57" s="455"/>
      <c r="B57" s="1516"/>
      <c r="C57" s="1386" t="b">
        <v>0</v>
      </c>
      <c r="D57" s="1517"/>
      <c r="E57" s="1518" t="str">
        <f>IFNA(VLOOKUP($D57,'法術資料'!$K$2:$X$805,4,FALSE),"")
</f>
        <v/>
      </c>
      <c r="F57" s="1519" t="str">
        <f>IFNA(VLOOKUP($D57,'法術資料'!$K$2:$X$805,7,FALSE),"")</f>
        <v/>
      </c>
      <c r="G57" s="1201"/>
      <c r="H57" s="1519" t="str">
        <f>IFNA(VLOOKUP($D57,'法術資料'!$K$2:$X$805,8,FALSE),"")</f>
        <v/>
      </c>
      <c r="I57" s="1201"/>
      <c r="J57" s="1519" t="str">
        <f>IFNA(VLOOKUP($D57,'法術資料'!$K$2:$X$805,14,FALSE),"")</f>
        <v/>
      </c>
      <c r="K57" s="1201"/>
      <c r="L57" s="1519" t="str">
        <f>IFNA(VLOOKUP($D57,'法術資料'!$K$2:$X$805,13,FALSE),"")</f>
        <v/>
      </c>
      <c r="M57" s="1201"/>
      <c r="N57" s="1394" t="str">
        <f>IFNA(VLOOKUP($D57,'法術資料'!$K$2:$X$805,5,FALSE),"")</f>
        <v/>
      </c>
      <c r="O57" s="1394" t="str">
        <f>IFNA(VLOOKUP($D57,'法術資料'!$K$2:$X$805,6,FALSE),"")</f>
        <v/>
      </c>
      <c r="P57" s="1395" t="str">
        <f>IFNA(VLOOKUP($D57,'法術資料'!$K$2:$X$805,9,FALSE),"")</f>
        <v/>
      </c>
      <c r="Q57" s="1396" t="str">
        <f>IFNA(VLOOKUP($D57,'法術資料'!$K$2:$X$805,10,FALSE),"")</f>
        <v/>
      </c>
      <c r="R57" s="1396" t="str">
        <f>IFNA(VLOOKUP($D57,'法術資料'!$K$2:$X$805,11,FALSE),"")</f>
        <v/>
      </c>
      <c r="S57" s="1519" t="str">
        <f>IFNA(VLOOKUP($D57,'法術資料'!$K$2:$X$805,12,FALSE),"")</f>
        <v/>
      </c>
      <c r="T57" s="517"/>
      <c r="U57" s="1516"/>
      <c r="V57" s="455"/>
      <c r="W57" s="1516"/>
      <c r="X57" s="1386" t="b">
        <v>0</v>
      </c>
      <c r="Y57" s="1517"/>
      <c r="Z57" s="1520" t="str">
        <f>IFNA(VLOOKUP(Y57,'法術資料'!$K$2:$X$805,4,FALSE),"")
</f>
        <v/>
      </c>
      <c r="AA57" s="1519" t="str">
        <f>IFNA(VLOOKUP($Y57,'法術資料'!$K$2:$X$805,7,FALSE),"")</f>
        <v/>
      </c>
      <c r="AB57" s="1201"/>
      <c r="AC57" s="1519" t="str">
        <f>IFNA(VLOOKUP($Y57,'法術資料'!$K$2:$X$805,8,FALSE),"")</f>
        <v/>
      </c>
      <c r="AD57" s="1201"/>
      <c r="AE57" s="1519" t="str">
        <f>IFNA(VLOOKUP($Y57,'法術資料'!$K$2:$X$805,14,FALSE),"")</f>
        <v/>
      </c>
      <c r="AF57" s="1201"/>
      <c r="AG57" s="1394" t="str">
        <f>IFNA(VLOOKUP($Y57,'法術資料'!$K$2:$X$805,13,FALSE),"")</f>
        <v/>
      </c>
      <c r="AH57" s="1394" t="str">
        <f>IFNA(VLOOKUP($Y57,'法術資料'!$K$2:$X$805,5,FALSE),"")</f>
        <v/>
      </c>
      <c r="AI57" s="1394" t="str">
        <f>IFNA(VLOOKUP($Y57,'法術資料'!$K$2:$X$805,6,FALSE),"")</f>
        <v/>
      </c>
      <c r="AJ57" s="1395" t="str">
        <f>IFNA(VLOOKUP($Y57,'法術資料'!$K$2:$X$805,9,FALSE),"")</f>
        <v/>
      </c>
      <c r="AK57" s="1396" t="str">
        <f>IFNA(VLOOKUP($Y57,'法術資料'!$K$2:$X$805,10,FALSE),"")</f>
        <v/>
      </c>
      <c r="AL57" s="1396" t="str">
        <f>IFNA(VLOOKUP($Y57,'法術資料'!$K$2:$X$805,11,FALSE),"")</f>
        <v/>
      </c>
      <c r="AM57" s="1519" t="str">
        <f>IFNA(VLOOKUP($Y57,'法術資料'!$K$2:$X$805,12,FALSE),"")</f>
        <v/>
      </c>
      <c r="AN57" s="517"/>
      <c r="AO57" s="1516"/>
      <c r="AP57" s="455"/>
      <c r="AQ57" s="1516"/>
      <c r="AR57" s="1386" t="b">
        <v>0</v>
      </c>
      <c r="AS57" s="1517"/>
      <c r="AT57" s="1520" t="str">
        <f>IFNA(VLOOKUP(AS57,'法術資料'!$K$2:$X$805,4,FALSE),"")
</f>
        <v/>
      </c>
      <c r="AU57" s="1519" t="str">
        <f>IFNA(VLOOKUP(AS57,'法術資料'!$K$2:$X$805,7,FALSE),"")</f>
        <v/>
      </c>
      <c r="AV57" s="1201"/>
      <c r="AW57" s="1519" t="str">
        <f>IFNA(VLOOKUP(AS57,'法術資料'!$K$2:$X$805,8,FALSE),"")</f>
        <v/>
      </c>
      <c r="AX57" s="1201"/>
      <c r="AY57" s="1519" t="str">
        <f>IFNA(VLOOKUP(AS57,'法術資料'!$K$2:$X$805,14,FALSE),"")</f>
        <v/>
      </c>
      <c r="AZ57" s="1201"/>
      <c r="BA57" s="1394" t="str">
        <f>IFNA(VLOOKUP(AS57,'法術資料'!$K$2:$X$805,13,FALSE),"")</f>
        <v/>
      </c>
      <c r="BB57" s="1394" t="str">
        <f>IFNA(VLOOKUP(AS57,'法術資料'!$K$2:$X$805,5,FALSE),"")</f>
        <v/>
      </c>
      <c r="BC57" s="1394" t="str">
        <f>IFNA(VLOOKUP(AS57,'法術資料'!$K$2:$X$805,6,FALSE),"")</f>
        <v/>
      </c>
      <c r="BD57" s="1395" t="str">
        <f>IFNA(VLOOKUP(AS57,'法術資料'!$K$2:$X$805,9,FALSE),"")</f>
        <v/>
      </c>
      <c r="BE57" s="1396" t="str">
        <f>IFNA(VLOOKUP(AS57,'法術資料'!$K$2:$X$805,10,FALSE),"")</f>
        <v/>
      </c>
      <c r="BF57" s="1396" t="str">
        <f>IFNA(VLOOKUP($Y57,'法術資料'!$K$2:$X$805,11,FALSE),"")</f>
        <v/>
      </c>
      <c r="BG57" s="1519" t="str">
        <f>IFNA(VLOOKUP(AS57,'法術資料'!$K$2:$X$805,12,FALSE),"")</f>
        <v/>
      </c>
      <c r="BH57" s="517"/>
      <c r="BI57" s="1516"/>
      <c r="BJ57" s="455"/>
      <c r="BK57" s="1516"/>
      <c r="BL57" s="1386" t="b">
        <v>0</v>
      </c>
      <c r="BM57" s="1517"/>
      <c r="BN57" s="1520" t="str">
        <f>IFNA(VLOOKUP(BM57,'法術資料'!$K$2:$X$805,4,FALSE),"")
</f>
        <v/>
      </c>
      <c r="BO57" s="1519" t="str">
        <f>IFNA(VLOOKUP(BM57,'法術資料'!$K$2:$X$805,7,FALSE),"")</f>
        <v/>
      </c>
      <c r="BP57" s="1201"/>
      <c r="BQ57" s="1519" t="str">
        <f>IFNA(VLOOKUP(BM57,'法術資料'!$K$2:$X$805,8,FALSE),"")</f>
        <v/>
      </c>
      <c r="BR57" s="1201"/>
      <c r="BS57" s="1519" t="str">
        <f>IFNA(VLOOKUP(BM57,'法術資料'!$K$2:$X$805,14,FALSE),"")</f>
        <v/>
      </c>
      <c r="BT57" s="1201"/>
      <c r="BU57" s="1394" t="str">
        <f>IFNA(VLOOKUP(BM57,'法術資料'!$K$2:$X$805,13,FALSE),"")</f>
        <v/>
      </c>
      <c r="BV57" s="1394" t="str">
        <f>IFNA(VLOOKUP(BM57,'法術資料'!$K$2:$X$805,5,FALSE),"")</f>
        <v/>
      </c>
      <c r="BW57" s="1394" t="str">
        <f>IFNA(VLOOKUP(BM57,'法術資料'!$K$2:$X$805,6,FALSE),"")</f>
        <v/>
      </c>
      <c r="BX57" s="1395" t="str">
        <f>IFNA(VLOOKUP(BM57,'法術資料'!$K$2:$X$805,9,FALSE),"")</f>
        <v/>
      </c>
      <c r="BY57" s="1396" t="str">
        <f>IFNA(VLOOKUP(BM57,'法術資料'!$K$2:$X$805,10,FALSE),"")</f>
        <v/>
      </c>
      <c r="BZ57" s="1396" t="str">
        <f>IFNA(VLOOKUP($Y57,'法術資料'!$K$2:$X$805,11,FALSE),"")</f>
        <v/>
      </c>
      <c r="CA57" s="1519" t="str">
        <f>IFNA(VLOOKUP(BM57,'法術資料'!$K$2:$X$805,12,FALSE),"")</f>
        <v/>
      </c>
      <c r="CB57" s="517"/>
      <c r="CC57" s="1516"/>
      <c r="CD57" s="455"/>
      <c r="CE57" s="1516"/>
      <c r="CF57" s="1386" t="b">
        <v>0</v>
      </c>
      <c r="CG57" s="1517"/>
      <c r="CH57" s="1520" t="str">
        <f>IFNA(VLOOKUP(CG57,'法術資料'!$K$2:$X$805,4,FALSE),"")
</f>
        <v/>
      </c>
      <c r="CI57" s="1519" t="str">
        <f>IFNA(VLOOKUP(CG57,'法術資料'!$K$2:$X$805,7,FALSE),"")</f>
        <v/>
      </c>
      <c r="CJ57" s="1201"/>
      <c r="CK57" s="1519" t="str">
        <f>IFNA(VLOOKUP(CG57,'法術資料'!$K$2:$X$805,8,FALSE),"")</f>
        <v/>
      </c>
      <c r="CL57" s="1201"/>
      <c r="CM57" s="1519" t="str">
        <f>IFNA(VLOOKUP(CG57,'法術資料'!$K$2:$X$805,14,FALSE),"")</f>
        <v/>
      </c>
      <c r="CN57" s="1201"/>
      <c r="CO57" s="1394" t="str">
        <f>IFNA(VLOOKUP(CG57,'法術資料'!$K$2:$X$805,13,FALSE),"")</f>
        <v/>
      </c>
      <c r="CP57" s="1394" t="str">
        <f>IFNA(VLOOKUP(CG57,'法術資料'!$K$2:$X$805,5,FALSE),"")</f>
        <v/>
      </c>
      <c r="CQ57" s="1394" t="str">
        <f>IFNA(VLOOKUP(CG57,'法術資料'!$K$2:$X$805,6,FALSE),"")</f>
        <v/>
      </c>
      <c r="CR57" s="1395" t="str">
        <f>IFNA(VLOOKUP(CG57,'法術資料'!$K$2:$X$805,9,FALSE),"")</f>
        <v/>
      </c>
      <c r="CS57" s="1396" t="str">
        <f>IFNA(VLOOKUP(CG57,'法術資料'!$K$2:$X$805,10,FALSE),"")</f>
        <v/>
      </c>
      <c r="CT57" s="1396" t="str">
        <f>IFNA(VLOOKUP($Y57,'法術資料'!$K$2:$X$805,11,FALSE),"")</f>
        <v/>
      </c>
      <c r="CU57" s="1519" t="str">
        <f>IFNA(VLOOKUP(CG57,'法術資料'!$K$2:$X$805,12,FALSE),"")</f>
        <v/>
      </c>
      <c r="CV57" s="517"/>
      <c r="CW57" s="1516"/>
      <c r="CX57" s="455"/>
      <c r="CY57" s="1516"/>
      <c r="CZ57" s="1386" t="b">
        <v>0</v>
      </c>
      <c r="DA57" s="1521"/>
      <c r="DB57" s="1520" t="str">
        <f>IFNA(VLOOKUP(DA57,'法術資料'!$K$2:$X$805,4,FALSE),"")
</f>
        <v/>
      </c>
      <c r="DC57" s="1519" t="str">
        <f>IFNA(VLOOKUP(DA57,'法術資料'!$K$2:$X$805,7,FALSE),"")</f>
        <v/>
      </c>
      <c r="DD57" s="1201"/>
      <c r="DE57" s="1519" t="str">
        <f>IFNA(VLOOKUP(DA57,'法術資料'!$K$2:$X$805,8,FALSE),"")</f>
        <v/>
      </c>
      <c r="DF57" s="1201"/>
      <c r="DG57" s="1519" t="str">
        <f>IFNA(VLOOKUP(DA57,'法術資料'!$K$2:$X$805,14,FALSE),"")</f>
        <v/>
      </c>
      <c r="DH57" s="1201"/>
      <c r="DI57" s="1394" t="str">
        <f>IFNA(VLOOKUP(DA57,'法術資料'!$K$2:$X$805,13,FALSE),"")</f>
        <v/>
      </c>
      <c r="DJ57" s="1394" t="str">
        <f>IFNA(VLOOKUP(DA57,'法術資料'!$K$2:$X$805,5,FALSE),"")</f>
        <v/>
      </c>
      <c r="DK57" s="1394" t="str">
        <f>IFNA(VLOOKUP(DA57,'法術資料'!$K$2:$X$805,6,FALSE),"")</f>
        <v/>
      </c>
      <c r="DL57" s="1395" t="str">
        <f>IFNA(VLOOKUP(DA57,'法術資料'!$K$2:$X$805,9,FALSE),"")</f>
        <v/>
      </c>
      <c r="DM57" s="1396" t="str">
        <f>IFNA(VLOOKUP(DA57,'法術資料'!$K$2:$X$805,10,FALSE),"")</f>
        <v/>
      </c>
      <c r="DN57" s="1396" t="str">
        <f>IFNA(VLOOKUP($Y57,'法術資料'!$K$2:$X$805,11,FALSE),"")</f>
        <v/>
      </c>
      <c r="DO57" s="1519" t="str">
        <f>IFNA(VLOOKUP(DA57,'法術資料'!$K$2:$X$805,12,FALSE),"")</f>
        <v/>
      </c>
      <c r="DP57" s="517"/>
      <c r="DQ57" s="1516"/>
      <c r="DR57" s="455"/>
      <c r="DS57" s="1516"/>
      <c r="DT57" s="1386" t="b">
        <v>0</v>
      </c>
      <c r="DU57" s="1521"/>
      <c r="DV57" s="1520" t="str">
        <f>IFNA(VLOOKUP(DU57,'法術資料'!$K$2:$X$805,4,FALSE),"")
</f>
        <v/>
      </c>
      <c r="DW57" s="1519" t="str">
        <f>IFNA(VLOOKUP(DU57,'法術資料'!$K$2:$X$805,7,FALSE),"")</f>
        <v/>
      </c>
      <c r="DX57" s="1201"/>
      <c r="DY57" s="1519" t="str">
        <f>IFNA(VLOOKUP(DU57,'法術資料'!$K$2:$X$805,8,FALSE),"")</f>
        <v/>
      </c>
      <c r="DZ57" s="1201"/>
      <c r="EA57" s="1519" t="str">
        <f>IFNA(VLOOKUP(DU57,'法術資料'!$K$2:$X$805,14,FALSE),"")</f>
        <v/>
      </c>
      <c r="EB57" s="1201"/>
      <c r="EC57" s="1394" t="str">
        <f>IFNA(VLOOKUP(DU57,'法術資料'!$K$2:$X$805,13,FALSE),"")</f>
        <v/>
      </c>
      <c r="ED57" s="1394" t="str">
        <f>IFNA(VLOOKUP(DU57,'法術資料'!$K$2:$X$805,5,FALSE),"")</f>
        <v/>
      </c>
      <c r="EE57" s="1394" t="str">
        <f>IFNA(VLOOKUP(DU57,'法術資料'!$K$2:$X$805,6,FALSE),"")</f>
        <v/>
      </c>
      <c r="EF57" s="1395" t="str">
        <f>IFNA(VLOOKUP(DU57,'法術資料'!$K$2:$X$805,9,FALSE),"")</f>
        <v/>
      </c>
      <c r="EG57" s="1396" t="str">
        <f>IFNA(VLOOKUP(DU57,'法術資料'!$K$2:$X$805,10,FALSE),"")</f>
        <v/>
      </c>
      <c r="EH57" s="1396" t="str">
        <f>IFNA(VLOOKUP($Y57,'法術資料'!$K$2:$X$805,11,FALSE),"")</f>
        <v/>
      </c>
      <c r="EI57" s="1519" t="str">
        <f>IFNA(VLOOKUP(DU57,'法術資料'!$K$2:$X$805,12,FALSE),"")</f>
        <v/>
      </c>
      <c r="EJ57" s="517"/>
      <c r="EK57" s="1516"/>
      <c r="EL57" s="455"/>
      <c r="EM57" s="1516"/>
      <c r="EN57" s="1386" t="b">
        <v>0</v>
      </c>
      <c r="EO57" s="1521"/>
      <c r="EP57" s="1520" t="str">
        <f>IFNA(VLOOKUP(EO57,'法術資料'!$K$2:$X$805,4,FALSE),"")
</f>
        <v/>
      </c>
      <c r="EQ57" s="1519" t="str">
        <f>IFNA(VLOOKUP(EO57,'法術資料'!$K$2:$X$805,7,FALSE),"")</f>
        <v/>
      </c>
      <c r="ER57" s="1201"/>
      <c r="ES57" s="1519" t="str">
        <f>IFNA(VLOOKUP(EO57,'法術資料'!$K$2:$X$805,8,FALSE),"")</f>
        <v/>
      </c>
      <c r="ET57" s="1201"/>
      <c r="EU57" s="1519" t="str">
        <f>IFNA(VLOOKUP(EO57,'法術資料'!$K$2:$X$805,14,FALSE),"")</f>
        <v/>
      </c>
      <c r="EV57" s="1201"/>
      <c r="EW57" s="1394" t="str">
        <f>IFNA(VLOOKUP(EO57,'法術資料'!$K$2:$X$805,13,FALSE),"")</f>
        <v/>
      </c>
      <c r="EX57" s="1394" t="str">
        <f>IFNA(VLOOKUP(EO57,'法術資料'!$K$2:$X$805,5,FALSE),"")</f>
        <v/>
      </c>
      <c r="EY57" s="1394" t="str">
        <f>IFNA(VLOOKUP(EO57,'法術資料'!$K$2:$X$805,6,FALSE),"")</f>
        <v/>
      </c>
      <c r="EZ57" s="1395" t="str">
        <f>IFNA(VLOOKUP(EO57,'法術資料'!$K$2:$X$805,9,FALSE),"")</f>
        <v/>
      </c>
      <c r="FA57" s="1396" t="str">
        <f>IFNA(VLOOKUP(EO57,'法術資料'!$K$2:$X$805,10,FALSE),"")</f>
        <v/>
      </c>
      <c r="FB57" s="1396" t="str">
        <f>IFNA(VLOOKUP($Y57,'法術資料'!$K$2:$X$805,11,FALSE),"")</f>
        <v/>
      </c>
      <c r="FC57" s="1519" t="str">
        <f>IFNA(VLOOKUP(EO57,'法術資料'!$K$2:$X$805,12,FALSE),"")</f>
        <v/>
      </c>
      <c r="FD57" s="517"/>
      <c r="FE57" s="1516"/>
      <c r="FF57" s="455"/>
      <c r="FG57" s="1516"/>
      <c r="FH57" s="1386" t="b">
        <v>0</v>
      </c>
      <c r="FI57" s="1521"/>
      <c r="FJ57" s="1520" t="str">
        <f>IFNA(VLOOKUP(FI57,'法術資料'!$K$2:$X$805,4,FALSE),"")
</f>
        <v/>
      </c>
      <c r="FK57" s="1519" t="str">
        <f>IFNA(VLOOKUP(FI57,'法術資料'!$K$2:$X$805,7,FALSE),"")</f>
        <v/>
      </c>
      <c r="FL57" s="1201"/>
      <c r="FM57" s="1519" t="str">
        <f>IFNA(VLOOKUP(FI57,'法術資料'!$K$2:$X$805,8,FALSE),"")</f>
        <v/>
      </c>
      <c r="FN57" s="1201"/>
      <c r="FO57" s="1519" t="str">
        <f>IFNA(VLOOKUP(FI57,'法術資料'!$K$2:$X$805,14,FALSE),"")</f>
        <v/>
      </c>
      <c r="FP57" s="1201"/>
      <c r="FQ57" s="1394" t="str">
        <f>IFNA(VLOOKUP(FI57,'法術資料'!$K$2:$X$805,13,FALSE),"")</f>
        <v/>
      </c>
      <c r="FR57" s="1394" t="str">
        <f>IFNA(VLOOKUP(FI57,'法術資料'!$K$2:$X$805,5,FALSE),"")</f>
        <v/>
      </c>
      <c r="FS57" s="1394" t="str">
        <f>IFNA(VLOOKUP(FI57,'法術資料'!$K$2:$X$805,6,FALSE),"")</f>
        <v/>
      </c>
      <c r="FT57" s="1395" t="str">
        <f>IFNA(VLOOKUP(FI57,'法術資料'!$K$2:$X$805,9,FALSE),"")</f>
        <v/>
      </c>
      <c r="FU57" s="1396" t="str">
        <f>IFNA(VLOOKUP(FI57,'法術資料'!$K$2:$X$805,10,FALSE),"")</f>
        <v/>
      </c>
      <c r="FV57" s="1396" t="str">
        <f>IFNA(VLOOKUP($Y57,'法術資料'!$K$2:$X$805,11,FALSE),"")</f>
        <v/>
      </c>
      <c r="FW57" s="1519" t="str">
        <f>IFNA(VLOOKUP(FI57,'法術資料'!$K$2:$X$805,12,FALSE),"")</f>
        <v/>
      </c>
      <c r="FX57" s="517"/>
      <c r="FY57" s="1516"/>
      <c r="FZ57" s="455"/>
    </row>
    <row r="58" ht="15.0" customHeight="1">
      <c r="A58" s="1522" t="s">
        <v>370</v>
      </c>
      <c r="B58" s="1404"/>
      <c r="C58" s="1404"/>
      <c r="D58" s="1404"/>
      <c r="E58" s="1409"/>
      <c r="F58" s="1409"/>
      <c r="H58" s="1409"/>
      <c r="J58" s="1409"/>
      <c r="L58" s="1409"/>
      <c r="M58" s="1409"/>
      <c r="N58" s="1409"/>
      <c r="O58" s="1409"/>
      <c r="P58" s="1409"/>
      <c r="Q58" s="1409"/>
      <c r="R58" s="1409"/>
      <c r="S58" s="292"/>
      <c r="U58" s="1516"/>
      <c r="V58" s="455"/>
      <c r="W58" s="1404"/>
      <c r="X58" s="1404"/>
      <c r="Y58" s="1404"/>
      <c r="Z58" s="1409"/>
      <c r="AA58" s="1409"/>
      <c r="AC58" s="1409"/>
      <c r="AE58" s="1409"/>
      <c r="AG58" s="1409"/>
      <c r="AH58" s="1409"/>
      <c r="AI58" s="1409"/>
      <c r="AJ58" s="1409"/>
      <c r="AK58" s="1409"/>
      <c r="AL58" s="1409"/>
      <c r="AM58" s="292"/>
      <c r="AP58" s="455"/>
      <c r="AQ58" s="1404"/>
      <c r="AR58" s="1404"/>
      <c r="AS58" s="1404"/>
      <c r="AT58" s="1409"/>
      <c r="AU58" s="1409"/>
      <c r="AV58" s="1409"/>
      <c r="AW58" s="1409"/>
      <c r="AX58" s="1409"/>
      <c r="AY58" s="1409"/>
      <c r="AZ58" s="1409"/>
      <c r="BA58" s="1409"/>
      <c r="BB58" s="1409"/>
      <c r="BC58" s="1409"/>
      <c r="BD58" s="1409"/>
      <c r="BE58" s="1409"/>
      <c r="BF58" s="1409"/>
      <c r="BG58" s="1409"/>
      <c r="BH58" s="292"/>
      <c r="BJ58" s="455"/>
      <c r="BK58" s="1404"/>
      <c r="BL58" s="1404"/>
      <c r="BM58" s="1404"/>
      <c r="BN58" s="1409"/>
      <c r="BO58" s="1409"/>
      <c r="BP58" s="1409"/>
      <c r="BQ58" s="1409"/>
      <c r="BR58" s="1409"/>
      <c r="BS58" s="1409"/>
      <c r="BT58" s="1409"/>
      <c r="BU58" s="1409"/>
      <c r="BV58" s="1409"/>
      <c r="BW58" s="1409"/>
      <c r="BX58" s="1409"/>
      <c r="BY58" s="1409"/>
      <c r="BZ58" s="1409"/>
      <c r="CA58" s="1409"/>
      <c r="CB58" s="292"/>
      <c r="CD58" s="455"/>
      <c r="CE58" s="1404"/>
      <c r="CF58" s="1404"/>
      <c r="CG58" s="1404"/>
      <c r="CH58" s="1409"/>
      <c r="CI58" s="1409"/>
      <c r="CJ58" s="1409"/>
      <c r="CK58" s="1409"/>
      <c r="CL58" s="1409"/>
      <c r="CM58" s="1409"/>
      <c r="CN58" s="1409"/>
      <c r="CO58" s="1409"/>
      <c r="CP58" s="1409"/>
      <c r="CQ58" s="1409"/>
      <c r="CR58" s="1409"/>
      <c r="CS58" s="1409"/>
      <c r="CT58" s="1409"/>
      <c r="CU58" s="1409"/>
      <c r="CV58" s="292"/>
      <c r="CX58" s="455"/>
      <c r="CY58" s="1404"/>
      <c r="CZ58" s="1404"/>
      <c r="DA58" s="1404"/>
      <c r="DB58" s="1409"/>
      <c r="DC58" s="1409"/>
      <c r="DD58" s="1409"/>
      <c r="DE58" s="1409"/>
      <c r="DF58" s="1409"/>
      <c r="DG58" s="1409"/>
      <c r="DH58" s="1409"/>
      <c r="DI58" s="1409"/>
      <c r="DJ58" s="1409"/>
      <c r="DK58" s="1409"/>
      <c r="DL58" s="1409"/>
      <c r="DM58" s="1409"/>
      <c r="DN58" s="1409"/>
      <c r="DO58" s="1409"/>
      <c r="DP58" s="292"/>
      <c r="DR58" s="455"/>
      <c r="DS58" s="1404"/>
      <c r="DT58" s="1404"/>
      <c r="DU58" s="1404"/>
      <c r="DV58" s="1409"/>
      <c r="DW58" s="1409"/>
      <c r="DX58" s="1409"/>
      <c r="DY58" s="1409"/>
      <c r="DZ58" s="1409"/>
      <c r="EA58" s="1409"/>
      <c r="EB58" s="1409"/>
      <c r="EC58" s="1409"/>
      <c r="ED58" s="1409"/>
      <c r="EE58" s="1409"/>
      <c r="EF58" s="1409"/>
      <c r="EG58" s="1409"/>
      <c r="EH58" s="1409"/>
      <c r="EI58" s="1409"/>
      <c r="EJ58" s="292"/>
      <c r="EL58" s="455"/>
      <c r="EM58" s="1404"/>
      <c r="EN58" s="1404"/>
      <c r="EO58" s="1404"/>
      <c r="EP58" s="1409"/>
      <c r="EQ58" s="1409"/>
      <c r="ER58" s="1409"/>
      <c r="ES58" s="1409"/>
      <c r="ET58" s="1409"/>
      <c r="EU58" s="1409"/>
      <c r="EV58" s="1409"/>
      <c r="EW58" s="1409"/>
      <c r="EX58" s="1409"/>
      <c r="EY58" s="1409"/>
      <c r="EZ58" s="1409"/>
      <c r="FA58" s="1409"/>
      <c r="FB58" s="1409"/>
      <c r="FC58" s="1409"/>
      <c r="FD58" s="292"/>
      <c r="FF58" s="455"/>
      <c r="FG58" s="1404"/>
      <c r="FH58" s="1404"/>
      <c r="FI58" s="1404"/>
      <c r="FJ58" s="1409"/>
      <c r="FK58" s="1409"/>
      <c r="FL58" s="1409"/>
      <c r="FM58" s="1409"/>
      <c r="FN58" s="1409"/>
      <c r="FO58" s="1409"/>
      <c r="FP58" s="1409"/>
      <c r="FQ58" s="1409"/>
      <c r="FR58" s="1409"/>
      <c r="FS58" s="1409"/>
      <c r="FT58" s="1409"/>
      <c r="FU58" s="1409"/>
      <c r="FV58" s="1409"/>
      <c r="FW58" s="1409"/>
      <c r="FX58" s="292"/>
      <c r="FZ58" s="455"/>
    </row>
  </sheetData>
  <mergeCells count="1843">
    <mergeCell ref="BM10:BM11"/>
    <mergeCell ref="BN10:BN11"/>
    <mergeCell ref="AY10:AZ11"/>
    <mergeCell ref="BA10:BA11"/>
    <mergeCell ref="BB10:BB11"/>
    <mergeCell ref="BC10:BC11"/>
    <mergeCell ref="BD10:BF10"/>
    <mergeCell ref="BG10:BH11"/>
    <mergeCell ref="BL10:BL11"/>
    <mergeCell ref="CA10:CB11"/>
    <mergeCell ref="CF10:CF11"/>
    <mergeCell ref="BO10:BP11"/>
    <mergeCell ref="BQ10:BR11"/>
    <mergeCell ref="BS10:BT11"/>
    <mergeCell ref="BU10:BU11"/>
    <mergeCell ref="BV10:BV11"/>
    <mergeCell ref="BW10:BW11"/>
    <mergeCell ref="BX10:BZ10"/>
    <mergeCell ref="CQ10:CQ11"/>
    <mergeCell ref="CR10:CT10"/>
    <mergeCell ref="CG10:CG11"/>
    <mergeCell ref="CH10:CH11"/>
    <mergeCell ref="CI10:CJ11"/>
    <mergeCell ref="CK10:CL11"/>
    <mergeCell ref="CM10:CN11"/>
    <mergeCell ref="CO10:CO11"/>
    <mergeCell ref="CP10:CP11"/>
    <mergeCell ref="DC10:DD11"/>
    <mergeCell ref="DE10:DF11"/>
    <mergeCell ref="DJ10:DJ11"/>
    <mergeCell ref="DK10:DK11"/>
    <mergeCell ref="DL10:DN10"/>
    <mergeCell ref="DO10:DP11"/>
    <mergeCell ref="CY2:DQ2"/>
    <mergeCell ref="CZ3:DP8"/>
    <mergeCell ref="CZ9:DP9"/>
    <mergeCell ref="CU10:CV11"/>
    <mergeCell ref="CZ10:CZ11"/>
    <mergeCell ref="DA10:DA11"/>
    <mergeCell ref="DB10:DB11"/>
    <mergeCell ref="EO10:EO11"/>
    <mergeCell ref="EP10:EP11"/>
    <mergeCell ref="EA10:EB11"/>
    <mergeCell ref="EC10:EC11"/>
    <mergeCell ref="ED10:ED11"/>
    <mergeCell ref="EE10:EE11"/>
    <mergeCell ref="EF10:EH10"/>
    <mergeCell ref="EI10:EJ11"/>
    <mergeCell ref="EN10:EN11"/>
    <mergeCell ref="FC10:FD11"/>
    <mergeCell ref="FH10:FH11"/>
    <mergeCell ref="EQ10:ER11"/>
    <mergeCell ref="ES10:ET11"/>
    <mergeCell ref="EU10:EV11"/>
    <mergeCell ref="EW10:EW11"/>
    <mergeCell ref="EX10:EX11"/>
    <mergeCell ref="EY10:EY11"/>
    <mergeCell ref="EZ10:FB10"/>
    <mergeCell ref="FS10:FS11"/>
    <mergeCell ref="FT10:FV10"/>
    <mergeCell ref="FI10:FI11"/>
    <mergeCell ref="FJ10:FJ11"/>
    <mergeCell ref="FK10:FL11"/>
    <mergeCell ref="FM10:FN11"/>
    <mergeCell ref="FO10:FP11"/>
    <mergeCell ref="FQ10:FQ11"/>
    <mergeCell ref="FR10:FR11"/>
    <mergeCell ref="EM2:FE2"/>
    <mergeCell ref="FG2:FY2"/>
    <mergeCell ref="BK2:CC2"/>
    <mergeCell ref="BL3:CB8"/>
    <mergeCell ref="BL9:CB9"/>
    <mergeCell ref="DT3:EJ8"/>
    <mergeCell ref="EN3:FD8"/>
    <mergeCell ref="FH3:FX8"/>
    <mergeCell ref="C9:T9"/>
    <mergeCell ref="X9:AN9"/>
    <mergeCell ref="AR9:BH9"/>
    <mergeCell ref="CF9:CV9"/>
    <mergeCell ref="DT9:EJ9"/>
    <mergeCell ref="EN9:FD9"/>
    <mergeCell ref="FH9:FX9"/>
    <mergeCell ref="B2:U2"/>
    <mergeCell ref="AQ2:BI2"/>
    <mergeCell ref="CE2:CW2"/>
    <mergeCell ref="DS2:EK2"/>
    <mergeCell ref="C3:T8"/>
    <mergeCell ref="AR3:BH8"/>
    <mergeCell ref="CF3:CV8"/>
    <mergeCell ref="N10:N11"/>
    <mergeCell ref="O10:O11"/>
    <mergeCell ref="AR10:AR11"/>
    <mergeCell ref="AS10:AS11"/>
    <mergeCell ref="AT10:AT11"/>
    <mergeCell ref="AU10:AV11"/>
    <mergeCell ref="AW10:AX11"/>
    <mergeCell ref="DG10:DH11"/>
    <mergeCell ref="DI10:DI11"/>
    <mergeCell ref="DT10:DT11"/>
    <mergeCell ref="DU10:DU11"/>
    <mergeCell ref="DV10:DV11"/>
    <mergeCell ref="DW10:DX11"/>
    <mergeCell ref="DY10:DZ11"/>
    <mergeCell ref="FW10:FX11"/>
    <mergeCell ref="AG10:AG11"/>
    <mergeCell ref="AH10:AH11"/>
    <mergeCell ref="AI10:AI11"/>
    <mergeCell ref="AJ10:AL10"/>
    <mergeCell ref="AM12:AN12"/>
    <mergeCell ref="AU12:AV12"/>
    <mergeCell ref="AW12:AX12"/>
    <mergeCell ref="AY12:AZ12"/>
    <mergeCell ref="BG12:BH12"/>
    <mergeCell ref="CA12:CB12"/>
    <mergeCell ref="CI12:CJ12"/>
    <mergeCell ref="CK12:CL12"/>
    <mergeCell ref="CM12:CN12"/>
    <mergeCell ref="CU12:CV12"/>
    <mergeCell ref="DC12:DD12"/>
    <mergeCell ref="DE12:DF12"/>
    <mergeCell ref="ES12:ET12"/>
    <mergeCell ref="EU12:EV12"/>
    <mergeCell ref="FC12:FD12"/>
    <mergeCell ref="FK12:FL12"/>
    <mergeCell ref="FM12:FN12"/>
    <mergeCell ref="FO12:FP12"/>
    <mergeCell ref="FW12:FX12"/>
    <mergeCell ref="DG12:DH12"/>
    <mergeCell ref="DO12:DP12"/>
    <mergeCell ref="DW12:DX12"/>
    <mergeCell ref="DY12:DZ12"/>
    <mergeCell ref="EA12:EB12"/>
    <mergeCell ref="EI12:EJ12"/>
    <mergeCell ref="EQ12:ER12"/>
    <mergeCell ref="BO12:BP12"/>
    <mergeCell ref="BQ12:BR12"/>
    <mergeCell ref="BS12:BT12"/>
    <mergeCell ref="BO13:BP13"/>
    <mergeCell ref="BQ13:BR13"/>
    <mergeCell ref="BS13:BT13"/>
    <mergeCell ref="CA13:CB13"/>
    <mergeCell ref="CI13:CJ13"/>
    <mergeCell ref="CK13:CL13"/>
    <mergeCell ref="CM13:CN13"/>
    <mergeCell ref="CU13:CV13"/>
    <mergeCell ref="DC13:DD13"/>
    <mergeCell ref="DE13:DF13"/>
    <mergeCell ref="DG13:DH13"/>
    <mergeCell ref="EU13:EV13"/>
    <mergeCell ref="FC13:FD13"/>
    <mergeCell ref="FK13:FL13"/>
    <mergeCell ref="FM13:FN13"/>
    <mergeCell ref="FO13:FP13"/>
    <mergeCell ref="FW13:FX13"/>
    <mergeCell ref="DO13:DP13"/>
    <mergeCell ref="DW13:DX13"/>
    <mergeCell ref="DY13:DZ13"/>
    <mergeCell ref="EA13:EB13"/>
    <mergeCell ref="EI13:EJ13"/>
    <mergeCell ref="EQ13:ER13"/>
    <mergeCell ref="ES13:ET13"/>
    <mergeCell ref="Z10:Z11"/>
    <mergeCell ref="AA10:AB11"/>
    <mergeCell ref="AA12:AB12"/>
    <mergeCell ref="AA13:AB13"/>
    <mergeCell ref="AA14:AB14"/>
    <mergeCell ref="AC10:AD11"/>
    <mergeCell ref="AE10:AF11"/>
    <mergeCell ref="AC12:AD12"/>
    <mergeCell ref="AE12:AF12"/>
    <mergeCell ref="AC13:AD13"/>
    <mergeCell ref="AE13:AF13"/>
    <mergeCell ref="AC14:AD14"/>
    <mergeCell ref="AE14:AF14"/>
    <mergeCell ref="AM14:AN14"/>
    <mergeCell ref="AU14:AV14"/>
    <mergeCell ref="AW14:AX14"/>
    <mergeCell ref="AY14:AZ14"/>
    <mergeCell ref="BG14:BH14"/>
    <mergeCell ref="BO14:BP14"/>
    <mergeCell ref="BQ14:BR14"/>
    <mergeCell ref="BS14:BT14"/>
    <mergeCell ref="CA14:CB14"/>
    <mergeCell ref="CI14:CJ14"/>
    <mergeCell ref="CK14:CL14"/>
    <mergeCell ref="CM14:CN14"/>
    <mergeCell ref="CU14:CV14"/>
    <mergeCell ref="ES14:ET14"/>
    <mergeCell ref="EU14:EV14"/>
    <mergeCell ref="FC14:FD14"/>
    <mergeCell ref="FK14:FL14"/>
    <mergeCell ref="FM14:FN14"/>
    <mergeCell ref="FO14:FP14"/>
    <mergeCell ref="FW14:FX14"/>
    <mergeCell ref="DG14:DH14"/>
    <mergeCell ref="DO14:DP14"/>
    <mergeCell ref="DW14:DX14"/>
    <mergeCell ref="DY14:DZ14"/>
    <mergeCell ref="EA14:EB14"/>
    <mergeCell ref="EI14:EJ14"/>
    <mergeCell ref="EQ14:ER14"/>
    <mergeCell ref="P10:R10"/>
    <mergeCell ref="S10:T11"/>
    <mergeCell ref="S12:T12"/>
    <mergeCell ref="S13:T13"/>
    <mergeCell ref="S14:T14"/>
    <mergeCell ref="S15:T15"/>
    <mergeCell ref="X10:X11"/>
    <mergeCell ref="Y10:Y11"/>
    <mergeCell ref="W2:AO2"/>
    <mergeCell ref="X3:AN8"/>
    <mergeCell ref="C10:C11"/>
    <mergeCell ref="D10:D11"/>
    <mergeCell ref="E10:E11"/>
    <mergeCell ref="F10:G11"/>
    <mergeCell ref="H10:I11"/>
    <mergeCell ref="AM10:AN11"/>
    <mergeCell ref="H13:I13"/>
    <mergeCell ref="J13:K13"/>
    <mergeCell ref="AM13:AN13"/>
    <mergeCell ref="AU13:AV13"/>
    <mergeCell ref="AW13:AX13"/>
    <mergeCell ref="AY13:AZ13"/>
    <mergeCell ref="BG13:BH13"/>
    <mergeCell ref="J10:K11"/>
    <mergeCell ref="L10:M11"/>
    <mergeCell ref="F12:G12"/>
    <mergeCell ref="H12:I12"/>
    <mergeCell ref="J12:K12"/>
    <mergeCell ref="L12:M12"/>
    <mergeCell ref="L13:M13"/>
    <mergeCell ref="F13:G13"/>
    <mergeCell ref="F14:G14"/>
    <mergeCell ref="H14:I14"/>
    <mergeCell ref="J14:K14"/>
    <mergeCell ref="L14:M14"/>
    <mergeCell ref="F15:G15"/>
    <mergeCell ref="H15:I15"/>
    <mergeCell ref="CI15:CJ15"/>
    <mergeCell ref="CK15:CL15"/>
    <mergeCell ref="AE16:AF16"/>
    <mergeCell ref="AM16:AN16"/>
    <mergeCell ref="AU16:AV16"/>
    <mergeCell ref="AW16:AX16"/>
    <mergeCell ref="AY16:AZ16"/>
    <mergeCell ref="BG16:BH16"/>
    <mergeCell ref="BO16:BP16"/>
    <mergeCell ref="F16:G16"/>
    <mergeCell ref="H16:I16"/>
    <mergeCell ref="J16:K16"/>
    <mergeCell ref="L16:M16"/>
    <mergeCell ref="S16:T16"/>
    <mergeCell ref="AA16:AB16"/>
    <mergeCell ref="AC16:AD16"/>
    <mergeCell ref="AE20:AF20"/>
    <mergeCell ref="AM20:AN20"/>
    <mergeCell ref="AU20:AV20"/>
    <mergeCell ref="AW20:AX20"/>
    <mergeCell ref="AY20:AZ20"/>
    <mergeCell ref="BG20:BH20"/>
    <mergeCell ref="BO20:BP20"/>
    <mergeCell ref="F20:G20"/>
    <mergeCell ref="H20:I20"/>
    <mergeCell ref="J20:K20"/>
    <mergeCell ref="L20:M20"/>
    <mergeCell ref="S20:T20"/>
    <mergeCell ref="AA20:AB20"/>
    <mergeCell ref="AC20:AD20"/>
    <mergeCell ref="CK21:CL21"/>
    <mergeCell ref="CM21:CN21"/>
    <mergeCell ref="BQ20:BR20"/>
    <mergeCell ref="BS20:BT20"/>
    <mergeCell ref="CA20:CB20"/>
    <mergeCell ref="CK20:CL20"/>
    <mergeCell ref="CM20:CN20"/>
    <mergeCell ref="CU20:CV20"/>
    <mergeCell ref="CA21:CB21"/>
    <mergeCell ref="CU21:CV21"/>
    <mergeCell ref="DC20:DD20"/>
    <mergeCell ref="DE20:DF20"/>
    <mergeCell ref="DG20:DH20"/>
    <mergeCell ref="DO20:DP20"/>
    <mergeCell ref="DW20:DX20"/>
    <mergeCell ref="DY20:DZ20"/>
    <mergeCell ref="EA20:EB20"/>
    <mergeCell ref="DC21:DD21"/>
    <mergeCell ref="DE21:DF21"/>
    <mergeCell ref="DG21:DH21"/>
    <mergeCell ref="DO21:DP21"/>
    <mergeCell ref="DW21:DX21"/>
    <mergeCell ref="DY21:DZ21"/>
    <mergeCell ref="EA21:EB21"/>
    <mergeCell ref="BQ19:BR19"/>
    <mergeCell ref="BS19:BT19"/>
    <mergeCell ref="AE19:AF19"/>
    <mergeCell ref="AM19:AN19"/>
    <mergeCell ref="AU19:AV19"/>
    <mergeCell ref="AW19:AX19"/>
    <mergeCell ref="AY19:AZ19"/>
    <mergeCell ref="BG19:BH19"/>
    <mergeCell ref="BO19:BP19"/>
    <mergeCell ref="FO20:FP20"/>
    <mergeCell ref="FW20:FX20"/>
    <mergeCell ref="EI20:EJ20"/>
    <mergeCell ref="EQ20:ER20"/>
    <mergeCell ref="ES20:ET20"/>
    <mergeCell ref="EU20:EV20"/>
    <mergeCell ref="FC20:FD20"/>
    <mergeCell ref="FK20:FL20"/>
    <mergeCell ref="FM20:FN20"/>
    <mergeCell ref="F21:G21"/>
    <mergeCell ref="H21:I21"/>
    <mergeCell ref="J21:K21"/>
    <mergeCell ref="L21:M21"/>
    <mergeCell ref="S21:T21"/>
    <mergeCell ref="AA21:AB21"/>
    <mergeCell ref="AC21:AD21"/>
    <mergeCell ref="CI20:CJ20"/>
    <mergeCell ref="CI21:CJ21"/>
    <mergeCell ref="FO21:FP21"/>
    <mergeCell ref="FW21:FX21"/>
    <mergeCell ref="EI21:EJ21"/>
    <mergeCell ref="EQ21:ER21"/>
    <mergeCell ref="ES21:ET21"/>
    <mergeCell ref="EU21:EV21"/>
    <mergeCell ref="FC21:FD21"/>
    <mergeCell ref="FK21:FL21"/>
    <mergeCell ref="FM21:FN21"/>
    <mergeCell ref="AE22:AF22"/>
    <mergeCell ref="AM22:AN22"/>
    <mergeCell ref="AU22:AV22"/>
    <mergeCell ref="AW22:AX22"/>
    <mergeCell ref="AY22:AZ22"/>
    <mergeCell ref="BG22:BH22"/>
    <mergeCell ref="BO22:BP22"/>
    <mergeCell ref="F22:G22"/>
    <mergeCell ref="H22:I22"/>
    <mergeCell ref="J22:K22"/>
    <mergeCell ref="L22:M22"/>
    <mergeCell ref="S22:T22"/>
    <mergeCell ref="AA22:AB22"/>
    <mergeCell ref="AC22:AD22"/>
    <mergeCell ref="CK23:CL23"/>
    <mergeCell ref="CM23:CN23"/>
    <mergeCell ref="BQ22:BR22"/>
    <mergeCell ref="BS22:BT22"/>
    <mergeCell ref="CA22:CB22"/>
    <mergeCell ref="CK22:CL22"/>
    <mergeCell ref="CM22:CN22"/>
    <mergeCell ref="CU22:CV22"/>
    <mergeCell ref="CA23:CB23"/>
    <mergeCell ref="CU23:CV23"/>
    <mergeCell ref="DC22:DD22"/>
    <mergeCell ref="DE22:DF22"/>
    <mergeCell ref="DG22:DH22"/>
    <mergeCell ref="DO22:DP22"/>
    <mergeCell ref="DW22:DX22"/>
    <mergeCell ref="DY22:DZ22"/>
    <mergeCell ref="EA22:EB22"/>
    <mergeCell ref="DC23:DD23"/>
    <mergeCell ref="DE23:DF23"/>
    <mergeCell ref="DG23:DH23"/>
    <mergeCell ref="DO23:DP23"/>
    <mergeCell ref="DW23:DX23"/>
    <mergeCell ref="DY23:DZ23"/>
    <mergeCell ref="EA23:EB23"/>
    <mergeCell ref="BQ21:BR21"/>
    <mergeCell ref="BS21:BT21"/>
    <mergeCell ref="AE21:AF21"/>
    <mergeCell ref="AM21:AN21"/>
    <mergeCell ref="AU21:AV21"/>
    <mergeCell ref="AW21:AX21"/>
    <mergeCell ref="AY21:AZ21"/>
    <mergeCell ref="BG21:BH21"/>
    <mergeCell ref="BO21:BP21"/>
    <mergeCell ref="FO22:FP22"/>
    <mergeCell ref="FW22:FX22"/>
    <mergeCell ref="EI22:EJ22"/>
    <mergeCell ref="EQ22:ER22"/>
    <mergeCell ref="ES22:ET22"/>
    <mergeCell ref="EU22:EV22"/>
    <mergeCell ref="FC22:FD22"/>
    <mergeCell ref="FK22:FL22"/>
    <mergeCell ref="FM22:FN22"/>
    <mergeCell ref="F23:G23"/>
    <mergeCell ref="H23:I23"/>
    <mergeCell ref="J23:K23"/>
    <mergeCell ref="L23:M23"/>
    <mergeCell ref="S23:T23"/>
    <mergeCell ref="AA23:AB23"/>
    <mergeCell ref="AC23:AD23"/>
    <mergeCell ref="CI22:CJ22"/>
    <mergeCell ref="CI23:CJ23"/>
    <mergeCell ref="FO23:FP23"/>
    <mergeCell ref="FW23:FX23"/>
    <mergeCell ref="EI23:EJ23"/>
    <mergeCell ref="EQ23:ER23"/>
    <mergeCell ref="ES23:ET23"/>
    <mergeCell ref="EU23:EV23"/>
    <mergeCell ref="FC23:FD23"/>
    <mergeCell ref="FK23:FL23"/>
    <mergeCell ref="FM23:FN23"/>
    <mergeCell ref="AE24:AF24"/>
    <mergeCell ref="AM24:AN24"/>
    <mergeCell ref="AU24:AV24"/>
    <mergeCell ref="AW24:AX24"/>
    <mergeCell ref="AY24:AZ24"/>
    <mergeCell ref="BG24:BH24"/>
    <mergeCell ref="BO24:BP24"/>
    <mergeCell ref="F24:G24"/>
    <mergeCell ref="H24:I24"/>
    <mergeCell ref="J24:K24"/>
    <mergeCell ref="L24:M24"/>
    <mergeCell ref="S24:T24"/>
    <mergeCell ref="AA24:AB24"/>
    <mergeCell ref="AC24:AD24"/>
    <mergeCell ref="CK25:CL25"/>
    <mergeCell ref="CM25:CN25"/>
    <mergeCell ref="BQ24:BR24"/>
    <mergeCell ref="BS24:BT24"/>
    <mergeCell ref="CA24:CB24"/>
    <mergeCell ref="CK24:CL24"/>
    <mergeCell ref="CM24:CN24"/>
    <mergeCell ref="CU24:CV24"/>
    <mergeCell ref="CA25:CB25"/>
    <mergeCell ref="CU25:CV25"/>
    <mergeCell ref="DC24:DD24"/>
    <mergeCell ref="DE24:DF24"/>
    <mergeCell ref="DG24:DH24"/>
    <mergeCell ref="DO24:DP24"/>
    <mergeCell ref="DW24:DX24"/>
    <mergeCell ref="DY24:DZ24"/>
    <mergeCell ref="EA24:EB24"/>
    <mergeCell ref="DC25:DD25"/>
    <mergeCell ref="DE25:DF25"/>
    <mergeCell ref="DG25:DH25"/>
    <mergeCell ref="DO25:DP25"/>
    <mergeCell ref="DW25:DX25"/>
    <mergeCell ref="DY25:DZ25"/>
    <mergeCell ref="EA25:EB25"/>
    <mergeCell ref="BQ23:BR23"/>
    <mergeCell ref="BS23:BT23"/>
    <mergeCell ref="AE23:AF23"/>
    <mergeCell ref="AM23:AN23"/>
    <mergeCell ref="AU23:AV23"/>
    <mergeCell ref="AW23:AX23"/>
    <mergeCell ref="AY23:AZ23"/>
    <mergeCell ref="BG23:BH23"/>
    <mergeCell ref="BO23:BP23"/>
    <mergeCell ref="FO24:FP24"/>
    <mergeCell ref="FW24:FX24"/>
    <mergeCell ref="EI24:EJ24"/>
    <mergeCell ref="EQ24:ER24"/>
    <mergeCell ref="ES24:ET24"/>
    <mergeCell ref="EU24:EV24"/>
    <mergeCell ref="FC24:FD24"/>
    <mergeCell ref="FK24:FL24"/>
    <mergeCell ref="FM24:FN24"/>
    <mergeCell ref="F25:G25"/>
    <mergeCell ref="H25:I25"/>
    <mergeCell ref="J25:K25"/>
    <mergeCell ref="L25:M25"/>
    <mergeCell ref="S25:T25"/>
    <mergeCell ref="AA25:AB25"/>
    <mergeCell ref="AC25:AD25"/>
    <mergeCell ref="CI24:CJ24"/>
    <mergeCell ref="CI25:CJ25"/>
    <mergeCell ref="FO25:FP25"/>
    <mergeCell ref="FW25:FX25"/>
    <mergeCell ref="EI25:EJ25"/>
    <mergeCell ref="EQ25:ER25"/>
    <mergeCell ref="ES25:ET25"/>
    <mergeCell ref="EU25:EV25"/>
    <mergeCell ref="FC25:FD25"/>
    <mergeCell ref="FK25:FL25"/>
    <mergeCell ref="FM25:FN25"/>
    <mergeCell ref="AE26:AF26"/>
    <mergeCell ref="AM26:AN26"/>
    <mergeCell ref="AU26:AV26"/>
    <mergeCell ref="AW26:AX26"/>
    <mergeCell ref="AY26:AZ26"/>
    <mergeCell ref="BG26:BH26"/>
    <mergeCell ref="BO26:BP26"/>
    <mergeCell ref="F26:G26"/>
    <mergeCell ref="H26:I26"/>
    <mergeCell ref="J26:K26"/>
    <mergeCell ref="L26:M26"/>
    <mergeCell ref="S26:T26"/>
    <mergeCell ref="AA26:AB26"/>
    <mergeCell ref="AC26:AD26"/>
    <mergeCell ref="CK27:CL27"/>
    <mergeCell ref="CM27:CN27"/>
    <mergeCell ref="BQ26:BR26"/>
    <mergeCell ref="BS26:BT26"/>
    <mergeCell ref="CA26:CB26"/>
    <mergeCell ref="CK26:CL26"/>
    <mergeCell ref="CM26:CN26"/>
    <mergeCell ref="CU26:CV26"/>
    <mergeCell ref="CA27:CB27"/>
    <mergeCell ref="CU27:CV27"/>
    <mergeCell ref="DC26:DD26"/>
    <mergeCell ref="DE26:DF26"/>
    <mergeCell ref="DG26:DH26"/>
    <mergeCell ref="DO26:DP26"/>
    <mergeCell ref="DW26:DX26"/>
    <mergeCell ref="DY26:DZ26"/>
    <mergeCell ref="EA26:EB26"/>
    <mergeCell ref="DC27:DD27"/>
    <mergeCell ref="DE27:DF27"/>
    <mergeCell ref="DG27:DH27"/>
    <mergeCell ref="DO27:DP27"/>
    <mergeCell ref="DW27:DX27"/>
    <mergeCell ref="DY27:DZ27"/>
    <mergeCell ref="EA27:EB27"/>
    <mergeCell ref="BQ25:BR25"/>
    <mergeCell ref="BS25:BT25"/>
    <mergeCell ref="AE25:AF25"/>
    <mergeCell ref="AM25:AN25"/>
    <mergeCell ref="AU25:AV25"/>
    <mergeCell ref="AW25:AX25"/>
    <mergeCell ref="AY25:AZ25"/>
    <mergeCell ref="BG25:BH25"/>
    <mergeCell ref="BO25:BP25"/>
    <mergeCell ref="FO26:FP26"/>
    <mergeCell ref="FW26:FX26"/>
    <mergeCell ref="EI26:EJ26"/>
    <mergeCell ref="EQ26:ER26"/>
    <mergeCell ref="ES26:ET26"/>
    <mergeCell ref="EU26:EV26"/>
    <mergeCell ref="FC26:FD26"/>
    <mergeCell ref="FK26:FL26"/>
    <mergeCell ref="FM26:FN26"/>
    <mergeCell ref="F27:G27"/>
    <mergeCell ref="H27:I27"/>
    <mergeCell ref="J27:K27"/>
    <mergeCell ref="L27:M27"/>
    <mergeCell ref="S27:T27"/>
    <mergeCell ref="AA27:AB27"/>
    <mergeCell ref="AC27:AD27"/>
    <mergeCell ref="CI26:CJ26"/>
    <mergeCell ref="CI27:CJ27"/>
    <mergeCell ref="FO27:FP27"/>
    <mergeCell ref="FW27:FX27"/>
    <mergeCell ref="EI27:EJ27"/>
    <mergeCell ref="EQ27:ER27"/>
    <mergeCell ref="ES27:ET27"/>
    <mergeCell ref="EU27:EV27"/>
    <mergeCell ref="FC27:FD27"/>
    <mergeCell ref="FK27:FL27"/>
    <mergeCell ref="FM27:FN27"/>
    <mergeCell ref="AE28:AF28"/>
    <mergeCell ref="AM28:AN28"/>
    <mergeCell ref="AU28:AV28"/>
    <mergeCell ref="AW28:AX28"/>
    <mergeCell ref="AY28:AZ28"/>
    <mergeCell ref="BG28:BH28"/>
    <mergeCell ref="BO28:BP28"/>
    <mergeCell ref="F28:G28"/>
    <mergeCell ref="H28:I28"/>
    <mergeCell ref="J28:K28"/>
    <mergeCell ref="L28:M28"/>
    <mergeCell ref="S28:T28"/>
    <mergeCell ref="AA28:AB28"/>
    <mergeCell ref="AC28:AD28"/>
    <mergeCell ref="BQ27:BR27"/>
    <mergeCell ref="BS27:BT27"/>
    <mergeCell ref="AE27:AF27"/>
    <mergeCell ref="AM27:AN27"/>
    <mergeCell ref="AU27:AV27"/>
    <mergeCell ref="AW27:AX27"/>
    <mergeCell ref="AY27:AZ27"/>
    <mergeCell ref="BG27:BH27"/>
    <mergeCell ref="BO27:BP27"/>
    <mergeCell ref="BQ28:BR28"/>
    <mergeCell ref="BS28:BT28"/>
    <mergeCell ref="CA28:CB28"/>
    <mergeCell ref="CI28:CJ28"/>
    <mergeCell ref="CK28:CL28"/>
    <mergeCell ref="CM28:CN28"/>
    <mergeCell ref="CU28:CV28"/>
    <mergeCell ref="DC28:DD28"/>
    <mergeCell ref="DE28:DF28"/>
    <mergeCell ref="DG28:DH28"/>
    <mergeCell ref="DO28:DP28"/>
    <mergeCell ref="DW28:DX28"/>
    <mergeCell ref="DY28:DZ28"/>
    <mergeCell ref="EA28:EB28"/>
    <mergeCell ref="FO28:FP28"/>
    <mergeCell ref="FW28:FX28"/>
    <mergeCell ref="EI28:EJ28"/>
    <mergeCell ref="EQ28:ER28"/>
    <mergeCell ref="ES28:ET28"/>
    <mergeCell ref="EU28:EV28"/>
    <mergeCell ref="FC28:FD28"/>
    <mergeCell ref="FK28:FL28"/>
    <mergeCell ref="FM28:FN28"/>
    <mergeCell ref="F29:G29"/>
    <mergeCell ref="H29:I29"/>
    <mergeCell ref="J29:K29"/>
    <mergeCell ref="L29:M29"/>
    <mergeCell ref="S29:T29"/>
    <mergeCell ref="AA29:AB29"/>
    <mergeCell ref="AC29:AD29"/>
    <mergeCell ref="AW15:AX15"/>
    <mergeCell ref="AY15:AZ15"/>
    <mergeCell ref="J15:K15"/>
    <mergeCell ref="L15:M15"/>
    <mergeCell ref="AA15:AB15"/>
    <mergeCell ref="AC15:AD15"/>
    <mergeCell ref="AE15:AF15"/>
    <mergeCell ref="AM15:AN15"/>
    <mergeCell ref="AU15:AV15"/>
    <mergeCell ref="FO16:FP16"/>
    <mergeCell ref="FW16:FX16"/>
    <mergeCell ref="EI16:EJ16"/>
    <mergeCell ref="EQ16:ER16"/>
    <mergeCell ref="ES16:ET16"/>
    <mergeCell ref="EU16:EV16"/>
    <mergeCell ref="FC16:FD16"/>
    <mergeCell ref="FK16:FL16"/>
    <mergeCell ref="FM16:FN16"/>
    <mergeCell ref="F17:G17"/>
    <mergeCell ref="H17:I17"/>
    <mergeCell ref="J17:K17"/>
    <mergeCell ref="L17:M17"/>
    <mergeCell ref="S17:T17"/>
    <mergeCell ref="AA17:AB17"/>
    <mergeCell ref="AC17:AD17"/>
    <mergeCell ref="CI16:CJ16"/>
    <mergeCell ref="CI17:CJ17"/>
    <mergeCell ref="FO17:FP17"/>
    <mergeCell ref="FW17:FX17"/>
    <mergeCell ref="EI17:EJ17"/>
    <mergeCell ref="EQ17:ER17"/>
    <mergeCell ref="ES17:ET17"/>
    <mergeCell ref="EU17:EV17"/>
    <mergeCell ref="FC17:FD17"/>
    <mergeCell ref="FK17:FL17"/>
    <mergeCell ref="FM17:FN17"/>
    <mergeCell ref="BQ17:BR17"/>
    <mergeCell ref="BS17:BT17"/>
    <mergeCell ref="AE17:AF17"/>
    <mergeCell ref="AM17:AN17"/>
    <mergeCell ref="AU17:AV17"/>
    <mergeCell ref="AW17:AX17"/>
    <mergeCell ref="AY17:AZ17"/>
    <mergeCell ref="BG17:BH17"/>
    <mergeCell ref="BO17:BP17"/>
    <mergeCell ref="FO18:FP18"/>
    <mergeCell ref="FW18:FX18"/>
    <mergeCell ref="EI18:EJ18"/>
    <mergeCell ref="EQ18:ER18"/>
    <mergeCell ref="ES18:ET18"/>
    <mergeCell ref="EU18:EV18"/>
    <mergeCell ref="FC18:FD18"/>
    <mergeCell ref="FK18:FL18"/>
    <mergeCell ref="FM18:FN18"/>
    <mergeCell ref="F19:G19"/>
    <mergeCell ref="H19:I19"/>
    <mergeCell ref="J19:K19"/>
    <mergeCell ref="L19:M19"/>
    <mergeCell ref="S19:T19"/>
    <mergeCell ref="AA19:AB19"/>
    <mergeCell ref="AC19:AD19"/>
    <mergeCell ref="CI18:CJ18"/>
    <mergeCell ref="CI19:CJ19"/>
    <mergeCell ref="FO19:FP19"/>
    <mergeCell ref="FW19:FX19"/>
    <mergeCell ref="EI19:EJ19"/>
    <mergeCell ref="EQ19:ER19"/>
    <mergeCell ref="ES19:ET19"/>
    <mergeCell ref="EU19:EV19"/>
    <mergeCell ref="FC19:FD19"/>
    <mergeCell ref="FK19:FL19"/>
    <mergeCell ref="FM19:FN19"/>
    <mergeCell ref="CM15:CN15"/>
    <mergeCell ref="CU15:CV15"/>
    <mergeCell ref="DC14:DD14"/>
    <mergeCell ref="DE14:DF14"/>
    <mergeCell ref="BG15:BH15"/>
    <mergeCell ref="BO15:BP15"/>
    <mergeCell ref="BQ15:BR15"/>
    <mergeCell ref="BS15:BT15"/>
    <mergeCell ref="CA15:CB15"/>
    <mergeCell ref="DC15:DD15"/>
    <mergeCell ref="DE15:DF15"/>
    <mergeCell ref="DG15:DH15"/>
    <mergeCell ref="DO15:DP15"/>
    <mergeCell ref="DW15:DX15"/>
    <mergeCell ref="DY15:DZ15"/>
    <mergeCell ref="EA15:EB15"/>
    <mergeCell ref="FO15:FP15"/>
    <mergeCell ref="FW15:FX15"/>
    <mergeCell ref="EI15:EJ15"/>
    <mergeCell ref="EQ15:ER15"/>
    <mergeCell ref="ES15:ET15"/>
    <mergeCell ref="EU15:EV15"/>
    <mergeCell ref="FC15:FD15"/>
    <mergeCell ref="FK15:FL15"/>
    <mergeCell ref="FM15:FN15"/>
    <mergeCell ref="CK17:CL17"/>
    <mergeCell ref="CM17:CN17"/>
    <mergeCell ref="BQ16:BR16"/>
    <mergeCell ref="BS16:BT16"/>
    <mergeCell ref="CA16:CB16"/>
    <mergeCell ref="CK16:CL16"/>
    <mergeCell ref="CM16:CN16"/>
    <mergeCell ref="CU16:CV16"/>
    <mergeCell ref="CA17:CB17"/>
    <mergeCell ref="CU17:CV17"/>
    <mergeCell ref="DC16:DD16"/>
    <mergeCell ref="DE16:DF16"/>
    <mergeCell ref="DG16:DH16"/>
    <mergeCell ref="DO16:DP16"/>
    <mergeCell ref="DW16:DX16"/>
    <mergeCell ref="DY16:DZ16"/>
    <mergeCell ref="EA16:EB16"/>
    <mergeCell ref="DC17:DD17"/>
    <mergeCell ref="DE17:DF17"/>
    <mergeCell ref="DG17:DH17"/>
    <mergeCell ref="DO17:DP17"/>
    <mergeCell ref="DW17:DX17"/>
    <mergeCell ref="DY17:DZ17"/>
    <mergeCell ref="EA17:EB17"/>
    <mergeCell ref="AE18:AF18"/>
    <mergeCell ref="AM18:AN18"/>
    <mergeCell ref="AU18:AV18"/>
    <mergeCell ref="AW18:AX18"/>
    <mergeCell ref="AY18:AZ18"/>
    <mergeCell ref="BG18:BH18"/>
    <mergeCell ref="BO18:BP18"/>
    <mergeCell ref="F18:G18"/>
    <mergeCell ref="H18:I18"/>
    <mergeCell ref="J18:K18"/>
    <mergeCell ref="L18:M18"/>
    <mergeCell ref="S18:T18"/>
    <mergeCell ref="AA18:AB18"/>
    <mergeCell ref="AC18:AD18"/>
    <mergeCell ref="CK19:CL19"/>
    <mergeCell ref="CM19:CN19"/>
    <mergeCell ref="BQ18:BR18"/>
    <mergeCell ref="BS18:BT18"/>
    <mergeCell ref="CA18:CB18"/>
    <mergeCell ref="CK18:CL18"/>
    <mergeCell ref="CM18:CN18"/>
    <mergeCell ref="CU18:CV18"/>
    <mergeCell ref="CA19:CB19"/>
    <mergeCell ref="CU19:CV19"/>
    <mergeCell ref="DC18:DD18"/>
    <mergeCell ref="DE18:DF18"/>
    <mergeCell ref="DG18:DH18"/>
    <mergeCell ref="DO18:DP18"/>
    <mergeCell ref="DW18:DX18"/>
    <mergeCell ref="DY18:DZ18"/>
    <mergeCell ref="EA18:EB18"/>
    <mergeCell ref="DC19:DD19"/>
    <mergeCell ref="DE19:DF19"/>
    <mergeCell ref="DG19:DH19"/>
    <mergeCell ref="DO19:DP19"/>
    <mergeCell ref="DW19:DX19"/>
    <mergeCell ref="DY19:DZ19"/>
    <mergeCell ref="EA19:EB19"/>
    <mergeCell ref="AE42:AF42"/>
    <mergeCell ref="AM42:AN42"/>
    <mergeCell ref="AU42:AV42"/>
    <mergeCell ref="AW42:AX42"/>
    <mergeCell ref="AY42:AZ42"/>
    <mergeCell ref="BG42:BH42"/>
    <mergeCell ref="BO42:BP42"/>
    <mergeCell ref="BQ42:BR42"/>
    <mergeCell ref="BS42:BT42"/>
    <mergeCell ref="CA42:CB42"/>
    <mergeCell ref="CI42:CJ42"/>
    <mergeCell ref="CK42:CL42"/>
    <mergeCell ref="CM42:CN42"/>
    <mergeCell ref="CU42:CV42"/>
    <mergeCell ref="DC42:DD42"/>
    <mergeCell ref="DE42:DF42"/>
    <mergeCell ref="DG42:DH42"/>
    <mergeCell ref="DO42:DP42"/>
    <mergeCell ref="DW42:DX42"/>
    <mergeCell ref="DY42:DZ42"/>
    <mergeCell ref="EA42:EB42"/>
    <mergeCell ref="FO42:FP42"/>
    <mergeCell ref="FW42:FX42"/>
    <mergeCell ref="EI42:EJ42"/>
    <mergeCell ref="EQ42:ER42"/>
    <mergeCell ref="ES42:ET42"/>
    <mergeCell ref="EU42:EV42"/>
    <mergeCell ref="FC42:FD42"/>
    <mergeCell ref="FK42:FL42"/>
    <mergeCell ref="FM42:FN42"/>
    <mergeCell ref="AE41:AF41"/>
    <mergeCell ref="AM41:AN41"/>
    <mergeCell ref="AU41:AV41"/>
    <mergeCell ref="AW41:AX41"/>
    <mergeCell ref="AY41:AZ41"/>
    <mergeCell ref="BG41:BH41"/>
    <mergeCell ref="BO41:BP41"/>
    <mergeCell ref="F41:G41"/>
    <mergeCell ref="H41:I41"/>
    <mergeCell ref="J41:K41"/>
    <mergeCell ref="L41:M41"/>
    <mergeCell ref="S41:T41"/>
    <mergeCell ref="AA41:AB41"/>
    <mergeCell ref="AC41:AD41"/>
    <mergeCell ref="FO43:FP43"/>
    <mergeCell ref="FW43:FX43"/>
    <mergeCell ref="EI43:EJ43"/>
    <mergeCell ref="EQ43:ER43"/>
    <mergeCell ref="ES43:ET43"/>
    <mergeCell ref="EU43:EV43"/>
    <mergeCell ref="FC43:FD43"/>
    <mergeCell ref="FK43:FL43"/>
    <mergeCell ref="FM43:FN43"/>
    <mergeCell ref="F44:G44"/>
    <mergeCell ref="H44:I44"/>
    <mergeCell ref="J44:K44"/>
    <mergeCell ref="L44:M44"/>
    <mergeCell ref="S44:T44"/>
    <mergeCell ref="AA44:AB44"/>
    <mergeCell ref="AC44:AD44"/>
    <mergeCell ref="CI43:CJ43"/>
    <mergeCell ref="CI44:CJ44"/>
    <mergeCell ref="FO44:FP44"/>
    <mergeCell ref="FW44:FX44"/>
    <mergeCell ref="EI44:EJ44"/>
    <mergeCell ref="EQ44:ER44"/>
    <mergeCell ref="ES44:ET44"/>
    <mergeCell ref="EU44:EV44"/>
    <mergeCell ref="FC44:FD44"/>
    <mergeCell ref="FK44:FL44"/>
    <mergeCell ref="FM44:FN44"/>
    <mergeCell ref="FC46:FD46"/>
    <mergeCell ref="FK46:FL46"/>
    <mergeCell ref="DW46:DX46"/>
    <mergeCell ref="DY46:DZ46"/>
    <mergeCell ref="EA46:EB46"/>
    <mergeCell ref="EI46:EJ46"/>
    <mergeCell ref="EQ46:ER46"/>
    <mergeCell ref="ES46:ET46"/>
    <mergeCell ref="EU46:EV46"/>
    <mergeCell ref="BQ44:BR44"/>
    <mergeCell ref="BS44:BT44"/>
    <mergeCell ref="AE44:AF44"/>
    <mergeCell ref="AM44:AN44"/>
    <mergeCell ref="AU44:AV44"/>
    <mergeCell ref="AW44:AX44"/>
    <mergeCell ref="AY44:AZ44"/>
    <mergeCell ref="BG44:BH44"/>
    <mergeCell ref="BO44:BP44"/>
    <mergeCell ref="DC45:DD45"/>
    <mergeCell ref="DE45:DF45"/>
    <mergeCell ref="DG45:DH45"/>
    <mergeCell ref="DO45:DP45"/>
    <mergeCell ref="DW45:DX45"/>
    <mergeCell ref="DY45:DZ45"/>
    <mergeCell ref="EA45:EB45"/>
    <mergeCell ref="FO45:FP45"/>
    <mergeCell ref="FW45:FX45"/>
    <mergeCell ref="FM46:FN46"/>
    <mergeCell ref="FO46:FP46"/>
    <mergeCell ref="FW46:FX46"/>
    <mergeCell ref="EI45:EJ45"/>
    <mergeCell ref="EQ45:ER45"/>
    <mergeCell ref="ES45:ET45"/>
    <mergeCell ref="EU45:EV45"/>
    <mergeCell ref="FC45:FD45"/>
    <mergeCell ref="FK45:FL45"/>
    <mergeCell ref="FM45:FN45"/>
    <mergeCell ref="F46:G46"/>
    <mergeCell ref="H46:I46"/>
    <mergeCell ref="J46:K46"/>
    <mergeCell ref="L46:M46"/>
    <mergeCell ref="S46:T46"/>
    <mergeCell ref="AA46:AB46"/>
    <mergeCell ref="AC46:AD46"/>
    <mergeCell ref="CI45:CJ45"/>
    <mergeCell ref="CI46:CJ46"/>
    <mergeCell ref="CU46:CV46"/>
    <mergeCell ref="DC46:DD46"/>
    <mergeCell ref="DE46:DF46"/>
    <mergeCell ref="DG46:DH46"/>
    <mergeCell ref="DO46:DP46"/>
    <mergeCell ref="BQ40:BR40"/>
    <mergeCell ref="BS40:BT40"/>
    <mergeCell ref="AE40:AF40"/>
    <mergeCell ref="AM40:AN40"/>
    <mergeCell ref="AU40:AV40"/>
    <mergeCell ref="AW40:AX40"/>
    <mergeCell ref="AY40:AZ40"/>
    <mergeCell ref="BG40:BH40"/>
    <mergeCell ref="BO40:BP40"/>
    <mergeCell ref="BQ41:BR41"/>
    <mergeCell ref="BS41:BT41"/>
    <mergeCell ref="CA41:CB41"/>
    <mergeCell ref="CI41:CJ41"/>
    <mergeCell ref="CK41:CL41"/>
    <mergeCell ref="CM41:CN41"/>
    <mergeCell ref="CU41:CV41"/>
    <mergeCell ref="DC41:DD41"/>
    <mergeCell ref="DE41:DF41"/>
    <mergeCell ref="DG41:DH41"/>
    <mergeCell ref="DO41:DP41"/>
    <mergeCell ref="DW41:DX41"/>
    <mergeCell ref="DY41:DZ41"/>
    <mergeCell ref="EA41:EB41"/>
    <mergeCell ref="FO41:FP41"/>
    <mergeCell ref="FW41:FX41"/>
    <mergeCell ref="EI41:EJ41"/>
    <mergeCell ref="EQ41:ER41"/>
    <mergeCell ref="ES41:ET41"/>
    <mergeCell ref="EU41:EV41"/>
    <mergeCell ref="FC41:FD41"/>
    <mergeCell ref="FK41:FL41"/>
    <mergeCell ref="FM41:FN41"/>
    <mergeCell ref="F42:G42"/>
    <mergeCell ref="H42:I42"/>
    <mergeCell ref="J42:K42"/>
    <mergeCell ref="L42:M42"/>
    <mergeCell ref="S42:T42"/>
    <mergeCell ref="AA42:AB42"/>
    <mergeCell ref="AC42:AD42"/>
    <mergeCell ref="AE43:AF43"/>
    <mergeCell ref="AM43:AN43"/>
    <mergeCell ref="AU43:AV43"/>
    <mergeCell ref="AW43:AX43"/>
    <mergeCell ref="AY43:AZ43"/>
    <mergeCell ref="BG43:BH43"/>
    <mergeCell ref="BO43:BP43"/>
    <mergeCell ref="F43:G43"/>
    <mergeCell ref="H43:I43"/>
    <mergeCell ref="J43:K43"/>
    <mergeCell ref="L43:M43"/>
    <mergeCell ref="S43:T43"/>
    <mergeCell ref="AA43:AB43"/>
    <mergeCell ref="AC43:AD43"/>
    <mergeCell ref="CK44:CL44"/>
    <mergeCell ref="CM44:CN44"/>
    <mergeCell ref="BQ43:BR43"/>
    <mergeCell ref="BS43:BT43"/>
    <mergeCell ref="CA43:CB43"/>
    <mergeCell ref="CK43:CL43"/>
    <mergeCell ref="CM43:CN43"/>
    <mergeCell ref="CU43:CV43"/>
    <mergeCell ref="CA44:CB44"/>
    <mergeCell ref="CU44:CV44"/>
    <mergeCell ref="DC43:DD43"/>
    <mergeCell ref="DE43:DF43"/>
    <mergeCell ref="DG43:DH43"/>
    <mergeCell ref="DO43:DP43"/>
    <mergeCell ref="DW43:DX43"/>
    <mergeCell ref="DY43:DZ43"/>
    <mergeCell ref="EA43:EB43"/>
    <mergeCell ref="DC44:DD44"/>
    <mergeCell ref="DE44:DF44"/>
    <mergeCell ref="DG44:DH44"/>
    <mergeCell ref="DO44:DP44"/>
    <mergeCell ref="DW44:DX44"/>
    <mergeCell ref="DY44:DZ44"/>
    <mergeCell ref="EA44:EB44"/>
    <mergeCell ref="AE45:AF45"/>
    <mergeCell ref="AM45:AN45"/>
    <mergeCell ref="AU45:AV45"/>
    <mergeCell ref="AW45:AX45"/>
    <mergeCell ref="AY45:AZ45"/>
    <mergeCell ref="BG45:BH45"/>
    <mergeCell ref="BO45:BP45"/>
    <mergeCell ref="F45:G45"/>
    <mergeCell ref="H45:I45"/>
    <mergeCell ref="J45:K45"/>
    <mergeCell ref="L45:M45"/>
    <mergeCell ref="S45:T45"/>
    <mergeCell ref="AA45:AB45"/>
    <mergeCell ref="AC45:AD45"/>
    <mergeCell ref="CK46:CL46"/>
    <mergeCell ref="CM46:CN46"/>
    <mergeCell ref="BQ45:BR45"/>
    <mergeCell ref="BS45:BT45"/>
    <mergeCell ref="CA45:CB45"/>
    <mergeCell ref="CK45:CL45"/>
    <mergeCell ref="CM45:CN45"/>
    <mergeCell ref="CU45:CV45"/>
    <mergeCell ref="CA46:CB46"/>
    <mergeCell ref="AE48:AF48"/>
    <mergeCell ref="AM48:AN48"/>
    <mergeCell ref="AU48:AV48"/>
    <mergeCell ref="AW48:AX48"/>
    <mergeCell ref="AY48:AZ48"/>
    <mergeCell ref="BG48:BH48"/>
    <mergeCell ref="BO48:BP48"/>
    <mergeCell ref="BQ48:BR48"/>
    <mergeCell ref="BS48:BT48"/>
    <mergeCell ref="CA48:CB48"/>
    <mergeCell ref="CI48:CJ48"/>
    <mergeCell ref="CK48:CL48"/>
    <mergeCell ref="CM48:CN48"/>
    <mergeCell ref="CU48:CV48"/>
    <mergeCell ref="DC48:DD48"/>
    <mergeCell ref="DE48:DF48"/>
    <mergeCell ref="DG48:DH48"/>
    <mergeCell ref="DO48:DP48"/>
    <mergeCell ref="DW48:DX48"/>
    <mergeCell ref="DY48:DZ48"/>
    <mergeCell ref="EA48:EB48"/>
    <mergeCell ref="FO48:FP48"/>
    <mergeCell ref="FW48:FX48"/>
    <mergeCell ref="EI48:EJ48"/>
    <mergeCell ref="EQ48:ER48"/>
    <mergeCell ref="ES48:ET48"/>
    <mergeCell ref="EU48:EV48"/>
    <mergeCell ref="FC48:FD48"/>
    <mergeCell ref="FK48:FL48"/>
    <mergeCell ref="FM48:FN48"/>
    <mergeCell ref="AE47:AF47"/>
    <mergeCell ref="AM47:AN47"/>
    <mergeCell ref="AU47:AV47"/>
    <mergeCell ref="AW47:AX47"/>
    <mergeCell ref="AY47:AZ47"/>
    <mergeCell ref="BG47:BH47"/>
    <mergeCell ref="BO47:BP47"/>
    <mergeCell ref="F47:G47"/>
    <mergeCell ref="H47:I47"/>
    <mergeCell ref="J47:K47"/>
    <mergeCell ref="L47:M47"/>
    <mergeCell ref="S47:T47"/>
    <mergeCell ref="AA47:AB47"/>
    <mergeCell ref="AC47:AD47"/>
    <mergeCell ref="FO49:FP49"/>
    <mergeCell ref="FW49:FX49"/>
    <mergeCell ref="EI49:EJ49"/>
    <mergeCell ref="EQ49:ER49"/>
    <mergeCell ref="ES49:ET49"/>
    <mergeCell ref="EU49:EV49"/>
    <mergeCell ref="FC49:FD49"/>
    <mergeCell ref="FK49:FL49"/>
    <mergeCell ref="FM49:FN49"/>
    <mergeCell ref="F50:G50"/>
    <mergeCell ref="H50:I50"/>
    <mergeCell ref="J50:K50"/>
    <mergeCell ref="L50:M50"/>
    <mergeCell ref="S50:T50"/>
    <mergeCell ref="AA50:AB50"/>
    <mergeCell ref="AC50:AD50"/>
    <mergeCell ref="CI49:CJ49"/>
    <mergeCell ref="CI50:CJ50"/>
    <mergeCell ref="FO50:FP50"/>
    <mergeCell ref="FW50:FX50"/>
    <mergeCell ref="EI50:EJ50"/>
    <mergeCell ref="EQ50:ER50"/>
    <mergeCell ref="ES50:ET50"/>
    <mergeCell ref="EU50:EV50"/>
    <mergeCell ref="FC50:FD50"/>
    <mergeCell ref="FK50:FL50"/>
    <mergeCell ref="FM50:FN50"/>
    <mergeCell ref="FC52:FD52"/>
    <mergeCell ref="FK52:FL52"/>
    <mergeCell ref="DW52:DX52"/>
    <mergeCell ref="DY52:DZ52"/>
    <mergeCell ref="EA52:EB52"/>
    <mergeCell ref="EI52:EJ52"/>
    <mergeCell ref="EQ52:ER52"/>
    <mergeCell ref="ES52:ET52"/>
    <mergeCell ref="EU52:EV52"/>
    <mergeCell ref="BQ50:BR50"/>
    <mergeCell ref="BS50:BT50"/>
    <mergeCell ref="AE50:AF50"/>
    <mergeCell ref="AM50:AN50"/>
    <mergeCell ref="AU50:AV50"/>
    <mergeCell ref="AW50:AX50"/>
    <mergeCell ref="AY50:AZ50"/>
    <mergeCell ref="BG50:BH50"/>
    <mergeCell ref="BO50:BP50"/>
    <mergeCell ref="DC51:DD51"/>
    <mergeCell ref="DE51:DF51"/>
    <mergeCell ref="DG51:DH51"/>
    <mergeCell ref="DO51:DP51"/>
    <mergeCell ref="DW51:DX51"/>
    <mergeCell ref="DY51:DZ51"/>
    <mergeCell ref="EA51:EB51"/>
    <mergeCell ref="FO51:FP51"/>
    <mergeCell ref="FW51:FX51"/>
    <mergeCell ref="FM52:FN52"/>
    <mergeCell ref="FO52:FP52"/>
    <mergeCell ref="FW52:FX52"/>
    <mergeCell ref="EI51:EJ51"/>
    <mergeCell ref="EQ51:ER51"/>
    <mergeCell ref="ES51:ET51"/>
    <mergeCell ref="EU51:EV51"/>
    <mergeCell ref="FC51:FD51"/>
    <mergeCell ref="FK51:FL51"/>
    <mergeCell ref="FM51:FN51"/>
    <mergeCell ref="F52:G52"/>
    <mergeCell ref="H52:I52"/>
    <mergeCell ref="J52:K52"/>
    <mergeCell ref="L52:M52"/>
    <mergeCell ref="S52:T52"/>
    <mergeCell ref="AA52:AB52"/>
    <mergeCell ref="AC52:AD52"/>
    <mergeCell ref="CI51:CJ51"/>
    <mergeCell ref="CI52:CJ52"/>
    <mergeCell ref="CU52:CV52"/>
    <mergeCell ref="DC52:DD52"/>
    <mergeCell ref="DE52:DF52"/>
    <mergeCell ref="DG52:DH52"/>
    <mergeCell ref="DO52:DP52"/>
    <mergeCell ref="BQ46:BR46"/>
    <mergeCell ref="BS46:BT46"/>
    <mergeCell ref="AE46:AF46"/>
    <mergeCell ref="AM46:AN46"/>
    <mergeCell ref="AU46:AV46"/>
    <mergeCell ref="AW46:AX46"/>
    <mergeCell ref="AY46:AZ46"/>
    <mergeCell ref="BG46:BH46"/>
    <mergeCell ref="BO46:BP46"/>
    <mergeCell ref="BQ47:BR47"/>
    <mergeCell ref="BS47:BT47"/>
    <mergeCell ref="CA47:CB47"/>
    <mergeCell ref="CI47:CJ47"/>
    <mergeCell ref="CK47:CL47"/>
    <mergeCell ref="CM47:CN47"/>
    <mergeCell ref="CU47:CV47"/>
    <mergeCell ref="DC47:DD47"/>
    <mergeCell ref="DE47:DF47"/>
    <mergeCell ref="DG47:DH47"/>
    <mergeCell ref="DO47:DP47"/>
    <mergeCell ref="DW47:DX47"/>
    <mergeCell ref="DY47:DZ47"/>
    <mergeCell ref="EA47:EB47"/>
    <mergeCell ref="FO47:FP47"/>
    <mergeCell ref="FW47:FX47"/>
    <mergeCell ref="EI47:EJ47"/>
    <mergeCell ref="EQ47:ER47"/>
    <mergeCell ref="ES47:ET47"/>
    <mergeCell ref="EU47:EV47"/>
    <mergeCell ref="FC47:FD47"/>
    <mergeCell ref="FK47:FL47"/>
    <mergeCell ref="FM47:FN47"/>
    <mergeCell ref="F48:G48"/>
    <mergeCell ref="H48:I48"/>
    <mergeCell ref="J48:K48"/>
    <mergeCell ref="L48:M48"/>
    <mergeCell ref="S48:T48"/>
    <mergeCell ref="AA48:AB48"/>
    <mergeCell ref="AC48:AD48"/>
    <mergeCell ref="AE49:AF49"/>
    <mergeCell ref="AM49:AN49"/>
    <mergeCell ref="AU49:AV49"/>
    <mergeCell ref="AW49:AX49"/>
    <mergeCell ref="AY49:AZ49"/>
    <mergeCell ref="BG49:BH49"/>
    <mergeCell ref="BO49:BP49"/>
    <mergeCell ref="F49:G49"/>
    <mergeCell ref="H49:I49"/>
    <mergeCell ref="J49:K49"/>
    <mergeCell ref="L49:M49"/>
    <mergeCell ref="S49:T49"/>
    <mergeCell ref="AA49:AB49"/>
    <mergeCell ref="AC49:AD49"/>
    <mergeCell ref="CK50:CL50"/>
    <mergeCell ref="CM50:CN50"/>
    <mergeCell ref="BQ49:BR49"/>
    <mergeCell ref="BS49:BT49"/>
    <mergeCell ref="CA49:CB49"/>
    <mergeCell ref="CK49:CL49"/>
    <mergeCell ref="CM49:CN49"/>
    <mergeCell ref="CU49:CV49"/>
    <mergeCell ref="CA50:CB50"/>
    <mergeCell ref="CU50:CV50"/>
    <mergeCell ref="DC49:DD49"/>
    <mergeCell ref="DE49:DF49"/>
    <mergeCell ref="DG49:DH49"/>
    <mergeCell ref="DO49:DP49"/>
    <mergeCell ref="DW49:DX49"/>
    <mergeCell ref="DY49:DZ49"/>
    <mergeCell ref="EA49:EB49"/>
    <mergeCell ref="DC50:DD50"/>
    <mergeCell ref="DE50:DF50"/>
    <mergeCell ref="DG50:DH50"/>
    <mergeCell ref="DO50:DP50"/>
    <mergeCell ref="DW50:DX50"/>
    <mergeCell ref="DY50:DZ50"/>
    <mergeCell ref="EA50:EB50"/>
    <mergeCell ref="AE51:AF51"/>
    <mergeCell ref="AM51:AN51"/>
    <mergeCell ref="AU51:AV51"/>
    <mergeCell ref="AW51:AX51"/>
    <mergeCell ref="AY51:AZ51"/>
    <mergeCell ref="BG51:BH51"/>
    <mergeCell ref="BO51:BP51"/>
    <mergeCell ref="F51:G51"/>
    <mergeCell ref="H51:I51"/>
    <mergeCell ref="J51:K51"/>
    <mergeCell ref="L51:M51"/>
    <mergeCell ref="S51:T51"/>
    <mergeCell ref="AA51:AB51"/>
    <mergeCell ref="AC51:AD51"/>
    <mergeCell ref="CK52:CL52"/>
    <mergeCell ref="CM52:CN52"/>
    <mergeCell ref="BQ51:BR51"/>
    <mergeCell ref="BS51:BT51"/>
    <mergeCell ref="CA51:CB51"/>
    <mergeCell ref="CK51:CL51"/>
    <mergeCell ref="CM51:CN51"/>
    <mergeCell ref="CU51:CV51"/>
    <mergeCell ref="CA52:CB52"/>
    <mergeCell ref="AE54:AF54"/>
    <mergeCell ref="AM54:AN54"/>
    <mergeCell ref="AU54:AV54"/>
    <mergeCell ref="AW54:AX54"/>
    <mergeCell ref="AY54:AZ54"/>
    <mergeCell ref="BG54:BH54"/>
    <mergeCell ref="BO54:BP54"/>
    <mergeCell ref="BQ54:BR54"/>
    <mergeCell ref="BS54:BT54"/>
    <mergeCell ref="CA54:CB54"/>
    <mergeCell ref="CI54:CJ54"/>
    <mergeCell ref="CK54:CL54"/>
    <mergeCell ref="CM54:CN54"/>
    <mergeCell ref="CU54:CV54"/>
    <mergeCell ref="DC54:DD54"/>
    <mergeCell ref="DE54:DF54"/>
    <mergeCell ref="DG54:DH54"/>
    <mergeCell ref="DO54:DP54"/>
    <mergeCell ref="DW54:DX54"/>
    <mergeCell ref="DY54:DZ54"/>
    <mergeCell ref="EA54:EB54"/>
    <mergeCell ref="FO54:FP54"/>
    <mergeCell ref="FW54:FX54"/>
    <mergeCell ref="EI54:EJ54"/>
    <mergeCell ref="EQ54:ER54"/>
    <mergeCell ref="ES54:ET54"/>
    <mergeCell ref="EU54:EV54"/>
    <mergeCell ref="FC54:FD54"/>
    <mergeCell ref="FK54:FL54"/>
    <mergeCell ref="FM54:FN54"/>
    <mergeCell ref="AE30:AF30"/>
    <mergeCell ref="AM30:AN30"/>
    <mergeCell ref="AU30:AV30"/>
    <mergeCell ref="AW30:AX30"/>
    <mergeCell ref="AY30:AZ30"/>
    <mergeCell ref="BG30:BH30"/>
    <mergeCell ref="BO30:BP30"/>
    <mergeCell ref="BQ30:BR30"/>
    <mergeCell ref="BS30:BT30"/>
    <mergeCell ref="CA30:CB30"/>
    <mergeCell ref="CI30:CJ30"/>
    <mergeCell ref="CK30:CL30"/>
    <mergeCell ref="CM30:CN30"/>
    <mergeCell ref="CU30:CV30"/>
    <mergeCell ref="BQ29:BR29"/>
    <mergeCell ref="BS29:BT29"/>
    <mergeCell ref="CA29:CB29"/>
    <mergeCell ref="CI29:CJ29"/>
    <mergeCell ref="CK29:CL29"/>
    <mergeCell ref="CM29:CN29"/>
    <mergeCell ref="CU29:CV29"/>
    <mergeCell ref="DC29:DD29"/>
    <mergeCell ref="DE29:DF29"/>
    <mergeCell ref="DG29:DH29"/>
    <mergeCell ref="DO29:DP29"/>
    <mergeCell ref="DW29:DX29"/>
    <mergeCell ref="DY29:DZ29"/>
    <mergeCell ref="EA29:EB29"/>
    <mergeCell ref="FO29:FP29"/>
    <mergeCell ref="FW29:FX29"/>
    <mergeCell ref="EI29:EJ29"/>
    <mergeCell ref="EQ29:ER29"/>
    <mergeCell ref="ES29:ET29"/>
    <mergeCell ref="EU29:EV29"/>
    <mergeCell ref="FC29:FD29"/>
    <mergeCell ref="FK29:FL29"/>
    <mergeCell ref="FM29:FN29"/>
    <mergeCell ref="AE29:AF29"/>
    <mergeCell ref="AM29:AN29"/>
    <mergeCell ref="AU29:AV29"/>
    <mergeCell ref="AW29:AX29"/>
    <mergeCell ref="AY29:AZ29"/>
    <mergeCell ref="BG29:BH29"/>
    <mergeCell ref="BO29:BP29"/>
    <mergeCell ref="F30:G30"/>
    <mergeCell ref="H30:I30"/>
    <mergeCell ref="J30:K30"/>
    <mergeCell ref="L30:M30"/>
    <mergeCell ref="S30:T30"/>
    <mergeCell ref="AA30:AB30"/>
    <mergeCell ref="AC30:AD30"/>
    <mergeCell ref="DC30:DD30"/>
    <mergeCell ref="DE30:DF30"/>
    <mergeCell ref="DG30:DH30"/>
    <mergeCell ref="DO30:DP30"/>
    <mergeCell ref="DW30:DX30"/>
    <mergeCell ref="DY30:DZ30"/>
    <mergeCell ref="EA30:EB30"/>
    <mergeCell ref="AE31:AF31"/>
    <mergeCell ref="AM31:AN31"/>
    <mergeCell ref="AU31:AV31"/>
    <mergeCell ref="AW31:AX31"/>
    <mergeCell ref="AY31:AZ31"/>
    <mergeCell ref="BG31:BH31"/>
    <mergeCell ref="BO31:BP31"/>
    <mergeCell ref="F31:G31"/>
    <mergeCell ref="H31:I31"/>
    <mergeCell ref="J31:K31"/>
    <mergeCell ref="L31:M31"/>
    <mergeCell ref="S31:T31"/>
    <mergeCell ref="AA31:AB31"/>
    <mergeCell ref="AC31:AD31"/>
    <mergeCell ref="CK32:CL32"/>
    <mergeCell ref="CM32:CN32"/>
    <mergeCell ref="BQ31:BR31"/>
    <mergeCell ref="BS31:BT31"/>
    <mergeCell ref="CA31:CB31"/>
    <mergeCell ref="CK31:CL31"/>
    <mergeCell ref="CM31:CN31"/>
    <mergeCell ref="CU31:CV31"/>
    <mergeCell ref="CA32:CB32"/>
    <mergeCell ref="CU32:CV32"/>
    <mergeCell ref="DC31:DD31"/>
    <mergeCell ref="DE31:DF31"/>
    <mergeCell ref="DG31:DH31"/>
    <mergeCell ref="DO31:DP31"/>
    <mergeCell ref="DW31:DX31"/>
    <mergeCell ref="DY31:DZ31"/>
    <mergeCell ref="EA31:EB31"/>
    <mergeCell ref="DC32:DD32"/>
    <mergeCell ref="DE32:DF32"/>
    <mergeCell ref="DG32:DH32"/>
    <mergeCell ref="DO32:DP32"/>
    <mergeCell ref="DW32:DX32"/>
    <mergeCell ref="DY32:DZ32"/>
    <mergeCell ref="EA32:EB32"/>
    <mergeCell ref="FO30:FP30"/>
    <mergeCell ref="FW30:FX30"/>
    <mergeCell ref="EI30:EJ30"/>
    <mergeCell ref="EQ30:ER30"/>
    <mergeCell ref="ES30:ET30"/>
    <mergeCell ref="EU30:EV30"/>
    <mergeCell ref="FC30:FD30"/>
    <mergeCell ref="FK30:FL30"/>
    <mergeCell ref="FM30:FN30"/>
    <mergeCell ref="FO31:FP31"/>
    <mergeCell ref="FW31:FX31"/>
    <mergeCell ref="EI31:EJ31"/>
    <mergeCell ref="EQ31:ER31"/>
    <mergeCell ref="ES31:ET31"/>
    <mergeCell ref="EU31:EV31"/>
    <mergeCell ref="FC31:FD31"/>
    <mergeCell ref="FK31:FL31"/>
    <mergeCell ref="FM31:FN31"/>
    <mergeCell ref="F32:G32"/>
    <mergeCell ref="H32:I32"/>
    <mergeCell ref="J32:K32"/>
    <mergeCell ref="L32:M32"/>
    <mergeCell ref="S32:T32"/>
    <mergeCell ref="AA32:AB32"/>
    <mergeCell ref="AC32:AD32"/>
    <mergeCell ref="CI31:CJ31"/>
    <mergeCell ref="CI32:CJ32"/>
    <mergeCell ref="FO32:FP32"/>
    <mergeCell ref="FW32:FX32"/>
    <mergeCell ref="EI32:EJ32"/>
    <mergeCell ref="EQ32:ER32"/>
    <mergeCell ref="ES32:ET32"/>
    <mergeCell ref="EU32:EV32"/>
    <mergeCell ref="FC32:FD32"/>
    <mergeCell ref="FK32:FL32"/>
    <mergeCell ref="FM32:FN32"/>
    <mergeCell ref="AE33:AF33"/>
    <mergeCell ref="AM33:AN33"/>
    <mergeCell ref="AU33:AV33"/>
    <mergeCell ref="AW33:AX33"/>
    <mergeCell ref="AY33:AZ33"/>
    <mergeCell ref="BG33:BH33"/>
    <mergeCell ref="BO33:BP33"/>
    <mergeCell ref="F33:G33"/>
    <mergeCell ref="H33:I33"/>
    <mergeCell ref="J33:K33"/>
    <mergeCell ref="L33:M33"/>
    <mergeCell ref="S33:T33"/>
    <mergeCell ref="AA33:AB33"/>
    <mergeCell ref="AC33:AD33"/>
    <mergeCell ref="CK34:CL34"/>
    <mergeCell ref="CM34:CN34"/>
    <mergeCell ref="BQ33:BR33"/>
    <mergeCell ref="BS33:BT33"/>
    <mergeCell ref="CA33:CB33"/>
    <mergeCell ref="CK33:CL33"/>
    <mergeCell ref="CM33:CN33"/>
    <mergeCell ref="CU33:CV33"/>
    <mergeCell ref="CA34:CB34"/>
    <mergeCell ref="CU34:CV34"/>
    <mergeCell ref="DC33:DD33"/>
    <mergeCell ref="DE33:DF33"/>
    <mergeCell ref="DG33:DH33"/>
    <mergeCell ref="DO33:DP33"/>
    <mergeCell ref="DW33:DX33"/>
    <mergeCell ref="DY33:DZ33"/>
    <mergeCell ref="EA33:EB33"/>
    <mergeCell ref="DC34:DD34"/>
    <mergeCell ref="DE34:DF34"/>
    <mergeCell ref="DG34:DH34"/>
    <mergeCell ref="DO34:DP34"/>
    <mergeCell ref="DW34:DX34"/>
    <mergeCell ref="DY34:DZ34"/>
    <mergeCell ref="EA34:EB34"/>
    <mergeCell ref="BQ32:BR32"/>
    <mergeCell ref="BS32:BT32"/>
    <mergeCell ref="AE32:AF32"/>
    <mergeCell ref="AM32:AN32"/>
    <mergeCell ref="AU32:AV32"/>
    <mergeCell ref="AW32:AX32"/>
    <mergeCell ref="AY32:AZ32"/>
    <mergeCell ref="BG32:BH32"/>
    <mergeCell ref="BO32:BP32"/>
    <mergeCell ref="FO33:FP33"/>
    <mergeCell ref="FW33:FX33"/>
    <mergeCell ref="EI33:EJ33"/>
    <mergeCell ref="EQ33:ER33"/>
    <mergeCell ref="ES33:ET33"/>
    <mergeCell ref="EU33:EV33"/>
    <mergeCell ref="FC33:FD33"/>
    <mergeCell ref="FK33:FL33"/>
    <mergeCell ref="FM33:FN33"/>
    <mergeCell ref="F34:G34"/>
    <mergeCell ref="H34:I34"/>
    <mergeCell ref="J34:K34"/>
    <mergeCell ref="L34:M34"/>
    <mergeCell ref="S34:T34"/>
    <mergeCell ref="AA34:AB34"/>
    <mergeCell ref="AC34:AD34"/>
    <mergeCell ref="CI33:CJ33"/>
    <mergeCell ref="CI34:CJ34"/>
    <mergeCell ref="FO34:FP34"/>
    <mergeCell ref="FW34:FX34"/>
    <mergeCell ref="EI34:EJ34"/>
    <mergeCell ref="EQ34:ER34"/>
    <mergeCell ref="ES34:ET34"/>
    <mergeCell ref="EU34:EV34"/>
    <mergeCell ref="FC34:FD34"/>
    <mergeCell ref="FK34:FL34"/>
    <mergeCell ref="FM34:FN34"/>
    <mergeCell ref="AE35:AF35"/>
    <mergeCell ref="AM35:AN35"/>
    <mergeCell ref="AU35:AV35"/>
    <mergeCell ref="AW35:AX35"/>
    <mergeCell ref="AY35:AZ35"/>
    <mergeCell ref="BG35:BH35"/>
    <mergeCell ref="BO35:BP35"/>
    <mergeCell ref="F35:G35"/>
    <mergeCell ref="H35:I35"/>
    <mergeCell ref="J35:K35"/>
    <mergeCell ref="L35:M35"/>
    <mergeCell ref="S35:T35"/>
    <mergeCell ref="AA35:AB35"/>
    <mergeCell ref="AC35:AD35"/>
    <mergeCell ref="CK36:CL36"/>
    <mergeCell ref="CM36:CN36"/>
    <mergeCell ref="BQ35:BR35"/>
    <mergeCell ref="BS35:BT35"/>
    <mergeCell ref="CA35:CB35"/>
    <mergeCell ref="CK35:CL35"/>
    <mergeCell ref="CM35:CN35"/>
    <mergeCell ref="CU35:CV35"/>
    <mergeCell ref="CA36:CB36"/>
    <mergeCell ref="CU36:CV36"/>
    <mergeCell ref="DC35:DD35"/>
    <mergeCell ref="DE35:DF35"/>
    <mergeCell ref="DG35:DH35"/>
    <mergeCell ref="DO35:DP35"/>
    <mergeCell ref="DW35:DX35"/>
    <mergeCell ref="DY35:DZ35"/>
    <mergeCell ref="EA35:EB35"/>
    <mergeCell ref="DC36:DD36"/>
    <mergeCell ref="DE36:DF36"/>
    <mergeCell ref="DG36:DH36"/>
    <mergeCell ref="DO36:DP36"/>
    <mergeCell ref="DW36:DX36"/>
    <mergeCell ref="DY36:DZ36"/>
    <mergeCell ref="EA36:EB36"/>
    <mergeCell ref="BQ34:BR34"/>
    <mergeCell ref="BS34:BT34"/>
    <mergeCell ref="AE34:AF34"/>
    <mergeCell ref="AM34:AN34"/>
    <mergeCell ref="AU34:AV34"/>
    <mergeCell ref="AW34:AX34"/>
    <mergeCell ref="AY34:AZ34"/>
    <mergeCell ref="BG34:BH34"/>
    <mergeCell ref="BO34:BP34"/>
    <mergeCell ref="FO35:FP35"/>
    <mergeCell ref="FW35:FX35"/>
    <mergeCell ref="EI35:EJ35"/>
    <mergeCell ref="EQ35:ER35"/>
    <mergeCell ref="ES35:ET35"/>
    <mergeCell ref="EU35:EV35"/>
    <mergeCell ref="FC35:FD35"/>
    <mergeCell ref="FK35:FL35"/>
    <mergeCell ref="FM35:FN35"/>
    <mergeCell ref="F36:G36"/>
    <mergeCell ref="H36:I36"/>
    <mergeCell ref="J36:K36"/>
    <mergeCell ref="L36:M36"/>
    <mergeCell ref="S36:T36"/>
    <mergeCell ref="AA36:AB36"/>
    <mergeCell ref="AC36:AD36"/>
    <mergeCell ref="CI35:CJ35"/>
    <mergeCell ref="CI36:CJ36"/>
    <mergeCell ref="FO36:FP36"/>
    <mergeCell ref="FW36:FX36"/>
    <mergeCell ref="EI36:EJ36"/>
    <mergeCell ref="EQ36:ER36"/>
    <mergeCell ref="ES36:ET36"/>
    <mergeCell ref="EU36:EV36"/>
    <mergeCell ref="FC36:FD36"/>
    <mergeCell ref="FK36:FL36"/>
    <mergeCell ref="FM36:FN36"/>
    <mergeCell ref="AE37:AF37"/>
    <mergeCell ref="AM37:AN37"/>
    <mergeCell ref="AU37:AV37"/>
    <mergeCell ref="AW37:AX37"/>
    <mergeCell ref="AY37:AZ37"/>
    <mergeCell ref="BG37:BH37"/>
    <mergeCell ref="BO37:BP37"/>
    <mergeCell ref="F37:G37"/>
    <mergeCell ref="H37:I37"/>
    <mergeCell ref="J37:K37"/>
    <mergeCell ref="L37:M37"/>
    <mergeCell ref="S37:T37"/>
    <mergeCell ref="AA37:AB37"/>
    <mergeCell ref="AC37:AD37"/>
    <mergeCell ref="CK38:CL38"/>
    <mergeCell ref="CM38:CN38"/>
    <mergeCell ref="BQ37:BR37"/>
    <mergeCell ref="BS37:BT37"/>
    <mergeCell ref="CA37:CB37"/>
    <mergeCell ref="CK37:CL37"/>
    <mergeCell ref="CM37:CN37"/>
    <mergeCell ref="CU37:CV37"/>
    <mergeCell ref="CA38:CB38"/>
    <mergeCell ref="CU38:CV38"/>
    <mergeCell ref="DC37:DD37"/>
    <mergeCell ref="DE37:DF37"/>
    <mergeCell ref="DG37:DH37"/>
    <mergeCell ref="DO37:DP37"/>
    <mergeCell ref="DW37:DX37"/>
    <mergeCell ref="DY37:DZ37"/>
    <mergeCell ref="EA37:EB37"/>
    <mergeCell ref="DC38:DD38"/>
    <mergeCell ref="DE38:DF38"/>
    <mergeCell ref="DG38:DH38"/>
    <mergeCell ref="DO38:DP38"/>
    <mergeCell ref="DW38:DX38"/>
    <mergeCell ref="DY38:DZ38"/>
    <mergeCell ref="EA38:EB38"/>
    <mergeCell ref="BQ36:BR36"/>
    <mergeCell ref="BS36:BT36"/>
    <mergeCell ref="AE36:AF36"/>
    <mergeCell ref="AM36:AN36"/>
    <mergeCell ref="AU36:AV36"/>
    <mergeCell ref="AW36:AX36"/>
    <mergeCell ref="AY36:AZ36"/>
    <mergeCell ref="BG36:BH36"/>
    <mergeCell ref="BO36:BP36"/>
    <mergeCell ref="FO37:FP37"/>
    <mergeCell ref="FW37:FX37"/>
    <mergeCell ref="EI37:EJ37"/>
    <mergeCell ref="EQ37:ER37"/>
    <mergeCell ref="ES37:ET37"/>
    <mergeCell ref="EU37:EV37"/>
    <mergeCell ref="FC37:FD37"/>
    <mergeCell ref="FK37:FL37"/>
    <mergeCell ref="FM37:FN37"/>
    <mergeCell ref="F38:G38"/>
    <mergeCell ref="H38:I38"/>
    <mergeCell ref="J38:K38"/>
    <mergeCell ref="L38:M38"/>
    <mergeCell ref="S38:T38"/>
    <mergeCell ref="AA38:AB38"/>
    <mergeCell ref="AC38:AD38"/>
    <mergeCell ref="CI37:CJ37"/>
    <mergeCell ref="CI38:CJ38"/>
    <mergeCell ref="FO38:FP38"/>
    <mergeCell ref="FW38:FX38"/>
    <mergeCell ref="EI38:EJ38"/>
    <mergeCell ref="EQ38:ER38"/>
    <mergeCell ref="ES38:ET38"/>
    <mergeCell ref="EU38:EV38"/>
    <mergeCell ref="FC38:FD38"/>
    <mergeCell ref="FK38:FL38"/>
    <mergeCell ref="FM38:FN38"/>
    <mergeCell ref="AE39:AF39"/>
    <mergeCell ref="AM39:AN39"/>
    <mergeCell ref="AU39:AV39"/>
    <mergeCell ref="AW39:AX39"/>
    <mergeCell ref="AY39:AZ39"/>
    <mergeCell ref="BG39:BH39"/>
    <mergeCell ref="BO39:BP39"/>
    <mergeCell ref="F39:G39"/>
    <mergeCell ref="H39:I39"/>
    <mergeCell ref="J39:K39"/>
    <mergeCell ref="L39:M39"/>
    <mergeCell ref="S39:T39"/>
    <mergeCell ref="AA39:AB39"/>
    <mergeCell ref="AC39:AD39"/>
    <mergeCell ref="CK40:CL40"/>
    <mergeCell ref="CM40:CN40"/>
    <mergeCell ref="BQ39:BR39"/>
    <mergeCell ref="BS39:BT39"/>
    <mergeCell ref="CA39:CB39"/>
    <mergeCell ref="CK39:CL39"/>
    <mergeCell ref="CM39:CN39"/>
    <mergeCell ref="CU39:CV39"/>
    <mergeCell ref="CA40:CB40"/>
    <mergeCell ref="CU40:CV40"/>
    <mergeCell ref="DC39:DD39"/>
    <mergeCell ref="DE39:DF39"/>
    <mergeCell ref="DG39:DH39"/>
    <mergeCell ref="DO39:DP39"/>
    <mergeCell ref="DW39:DX39"/>
    <mergeCell ref="DY39:DZ39"/>
    <mergeCell ref="EA39:EB39"/>
    <mergeCell ref="DC40:DD40"/>
    <mergeCell ref="DE40:DF40"/>
    <mergeCell ref="DG40:DH40"/>
    <mergeCell ref="DO40:DP40"/>
    <mergeCell ref="DW40:DX40"/>
    <mergeCell ref="DY40:DZ40"/>
    <mergeCell ref="EA40:EB40"/>
    <mergeCell ref="BQ38:BR38"/>
    <mergeCell ref="BS38:BT38"/>
    <mergeCell ref="AE38:AF38"/>
    <mergeCell ref="AM38:AN38"/>
    <mergeCell ref="AU38:AV38"/>
    <mergeCell ref="AW38:AX38"/>
    <mergeCell ref="AY38:AZ38"/>
    <mergeCell ref="BG38:BH38"/>
    <mergeCell ref="BO38:BP38"/>
    <mergeCell ref="FO39:FP39"/>
    <mergeCell ref="FW39:FX39"/>
    <mergeCell ref="EI39:EJ39"/>
    <mergeCell ref="EQ39:ER39"/>
    <mergeCell ref="ES39:ET39"/>
    <mergeCell ref="EU39:EV39"/>
    <mergeCell ref="FC39:FD39"/>
    <mergeCell ref="FK39:FL39"/>
    <mergeCell ref="FM39:FN39"/>
    <mergeCell ref="F40:G40"/>
    <mergeCell ref="H40:I40"/>
    <mergeCell ref="J40:K40"/>
    <mergeCell ref="L40:M40"/>
    <mergeCell ref="S40:T40"/>
    <mergeCell ref="AA40:AB40"/>
    <mergeCell ref="AC40:AD40"/>
    <mergeCell ref="CI39:CJ39"/>
    <mergeCell ref="CI40:CJ40"/>
    <mergeCell ref="FO40:FP40"/>
    <mergeCell ref="FW40:FX40"/>
    <mergeCell ref="EI40:EJ40"/>
    <mergeCell ref="EQ40:ER40"/>
    <mergeCell ref="ES40:ET40"/>
    <mergeCell ref="EU40:EV40"/>
    <mergeCell ref="FC40:FD40"/>
    <mergeCell ref="FK40:FL40"/>
    <mergeCell ref="FM40:FN40"/>
    <mergeCell ref="BQ52:BR52"/>
    <mergeCell ref="BS52:BT52"/>
    <mergeCell ref="AE52:AF52"/>
    <mergeCell ref="AM52:AN52"/>
    <mergeCell ref="AU52:AV52"/>
    <mergeCell ref="AW52:AX52"/>
    <mergeCell ref="AY52:AZ52"/>
    <mergeCell ref="BG52:BH52"/>
    <mergeCell ref="BO52:BP52"/>
    <mergeCell ref="BQ53:BR53"/>
    <mergeCell ref="BS53:BT53"/>
    <mergeCell ref="CA53:CB53"/>
    <mergeCell ref="CI53:CJ53"/>
    <mergeCell ref="CK53:CL53"/>
    <mergeCell ref="CM53:CN53"/>
    <mergeCell ref="CU53:CV53"/>
    <mergeCell ref="DC53:DD53"/>
    <mergeCell ref="DE53:DF53"/>
    <mergeCell ref="DG53:DH53"/>
    <mergeCell ref="DO53:DP53"/>
    <mergeCell ref="DW53:DX53"/>
    <mergeCell ref="DY53:DZ53"/>
    <mergeCell ref="EA53:EB53"/>
    <mergeCell ref="FO53:FP53"/>
    <mergeCell ref="FW53:FX53"/>
    <mergeCell ref="EI53:EJ53"/>
    <mergeCell ref="EQ53:ER53"/>
    <mergeCell ref="ES53:ET53"/>
    <mergeCell ref="EU53:EV53"/>
    <mergeCell ref="FC53:FD53"/>
    <mergeCell ref="FK53:FL53"/>
    <mergeCell ref="FM53:FN53"/>
    <mergeCell ref="F54:G54"/>
    <mergeCell ref="H54:I54"/>
    <mergeCell ref="J54:K54"/>
    <mergeCell ref="L54:M54"/>
    <mergeCell ref="S54:T54"/>
    <mergeCell ref="AA54:AB54"/>
    <mergeCell ref="AC54:AD54"/>
    <mergeCell ref="AE55:AF55"/>
    <mergeCell ref="AM55:AN55"/>
    <mergeCell ref="AU55:AV55"/>
    <mergeCell ref="AW55:AX55"/>
    <mergeCell ref="AY55:AZ55"/>
    <mergeCell ref="BG55:BH55"/>
    <mergeCell ref="BO55:BP55"/>
    <mergeCell ref="F55:G55"/>
    <mergeCell ref="H55:I55"/>
    <mergeCell ref="J55:K55"/>
    <mergeCell ref="L55:M55"/>
    <mergeCell ref="S55:T55"/>
    <mergeCell ref="AA55:AB55"/>
    <mergeCell ref="AC55:AD55"/>
    <mergeCell ref="CK56:CL56"/>
    <mergeCell ref="CM56:CN56"/>
    <mergeCell ref="BQ55:BR55"/>
    <mergeCell ref="BS55:BT55"/>
    <mergeCell ref="CA55:CB55"/>
    <mergeCell ref="CK55:CL55"/>
    <mergeCell ref="CM55:CN55"/>
    <mergeCell ref="CU55:CV55"/>
    <mergeCell ref="CA56:CB56"/>
    <mergeCell ref="CU56:CV56"/>
    <mergeCell ref="DC55:DD55"/>
    <mergeCell ref="DE55:DF55"/>
    <mergeCell ref="DG55:DH55"/>
    <mergeCell ref="DO55:DP55"/>
    <mergeCell ref="DW55:DX55"/>
    <mergeCell ref="DY55:DZ55"/>
    <mergeCell ref="EA55:EB55"/>
    <mergeCell ref="DC56:DD56"/>
    <mergeCell ref="DE56:DF56"/>
    <mergeCell ref="DG56:DH56"/>
    <mergeCell ref="DO56:DP56"/>
    <mergeCell ref="DW56:DX56"/>
    <mergeCell ref="DY56:DZ56"/>
    <mergeCell ref="EA56:EB56"/>
    <mergeCell ref="AE53:AF53"/>
    <mergeCell ref="AM53:AN53"/>
    <mergeCell ref="AU53:AV53"/>
    <mergeCell ref="AW53:AX53"/>
    <mergeCell ref="AY53:AZ53"/>
    <mergeCell ref="BG53:BH53"/>
    <mergeCell ref="BO53:BP53"/>
    <mergeCell ref="F53:G53"/>
    <mergeCell ref="H53:I53"/>
    <mergeCell ref="J53:K53"/>
    <mergeCell ref="L53:M53"/>
    <mergeCell ref="S53:T53"/>
    <mergeCell ref="AA53:AB53"/>
    <mergeCell ref="AC53:AD53"/>
    <mergeCell ref="FO55:FP55"/>
    <mergeCell ref="FW55:FX55"/>
    <mergeCell ref="EI55:EJ55"/>
    <mergeCell ref="EQ55:ER55"/>
    <mergeCell ref="ES55:ET55"/>
    <mergeCell ref="EU55:EV55"/>
    <mergeCell ref="FC55:FD55"/>
    <mergeCell ref="FK55:FL55"/>
    <mergeCell ref="FM55:FN55"/>
    <mergeCell ref="F56:G56"/>
    <mergeCell ref="H56:I56"/>
    <mergeCell ref="J56:K56"/>
    <mergeCell ref="L56:M56"/>
    <mergeCell ref="S56:T56"/>
    <mergeCell ref="AA56:AB56"/>
    <mergeCell ref="AC56:AD56"/>
    <mergeCell ref="CI55:CJ55"/>
    <mergeCell ref="CI56:CJ56"/>
    <mergeCell ref="FO56:FP56"/>
    <mergeCell ref="FW56:FX56"/>
    <mergeCell ref="EI56:EJ56"/>
    <mergeCell ref="EQ56:ER56"/>
    <mergeCell ref="ES56:ET56"/>
    <mergeCell ref="EU56:EV56"/>
    <mergeCell ref="FC56:FD56"/>
    <mergeCell ref="FK56:FL56"/>
    <mergeCell ref="FM56:FN56"/>
    <mergeCell ref="AE57:AF57"/>
    <mergeCell ref="AM57:AN57"/>
    <mergeCell ref="AU57:AV57"/>
    <mergeCell ref="AW57:AX57"/>
    <mergeCell ref="AY57:AZ57"/>
    <mergeCell ref="BG57:BH57"/>
    <mergeCell ref="BO57:BP57"/>
    <mergeCell ref="F57:G57"/>
    <mergeCell ref="H57:I57"/>
    <mergeCell ref="J57:K57"/>
    <mergeCell ref="L57:M57"/>
    <mergeCell ref="S57:T57"/>
    <mergeCell ref="AA57:AB57"/>
    <mergeCell ref="AC57:AD57"/>
    <mergeCell ref="BQ56:BR56"/>
    <mergeCell ref="BS56:BT56"/>
    <mergeCell ref="AE56:AF56"/>
    <mergeCell ref="AM56:AN56"/>
    <mergeCell ref="AU56:AV56"/>
    <mergeCell ref="AW56:AX56"/>
    <mergeCell ref="AY56:AZ56"/>
    <mergeCell ref="BG56:BH56"/>
    <mergeCell ref="BO56:BP56"/>
    <mergeCell ref="BQ57:BR57"/>
    <mergeCell ref="BS57:BT57"/>
    <mergeCell ref="CA57:CB57"/>
    <mergeCell ref="CI57:CJ57"/>
    <mergeCell ref="CK57:CL57"/>
    <mergeCell ref="CM57:CN57"/>
    <mergeCell ref="CU57:CV57"/>
    <mergeCell ref="DC57:DD57"/>
    <mergeCell ref="DE57:DF57"/>
    <mergeCell ref="DG57:DH57"/>
    <mergeCell ref="DO57:DP57"/>
    <mergeCell ref="DW57:DX57"/>
    <mergeCell ref="DY57:DZ57"/>
    <mergeCell ref="EA57:EB57"/>
    <mergeCell ref="FO57:FP57"/>
    <mergeCell ref="FW57:FX57"/>
    <mergeCell ref="FX58:FY58"/>
    <mergeCell ref="EI57:EJ57"/>
    <mergeCell ref="EQ57:ER57"/>
    <mergeCell ref="ES57:ET57"/>
    <mergeCell ref="EU57:EV57"/>
    <mergeCell ref="FC57:FD57"/>
    <mergeCell ref="FK57:FL57"/>
    <mergeCell ref="FM57:FN57"/>
    <mergeCell ref="AM58:AN58"/>
    <mergeCell ref="BH58:BI58"/>
    <mergeCell ref="CB58:CC58"/>
    <mergeCell ref="CV58:CW58"/>
    <mergeCell ref="DP58:DQ58"/>
    <mergeCell ref="EJ58:EK58"/>
    <mergeCell ref="FD58:FE58"/>
    <mergeCell ref="F58:G58"/>
    <mergeCell ref="H58:I58"/>
    <mergeCell ref="J58:K58"/>
    <mergeCell ref="S58:T58"/>
    <mergeCell ref="AA58:AB58"/>
    <mergeCell ref="AC58:AD58"/>
    <mergeCell ref="AE58:AF58"/>
  </mergeCells>
  <conditionalFormatting sqref="C12:C56 X12:X56 AR12:AR56 BL12:BL56 CF12:CF56 CZ12:CZ56 DT12:DT56 EN12:EN56 FH12:FH56">
    <cfRule type="expression" dxfId="4" priority="1">
      <formula>ㄍㄧ</formula>
    </cfRule>
  </conditionalFormatting>
  <dataValidations>
    <dataValidation type="list" allowBlank="1" sqref="AS12:AS57">
      <formula1>'法術篩選'!$D$2:$D$200</formula1>
    </dataValidation>
    <dataValidation type="list" allowBlank="1" sqref="EO12:EO57">
      <formula1>'法術篩選'!$I$2:$I$100</formula1>
    </dataValidation>
    <dataValidation type="list" allowBlank="1" sqref="BM12:BM57">
      <formula1>'法術篩選'!$E$2:$E$200</formula1>
    </dataValidation>
    <dataValidation type="list" allowBlank="1" sqref="FI12:FI57">
      <formula1>'法術篩選'!$J$2:$J$100</formula1>
    </dataValidation>
    <dataValidation type="list" allowBlank="1" sqref="D12:D57">
      <formula1>'法術篩選'!$B$2:$B$200</formula1>
    </dataValidation>
    <dataValidation type="list" allowBlank="1" sqref="CG12:CG57">
      <formula1>'法術篩選'!$F$2:$F$200</formula1>
    </dataValidation>
    <dataValidation type="list" allowBlank="1" sqref="DA12:DA57">
      <formula1>'法術篩選'!$G$2:$G$100</formula1>
    </dataValidation>
    <dataValidation type="list" allowBlank="1" sqref="Y12:Y57">
      <formula1>'法術篩選'!$C$2:$C$200</formula1>
    </dataValidation>
    <dataValidation type="list" allowBlank="1" sqref="DU12:DU57">
      <formula1>'法術篩選'!$H$2:$H$100</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4.43" defaultRowHeight="15.0" outlineLevelCol="1"/>
  <cols>
    <col customWidth="1" min="1" max="55" width="2.29"/>
    <col customWidth="1" min="56" max="72" width="2.29" outlineLevel="1"/>
    <col customWidth="1" min="73" max="73" width="2.29"/>
    <col customWidth="1" hidden="1" min="74" max="74" width="12.57"/>
  </cols>
  <sheetData>
    <row r="1">
      <c r="A1" s="297"/>
      <c r="B1" s="297"/>
      <c r="C1" s="297"/>
      <c r="D1" s="297"/>
      <c r="E1" s="297"/>
      <c r="F1" s="297"/>
      <c r="G1" s="297"/>
      <c r="H1" s="297"/>
      <c r="I1" s="297"/>
      <c r="J1" s="297"/>
      <c r="K1" s="297"/>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c r="AO1" s="297"/>
      <c r="AP1" s="297"/>
      <c r="AQ1" s="297"/>
      <c r="AR1" s="297"/>
      <c r="AS1" s="297"/>
      <c r="AT1" s="297"/>
      <c r="AU1" s="297"/>
      <c r="AV1" s="297"/>
      <c r="AW1" s="297"/>
      <c r="AX1" s="297"/>
      <c r="AY1" s="297"/>
      <c r="AZ1" s="297"/>
      <c r="BA1" s="297"/>
      <c r="BB1" s="297"/>
      <c r="BC1" s="297"/>
      <c r="BD1" s="297"/>
      <c r="BE1" s="297"/>
      <c r="BF1" s="297"/>
      <c r="BG1" s="297"/>
      <c r="BH1" s="297"/>
      <c r="BI1" s="297"/>
      <c r="BJ1" s="297"/>
      <c r="BK1" s="297"/>
      <c r="BL1" s="297"/>
      <c r="BM1" s="297"/>
      <c r="BN1" s="297"/>
      <c r="BO1" s="297"/>
      <c r="BP1" s="297"/>
      <c r="BQ1" s="297"/>
      <c r="BR1" s="297"/>
      <c r="BS1" s="297"/>
      <c r="BT1" s="297"/>
      <c r="BU1" s="297"/>
      <c r="BV1" s="1523"/>
    </row>
    <row r="2">
      <c r="A2" s="297"/>
      <c r="B2" s="295" t="s">
        <v>4104</v>
      </c>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524" t="s">
        <v>4105</v>
      </c>
      <c r="BE2" s="19"/>
      <c r="BF2" s="19"/>
      <c r="BG2" s="19"/>
      <c r="BH2" s="19"/>
      <c r="BI2" s="19"/>
      <c r="BJ2" s="19"/>
      <c r="BK2" s="19"/>
      <c r="BL2" s="19"/>
      <c r="BM2" s="19"/>
      <c r="BN2" s="19"/>
      <c r="BO2" s="19"/>
      <c r="BP2" s="19"/>
      <c r="BQ2" s="19"/>
      <c r="BR2" s="19"/>
      <c r="BS2" s="19"/>
      <c r="BT2" s="20"/>
      <c r="BU2" s="297"/>
      <c r="BV2" s="1523" t="s">
        <v>4106</v>
      </c>
    </row>
    <row r="3" ht="15.0" customHeight="1">
      <c r="A3" s="303"/>
      <c r="B3" s="1525"/>
      <c r="C3" s="1526"/>
      <c r="L3" s="291"/>
      <c r="M3" s="291"/>
      <c r="N3" s="291"/>
      <c r="O3" s="291"/>
      <c r="P3" s="291"/>
      <c r="Q3" s="291"/>
      <c r="R3" s="291"/>
      <c r="S3" s="291"/>
      <c r="T3" s="291"/>
      <c r="U3" s="291"/>
      <c r="V3" s="291"/>
      <c r="W3" s="291"/>
      <c r="X3" s="291"/>
      <c r="Y3" s="291"/>
      <c r="Z3" s="291"/>
      <c r="AA3" s="291"/>
      <c r="AB3" s="291"/>
      <c r="AC3" s="291"/>
      <c r="AD3" s="291"/>
      <c r="AE3" s="291"/>
      <c r="AF3" s="291"/>
      <c r="AG3" s="291"/>
      <c r="AH3" s="291"/>
      <c r="AI3" s="291"/>
      <c r="AJ3" s="291"/>
      <c r="AK3" s="291"/>
      <c r="AL3" s="291"/>
      <c r="AM3" s="291"/>
      <c r="AN3" s="291"/>
      <c r="AO3" s="291"/>
      <c r="AP3" s="291"/>
      <c r="AQ3" s="291"/>
      <c r="AR3" s="291"/>
      <c r="AS3" s="291"/>
      <c r="AT3" s="291"/>
      <c r="AU3" s="291"/>
      <c r="AV3" s="291"/>
      <c r="AW3" s="291"/>
      <c r="AX3" s="291"/>
      <c r="AY3" s="291"/>
      <c r="AZ3" s="291"/>
      <c r="BA3" s="291"/>
      <c r="BB3" s="291"/>
      <c r="BC3" s="291"/>
      <c r="BD3" s="1527"/>
      <c r="BE3" s="148"/>
      <c r="BF3" s="148"/>
      <c r="BG3" s="148"/>
      <c r="BH3" s="148"/>
      <c r="BI3" s="148"/>
      <c r="BJ3" s="148"/>
      <c r="BK3" s="148"/>
      <c r="BL3" s="148"/>
      <c r="BM3" s="148"/>
      <c r="BN3" s="148"/>
      <c r="BO3" s="148"/>
      <c r="BP3" s="148"/>
      <c r="BQ3" s="148"/>
      <c r="BR3" s="148"/>
      <c r="BS3" s="148"/>
      <c r="BT3" s="291"/>
      <c r="BU3" s="303"/>
      <c r="BV3" s="1528" t="s">
        <v>4107</v>
      </c>
    </row>
    <row r="4" ht="15.75" customHeight="1">
      <c r="A4" s="303"/>
      <c r="B4" s="1525"/>
      <c r="C4" s="156"/>
      <c r="D4" s="156"/>
      <c r="E4" s="156"/>
      <c r="F4" s="156"/>
      <c r="G4" s="156"/>
      <c r="H4" s="156"/>
      <c r="I4" s="156"/>
      <c r="J4" s="156"/>
      <c r="K4" s="156"/>
      <c r="L4" s="1529"/>
      <c r="M4" s="1530"/>
      <c r="N4" s="156"/>
      <c r="O4" s="156"/>
      <c r="P4" s="156"/>
      <c r="Q4" s="156"/>
      <c r="R4" s="156"/>
      <c r="S4" s="156"/>
      <c r="T4" s="156"/>
      <c r="U4" s="156"/>
      <c r="V4" s="156"/>
      <c r="W4" s="291"/>
      <c r="X4" s="323" t="str">
        <f>IFNA(VLOOKUP($C$3,'召喚物資料'!$B:$AM,5,FALSE),"")</f>
        <v/>
      </c>
      <c r="Y4" s="156"/>
      <c r="Z4" s="156"/>
      <c r="AA4" s="291"/>
      <c r="AB4" s="323" t="str">
        <f>IFNA(VLOOKUP($C$3,'召喚物資料'!$B:$AM,6,FALSE),"")</f>
        <v/>
      </c>
      <c r="AC4" s="156"/>
      <c r="AD4" s="156"/>
      <c r="AE4" s="156"/>
      <c r="AF4" s="156"/>
      <c r="AG4" s="156"/>
      <c r="AH4" s="156"/>
      <c r="AI4" s="156"/>
      <c r="AJ4" s="291"/>
      <c r="AK4" s="1531" t="s">
        <v>4108</v>
      </c>
      <c r="AL4" s="152"/>
      <c r="AM4" s="152"/>
      <c r="AN4" s="152"/>
      <c r="AO4" s="152"/>
      <c r="AP4" s="152"/>
      <c r="AQ4" s="152"/>
      <c r="AR4" s="152"/>
      <c r="AS4" s="175"/>
      <c r="AT4" s="291"/>
      <c r="AU4" s="1532" t="s">
        <v>4109</v>
      </c>
      <c r="AV4" s="19"/>
      <c r="AW4" s="19"/>
      <c r="AX4" s="19"/>
      <c r="AY4" s="19"/>
      <c r="AZ4" s="19"/>
      <c r="BA4" s="19"/>
      <c r="BB4" s="20"/>
      <c r="BC4" s="291"/>
      <c r="BD4" s="1527"/>
      <c r="BE4" s="1533" t="s">
        <v>4110</v>
      </c>
      <c r="BF4" s="152"/>
      <c r="BG4" s="152"/>
      <c r="BH4" s="152"/>
      <c r="BI4" s="152"/>
      <c r="BJ4" s="152"/>
      <c r="BK4" s="152"/>
      <c r="BL4" s="152"/>
      <c r="BM4" s="152"/>
      <c r="BN4" s="152"/>
      <c r="BO4" s="152"/>
      <c r="BP4" s="152"/>
      <c r="BQ4" s="152"/>
      <c r="BR4" s="152"/>
      <c r="BS4" s="175"/>
      <c r="BT4" s="1534"/>
      <c r="BU4" s="1106"/>
      <c r="BV4" s="1528" t="s">
        <v>4111</v>
      </c>
    </row>
    <row r="5" ht="15.75" customHeight="1">
      <c r="A5" s="303"/>
      <c r="B5" s="1525"/>
      <c r="C5" s="319" t="s">
        <v>4112</v>
      </c>
      <c r="L5" s="1529"/>
      <c r="M5" s="319" t="s">
        <v>4113</v>
      </c>
      <c r="W5" s="291"/>
      <c r="X5" s="1535" t="s">
        <v>171</v>
      </c>
      <c r="AA5" s="291"/>
      <c r="AB5" s="1536" t="s">
        <v>4114</v>
      </c>
      <c r="AJ5" s="291"/>
      <c r="AK5" s="1537" t="s">
        <v>4115</v>
      </c>
      <c r="AL5" s="1226"/>
      <c r="AM5" s="1226"/>
      <c r="AN5" s="1226"/>
      <c r="AO5" s="1226"/>
      <c r="AP5" s="1538">
        <f>10+M21</f>
        <v>5</v>
      </c>
      <c r="AQ5" s="240"/>
      <c r="AR5" s="240"/>
      <c r="AS5" s="241"/>
      <c r="AT5" s="291"/>
      <c r="AU5" s="1539" t="s">
        <v>4116</v>
      </c>
      <c r="AV5" s="19"/>
      <c r="AW5" s="19"/>
      <c r="AX5" s="19"/>
      <c r="AY5" s="19"/>
      <c r="AZ5" s="19"/>
      <c r="BA5" s="19"/>
      <c r="BB5" s="20"/>
      <c r="BC5" s="291"/>
      <c r="BD5" s="1527"/>
      <c r="BE5" s="1540" t="s">
        <v>4117</v>
      </c>
      <c r="BF5" s="1541"/>
      <c r="BG5" s="1541"/>
      <c r="BH5" s="1541"/>
      <c r="BI5" s="1541"/>
      <c r="BJ5" s="1541"/>
      <c r="BK5" s="1541"/>
      <c r="BL5" s="1542"/>
      <c r="BM5" s="1543" t="b">
        <v>0</v>
      </c>
      <c r="BN5" s="1544"/>
      <c r="BO5" s="1545">
        <f>'角色卡'!AJ9+'裝備與物品'!AB34</f>
        <v>0</v>
      </c>
      <c r="BP5" s="19"/>
      <c r="BQ5" s="20"/>
      <c r="BR5" s="1546">
        <f t="shared" ref="BR5:BR8" si="1">BM5*BO5</f>
        <v>0</v>
      </c>
      <c r="BS5" s="20"/>
      <c r="BT5" s="1534"/>
      <c r="BU5" s="1106"/>
      <c r="BV5" s="1528" t="s">
        <v>4118</v>
      </c>
    </row>
    <row r="6" ht="15.75" customHeight="1">
      <c r="A6" s="303"/>
      <c r="B6" s="1525"/>
      <c r="C6" s="323"/>
      <c r="D6" s="156"/>
      <c r="E6" s="156"/>
      <c r="F6" s="156"/>
      <c r="G6" s="156"/>
      <c r="H6" s="291"/>
      <c r="I6" s="323"/>
      <c r="J6" s="156"/>
      <c r="K6" s="156"/>
      <c r="L6" s="156"/>
      <c r="M6" s="156"/>
      <c r="N6" s="156"/>
      <c r="O6" s="156"/>
      <c r="P6" s="156"/>
      <c r="Q6" s="156"/>
      <c r="R6" s="156"/>
      <c r="S6" s="156"/>
      <c r="T6" s="156"/>
      <c r="U6" s="156"/>
      <c r="V6" s="291"/>
      <c r="W6" s="323" t="str">
        <f>IFNA(VLOOKUP('坐騎召喚物'!$C$3,'召喚物資料'!$B:$AM,4,FALSE),"")</f>
        <v/>
      </c>
      <c r="X6" s="156"/>
      <c r="Y6" s="156"/>
      <c r="Z6" s="156"/>
      <c r="AA6" s="156"/>
      <c r="AB6" s="156"/>
      <c r="AC6" s="156"/>
      <c r="AD6" s="156"/>
      <c r="AE6" s="156"/>
      <c r="AF6" s="156"/>
      <c r="AG6" s="156"/>
      <c r="AH6" s="156"/>
      <c r="AI6" s="156"/>
      <c r="AJ6" s="291"/>
      <c r="AK6" s="1537" t="s">
        <v>2037</v>
      </c>
      <c r="AL6" s="1226"/>
      <c r="AM6" s="1226"/>
      <c r="AN6" s="1226"/>
      <c r="AO6" s="1226"/>
      <c r="AP6" s="1547" t="str">
        <f>IFNA(VLOOKUP($C$3,'召喚物資料'!$B:$AM,21,FALSE),"")</f>
        <v/>
      </c>
      <c r="AQ6" s="240"/>
      <c r="AR6" s="240"/>
      <c r="AS6" s="241"/>
      <c r="AT6" s="291"/>
      <c r="AU6" s="1548" t="str">
        <f>IFNA(VLOOKUP($C$3,'召喚物資料'!$B:$AU,26,FALSE),"")</f>
        <v/>
      </c>
      <c r="AV6" s="152"/>
      <c r="AW6" s="152"/>
      <c r="AX6" s="152"/>
      <c r="AY6" s="152"/>
      <c r="AZ6" s="152"/>
      <c r="BA6" s="152"/>
      <c r="BB6" s="175"/>
      <c r="BC6" s="291"/>
      <c r="BD6" s="1527"/>
      <c r="BE6" s="1549" t="s">
        <v>4119</v>
      </c>
      <c r="BF6" s="375"/>
      <c r="BG6" s="375"/>
      <c r="BH6" s="375"/>
      <c r="BI6" s="375"/>
      <c r="BJ6" s="375"/>
      <c r="BK6" s="375"/>
      <c r="BL6" s="376"/>
      <c r="BM6" s="1550">
        <v>1.0</v>
      </c>
      <c r="BN6" s="20"/>
      <c r="BO6" s="1551">
        <f>BR11</f>
        <v>0</v>
      </c>
      <c r="BP6" s="19"/>
      <c r="BQ6" s="20"/>
      <c r="BR6" s="1552">
        <f t="shared" si="1"/>
        <v>0</v>
      </c>
      <c r="BS6" s="20"/>
      <c r="BT6" s="1534"/>
      <c r="BU6" s="1106"/>
      <c r="BV6" s="1528" t="s">
        <v>4120</v>
      </c>
    </row>
    <row r="7" ht="15.75" customHeight="1">
      <c r="A7" s="303"/>
      <c r="B7" s="1525"/>
      <c r="C7" s="1553" t="s">
        <v>4121</v>
      </c>
      <c r="H7" s="291"/>
      <c r="I7" s="1553" t="s">
        <v>586</v>
      </c>
      <c r="V7" s="291"/>
      <c r="W7" s="1536" t="s">
        <v>230</v>
      </c>
      <c r="AJ7" s="291"/>
      <c r="AK7" s="1537" t="s">
        <v>4122</v>
      </c>
      <c r="AL7" s="1226"/>
      <c r="AM7" s="1226"/>
      <c r="AN7" s="1226"/>
      <c r="AO7" s="1226"/>
      <c r="AP7" s="1547" t="str">
        <f>IFNA(VLOOKUP($C$3,'召喚物資料'!$B:$AM,22,FALSE),"")</f>
        <v/>
      </c>
      <c r="AQ7" s="240"/>
      <c r="AR7" s="240"/>
      <c r="AS7" s="241"/>
      <c r="AT7" s="291"/>
      <c r="AU7" s="121"/>
      <c r="BB7" s="318"/>
      <c r="BC7" s="291"/>
      <c r="BD7" s="1527"/>
      <c r="BE7" s="1554" t="s">
        <v>4123</v>
      </c>
      <c r="BF7" s="375"/>
      <c r="BG7" s="375"/>
      <c r="BH7" s="375"/>
      <c r="BI7" s="375"/>
      <c r="BJ7" s="375"/>
      <c r="BK7" s="375"/>
      <c r="BL7" s="376"/>
      <c r="BM7" s="1555" t="b">
        <v>0</v>
      </c>
      <c r="BN7" s="20"/>
      <c r="BO7" s="1551">
        <f>SWITCH(BE7,"無鞍座",0,"騎乘鞍座",25,"貨運鞍座",15,"異種鞍座",40,"軍用鞍座",30,"騎兵鞍座",25)</f>
        <v>0</v>
      </c>
      <c r="BP7" s="19"/>
      <c r="BQ7" s="20"/>
      <c r="BR7" s="1552">
        <f t="shared" si="1"/>
        <v>0</v>
      </c>
      <c r="BS7" s="20"/>
      <c r="BT7" s="1534"/>
      <c r="BU7" s="1106"/>
      <c r="BV7" s="1528"/>
    </row>
    <row r="8" ht="15.75" customHeight="1">
      <c r="A8" s="303"/>
      <c r="B8" s="1525"/>
      <c r="C8" s="1556" t="s">
        <v>4124</v>
      </c>
      <c r="AJ8" s="291"/>
      <c r="AK8" s="1537" t="s">
        <v>4125</v>
      </c>
      <c r="AL8" s="1226"/>
      <c r="AM8" s="1226"/>
      <c r="AN8" s="1226"/>
      <c r="AO8" s="1226"/>
      <c r="AP8" s="1547" t="str">
        <f>IFNA(VLOOKUP($C$3,'召喚物資料'!$B:$AM,23,FALSE),"")</f>
        <v/>
      </c>
      <c r="AQ8" s="240"/>
      <c r="AR8" s="240"/>
      <c r="AS8" s="241"/>
      <c r="AT8" s="291"/>
      <c r="AU8" s="1539" t="s">
        <v>4126</v>
      </c>
      <c r="AV8" s="19"/>
      <c r="AW8" s="19"/>
      <c r="AX8" s="19"/>
      <c r="AY8" s="19"/>
      <c r="AZ8" s="19"/>
      <c r="BA8" s="19"/>
      <c r="BB8" s="20"/>
      <c r="BC8" s="291"/>
      <c r="BD8" s="1527"/>
      <c r="BE8" s="1557" t="s">
        <v>4127</v>
      </c>
      <c r="BF8" s="417"/>
      <c r="BG8" s="417"/>
      <c r="BH8" s="417"/>
      <c r="BI8" s="417"/>
      <c r="BJ8" s="417"/>
      <c r="BK8" s="417"/>
      <c r="BL8" s="517"/>
      <c r="BM8" s="1558" t="b">
        <v>0</v>
      </c>
      <c r="BN8" s="20"/>
      <c r="BO8" s="1551" t="s">
        <v>4128</v>
      </c>
      <c r="BP8" s="19"/>
      <c r="BQ8" s="20"/>
      <c r="BR8" s="1559">
        <f t="shared" si="1"/>
        <v>0</v>
      </c>
      <c r="BS8" s="20"/>
      <c r="BT8" s="1534"/>
      <c r="BU8" s="1106"/>
      <c r="BV8" s="1528" t="s">
        <v>4129</v>
      </c>
    </row>
    <row r="9" ht="15.75" customHeight="1">
      <c r="A9" s="303"/>
      <c r="B9" s="1525"/>
      <c r="C9" s="1560"/>
      <c r="D9" s="1560"/>
      <c r="E9" s="1560"/>
      <c r="F9" s="1560"/>
      <c r="G9" s="1560"/>
      <c r="H9" s="1560"/>
      <c r="I9" s="1560"/>
      <c r="J9" s="1560"/>
      <c r="K9" s="1560"/>
      <c r="L9" s="1560"/>
      <c r="M9" s="1560"/>
      <c r="N9" s="1560"/>
      <c r="O9" s="1560"/>
      <c r="P9" s="1560"/>
      <c r="Q9" s="1560"/>
      <c r="R9" s="1560"/>
      <c r="S9" s="1560"/>
      <c r="T9" s="1560"/>
      <c r="U9" s="1560"/>
      <c r="V9" s="1560"/>
      <c r="W9" s="1560"/>
      <c r="X9" s="1560"/>
      <c r="Y9" s="1560"/>
      <c r="Z9" s="1561"/>
      <c r="AA9" s="1561"/>
      <c r="AB9" s="1561"/>
      <c r="AC9" s="1561"/>
      <c r="AD9" s="1561"/>
      <c r="AE9" s="1561"/>
      <c r="AF9" s="1561"/>
      <c r="AG9" s="1561"/>
      <c r="AH9" s="1561"/>
      <c r="AI9" s="1561"/>
      <c r="AJ9" s="291"/>
      <c r="AK9" s="1562" t="s">
        <v>4130</v>
      </c>
      <c r="AL9" s="249"/>
      <c r="AM9" s="249"/>
      <c r="AN9" s="249"/>
      <c r="AO9" s="249"/>
      <c r="AP9" s="1547" t="str">
        <f>IFNA(VLOOKUP($C$3,'召喚物資料'!$B:$AM,24,FALSE),"")</f>
        <v/>
      </c>
      <c r="AQ9" s="240"/>
      <c r="AR9" s="240"/>
      <c r="AS9" s="241"/>
      <c r="AT9" s="291"/>
      <c r="AU9" s="1548" t="str">
        <f>IFNA(VLOOKUP($C$3,'召喚物資料'!$B:$AU,27,FALSE),"")</f>
        <v/>
      </c>
      <c r="AV9" s="152"/>
      <c r="AW9" s="152"/>
      <c r="AX9" s="152"/>
      <c r="AY9" s="152"/>
      <c r="AZ9" s="152"/>
      <c r="BA9" s="152"/>
      <c r="BB9" s="175"/>
      <c r="BC9" s="291"/>
      <c r="BD9" s="1527"/>
      <c r="BE9" s="148"/>
      <c r="BF9" s="148"/>
      <c r="BG9" s="148"/>
      <c r="BH9" s="148"/>
      <c r="BI9" s="148"/>
      <c r="BJ9" s="148"/>
      <c r="BK9" s="148"/>
      <c r="BL9" s="148"/>
      <c r="BM9" s="148"/>
      <c r="BN9" s="148"/>
      <c r="BO9" s="148"/>
      <c r="BP9" s="148"/>
      <c r="BQ9" s="148"/>
      <c r="BR9" s="148"/>
      <c r="BS9" s="148"/>
      <c r="BT9" s="291"/>
      <c r="BU9" s="1106"/>
      <c r="BV9" s="1528" t="s">
        <v>4131</v>
      </c>
    </row>
    <row r="10" ht="15.75" customHeight="1">
      <c r="A10" s="303"/>
      <c r="B10" s="1525"/>
      <c r="C10" s="346" t="s">
        <v>56</v>
      </c>
      <c r="D10" s="19"/>
      <c r="E10" s="19"/>
      <c r="F10" s="19"/>
      <c r="G10" s="19"/>
      <c r="H10" s="19"/>
      <c r="I10" s="19"/>
      <c r="J10" s="20"/>
      <c r="K10" s="346" t="s">
        <v>174</v>
      </c>
      <c r="L10" s="19"/>
      <c r="M10" s="19"/>
      <c r="N10" s="19"/>
      <c r="O10" s="20"/>
      <c r="P10" s="291"/>
      <c r="Q10" s="1563" t="s">
        <v>262</v>
      </c>
      <c r="R10" s="152"/>
      <c r="S10" s="152"/>
      <c r="T10" s="152"/>
      <c r="U10" s="152"/>
      <c r="V10" s="175"/>
      <c r="W10" s="1564" t="s">
        <v>4132</v>
      </c>
      <c r="X10" s="19"/>
      <c r="Y10" s="20"/>
      <c r="Z10" s="291"/>
      <c r="AA10" s="1565" t="s">
        <v>4133</v>
      </c>
      <c r="AB10" s="1566"/>
      <c r="AC10" s="1566"/>
      <c r="AD10" s="1566"/>
      <c r="AE10" s="1566"/>
      <c r="AF10" s="1566"/>
      <c r="AG10" s="1566"/>
      <c r="AH10" s="1566"/>
      <c r="AI10" s="1567"/>
      <c r="AJ10" s="291"/>
      <c r="AK10" s="291"/>
      <c r="AL10" s="291"/>
      <c r="AM10" s="291"/>
      <c r="AN10" s="291"/>
      <c r="AO10" s="291"/>
      <c r="AP10" s="291"/>
      <c r="AQ10" s="291"/>
      <c r="AR10" s="291"/>
      <c r="AS10" s="291"/>
      <c r="AT10" s="291"/>
      <c r="AU10" s="121"/>
      <c r="BB10" s="318"/>
      <c r="BC10" s="291"/>
      <c r="BD10" s="1527"/>
      <c r="BE10" s="469" t="s">
        <v>4119</v>
      </c>
      <c r="BF10" s="19"/>
      <c r="BG10" s="19"/>
      <c r="BH10" s="19"/>
      <c r="BI10" s="19"/>
      <c r="BJ10" s="19"/>
      <c r="BK10" s="1568" t="s">
        <v>55</v>
      </c>
      <c r="BL10" s="19"/>
      <c r="BM10" s="400"/>
      <c r="BN10" s="1569" t="s">
        <v>4134</v>
      </c>
      <c r="BO10" s="400"/>
      <c r="BP10" s="1569" t="s">
        <v>71</v>
      </c>
      <c r="BQ10" s="400"/>
      <c r="BR10" s="1569" t="s">
        <v>270</v>
      </c>
      <c r="BS10" s="20"/>
      <c r="BT10" s="291"/>
      <c r="BU10" s="1106"/>
      <c r="BV10" s="1528" t="s">
        <v>4135</v>
      </c>
    </row>
    <row r="11" ht="15.75" customHeight="1">
      <c r="A11" s="303"/>
      <c r="B11" s="1525"/>
      <c r="C11" s="353" t="s">
        <v>67</v>
      </c>
      <c r="D11" s="354"/>
      <c r="E11" s="354"/>
      <c r="F11" s="355" t="str">
        <f>IFNA(VLOOKUP($C$3,'召喚物資料'!$B:$AM,15,FALSE),"")</f>
        <v/>
      </c>
      <c r="G11" s="356"/>
      <c r="H11" s="1570">
        <f t="shared" ref="H11:H16" si="2">ROUNDDOWN(F11/2,0)-5</f>
        <v>-5</v>
      </c>
      <c r="I11" s="356"/>
      <c r="J11" s="357"/>
      <c r="K11" s="1571" t="b">
        <v>0</v>
      </c>
      <c r="L11" s="481"/>
      <c r="M11" s="1570">
        <f t="shared" ref="M11:M16" si="3">H11+IF(K11=TRUE,2,0)</f>
        <v>-5</v>
      </c>
      <c r="N11" s="356"/>
      <c r="O11" s="357"/>
      <c r="P11" s="291"/>
      <c r="Q11" s="1572">
        <v>0.0</v>
      </c>
      <c r="R11" s="152"/>
      <c r="S11" s="175"/>
      <c r="T11" s="1573">
        <f>IFNA(VLOOKUP($C$3,'召喚物資料'!$B:$AM,8,FALSE),0)</f>
        <v>0</v>
      </c>
      <c r="U11" s="152"/>
      <c r="V11" s="175"/>
      <c r="W11" s="1574">
        <v>0.0</v>
      </c>
      <c r="X11" s="152"/>
      <c r="Y11" s="175"/>
      <c r="Z11" s="291"/>
      <c r="AA11" s="1575"/>
      <c r="AI11" s="1576"/>
      <c r="AJ11" s="291"/>
      <c r="AK11" s="1577" t="s">
        <v>4136</v>
      </c>
      <c r="AL11" s="19"/>
      <c r="AM11" s="19"/>
      <c r="AN11" s="19"/>
      <c r="AO11" s="19"/>
      <c r="AP11" s="19"/>
      <c r="AQ11" s="19"/>
      <c r="AR11" s="19"/>
      <c r="AS11" s="20"/>
      <c r="AT11" s="291"/>
      <c r="AU11" s="1578" t="s">
        <v>4137</v>
      </c>
      <c r="AV11" s="19"/>
      <c r="AW11" s="19"/>
      <c r="AX11" s="19"/>
      <c r="AY11" s="19"/>
      <c r="AZ11" s="19"/>
      <c r="BA11" s="19"/>
      <c r="BB11" s="20"/>
      <c r="BC11" s="291"/>
      <c r="BD11" s="1527"/>
      <c r="BE11" s="1579"/>
      <c r="BF11" s="19"/>
      <c r="BG11" s="19"/>
      <c r="BH11" s="19"/>
      <c r="BI11" s="19"/>
      <c r="BJ11" s="19"/>
      <c r="BK11" s="1580" t="s">
        <v>272</v>
      </c>
      <c r="BL11" s="19"/>
      <c r="BM11" s="20"/>
      <c r="BN11" s="1581">
        <f>IFNA(VLOOKUP(BE11,'武器&amp;護甲'!J2:L14,2,FALSE),10)</f>
        <v>10</v>
      </c>
      <c r="BO11" s="20"/>
      <c r="BP11" s="1582">
        <f>IF(BK11="重甲",0,IF(BK11="中甲",IF(H12&gt;=2,2,H12),IF(BK11="輕甲",H12,IF(BK11="法師",H12,IF(BK11="無",H12,BK11)))))</f>
        <v>-5</v>
      </c>
      <c r="BQ11" s="20"/>
      <c r="BR11" s="1581">
        <f>IFNA(VLOOKUP(BE11,'武器&amp;護甲'!J2:L14,3,FALSE)*2,0)</f>
        <v>0</v>
      </c>
      <c r="BS11" s="20"/>
      <c r="BT11" s="291"/>
      <c r="BU11" s="1106"/>
      <c r="BV11" s="1528" t="s">
        <v>4138</v>
      </c>
    </row>
    <row r="12" ht="15.75" customHeight="1">
      <c r="A12" s="303"/>
      <c r="B12" s="1525"/>
      <c r="C12" s="373" t="s">
        <v>71</v>
      </c>
      <c r="D12" s="213"/>
      <c r="E12" s="213"/>
      <c r="F12" s="374" t="str">
        <f>IFNA(VLOOKUP($C$3,'召喚物資料'!$B:$AM,16,FALSE),"")</f>
        <v/>
      </c>
      <c r="G12" s="375"/>
      <c r="H12" s="1583">
        <f t="shared" si="2"/>
        <v>-5</v>
      </c>
      <c r="I12" s="375"/>
      <c r="J12" s="376"/>
      <c r="K12" s="1584" t="b">
        <v>0</v>
      </c>
      <c r="L12" s="481"/>
      <c r="M12" s="1583">
        <f t="shared" si="3"/>
        <v>-5</v>
      </c>
      <c r="N12" s="375"/>
      <c r="O12" s="376"/>
      <c r="P12" s="291"/>
      <c r="Q12" s="143"/>
      <c r="R12" s="240"/>
      <c r="S12" s="241"/>
      <c r="T12" s="240"/>
      <c r="U12" s="240"/>
      <c r="V12" s="241"/>
      <c r="W12" s="143"/>
      <c r="X12" s="240"/>
      <c r="Y12" s="241"/>
      <c r="Z12" s="291"/>
      <c r="AA12" s="1575"/>
      <c r="AI12" s="1576"/>
      <c r="AJ12" s="291"/>
      <c r="AK12" s="1585" t="s">
        <v>211</v>
      </c>
      <c r="AL12" s="19"/>
      <c r="AM12" s="1544"/>
      <c r="AN12" s="1586" t="s">
        <v>212</v>
      </c>
      <c r="AO12" s="152"/>
      <c r="AP12" s="1251"/>
      <c r="AQ12" s="1586" t="s">
        <v>213</v>
      </c>
      <c r="AR12" s="152"/>
      <c r="AS12" s="1251"/>
      <c r="AT12" s="291"/>
      <c r="AU12" s="1548" t="str">
        <f>IFNA(VLOOKUP($C$3,'召喚物資料'!$B:$AU,28,FALSE),"")</f>
        <v/>
      </c>
      <c r="AV12" s="152"/>
      <c r="AW12" s="152"/>
      <c r="AX12" s="152"/>
      <c r="AY12" s="152"/>
      <c r="AZ12" s="152"/>
      <c r="BA12" s="152"/>
      <c r="BB12" s="175"/>
      <c r="BC12" s="291"/>
      <c r="BD12" s="1527"/>
      <c r="BE12" s="148"/>
      <c r="BF12" s="148"/>
      <c r="BG12" s="148"/>
      <c r="BH12" s="148"/>
      <c r="BI12" s="148"/>
      <c r="BJ12" s="148"/>
      <c r="BK12" s="148"/>
      <c r="BL12" s="148"/>
      <c r="BM12" s="148"/>
      <c r="BN12" s="148"/>
      <c r="BO12" s="148"/>
      <c r="BP12" s="148"/>
      <c r="BQ12" s="148"/>
      <c r="BR12" s="148"/>
      <c r="BS12" s="148"/>
      <c r="BT12" s="291"/>
      <c r="BU12" s="1106"/>
      <c r="BV12" s="1528" t="s">
        <v>4139</v>
      </c>
    </row>
    <row r="13" ht="15.75" customHeight="1">
      <c r="A13" s="303"/>
      <c r="B13" s="1525"/>
      <c r="C13" s="373" t="s">
        <v>76</v>
      </c>
      <c r="D13" s="213"/>
      <c r="E13" s="213"/>
      <c r="F13" s="390" t="str">
        <f>IFNA(VLOOKUP($C$3,'召喚物資料'!$B:$AM,17,FALSE),"")</f>
        <v/>
      </c>
      <c r="G13" s="375"/>
      <c r="H13" s="1587">
        <f t="shared" si="2"/>
        <v>-5</v>
      </c>
      <c r="I13" s="375"/>
      <c r="J13" s="376"/>
      <c r="K13" s="1571" t="b">
        <v>0</v>
      </c>
      <c r="L13" s="481"/>
      <c r="M13" s="1587">
        <f t="shared" si="3"/>
        <v>-5</v>
      </c>
      <c r="N13" s="375"/>
      <c r="O13" s="376"/>
      <c r="P13" s="291"/>
      <c r="Q13" s="524" t="s">
        <v>281</v>
      </c>
      <c r="T13" s="1588" t="s">
        <v>282</v>
      </c>
      <c r="W13" s="1588"/>
      <c r="X13" s="1588"/>
      <c r="Y13" s="291"/>
      <c r="Z13" s="291"/>
      <c r="AA13" s="1575"/>
      <c r="AI13" s="1576"/>
      <c r="AJ13" s="291"/>
      <c r="AK13" s="1589" t="str">
        <f>IFNA(VLOOKUP($C$3,'召喚物資料'!$B:$O,9,FALSE),"")</f>
        <v/>
      </c>
      <c r="AL13" s="19"/>
      <c r="AM13" s="20"/>
      <c r="AN13" s="1589" t="str">
        <f>IFNA(VLOOKUP($C$3,'召喚物資料'!$B:$O,10,FALSE),"")</f>
        <v/>
      </c>
      <c r="AO13" s="19"/>
      <c r="AP13" s="20"/>
      <c r="AQ13" s="1589" t="str">
        <f>IFNA(VLOOKUP($C$3,'召喚物資料'!$B:$O,11,FALSE),"")</f>
        <v/>
      </c>
      <c r="AR13" s="19"/>
      <c r="AS13" s="20"/>
      <c r="AT13" s="291"/>
      <c r="AU13" s="121"/>
      <c r="BB13" s="318"/>
      <c r="BC13" s="291"/>
      <c r="BD13" s="1527"/>
      <c r="BE13" s="1590" t="s">
        <v>1441</v>
      </c>
      <c r="BF13" s="19"/>
      <c r="BG13" s="19"/>
      <c r="BH13" s="19"/>
      <c r="BI13" s="19"/>
      <c r="BJ13" s="19"/>
      <c r="BK13" s="19"/>
      <c r="BL13" s="19"/>
      <c r="BM13" s="1591" t="s">
        <v>318</v>
      </c>
      <c r="BN13" s="1088"/>
      <c r="BO13" s="1592" t="s">
        <v>270</v>
      </c>
      <c r="BP13" s="19"/>
      <c r="BQ13" s="1088"/>
      <c r="BR13" s="1593" t="s">
        <v>1442</v>
      </c>
      <c r="BS13" s="20"/>
      <c r="BT13" s="1534"/>
      <c r="BU13" s="1106"/>
    </row>
    <row r="14" ht="15.75" customHeight="1">
      <c r="A14" s="303"/>
      <c r="B14" s="1525"/>
      <c r="C14" s="373" t="s">
        <v>80</v>
      </c>
      <c r="D14" s="213"/>
      <c r="E14" s="213"/>
      <c r="F14" s="374" t="str">
        <f>IFNA(VLOOKUP($C$3,'召喚物資料'!$B:$AM,18,FALSE),"")</f>
        <v/>
      </c>
      <c r="G14" s="375"/>
      <c r="H14" s="1587">
        <f t="shared" si="2"/>
        <v>-5</v>
      </c>
      <c r="I14" s="375"/>
      <c r="J14" s="376"/>
      <c r="K14" s="1584" t="b">
        <v>0</v>
      </c>
      <c r="L14" s="481"/>
      <c r="M14" s="1587">
        <f t="shared" si="3"/>
        <v>-5</v>
      </c>
      <c r="N14" s="375"/>
      <c r="O14" s="376"/>
      <c r="P14" s="291"/>
      <c r="Q14" s="1594" t="s">
        <v>176</v>
      </c>
      <c r="R14" s="19"/>
      <c r="S14" s="19"/>
      <c r="T14" s="20"/>
      <c r="U14" s="291"/>
      <c r="V14" s="1595" t="s">
        <v>264</v>
      </c>
      <c r="W14" s="152"/>
      <c r="X14" s="152"/>
      <c r="Y14" s="175"/>
      <c r="Z14" s="291"/>
      <c r="AA14" s="1575"/>
      <c r="AI14" s="1576"/>
      <c r="AJ14" s="291"/>
      <c r="AK14" s="1586" t="s">
        <v>214</v>
      </c>
      <c r="AL14" s="152"/>
      <c r="AM14" s="1251"/>
      <c r="AN14" s="1596" t="s">
        <v>4140</v>
      </c>
      <c r="AO14" s="152"/>
      <c r="AP14" s="1251"/>
      <c r="AQ14" s="1596" t="s">
        <v>4141</v>
      </c>
      <c r="AR14" s="152"/>
      <c r="AS14" s="175"/>
      <c r="AT14" s="291"/>
      <c r="AU14" s="1578" t="s">
        <v>4142</v>
      </c>
      <c r="AV14" s="19"/>
      <c r="AW14" s="19"/>
      <c r="AX14" s="19"/>
      <c r="AY14" s="19"/>
      <c r="AZ14" s="19"/>
      <c r="BA14" s="19"/>
      <c r="BB14" s="20"/>
      <c r="BC14" s="291"/>
      <c r="BD14" s="1527"/>
      <c r="BE14" s="1597" t="s">
        <v>4143</v>
      </c>
      <c r="BF14" s="152"/>
      <c r="BG14" s="152"/>
      <c r="BH14" s="152"/>
      <c r="BI14" s="152"/>
      <c r="BJ14" s="152"/>
      <c r="BK14" s="152"/>
      <c r="BL14" s="152"/>
      <c r="BM14" s="1598" t="b">
        <v>0</v>
      </c>
      <c r="BN14" s="20"/>
      <c r="BO14" s="1599">
        <v>8.0</v>
      </c>
      <c r="BP14" s="19"/>
      <c r="BQ14" s="19"/>
      <c r="BR14" s="1546">
        <f t="shared" ref="BR14:BR52" si="4">BM14*BO14</f>
        <v>0</v>
      </c>
      <c r="BS14" s="20"/>
      <c r="BT14" s="1534"/>
      <c r="BU14" s="1106"/>
    </row>
    <row r="15" ht="15.75" customHeight="1">
      <c r="A15" s="303"/>
      <c r="B15" s="1525"/>
      <c r="C15" s="408" t="s">
        <v>83</v>
      </c>
      <c r="D15" s="213"/>
      <c r="E15" s="213"/>
      <c r="F15" s="390" t="str">
        <f>IFNA(VLOOKUP($C$3,'召喚物資料'!$B:$AM,19,FALSE),"")</f>
        <v/>
      </c>
      <c r="G15" s="375"/>
      <c r="H15" s="1587">
        <f t="shared" si="2"/>
        <v>-5</v>
      </c>
      <c r="I15" s="375"/>
      <c r="J15" s="376"/>
      <c r="K15" s="1571" t="b">
        <v>0</v>
      </c>
      <c r="L15" s="481"/>
      <c r="M15" s="1587">
        <f t="shared" si="3"/>
        <v>-5</v>
      </c>
      <c r="N15" s="375"/>
      <c r="O15" s="376"/>
      <c r="P15" s="291"/>
      <c r="Q15" s="1600">
        <f>H12</f>
        <v>-5</v>
      </c>
      <c r="R15" s="152"/>
      <c r="S15" s="152"/>
      <c r="T15" s="175"/>
      <c r="U15" s="291"/>
      <c r="V15" s="1601" t="str">
        <f>IFERROR(IF(M4="坐騎",IF(VLOOKUP($C$3,'召喚物資料'!$B:$AM,7,FALSE)&lt;BN11+BP11,BN11+BP11,VLOOKUP($C$3,'召喚物資料'!$B:$AM,7,FALSE)),VLOOKUP($C$3,'召喚物資料'!$B:$AM,7,FALSE)),"")</f>
        <v/>
      </c>
      <c r="W15" s="152"/>
      <c r="X15" s="152"/>
      <c r="Y15" s="175"/>
      <c r="Z15" s="291"/>
      <c r="AA15" s="1575"/>
      <c r="AI15" s="1576"/>
      <c r="AJ15" s="291"/>
      <c r="AK15" s="1589" t="str">
        <f>IFNA(VLOOKUP($C$3,'召喚物資料'!$B:$O,12,FALSE),"")</f>
        <v/>
      </c>
      <c r="AL15" s="19"/>
      <c r="AM15" s="20"/>
      <c r="AN15" s="1589" t="str">
        <f>IFNA(VLOOKUP($C$3,'召喚物資料'!$B:$O,13,FALSE),"")</f>
        <v/>
      </c>
      <c r="AO15" s="19"/>
      <c r="AP15" s="20"/>
      <c r="AQ15" s="1589" t="str">
        <f>IFNA(VLOOKUP($C$3,'召喚物資料'!$B:$O,14,FALSE),"")</f>
        <v/>
      </c>
      <c r="AR15" s="19"/>
      <c r="AS15" s="20"/>
      <c r="AT15" s="291"/>
      <c r="AU15" s="1548" t="str">
        <f>IFNA(VLOOKUP($C$3,'召喚物資料'!$B:$AU,29,FALSE),"")</f>
        <v/>
      </c>
      <c r="AV15" s="152"/>
      <c r="AW15" s="152"/>
      <c r="AX15" s="152"/>
      <c r="AY15" s="152"/>
      <c r="AZ15" s="152"/>
      <c r="BA15" s="152"/>
      <c r="BB15" s="175"/>
      <c r="BC15" s="291"/>
      <c r="BD15" s="1527"/>
      <c r="BE15" s="1602"/>
      <c r="BF15" s="701"/>
      <c r="BG15" s="701"/>
      <c r="BH15" s="701"/>
      <c r="BI15" s="701"/>
      <c r="BJ15" s="701"/>
      <c r="BK15" s="701"/>
      <c r="BL15" s="702"/>
      <c r="BM15" s="1603"/>
      <c r="BN15" s="702"/>
      <c r="BO15" s="1604"/>
      <c r="BP15" s="701"/>
      <c r="BQ15" s="702"/>
      <c r="BR15" s="1605">
        <f t="shared" si="4"/>
        <v>0</v>
      </c>
      <c r="BS15" s="771"/>
      <c r="BT15" s="1534"/>
      <c r="BU15" s="1106"/>
      <c r="BV15" s="1528" t="s">
        <v>4144</v>
      </c>
    </row>
    <row r="16" ht="15.75" customHeight="1">
      <c r="A16" s="303"/>
      <c r="B16" s="1525"/>
      <c r="C16" s="415" t="s">
        <v>88</v>
      </c>
      <c r="D16" s="240"/>
      <c r="E16" s="240"/>
      <c r="F16" s="1606" t="str">
        <f>IFNA(VLOOKUP($C$3,'召喚物資料'!$B:$AM,20,FALSE),"")</f>
        <v/>
      </c>
      <c r="G16" s="417"/>
      <c r="H16" s="1607">
        <f t="shared" si="2"/>
        <v>-5</v>
      </c>
      <c r="I16" s="417"/>
      <c r="J16" s="517"/>
      <c r="K16" s="1608" t="b">
        <v>0</v>
      </c>
      <c r="L16" s="1609"/>
      <c r="M16" s="1607">
        <f t="shared" si="3"/>
        <v>-5</v>
      </c>
      <c r="N16" s="417"/>
      <c r="O16" s="517"/>
      <c r="P16" s="291"/>
      <c r="Q16" s="143"/>
      <c r="R16" s="240"/>
      <c r="S16" s="240"/>
      <c r="T16" s="241"/>
      <c r="U16" s="291"/>
      <c r="V16" s="143"/>
      <c r="W16" s="240"/>
      <c r="X16" s="240"/>
      <c r="Y16" s="241"/>
      <c r="Z16" s="291"/>
      <c r="AA16" s="1610"/>
      <c r="AB16" s="1611"/>
      <c r="AC16" s="1611"/>
      <c r="AD16" s="1611"/>
      <c r="AE16" s="1611"/>
      <c r="AF16" s="1611"/>
      <c r="AG16" s="1611"/>
      <c r="AH16" s="1611"/>
      <c r="AI16" s="1612"/>
      <c r="AJ16" s="291"/>
      <c r="AK16" s="291"/>
      <c r="AL16" s="291"/>
      <c r="AM16" s="291"/>
      <c r="AN16" s="291"/>
      <c r="AO16" s="291"/>
      <c r="AP16" s="291"/>
      <c r="AQ16" s="291"/>
      <c r="AR16" s="291"/>
      <c r="AS16" s="291"/>
      <c r="AT16" s="291"/>
      <c r="AU16" s="143"/>
      <c r="AV16" s="240"/>
      <c r="AW16" s="240"/>
      <c r="AX16" s="240"/>
      <c r="AY16" s="240"/>
      <c r="AZ16" s="240"/>
      <c r="BA16" s="240"/>
      <c r="BB16" s="241"/>
      <c r="BC16" s="291"/>
      <c r="BD16" s="1527"/>
      <c r="BE16" s="1613"/>
      <c r="BF16" s="122"/>
      <c r="BG16" s="122"/>
      <c r="BH16" s="122"/>
      <c r="BI16" s="122"/>
      <c r="BJ16" s="122"/>
      <c r="BK16" s="122"/>
      <c r="BL16" s="120"/>
      <c r="BM16" s="1614"/>
      <c r="BN16" s="120"/>
      <c r="BO16" s="1615"/>
      <c r="BP16" s="122"/>
      <c r="BQ16" s="120"/>
      <c r="BR16" s="1616">
        <f t="shared" si="4"/>
        <v>0</v>
      </c>
      <c r="BS16" s="120"/>
      <c r="BT16" s="1534"/>
      <c r="BU16" s="1106"/>
      <c r="BV16" s="1528" t="s">
        <v>4145</v>
      </c>
    </row>
    <row r="17" ht="15.75" customHeight="1">
      <c r="A17" s="303"/>
      <c r="B17" s="1525"/>
      <c r="C17" s="291"/>
      <c r="D17" s="291"/>
      <c r="E17" s="291"/>
      <c r="F17" s="291"/>
      <c r="G17" s="291"/>
      <c r="H17" s="291"/>
      <c r="I17" s="291"/>
      <c r="J17" s="291"/>
      <c r="K17" s="291"/>
      <c r="L17" s="291"/>
      <c r="M17" s="291"/>
      <c r="N17" s="291"/>
      <c r="O17" s="291"/>
      <c r="P17" s="291"/>
      <c r="Q17" s="291"/>
      <c r="R17" s="291"/>
      <c r="S17" s="291"/>
      <c r="T17" s="291"/>
      <c r="U17" s="291"/>
      <c r="V17" s="291"/>
      <c r="W17" s="291"/>
      <c r="X17" s="291"/>
      <c r="Y17" s="291"/>
      <c r="Z17" s="291"/>
      <c r="AA17" s="291"/>
      <c r="AB17" s="291"/>
      <c r="AC17" s="291"/>
      <c r="AD17" s="291"/>
      <c r="AE17" s="291"/>
      <c r="AF17" s="291"/>
      <c r="AG17" s="291"/>
      <c r="AH17" s="291"/>
      <c r="AI17" s="291"/>
      <c r="AJ17" s="291"/>
      <c r="AK17" s="291"/>
      <c r="AL17" s="291"/>
      <c r="AM17" s="291"/>
      <c r="AN17" s="291"/>
      <c r="AO17" s="291"/>
      <c r="AP17" s="291"/>
      <c r="AQ17" s="291"/>
      <c r="AR17" s="291"/>
      <c r="AS17" s="291"/>
      <c r="AT17" s="291"/>
      <c r="AU17" s="291"/>
      <c r="AV17" s="291"/>
      <c r="AW17" s="291"/>
      <c r="AX17" s="291"/>
      <c r="AY17" s="291"/>
      <c r="AZ17" s="291"/>
      <c r="BA17" s="291"/>
      <c r="BB17" s="291"/>
      <c r="BC17" s="291"/>
      <c r="BD17" s="1527"/>
      <c r="BE17" s="1617"/>
      <c r="BF17" s="122"/>
      <c r="BG17" s="122"/>
      <c r="BH17" s="122"/>
      <c r="BI17" s="122"/>
      <c r="BJ17" s="122"/>
      <c r="BK17" s="122"/>
      <c r="BL17" s="120"/>
      <c r="BM17" s="1618"/>
      <c r="BN17" s="120"/>
      <c r="BO17" s="1619"/>
      <c r="BP17" s="122"/>
      <c r="BQ17" s="120"/>
      <c r="BR17" s="1616">
        <f t="shared" si="4"/>
        <v>0</v>
      </c>
      <c r="BS17" s="120"/>
      <c r="BT17" s="1534"/>
      <c r="BU17" s="1106"/>
      <c r="BV17" s="1528" t="s">
        <v>4146</v>
      </c>
    </row>
    <row r="18" ht="15.75" customHeight="1">
      <c r="A18" s="303"/>
      <c r="B18" s="1525"/>
      <c r="C18" s="1620" t="s">
        <v>182</v>
      </c>
      <c r="D18" s="179"/>
      <c r="E18" s="179"/>
      <c r="F18" s="195"/>
      <c r="G18" s="196">
        <f>IFERROR(__xludf.DUMMYFUNCTION("H11+IF(REGEXMATCH('索引資料'!$J$38,C18),2,0)"),-5.0)</f>
        <v>-5</v>
      </c>
      <c r="H18" s="197"/>
      <c r="I18" s="1621" t="s">
        <v>183</v>
      </c>
      <c r="J18" s="224"/>
      <c r="K18" s="224"/>
      <c r="L18" s="225"/>
      <c r="M18" s="199">
        <f>IFERROR(__xludf.DUMMYFUNCTION("H15+IF(REGEXMATCH('索引資料'!$J$38,I18),2,0)"),-5.0)</f>
        <v>-5</v>
      </c>
      <c r="N18" s="200"/>
      <c r="O18" s="291"/>
      <c r="P18" s="1622" t="s">
        <v>4147</v>
      </c>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20"/>
      <c r="BC18" s="291"/>
      <c r="BD18" s="1527"/>
      <c r="BE18" s="1623"/>
      <c r="BF18" s="122"/>
      <c r="BG18" s="122"/>
      <c r="BH18" s="122"/>
      <c r="BI18" s="122"/>
      <c r="BJ18" s="122"/>
      <c r="BK18" s="122"/>
      <c r="BL18" s="120"/>
      <c r="BM18" s="1624"/>
      <c r="BN18" s="120"/>
      <c r="BO18" s="1624"/>
      <c r="BP18" s="122"/>
      <c r="BQ18" s="120"/>
      <c r="BR18" s="1625">
        <f t="shared" si="4"/>
        <v>0</v>
      </c>
      <c r="BS18" s="120"/>
      <c r="BT18" s="1534"/>
      <c r="BU18" s="1106"/>
      <c r="BV18" s="1528" t="s">
        <v>4148</v>
      </c>
    </row>
    <row r="19" ht="15.75" customHeight="1">
      <c r="A19" s="303"/>
      <c r="B19" s="1525"/>
      <c r="C19" s="1626" t="s">
        <v>185</v>
      </c>
      <c r="D19" s="213"/>
      <c r="E19" s="213"/>
      <c r="F19" s="229"/>
      <c r="G19" s="215">
        <f>IFERROR(__xludf.DUMMYFUNCTION("H12+IF(REGEXMATCH('索引資料'!$J$38,C19),2,0)"),-5.0)</f>
        <v>-5</v>
      </c>
      <c r="H19" s="175"/>
      <c r="I19" s="1627" t="s">
        <v>186</v>
      </c>
      <c r="J19" s="213"/>
      <c r="K19" s="213"/>
      <c r="L19" s="229"/>
      <c r="M19" s="217">
        <f>IFERROR(__xludf.DUMMYFUNCTION("H15+IF(REGEXMATCH('索引資料'!$J$38,I19),2,0)"),-5.0)</f>
        <v>-5</v>
      </c>
      <c r="N19" s="218"/>
      <c r="O19" s="291"/>
      <c r="P19" s="1628"/>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c r="AO19" s="113"/>
      <c r="AP19" s="113"/>
      <c r="AQ19" s="113"/>
      <c r="AR19" s="113"/>
      <c r="AS19" s="113"/>
      <c r="AT19" s="113"/>
      <c r="AU19" s="113"/>
      <c r="AV19" s="113"/>
      <c r="AW19" s="113"/>
      <c r="AX19" s="113"/>
      <c r="AY19" s="113"/>
      <c r="AZ19" s="113"/>
      <c r="BA19" s="113"/>
      <c r="BB19" s="111"/>
      <c r="BC19" s="291"/>
      <c r="BD19" s="1527"/>
      <c r="BE19" s="1629"/>
      <c r="BF19" s="122"/>
      <c r="BG19" s="122"/>
      <c r="BH19" s="122"/>
      <c r="BI19" s="122"/>
      <c r="BJ19" s="122"/>
      <c r="BK19" s="122"/>
      <c r="BL19" s="120"/>
      <c r="BM19" s="1617"/>
      <c r="BN19" s="120"/>
      <c r="BO19" s="1629"/>
      <c r="BP19" s="122"/>
      <c r="BQ19" s="120"/>
      <c r="BR19" s="1625">
        <f t="shared" si="4"/>
        <v>0</v>
      </c>
      <c r="BS19" s="120"/>
      <c r="BT19" s="1630"/>
      <c r="BU19" s="1106"/>
      <c r="BV19" s="1528" t="s">
        <v>4149</v>
      </c>
    </row>
    <row r="20" ht="15.75" customHeight="1">
      <c r="A20" s="303"/>
      <c r="B20" s="1525"/>
      <c r="C20" s="1626" t="s">
        <v>188</v>
      </c>
      <c r="D20" s="213"/>
      <c r="E20" s="213"/>
      <c r="F20" s="229"/>
      <c r="G20" s="217">
        <f>IFERROR(__xludf.DUMMYFUNCTION("H12+IF(REGEXMATCH('索引資料'!$J$38,C20),2,0)"),-5.0)</f>
        <v>-5</v>
      </c>
      <c r="H20" s="175"/>
      <c r="I20" s="1627" t="s">
        <v>189</v>
      </c>
      <c r="J20" s="213"/>
      <c r="K20" s="213"/>
      <c r="L20" s="229"/>
      <c r="M20" s="215">
        <f>IFERROR(__xludf.DUMMYFUNCTION("H15+IF(REGEXMATCH('索引資料'!$J$38,I20),2,0)"),-5.0)</f>
        <v>-5</v>
      </c>
      <c r="N20" s="218"/>
      <c r="O20" s="291"/>
      <c r="P20" s="1631"/>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c r="AX20" s="122"/>
      <c r="AY20" s="122"/>
      <c r="AZ20" s="122"/>
      <c r="BA20" s="122"/>
      <c r="BB20" s="120"/>
      <c r="BC20" s="291"/>
      <c r="BD20" s="1527"/>
      <c r="BE20" s="1613"/>
      <c r="BF20" s="122"/>
      <c r="BG20" s="122"/>
      <c r="BH20" s="122"/>
      <c r="BI20" s="122"/>
      <c r="BJ20" s="122"/>
      <c r="BK20" s="122"/>
      <c r="BL20" s="120"/>
      <c r="BM20" s="1632"/>
      <c r="BN20" s="120"/>
      <c r="BO20" s="1624"/>
      <c r="BP20" s="122"/>
      <c r="BQ20" s="120"/>
      <c r="BR20" s="1625">
        <f t="shared" si="4"/>
        <v>0</v>
      </c>
      <c r="BS20" s="120"/>
      <c r="BT20" s="1534"/>
      <c r="BU20" s="1106"/>
      <c r="BV20" s="1633"/>
    </row>
    <row r="21" ht="15.75" customHeight="1">
      <c r="A21" s="303"/>
      <c r="B21" s="1525"/>
      <c r="C21" s="1634" t="s">
        <v>190</v>
      </c>
      <c r="D21" s="240"/>
      <c r="E21" s="240"/>
      <c r="F21" s="241"/>
      <c r="G21" s="215">
        <f>IFERROR(__xludf.DUMMYFUNCTION("H12+IF(REGEXMATCH('索引資料'!$J$38,C21),2,0)"),-5.0)</f>
        <v>-5</v>
      </c>
      <c r="H21" s="175"/>
      <c r="I21" s="1627" t="s">
        <v>191</v>
      </c>
      <c r="J21" s="213"/>
      <c r="K21" s="213"/>
      <c r="L21" s="229"/>
      <c r="M21" s="217">
        <f>IFERROR(__xludf.DUMMYFUNCTION("H15+IF(REGEXMATCH('索引資料'!$J$38,I21),2,0)"),-5.0)</f>
        <v>-5</v>
      </c>
      <c r="N21" s="218"/>
      <c r="O21" s="291"/>
      <c r="P21" s="1635"/>
      <c r="Q21" s="122"/>
      <c r="R21" s="122"/>
      <c r="S21" s="122"/>
      <c r="T21" s="122"/>
      <c r="U21" s="122"/>
      <c r="V21" s="122"/>
      <c r="W21" s="122"/>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c r="AV21" s="122"/>
      <c r="AW21" s="122"/>
      <c r="AX21" s="122"/>
      <c r="AY21" s="122"/>
      <c r="AZ21" s="122"/>
      <c r="BA21" s="122"/>
      <c r="BB21" s="120"/>
      <c r="BC21" s="291"/>
      <c r="BD21" s="1527"/>
      <c r="BE21" s="1617"/>
      <c r="BF21" s="122"/>
      <c r="BG21" s="122"/>
      <c r="BH21" s="122"/>
      <c r="BI21" s="122"/>
      <c r="BJ21" s="122"/>
      <c r="BK21" s="122"/>
      <c r="BL21" s="120"/>
      <c r="BM21" s="1617"/>
      <c r="BN21" s="120"/>
      <c r="BO21" s="1629"/>
      <c r="BP21" s="122"/>
      <c r="BQ21" s="120"/>
      <c r="BR21" s="1625">
        <f t="shared" si="4"/>
        <v>0</v>
      </c>
      <c r="BS21" s="120"/>
      <c r="BT21" s="1534"/>
      <c r="BU21" s="1106"/>
    </row>
    <row r="22" ht="15.75" customHeight="1">
      <c r="A22" s="303"/>
      <c r="B22" s="1525"/>
      <c r="C22" s="1636" t="s">
        <v>193</v>
      </c>
      <c r="D22" s="213"/>
      <c r="E22" s="213"/>
      <c r="F22" s="229"/>
      <c r="G22" s="217">
        <f>IFERROR(__xludf.DUMMYFUNCTION("H14+IF(REGEXMATCH('索引資料'!$J$38,C22),2,0)"),-5.0)</f>
        <v>-5</v>
      </c>
      <c r="H22" s="175"/>
      <c r="I22" s="1637" t="s">
        <v>194</v>
      </c>
      <c r="J22" s="240"/>
      <c r="K22" s="240"/>
      <c r="L22" s="241"/>
      <c r="M22" s="215">
        <f>IFERROR(__xludf.DUMMYFUNCTION("H15+IF(REGEXMATCH('索引資料'!$J$38,I22),2,0)"),-5.0)</f>
        <v>-5</v>
      </c>
      <c r="N22" s="218"/>
      <c r="O22" s="291"/>
      <c r="P22" s="1631"/>
      <c r="Q22" s="122"/>
      <c r="R22" s="122"/>
      <c r="S22" s="122"/>
      <c r="T22" s="122"/>
      <c r="U22" s="122"/>
      <c r="V22" s="122"/>
      <c r="W22" s="122"/>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c r="AV22" s="122"/>
      <c r="AW22" s="122"/>
      <c r="AX22" s="122"/>
      <c r="AY22" s="122"/>
      <c r="AZ22" s="122"/>
      <c r="BA22" s="122"/>
      <c r="BB22" s="120"/>
      <c r="BC22" s="291"/>
      <c r="BD22" s="1527"/>
      <c r="BE22" s="1623"/>
      <c r="BF22" s="122"/>
      <c r="BG22" s="122"/>
      <c r="BH22" s="122"/>
      <c r="BI22" s="122"/>
      <c r="BJ22" s="122"/>
      <c r="BK22" s="122"/>
      <c r="BL22" s="120"/>
      <c r="BM22" s="1632"/>
      <c r="BN22" s="120"/>
      <c r="BO22" s="1624"/>
      <c r="BP22" s="122"/>
      <c r="BQ22" s="120"/>
      <c r="BR22" s="1625">
        <f t="shared" si="4"/>
        <v>0</v>
      </c>
      <c r="BS22" s="120"/>
      <c r="BT22" s="1534"/>
      <c r="BU22" s="1638"/>
    </row>
    <row r="23" ht="15.75" customHeight="1">
      <c r="A23" s="303"/>
      <c r="B23" s="1525"/>
      <c r="C23" s="1636" t="s">
        <v>196</v>
      </c>
      <c r="D23" s="213"/>
      <c r="E23" s="213"/>
      <c r="F23" s="229"/>
      <c r="G23" s="215">
        <f>IFERROR(__xludf.DUMMYFUNCTION("H14+IF(REGEXMATCH('索引資料'!$J$38,C23),2,0)"),-5.0)</f>
        <v>-5</v>
      </c>
      <c r="H23" s="175"/>
      <c r="I23" s="1639" t="s">
        <v>197</v>
      </c>
      <c r="J23" s="213"/>
      <c r="K23" s="213"/>
      <c r="L23" s="229"/>
      <c r="M23" s="217">
        <f>IFERROR(__xludf.DUMMYFUNCTION("H16+IF(REGEXMATCH('索引資料'!$J$38,I23),2,0)"),-5.0)</f>
        <v>-5</v>
      </c>
      <c r="N23" s="218"/>
      <c r="O23" s="291"/>
      <c r="P23" s="1635"/>
      <c r="Q23" s="122"/>
      <c r="R23" s="122"/>
      <c r="S23" s="122"/>
      <c r="T23" s="122"/>
      <c r="U23" s="122"/>
      <c r="V23" s="122"/>
      <c r="W23" s="122"/>
      <c r="X23" s="122"/>
      <c r="Y23" s="122"/>
      <c r="Z23" s="122"/>
      <c r="AA23" s="122"/>
      <c r="AB23" s="122"/>
      <c r="AC23" s="122"/>
      <c r="AD23" s="122"/>
      <c r="AE23" s="122"/>
      <c r="AF23" s="122"/>
      <c r="AG23" s="122"/>
      <c r="AH23" s="122"/>
      <c r="AI23" s="122"/>
      <c r="AJ23" s="122"/>
      <c r="AK23" s="122"/>
      <c r="AL23" s="122"/>
      <c r="AM23" s="122"/>
      <c r="AN23" s="122"/>
      <c r="AO23" s="122"/>
      <c r="AP23" s="122"/>
      <c r="AQ23" s="122"/>
      <c r="AR23" s="122"/>
      <c r="AS23" s="122"/>
      <c r="AT23" s="122"/>
      <c r="AU23" s="122"/>
      <c r="AV23" s="122"/>
      <c r="AW23" s="122"/>
      <c r="AX23" s="122"/>
      <c r="AY23" s="122"/>
      <c r="AZ23" s="122"/>
      <c r="BA23" s="122"/>
      <c r="BB23" s="120"/>
      <c r="BC23" s="291"/>
      <c r="BD23" s="1527"/>
      <c r="BE23" s="1629"/>
      <c r="BF23" s="122"/>
      <c r="BG23" s="122"/>
      <c r="BH23" s="122"/>
      <c r="BI23" s="122"/>
      <c r="BJ23" s="122"/>
      <c r="BK23" s="122"/>
      <c r="BL23" s="120"/>
      <c r="BM23" s="1640"/>
      <c r="BN23" s="120"/>
      <c r="BO23" s="1629"/>
      <c r="BP23" s="122"/>
      <c r="BQ23" s="120"/>
      <c r="BR23" s="1625">
        <f t="shared" si="4"/>
        <v>0</v>
      </c>
      <c r="BS23" s="120"/>
      <c r="BT23" s="1534"/>
      <c r="BU23" s="303"/>
    </row>
    <row r="24" ht="15.75" customHeight="1">
      <c r="A24" s="303"/>
      <c r="B24" s="1525"/>
      <c r="C24" s="1636" t="s">
        <v>200</v>
      </c>
      <c r="D24" s="213"/>
      <c r="E24" s="213"/>
      <c r="F24" s="229"/>
      <c r="G24" s="217">
        <f>IFERROR(__xludf.DUMMYFUNCTION("H14+IF(REGEXMATCH('索引資料'!$J$38,C24),2,0)"),-5.0)</f>
        <v>-5</v>
      </c>
      <c r="H24" s="175"/>
      <c r="I24" s="1639" t="s">
        <v>201</v>
      </c>
      <c r="J24" s="213"/>
      <c r="K24" s="213"/>
      <c r="L24" s="229"/>
      <c r="M24" s="215">
        <f>IFERROR(__xludf.DUMMYFUNCTION("H16+IF(REGEXMATCH('索引資料'!$J$38,I24),2,0)"),-5.0)</f>
        <v>-5</v>
      </c>
      <c r="N24" s="218"/>
      <c r="O24" s="291"/>
      <c r="P24" s="1631"/>
      <c r="Q24" s="122"/>
      <c r="R24" s="122"/>
      <c r="S24" s="122"/>
      <c r="T24" s="122"/>
      <c r="U24" s="122"/>
      <c r="V24" s="122"/>
      <c r="W24" s="122"/>
      <c r="X24" s="122"/>
      <c r="Y24" s="122"/>
      <c r="Z24" s="122"/>
      <c r="AA24" s="122"/>
      <c r="AB24" s="122"/>
      <c r="AC24" s="122"/>
      <c r="AD24" s="122"/>
      <c r="AE24" s="122"/>
      <c r="AF24" s="122"/>
      <c r="AG24" s="122"/>
      <c r="AH24" s="122"/>
      <c r="AI24" s="122"/>
      <c r="AJ24" s="122"/>
      <c r="AK24" s="122"/>
      <c r="AL24" s="122"/>
      <c r="AM24" s="122"/>
      <c r="AN24" s="122"/>
      <c r="AO24" s="122"/>
      <c r="AP24" s="122"/>
      <c r="AQ24" s="122"/>
      <c r="AR24" s="122"/>
      <c r="AS24" s="122"/>
      <c r="AT24" s="122"/>
      <c r="AU24" s="122"/>
      <c r="AV24" s="122"/>
      <c r="AW24" s="122"/>
      <c r="AX24" s="122"/>
      <c r="AY24" s="122"/>
      <c r="AZ24" s="122"/>
      <c r="BA24" s="122"/>
      <c r="BB24" s="120"/>
      <c r="BC24" s="291"/>
      <c r="BD24" s="1527"/>
      <c r="BE24" s="1623"/>
      <c r="BF24" s="122"/>
      <c r="BG24" s="122"/>
      <c r="BH24" s="122"/>
      <c r="BI24" s="122"/>
      <c r="BJ24" s="122"/>
      <c r="BK24" s="122"/>
      <c r="BL24" s="120"/>
      <c r="BM24" s="1624"/>
      <c r="BN24" s="120"/>
      <c r="BO24" s="1624"/>
      <c r="BP24" s="122"/>
      <c r="BQ24" s="120"/>
      <c r="BR24" s="1625">
        <f t="shared" si="4"/>
        <v>0</v>
      </c>
      <c r="BS24" s="120"/>
      <c r="BT24" s="1534"/>
      <c r="BU24" s="1641"/>
    </row>
    <row r="25" ht="15.75" customHeight="1">
      <c r="A25" s="303"/>
      <c r="B25" s="1525"/>
      <c r="C25" s="1636" t="s">
        <v>202</v>
      </c>
      <c r="D25" s="213"/>
      <c r="E25" s="213"/>
      <c r="F25" s="229"/>
      <c r="G25" s="215">
        <f>IFERROR(__xludf.DUMMYFUNCTION("H14+IF(REGEXMATCH('索引資料'!$J$38,C25),2,0)"),-5.0)</f>
        <v>-5</v>
      </c>
      <c r="H25" s="175"/>
      <c r="I25" s="1639" t="s">
        <v>203</v>
      </c>
      <c r="J25" s="213"/>
      <c r="K25" s="213"/>
      <c r="L25" s="229"/>
      <c r="M25" s="217">
        <f>IFERROR(__xludf.DUMMYFUNCTION("H16+IF(REGEXMATCH('索引資料'!$J$38,I25),2,0)"),-5.0)</f>
        <v>-5</v>
      </c>
      <c r="N25" s="218"/>
      <c r="O25" s="291"/>
      <c r="P25" s="1635"/>
      <c r="Q25" s="122"/>
      <c r="R25" s="122"/>
      <c r="S25" s="122"/>
      <c r="T25" s="122"/>
      <c r="U25" s="122"/>
      <c r="V25" s="122"/>
      <c r="W25" s="122"/>
      <c r="X25" s="122"/>
      <c r="Y25" s="122"/>
      <c r="Z25" s="122"/>
      <c r="AA25" s="122"/>
      <c r="AB25" s="122"/>
      <c r="AC25" s="122"/>
      <c r="AD25" s="122"/>
      <c r="AE25" s="122"/>
      <c r="AF25" s="122"/>
      <c r="AG25" s="122"/>
      <c r="AH25" s="122"/>
      <c r="AI25" s="122"/>
      <c r="AJ25" s="122"/>
      <c r="AK25" s="122"/>
      <c r="AL25" s="122"/>
      <c r="AM25" s="122"/>
      <c r="AN25" s="122"/>
      <c r="AO25" s="122"/>
      <c r="AP25" s="122"/>
      <c r="AQ25" s="122"/>
      <c r="AR25" s="122"/>
      <c r="AS25" s="122"/>
      <c r="AT25" s="122"/>
      <c r="AU25" s="122"/>
      <c r="AV25" s="122"/>
      <c r="AW25" s="122"/>
      <c r="AX25" s="122"/>
      <c r="AY25" s="122"/>
      <c r="AZ25" s="122"/>
      <c r="BA25" s="122"/>
      <c r="BB25" s="120"/>
      <c r="BC25" s="291"/>
      <c r="BD25" s="1527"/>
      <c r="BE25" s="1642"/>
      <c r="BF25" s="122"/>
      <c r="BG25" s="122"/>
      <c r="BH25" s="122"/>
      <c r="BI25" s="122"/>
      <c r="BJ25" s="122"/>
      <c r="BK25" s="122"/>
      <c r="BL25" s="120"/>
      <c r="BM25" s="1642"/>
      <c r="BN25" s="120"/>
      <c r="BO25" s="1642"/>
      <c r="BP25" s="122"/>
      <c r="BQ25" s="120"/>
      <c r="BR25" s="1616">
        <f t="shared" si="4"/>
        <v>0</v>
      </c>
      <c r="BS25" s="120"/>
      <c r="BT25" s="1534"/>
      <c r="BU25" s="1106"/>
    </row>
    <row r="26" ht="15.75" customHeight="1">
      <c r="A26" s="303"/>
      <c r="B26" s="1525"/>
      <c r="C26" s="1643" t="s">
        <v>206</v>
      </c>
      <c r="D26" s="156"/>
      <c r="E26" s="156"/>
      <c r="F26" s="253"/>
      <c r="G26" s="238">
        <f>IFERROR(__xludf.DUMMYFUNCTION("H14+IF(REGEXMATCH('索引資料'!$J$38,C26),2,0)"),-5.0)</f>
        <v>-5</v>
      </c>
      <c r="H26" s="235"/>
      <c r="I26" s="1644" t="s">
        <v>207</v>
      </c>
      <c r="J26" s="156"/>
      <c r="K26" s="156"/>
      <c r="L26" s="253"/>
      <c r="M26" s="236">
        <f>IFERROR(__xludf.DUMMYFUNCTION("H16+IF(REGEXMATCH('索引資料'!$J$38,I25),2,0)"),-5.0)</f>
        <v>-5</v>
      </c>
      <c r="N26" s="203"/>
      <c r="O26" s="291"/>
      <c r="P26" s="1645"/>
      <c r="Q26" s="144"/>
      <c r="R26" s="144"/>
      <c r="S26" s="144"/>
      <c r="T26" s="144"/>
      <c r="U26" s="144"/>
      <c r="V26" s="144"/>
      <c r="W26" s="144"/>
      <c r="X26" s="144"/>
      <c r="Y26" s="144"/>
      <c r="Z26" s="144"/>
      <c r="AA26" s="144"/>
      <c r="AB26" s="144"/>
      <c r="AC26" s="144"/>
      <c r="AD26" s="144"/>
      <c r="AE26" s="144"/>
      <c r="AF26" s="144"/>
      <c r="AG26" s="144"/>
      <c r="AH26" s="144"/>
      <c r="AI26" s="144"/>
      <c r="AJ26" s="144"/>
      <c r="AK26" s="144"/>
      <c r="AL26" s="144"/>
      <c r="AM26" s="144"/>
      <c r="AN26" s="144"/>
      <c r="AO26" s="144"/>
      <c r="AP26" s="144"/>
      <c r="AQ26" s="144"/>
      <c r="AR26" s="144"/>
      <c r="AS26" s="144"/>
      <c r="AT26" s="144"/>
      <c r="AU26" s="144"/>
      <c r="AV26" s="144"/>
      <c r="AW26" s="144"/>
      <c r="AX26" s="144"/>
      <c r="AY26" s="144"/>
      <c r="AZ26" s="144"/>
      <c r="BA26" s="144"/>
      <c r="BB26" s="128"/>
      <c r="BC26" s="291"/>
      <c r="BD26" s="1527"/>
      <c r="BE26" s="1646"/>
      <c r="BF26" s="122"/>
      <c r="BG26" s="122"/>
      <c r="BH26" s="122"/>
      <c r="BI26" s="122"/>
      <c r="BJ26" s="122"/>
      <c r="BK26" s="122"/>
      <c r="BL26" s="120"/>
      <c r="BM26" s="1647"/>
      <c r="BN26" s="120"/>
      <c r="BO26" s="1647"/>
      <c r="BP26" s="122"/>
      <c r="BQ26" s="120"/>
      <c r="BR26" s="1616">
        <f t="shared" si="4"/>
        <v>0</v>
      </c>
      <c r="BS26" s="120"/>
      <c r="BT26" s="1534"/>
      <c r="BU26" s="1106"/>
    </row>
    <row r="27" ht="15.75" customHeight="1">
      <c r="A27" s="303"/>
      <c r="B27" s="1525"/>
      <c r="C27" s="291"/>
      <c r="D27" s="291"/>
      <c r="E27" s="291"/>
      <c r="F27" s="291"/>
      <c r="G27" s="291"/>
      <c r="H27" s="291"/>
      <c r="I27" s="291"/>
      <c r="J27" s="291"/>
      <c r="K27" s="291"/>
      <c r="L27" s="291"/>
      <c r="M27" s="291"/>
      <c r="N27" s="291"/>
      <c r="O27" s="291"/>
      <c r="P27" s="291"/>
      <c r="Q27" s="291"/>
      <c r="R27" s="291"/>
      <c r="S27" s="291"/>
      <c r="T27" s="291"/>
      <c r="U27" s="291"/>
      <c r="V27" s="291"/>
      <c r="W27" s="1648"/>
      <c r="X27" s="1648"/>
      <c r="Y27" s="1648"/>
      <c r="Z27" s="1648"/>
      <c r="AA27" s="1648"/>
      <c r="AB27" s="1648"/>
      <c r="AC27" s="1648"/>
      <c r="AD27" s="1648"/>
      <c r="AE27" s="1648"/>
      <c r="AF27" s="1648"/>
      <c r="AG27" s="1648"/>
      <c r="AH27" s="1648"/>
      <c r="AI27" s="1648"/>
      <c r="AJ27" s="291"/>
      <c r="AK27" s="291"/>
      <c r="AL27" s="291"/>
      <c r="AM27" s="291"/>
      <c r="AN27" s="291"/>
      <c r="AO27" s="291"/>
      <c r="AP27" s="291"/>
      <c r="AQ27" s="291"/>
      <c r="AR27" s="291"/>
      <c r="AS27" s="291"/>
      <c r="AT27" s="291"/>
      <c r="AU27" s="291"/>
      <c r="AV27" s="291"/>
      <c r="AW27" s="291"/>
      <c r="AX27" s="291"/>
      <c r="AY27" s="291"/>
      <c r="AZ27" s="291"/>
      <c r="BA27" s="291"/>
      <c r="BB27" s="291"/>
      <c r="BC27" s="291"/>
      <c r="BD27" s="1527"/>
      <c r="BE27" s="1642"/>
      <c r="BF27" s="122"/>
      <c r="BG27" s="122"/>
      <c r="BH27" s="122"/>
      <c r="BI27" s="122"/>
      <c r="BJ27" s="122"/>
      <c r="BK27" s="122"/>
      <c r="BL27" s="120"/>
      <c r="BM27" s="1642"/>
      <c r="BN27" s="120"/>
      <c r="BO27" s="1642"/>
      <c r="BP27" s="122"/>
      <c r="BQ27" s="120"/>
      <c r="BR27" s="1616">
        <f t="shared" si="4"/>
        <v>0</v>
      </c>
      <c r="BS27" s="120"/>
      <c r="BT27" s="291"/>
      <c r="BU27" s="303"/>
    </row>
    <row r="28">
      <c r="A28" s="297"/>
      <c r="B28" s="295" t="s">
        <v>4150</v>
      </c>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527"/>
      <c r="BE28" s="1649"/>
      <c r="BF28" s="122"/>
      <c r="BG28" s="122"/>
      <c r="BH28" s="122"/>
      <c r="BI28" s="122"/>
      <c r="BJ28" s="122"/>
      <c r="BK28" s="122"/>
      <c r="BL28" s="120"/>
      <c r="BM28" s="1614"/>
      <c r="BN28" s="120"/>
      <c r="BO28" s="1614"/>
      <c r="BP28" s="122"/>
      <c r="BQ28" s="120"/>
      <c r="BR28" s="1650">
        <f t="shared" si="4"/>
        <v>0</v>
      </c>
      <c r="BS28" s="120"/>
      <c r="BT28" s="291"/>
      <c r="BU28" s="297"/>
      <c r="BV28" s="1651"/>
    </row>
    <row r="29">
      <c r="A29" s="1652"/>
      <c r="B29" s="291"/>
      <c r="C29" s="1653"/>
      <c r="D29" s="1653"/>
      <c r="E29" s="1653"/>
      <c r="F29" s="1653"/>
      <c r="G29" s="1653"/>
      <c r="H29" s="1653"/>
      <c r="I29" s="1653"/>
      <c r="J29" s="1653"/>
      <c r="K29" s="1653"/>
      <c r="L29" s="1653"/>
      <c r="M29" s="1653"/>
      <c r="N29" s="1653"/>
      <c r="O29" s="1653"/>
      <c r="P29" s="1653"/>
      <c r="Q29" s="1653"/>
      <c r="R29" s="1653"/>
      <c r="S29" s="1653"/>
      <c r="T29" s="1653"/>
      <c r="U29" s="1653"/>
      <c r="V29" s="1653"/>
      <c r="W29" s="1653"/>
      <c r="X29" s="1653"/>
      <c r="Y29" s="1653"/>
      <c r="Z29" s="1653"/>
      <c r="AA29" s="1653"/>
      <c r="AB29" s="1653"/>
      <c r="AC29" s="1653"/>
      <c r="AD29" s="1653"/>
      <c r="AE29" s="1653"/>
      <c r="AF29" s="1653"/>
      <c r="AG29" s="1653"/>
      <c r="AH29" s="1653"/>
      <c r="AI29" s="1653"/>
      <c r="AJ29" s="1653"/>
      <c r="AK29" s="291"/>
      <c r="AL29" s="291"/>
      <c r="AM29" s="291"/>
      <c r="AN29" s="291"/>
      <c r="AO29" s="291"/>
      <c r="AP29" s="291"/>
      <c r="AQ29" s="291"/>
      <c r="AR29" s="291"/>
      <c r="AS29" s="291"/>
      <c r="AT29" s="291"/>
      <c r="AU29" s="291"/>
      <c r="AV29" s="291"/>
      <c r="AW29" s="291"/>
      <c r="AX29" s="291"/>
      <c r="AY29" s="291"/>
      <c r="AZ29" s="291"/>
      <c r="BA29" s="291"/>
      <c r="BB29" s="291"/>
      <c r="BC29" s="291"/>
      <c r="BD29" s="1527"/>
      <c r="BE29" s="1642"/>
      <c r="BF29" s="122"/>
      <c r="BG29" s="122"/>
      <c r="BH29" s="122"/>
      <c r="BI29" s="122"/>
      <c r="BJ29" s="122"/>
      <c r="BK29" s="122"/>
      <c r="BL29" s="120"/>
      <c r="BM29" s="1642"/>
      <c r="BN29" s="120"/>
      <c r="BO29" s="1642"/>
      <c r="BP29" s="122"/>
      <c r="BQ29" s="120"/>
      <c r="BR29" s="1616">
        <f t="shared" si="4"/>
        <v>0</v>
      </c>
      <c r="BS29" s="120"/>
      <c r="BT29" s="1653"/>
      <c r="BU29" s="1652"/>
      <c r="BV29" s="1654"/>
    </row>
    <row r="30">
      <c r="A30" s="1652"/>
      <c r="B30" s="291"/>
      <c r="C30" s="1633" t="s">
        <v>4151</v>
      </c>
      <c r="D30" s="1655"/>
      <c r="E30" s="1655"/>
      <c r="F30" s="1655"/>
      <c r="G30" s="1655"/>
      <c r="H30" s="1655"/>
      <c r="I30" s="1655"/>
      <c r="J30" s="1655"/>
      <c r="K30" s="1655"/>
      <c r="L30" s="1655"/>
      <c r="M30" s="1655"/>
      <c r="N30" s="1655"/>
      <c r="O30" s="1655"/>
      <c r="P30" s="1655"/>
      <c r="Q30" s="1655"/>
      <c r="R30" s="1655"/>
      <c r="S30" s="1655"/>
      <c r="T30" s="1655"/>
      <c r="U30" s="1655"/>
      <c r="V30" s="1655"/>
      <c r="W30" s="1655"/>
      <c r="X30" s="1655"/>
      <c r="Y30" s="1655"/>
      <c r="Z30" s="1655"/>
      <c r="AA30" s="1655"/>
      <c r="AB30" s="1655"/>
      <c r="AC30" s="1655"/>
      <c r="AD30" s="1655"/>
      <c r="AE30" s="1655"/>
      <c r="AF30" s="1655"/>
      <c r="AG30" s="1655"/>
      <c r="AH30" s="1655"/>
      <c r="AI30" s="1655"/>
      <c r="AJ30" s="1655"/>
      <c r="AK30" s="1655"/>
      <c r="AL30" s="1655"/>
      <c r="AM30" s="1655"/>
      <c r="AN30" s="1655"/>
      <c r="AO30" s="1655"/>
      <c r="AP30" s="1655"/>
      <c r="AQ30" s="1655"/>
      <c r="AR30" s="1655"/>
      <c r="AS30" s="1655"/>
      <c r="AT30" s="1655"/>
      <c r="AU30" s="1655"/>
      <c r="AV30" s="1655"/>
      <c r="AW30" s="1655"/>
      <c r="AX30" s="1655"/>
      <c r="AY30" s="1655"/>
      <c r="AZ30" s="1655"/>
      <c r="BA30" s="1655"/>
      <c r="BB30" s="1655"/>
      <c r="BC30" s="291"/>
      <c r="BD30" s="1527"/>
      <c r="BE30" s="1646"/>
      <c r="BF30" s="122"/>
      <c r="BG30" s="122"/>
      <c r="BH30" s="122"/>
      <c r="BI30" s="122"/>
      <c r="BJ30" s="122"/>
      <c r="BK30" s="122"/>
      <c r="BL30" s="120"/>
      <c r="BM30" s="1647"/>
      <c r="BN30" s="120"/>
      <c r="BO30" s="1647"/>
      <c r="BP30" s="122"/>
      <c r="BQ30" s="120"/>
      <c r="BR30" s="1616">
        <f t="shared" si="4"/>
        <v>0</v>
      </c>
      <c r="BS30" s="120"/>
      <c r="BT30" s="291"/>
      <c r="BU30" s="1652"/>
      <c r="BV30" s="1656"/>
    </row>
    <row r="31">
      <c r="A31" s="1657"/>
      <c r="B31" s="291"/>
      <c r="C31" s="1658" t="str">
        <f>IFNA(VLOOKUP($C$3,'召喚物資料'!$B:$AU,30,FALSE),"")</f>
        <v/>
      </c>
      <c r="D31" s="1611"/>
      <c r="E31" s="1611"/>
      <c r="F31" s="1611"/>
      <c r="G31" s="1611"/>
      <c r="H31" s="1611"/>
      <c r="I31" s="1611"/>
      <c r="J31" s="1611"/>
      <c r="K31" s="1611"/>
      <c r="L31" s="1611"/>
      <c r="M31" s="1611"/>
      <c r="N31" s="1611"/>
      <c r="O31" s="1611"/>
      <c r="P31" s="1611"/>
      <c r="Q31" s="1611"/>
      <c r="R31" s="1611"/>
      <c r="S31" s="1611"/>
      <c r="T31" s="1611"/>
      <c r="U31" s="1611"/>
      <c r="V31" s="1611"/>
      <c r="W31" s="1611"/>
      <c r="X31" s="1611"/>
      <c r="Y31" s="1611"/>
      <c r="Z31" s="1611"/>
      <c r="AA31" s="1611"/>
      <c r="AB31" s="1611"/>
      <c r="AC31" s="1611"/>
      <c r="AD31" s="1611"/>
      <c r="AE31" s="1611"/>
      <c r="AF31" s="1611"/>
      <c r="AG31" s="1611"/>
      <c r="AH31" s="1611"/>
      <c r="AI31" s="1611"/>
      <c r="AJ31" s="1611"/>
      <c r="AK31" s="1611"/>
      <c r="AL31" s="1611"/>
      <c r="AM31" s="1611"/>
      <c r="AN31" s="1611"/>
      <c r="AO31" s="1611"/>
      <c r="AP31" s="1611"/>
      <c r="AQ31" s="1611"/>
      <c r="AR31" s="1611"/>
      <c r="AS31" s="1611"/>
      <c r="AT31" s="1611"/>
      <c r="AU31" s="1611"/>
      <c r="AV31" s="1611"/>
      <c r="AW31" s="1611"/>
      <c r="AX31" s="1611"/>
      <c r="AY31" s="1611"/>
      <c r="AZ31" s="1611"/>
      <c r="BA31" s="1611"/>
      <c r="BB31" s="1612"/>
      <c r="BC31" s="291"/>
      <c r="BD31" s="1527"/>
      <c r="BE31" s="1642"/>
      <c r="BF31" s="122"/>
      <c r="BG31" s="122"/>
      <c r="BH31" s="122"/>
      <c r="BI31" s="122"/>
      <c r="BJ31" s="122"/>
      <c r="BK31" s="122"/>
      <c r="BL31" s="120"/>
      <c r="BM31" s="1642"/>
      <c r="BN31" s="120"/>
      <c r="BO31" s="1642"/>
      <c r="BP31" s="122"/>
      <c r="BQ31" s="120"/>
      <c r="BR31" s="1616">
        <f t="shared" si="4"/>
        <v>0</v>
      </c>
      <c r="BS31" s="120"/>
      <c r="BT31" s="291"/>
      <c r="BU31" s="303"/>
    </row>
    <row r="32">
      <c r="A32" s="1657"/>
      <c r="B32" s="291"/>
      <c r="C32" s="1658" t="str">
        <f>IFNA(VLOOKUP($C$3,'召喚物資料'!$B:$AU,31,FALSE),"")</f>
        <v/>
      </c>
      <c r="D32" s="1611"/>
      <c r="E32" s="1611"/>
      <c r="F32" s="1611"/>
      <c r="G32" s="1611"/>
      <c r="H32" s="1611"/>
      <c r="I32" s="1611"/>
      <c r="J32" s="1611"/>
      <c r="K32" s="1611"/>
      <c r="L32" s="1611"/>
      <c r="M32" s="1611"/>
      <c r="N32" s="1611"/>
      <c r="O32" s="1611"/>
      <c r="P32" s="1611"/>
      <c r="Q32" s="1611"/>
      <c r="R32" s="1611"/>
      <c r="S32" s="1611"/>
      <c r="T32" s="1611"/>
      <c r="U32" s="1611"/>
      <c r="V32" s="1611"/>
      <c r="W32" s="1611"/>
      <c r="X32" s="1611"/>
      <c r="Y32" s="1611"/>
      <c r="Z32" s="1611"/>
      <c r="AA32" s="1611"/>
      <c r="AB32" s="1611"/>
      <c r="AC32" s="1611"/>
      <c r="AD32" s="1611"/>
      <c r="AE32" s="1611"/>
      <c r="AF32" s="1611"/>
      <c r="AG32" s="1611"/>
      <c r="AH32" s="1611"/>
      <c r="AI32" s="1611"/>
      <c r="AJ32" s="1611"/>
      <c r="AK32" s="1611"/>
      <c r="AL32" s="1611"/>
      <c r="AM32" s="1611"/>
      <c r="AN32" s="1611"/>
      <c r="AO32" s="1611"/>
      <c r="AP32" s="1611"/>
      <c r="AQ32" s="1611"/>
      <c r="AR32" s="1611"/>
      <c r="AS32" s="1611"/>
      <c r="AT32" s="1611"/>
      <c r="AU32" s="1611"/>
      <c r="AV32" s="1611"/>
      <c r="AW32" s="1611"/>
      <c r="AX32" s="1611"/>
      <c r="AY32" s="1611"/>
      <c r="AZ32" s="1611"/>
      <c r="BA32" s="1611"/>
      <c r="BB32" s="1612"/>
      <c r="BC32" s="291"/>
      <c r="BD32" s="1527"/>
      <c r="BE32" s="1646"/>
      <c r="BF32" s="122"/>
      <c r="BG32" s="122"/>
      <c r="BH32" s="122"/>
      <c r="BI32" s="122"/>
      <c r="BJ32" s="122"/>
      <c r="BK32" s="122"/>
      <c r="BL32" s="120"/>
      <c r="BM32" s="1647"/>
      <c r="BN32" s="120"/>
      <c r="BO32" s="1647"/>
      <c r="BP32" s="122"/>
      <c r="BQ32" s="120"/>
      <c r="BR32" s="1616">
        <f t="shared" si="4"/>
        <v>0</v>
      </c>
      <c r="BS32" s="120"/>
      <c r="BT32" s="291"/>
      <c r="BU32" s="303"/>
    </row>
    <row r="33">
      <c r="A33" s="1657"/>
      <c r="B33" s="291"/>
      <c r="C33" s="1658" t="str">
        <f>IFNA(VLOOKUP($C$3,'召喚物資料'!$B:$AU,32,FALSE),"")</f>
        <v/>
      </c>
      <c r="D33" s="1611"/>
      <c r="E33" s="1611"/>
      <c r="F33" s="1611"/>
      <c r="G33" s="1611"/>
      <c r="H33" s="1611"/>
      <c r="I33" s="1611"/>
      <c r="J33" s="1611"/>
      <c r="K33" s="1611"/>
      <c r="L33" s="1611"/>
      <c r="M33" s="1611"/>
      <c r="N33" s="1611"/>
      <c r="O33" s="1611"/>
      <c r="P33" s="1611"/>
      <c r="Q33" s="1611"/>
      <c r="R33" s="1611"/>
      <c r="S33" s="1611"/>
      <c r="T33" s="1611"/>
      <c r="U33" s="1611"/>
      <c r="V33" s="1611"/>
      <c r="W33" s="1611"/>
      <c r="X33" s="1611"/>
      <c r="Y33" s="1611"/>
      <c r="Z33" s="1611"/>
      <c r="AA33" s="1611"/>
      <c r="AB33" s="1611"/>
      <c r="AC33" s="1611"/>
      <c r="AD33" s="1611"/>
      <c r="AE33" s="1611"/>
      <c r="AF33" s="1611"/>
      <c r="AG33" s="1611"/>
      <c r="AH33" s="1611"/>
      <c r="AI33" s="1611"/>
      <c r="AJ33" s="1611"/>
      <c r="AK33" s="1611"/>
      <c r="AL33" s="1611"/>
      <c r="AM33" s="1611"/>
      <c r="AN33" s="1611"/>
      <c r="AO33" s="1611"/>
      <c r="AP33" s="1611"/>
      <c r="AQ33" s="1611"/>
      <c r="AR33" s="1611"/>
      <c r="AS33" s="1611"/>
      <c r="AT33" s="1611"/>
      <c r="AU33" s="1611"/>
      <c r="AV33" s="1611"/>
      <c r="AW33" s="1611"/>
      <c r="AX33" s="1611"/>
      <c r="AY33" s="1611"/>
      <c r="AZ33" s="1611"/>
      <c r="BA33" s="1611"/>
      <c r="BB33" s="1612"/>
      <c r="BC33" s="291"/>
      <c r="BD33" s="1527"/>
      <c r="BE33" s="1642"/>
      <c r="BF33" s="122"/>
      <c r="BG33" s="122"/>
      <c r="BH33" s="122"/>
      <c r="BI33" s="122"/>
      <c r="BJ33" s="122"/>
      <c r="BK33" s="122"/>
      <c r="BL33" s="120"/>
      <c r="BM33" s="1642"/>
      <c r="BN33" s="120"/>
      <c r="BO33" s="1642"/>
      <c r="BP33" s="122"/>
      <c r="BQ33" s="120"/>
      <c r="BR33" s="1616">
        <f t="shared" si="4"/>
        <v>0</v>
      </c>
      <c r="BS33" s="120"/>
      <c r="BT33" s="291"/>
      <c r="BU33" s="303"/>
    </row>
    <row r="34">
      <c r="A34" s="1657"/>
      <c r="B34" s="291"/>
      <c r="C34" s="1658" t="str">
        <f>IFNA(VLOOKUP($C$3,'召喚物資料'!$B:$AU,33,FALSE),"")</f>
        <v/>
      </c>
      <c r="D34" s="1611"/>
      <c r="E34" s="1611"/>
      <c r="F34" s="1611"/>
      <c r="G34" s="1611"/>
      <c r="H34" s="1611"/>
      <c r="I34" s="1611"/>
      <c r="J34" s="1611"/>
      <c r="K34" s="1611"/>
      <c r="L34" s="1611"/>
      <c r="M34" s="1611"/>
      <c r="N34" s="1611"/>
      <c r="O34" s="1611"/>
      <c r="P34" s="1611"/>
      <c r="Q34" s="1611"/>
      <c r="R34" s="1611"/>
      <c r="S34" s="1611"/>
      <c r="T34" s="1611"/>
      <c r="U34" s="1611"/>
      <c r="V34" s="1611"/>
      <c r="W34" s="1611"/>
      <c r="X34" s="1611"/>
      <c r="Y34" s="1611"/>
      <c r="Z34" s="1611"/>
      <c r="AA34" s="1611"/>
      <c r="AB34" s="1611"/>
      <c r="AC34" s="1611"/>
      <c r="AD34" s="1611"/>
      <c r="AE34" s="1611"/>
      <c r="AF34" s="1611"/>
      <c r="AG34" s="1611"/>
      <c r="AH34" s="1611"/>
      <c r="AI34" s="1611"/>
      <c r="AJ34" s="1611"/>
      <c r="AK34" s="1611"/>
      <c r="AL34" s="1611"/>
      <c r="AM34" s="1611"/>
      <c r="AN34" s="1611"/>
      <c r="AO34" s="1611"/>
      <c r="AP34" s="1611"/>
      <c r="AQ34" s="1611"/>
      <c r="AR34" s="1611"/>
      <c r="AS34" s="1611"/>
      <c r="AT34" s="1611"/>
      <c r="AU34" s="1611"/>
      <c r="AV34" s="1611"/>
      <c r="AW34" s="1611"/>
      <c r="AX34" s="1611"/>
      <c r="AY34" s="1611"/>
      <c r="AZ34" s="1611"/>
      <c r="BA34" s="1611"/>
      <c r="BB34" s="1612"/>
      <c r="BC34" s="291"/>
      <c r="BD34" s="1527"/>
      <c r="BE34" s="1646"/>
      <c r="BF34" s="122"/>
      <c r="BG34" s="122"/>
      <c r="BH34" s="122"/>
      <c r="BI34" s="122"/>
      <c r="BJ34" s="122"/>
      <c r="BK34" s="122"/>
      <c r="BL34" s="120"/>
      <c r="BM34" s="1647"/>
      <c r="BN34" s="120"/>
      <c r="BO34" s="1647"/>
      <c r="BP34" s="122"/>
      <c r="BQ34" s="120"/>
      <c r="BR34" s="1616">
        <f t="shared" si="4"/>
        <v>0</v>
      </c>
      <c r="BS34" s="120"/>
      <c r="BT34" s="291"/>
      <c r="BU34" s="303"/>
    </row>
    <row r="35">
      <c r="A35" s="1652"/>
      <c r="B35" s="291"/>
      <c r="C35" s="1653"/>
      <c r="BC35" s="291"/>
      <c r="BD35" s="1527"/>
      <c r="BE35" s="1642"/>
      <c r="BF35" s="122"/>
      <c r="BG35" s="122"/>
      <c r="BH35" s="122"/>
      <c r="BI35" s="122"/>
      <c r="BJ35" s="122"/>
      <c r="BK35" s="122"/>
      <c r="BL35" s="120"/>
      <c r="BM35" s="1642"/>
      <c r="BN35" s="120"/>
      <c r="BO35" s="1642"/>
      <c r="BP35" s="122"/>
      <c r="BQ35" s="120"/>
      <c r="BR35" s="1616">
        <f t="shared" si="4"/>
        <v>0</v>
      </c>
      <c r="BS35" s="120"/>
      <c r="BT35" s="291"/>
      <c r="BU35" s="1652"/>
      <c r="BV35" s="1659"/>
    </row>
    <row r="36">
      <c r="A36" s="1652"/>
      <c r="B36" s="291"/>
      <c r="C36" s="1633" t="s">
        <v>2253</v>
      </c>
      <c r="D36" s="1655"/>
      <c r="E36" s="1655"/>
      <c r="F36" s="1655"/>
      <c r="G36" s="1655"/>
      <c r="H36" s="1655"/>
      <c r="I36" s="1655"/>
      <c r="J36" s="1655"/>
      <c r="K36" s="1655"/>
      <c r="L36" s="1655"/>
      <c r="M36" s="1655"/>
      <c r="N36" s="1655"/>
      <c r="O36" s="1655"/>
      <c r="P36" s="1655"/>
      <c r="Q36" s="1655"/>
      <c r="R36" s="1655"/>
      <c r="S36" s="1655"/>
      <c r="T36" s="1655"/>
      <c r="U36" s="1655"/>
      <c r="V36" s="1655"/>
      <c r="W36" s="1655"/>
      <c r="X36" s="1655"/>
      <c r="Y36" s="1655"/>
      <c r="Z36" s="1655"/>
      <c r="AA36" s="1655"/>
      <c r="AB36" s="1655"/>
      <c r="AC36" s="1655"/>
      <c r="AD36" s="1655"/>
      <c r="AE36" s="1655"/>
      <c r="AF36" s="1655"/>
      <c r="AG36" s="1655"/>
      <c r="AH36" s="1655"/>
      <c r="AI36" s="1655"/>
      <c r="AJ36" s="1655"/>
      <c r="AK36" s="1655"/>
      <c r="AL36" s="1655"/>
      <c r="AM36" s="1655"/>
      <c r="AN36" s="1655"/>
      <c r="AO36" s="1655"/>
      <c r="AP36" s="1655"/>
      <c r="AQ36" s="1655"/>
      <c r="AR36" s="1655"/>
      <c r="AS36" s="1655"/>
      <c r="AT36" s="1655"/>
      <c r="AU36" s="1655"/>
      <c r="AV36" s="1655"/>
      <c r="AW36" s="1655"/>
      <c r="AX36" s="1655"/>
      <c r="AY36" s="1655"/>
      <c r="AZ36" s="1655"/>
      <c r="BA36" s="1655"/>
      <c r="BB36" s="1655"/>
      <c r="BC36" s="291"/>
      <c r="BD36" s="1527"/>
      <c r="BE36" s="1646"/>
      <c r="BF36" s="122"/>
      <c r="BG36" s="122"/>
      <c r="BH36" s="122"/>
      <c r="BI36" s="122"/>
      <c r="BJ36" s="122"/>
      <c r="BK36" s="122"/>
      <c r="BL36" s="120"/>
      <c r="BM36" s="1647"/>
      <c r="BN36" s="120"/>
      <c r="BO36" s="1647"/>
      <c r="BP36" s="122"/>
      <c r="BQ36" s="120"/>
      <c r="BR36" s="1650">
        <f t="shared" si="4"/>
        <v>0</v>
      </c>
      <c r="BS36" s="120"/>
      <c r="BT36" s="291"/>
      <c r="BU36" s="1652"/>
      <c r="BV36" s="1656"/>
    </row>
    <row r="37">
      <c r="A37" s="1657"/>
      <c r="B37" s="291"/>
      <c r="C37" s="1658" t="str">
        <f>IFNA(VLOOKUP($C$3,'召喚物資料'!$B:$AU,34,FALSE),"")</f>
        <v/>
      </c>
      <c r="D37" s="1611"/>
      <c r="E37" s="1611"/>
      <c r="F37" s="1611"/>
      <c r="G37" s="1611"/>
      <c r="H37" s="1611"/>
      <c r="I37" s="1611"/>
      <c r="J37" s="1611"/>
      <c r="K37" s="1611"/>
      <c r="L37" s="1611"/>
      <c r="M37" s="1611"/>
      <c r="N37" s="1611"/>
      <c r="O37" s="1611"/>
      <c r="P37" s="1611"/>
      <c r="Q37" s="1611"/>
      <c r="R37" s="1611"/>
      <c r="S37" s="1611"/>
      <c r="T37" s="1611"/>
      <c r="U37" s="1611"/>
      <c r="V37" s="1611"/>
      <c r="W37" s="1611"/>
      <c r="X37" s="1611"/>
      <c r="Y37" s="1611"/>
      <c r="Z37" s="1611"/>
      <c r="AA37" s="1611"/>
      <c r="AB37" s="1611"/>
      <c r="AC37" s="1611"/>
      <c r="AD37" s="1611"/>
      <c r="AE37" s="1611"/>
      <c r="AF37" s="1611"/>
      <c r="AG37" s="1611"/>
      <c r="AH37" s="1611"/>
      <c r="AI37" s="1611"/>
      <c r="AJ37" s="1611"/>
      <c r="AK37" s="1611"/>
      <c r="AL37" s="1611"/>
      <c r="AM37" s="1611"/>
      <c r="AN37" s="1611"/>
      <c r="AO37" s="1611"/>
      <c r="AP37" s="1611"/>
      <c r="AQ37" s="1611"/>
      <c r="AR37" s="1611"/>
      <c r="AS37" s="1611"/>
      <c r="AT37" s="1611"/>
      <c r="AU37" s="1611"/>
      <c r="AV37" s="1611"/>
      <c r="AW37" s="1611"/>
      <c r="AX37" s="1611"/>
      <c r="AY37" s="1611"/>
      <c r="AZ37" s="1611"/>
      <c r="BA37" s="1611"/>
      <c r="BB37" s="1612"/>
      <c r="BC37" s="291"/>
      <c r="BD37" s="1527"/>
      <c r="BE37" s="1642"/>
      <c r="BF37" s="122"/>
      <c r="BG37" s="122"/>
      <c r="BH37" s="122"/>
      <c r="BI37" s="122"/>
      <c r="BJ37" s="122"/>
      <c r="BK37" s="122"/>
      <c r="BL37" s="120"/>
      <c r="BM37" s="1618"/>
      <c r="BN37" s="120"/>
      <c r="BO37" s="1618"/>
      <c r="BP37" s="122"/>
      <c r="BQ37" s="120"/>
      <c r="BR37" s="1616">
        <f t="shared" si="4"/>
        <v>0</v>
      </c>
      <c r="BS37" s="120"/>
      <c r="BT37" s="291"/>
      <c r="BU37" s="1660"/>
      <c r="BV37" s="1656"/>
    </row>
    <row r="38">
      <c r="A38" s="1657"/>
      <c r="B38" s="291"/>
      <c r="C38" s="1658" t="str">
        <f>IFNA(VLOOKUP($C$3,'召喚物資料'!$B:$AU,35,FALSE),"")</f>
        <v/>
      </c>
      <c r="D38" s="1611"/>
      <c r="E38" s="1611"/>
      <c r="F38" s="1611"/>
      <c r="G38" s="1611"/>
      <c r="H38" s="1611"/>
      <c r="I38" s="1611"/>
      <c r="J38" s="1611"/>
      <c r="K38" s="1611"/>
      <c r="L38" s="1611"/>
      <c r="M38" s="1611"/>
      <c r="N38" s="1611"/>
      <c r="O38" s="1611"/>
      <c r="P38" s="1611"/>
      <c r="Q38" s="1611"/>
      <c r="R38" s="1611"/>
      <c r="S38" s="1611"/>
      <c r="T38" s="1611"/>
      <c r="U38" s="1611"/>
      <c r="V38" s="1611"/>
      <c r="W38" s="1611"/>
      <c r="X38" s="1611"/>
      <c r="Y38" s="1611"/>
      <c r="Z38" s="1611"/>
      <c r="AA38" s="1611"/>
      <c r="AB38" s="1611"/>
      <c r="AC38" s="1611"/>
      <c r="AD38" s="1611"/>
      <c r="AE38" s="1611"/>
      <c r="AF38" s="1611"/>
      <c r="AG38" s="1611"/>
      <c r="AH38" s="1611"/>
      <c r="AI38" s="1611"/>
      <c r="AJ38" s="1611"/>
      <c r="AK38" s="1611"/>
      <c r="AL38" s="1611"/>
      <c r="AM38" s="1611"/>
      <c r="AN38" s="1611"/>
      <c r="AO38" s="1611"/>
      <c r="AP38" s="1611"/>
      <c r="AQ38" s="1611"/>
      <c r="AR38" s="1611"/>
      <c r="AS38" s="1611"/>
      <c r="AT38" s="1611"/>
      <c r="AU38" s="1611"/>
      <c r="AV38" s="1611"/>
      <c r="AW38" s="1611"/>
      <c r="AX38" s="1611"/>
      <c r="AY38" s="1611"/>
      <c r="AZ38" s="1611"/>
      <c r="BA38" s="1611"/>
      <c r="BB38" s="1612"/>
      <c r="BC38" s="291"/>
      <c r="BD38" s="1527"/>
      <c r="BE38" s="1646"/>
      <c r="BF38" s="122"/>
      <c r="BG38" s="122"/>
      <c r="BH38" s="122"/>
      <c r="BI38" s="122"/>
      <c r="BJ38" s="122"/>
      <c r="BK38" s="122"/>
      <c r="BL38" s="120"/>
      <c r="BM38" s="1647"/>
      <c r="BN38" s="120"/>
      <c r="BO38" s="1647"/>
      <c r="BP38" s="122"/>
      <c r="BQ38" s="120"/>
      <c r="BR38" s="1616">
        <f t="shared" si="4"/>
        <v>0</v>
      </c>
      <c r="BS38" s="120"/>
      <c r="BT38" s="291"/>
      <c r="BU38" s="1661"/>
      <c r="BV38" s="1656"/>
    </row>
    <row r="39">
      <c r="A39" s="1657"/>
      <c r="B39" s="291"/>
      <c r="C39" s="1658" t="str">
        <f>IFNA(VLOOKUP($C$3,'召喚物資料'!$B:$AU,36,FALSE),"")</f>
        <v/>
      </c>
      <c r="D39" s="1611"/>
      <c r="E39" s="1611"/>
      <c r="F39" s="1611"/>
      <c r="G39" s="1611"/>
      <c r="H39" s="1611"/>
      <c r="I39" s="1611"/>
      <c r="J39" s="1611"/>
      <c r="K39" s="1611"/>
      <c r="L39" s="1611"/>
      <c r="M39" s="1611"/>
      <c r="N39" s="1611"/>
      <c r="O39" s="1611"/>
      <c r="P39" s="1611"/>
      <c r="Q39" s="1611"/>
      <c r="R39" s="1611"/>
      <c r="S39" s="1611"/>
      <c r="T39" s="1611"/>
      <c r="U39" s="1611"/>
      <c r="V39" s="1611"/>
      <c r="W39" s="1611"/>
      <c r="X39" s="1611"/>
      <c r="Y39" s="1611"/>
      <c r="Z39" s="1611"/>
      <c r="AA39" s="1611"/>
      <c r="AB39" s="1611"/>
      <c r="AC39" s="1611"/>
      <c r="AD39" s="1611"/>
      <c r="AE39" s="1611"/>
      <c r="AF39" s="1611"/>
      <c r="AG39" s="1611"/>
      <c r="AH39" s="1611"/>
      <c r="AI39" s="1611"/>
      <c r="AJ39" s="1611"/>
      <c r="AK39" s="1611"/>
      <c r="AL39" s="1611"/>
      <c r="AM39" s="1611"/>
      <c r="AN39" s="1611"/>
      <c r="AO39" s="1611"/>
      <c r="AP39" s="1611"/>
      <c r="AQ39" s="1611"/>
      <c r="AR39" s="1611"/>
      <c r="AS39" s="1611"/>
      <c r="AT39" s="1611"/>
      <c r="AU39" s="1611"/>
      <c r="AV39" s="1611"/>
      <c r="AW39" s="1611"/>
      <c r="AX39" s="1611"/>
      <c r="AY39" s="1611"/>
      <c r="AZ39" s="1611"/>
      <c r="BA39" s="1611"/>
      <c r="BB39" s="1612"/>
      <c r="BC39" s="291"/>
      <c r="BD39" s="1527"/>
      <c r="BE39" s="1642"/>
      <c r="BF39" s="122"/>
      <c r="BG39" s="122"/>
      <c r="BH39" s="122"/>
      <c r="BI39" s="122"/>
      <c r="BJ39" s="122"/>
      <c r="BK39" s="122"/>
      <c r="BL39" s="120"/>
      <c r="BM39" s="1618"/>
      <c r="BN39" s="120"/>
      <c r="BO39" s="1618"/>
      <c r="BP39" s="122"/>
      <c r="BQ39" s="120"/>
      <c r="BR39" s="1616">
        <f t="shared" si="4"/>
        <v>0</v>
      </c>
      <c r="BS39" s="120"/>
      <c r="BT39" s="291"/>
      <c r="BU39" s="1661"/>
      <c r="BV39" s="1656"/>
    </row>
    <row r="40">
      <c r="A40" s="1657"/>
      <c r="B40" s="291"/>
      <c r="C40" s="1658" t="str">
        <f>IFNA(VLOOKUP($C$3,'召喚物資料'!$B:$AU,37,FALSE),"")</f>
        <v/>
      </c>
      <c r="D40" s="1611"/>
      <c r="E40" s="1611"/>
      <c r="F40" s="1611"/>
      <c r="G40" s="1611"/>
      <c r="H40" s="1611"/>
      <c r="I40" s="1611"/>
      <c r="J40" s="1611"/>
      <c r="K40" s="1611"/>
      <c r="L40" s="1611"/>
      <c r="M40" s="1611"/>
      <c r="N40" s="1611"/>
      <c r="O40" s="1611"/>
      <c r="P40" s="1611"/>
      <c r="Q40" s="1611"/>
      <c r="R40" s="1611"/>
      <c r="S40" s="1611"/>
      <c r="T40" s="1611"/>
      <c r="U40" s="1611"/>
      <c r="V40" s="1611"/>
      <c r="W40" s="1611"/>
      <c r="X40" s="1611"/>
      <c r="Y40" s="1611"/>
      <c r="Z40" s="1611"/>
      <c r="AA40" s="1611"/>
      <c r="AB40" s="1611"/>
      <c r="AC40" s="1611"/>
      <c r="AD40" s="1611"/>
      <c r="AE40" s="1611"/>
      <c r="AF40" s="1611"/>
      <c r="AG40" s="1611"/>
      <c r="AH40" s="1611"/>
      <c r="AI40" s="1611"/>
      <c r="AJ40" s="1611"/>
      <c r="AK40" s="1611"/>
      <c r="AL40" s="1611"/>
      <c r="AM40" s="1611"/>
      <c r="AN40" s="1611"/>
      <c r="AO40" s="1611"/>
      <c r="AP40" s="1611"/>
      <c r="AQ40" s="1611"/>
      <c r="AR40" s="1611"/>
      <c r="AS40" s="1611"/>
      <c r="AT40" s="1611"/>
      <c r="AU40" s="1611"/>
      <c r="AV40" s="1611"/>
      <c r="AW40" s="1611"/>
      <c r="AX40" s="1611"/>
      <c r="AY40" s="1611"/>
      <c r="AZ40" s="1611"/>
      <c r="BA40" s="1611"/>
      <c r="BB40" s="1612"/>
      <c r="BC40" s="291"/>
      <c r="BD40" s="1527"/>
      <c r="BE40" s="1646"/>
      <c r="BF40" s="122"/>
      <c r="BG40" s="122"/>
      <c r="BH40" s="122"/>
      <c r="BI40" s="122"/>
      <c r="BJ40" s="122"/>
      <c r="BK40" s="122"/>
      <c r="BL40" s="120"/>
      <c r="BM40" s="1647"/>
      <c r="BN40" s="120"/>
      <c r="BO40" s="1647"/>
      <c r="BP40" s="122"/>
      <c r="BQ40" s="120"/>
      <c r="BR40" s="1616">
        <f t="shared" si="4"/>
        <v>0</v>
      </c>
      <c r="BS40" s="120"/>
      <c r="BT40" s="291"/>
      <c r="BU40" s="1661"/>
      <c r="BV40" s="1656"/>
    </row>
    <row r="41">
      <c r="A41" s="1657"/>
      <c r="B41" s="291"/>
      <c r="C41" s="1658" t="str">
        <f>IFNA(VLOOKUP($C$3,'召喚物資料'!$B:$AU,38,FALSE),"")</f>
        <v/>
      </c>
      <c r="D41" s="1611"/>
      <c r="E41" s="1611"/>
      <c r="F41" s="1611"/>
      <c r="G41" s="1611"/>
      <c r="H41" s="1611"/>
      <c r="I41" s="1611"/>
      <c r="J41" s="1611"/>
      <c r="K41" s="1611"/>
      <c r="L41" s="1611"/>
      <c r="M41" s="1611"/>
      <c r="N41" s="1611"/>
      <c r="O41" s="1611"/>
      <c r="P41" s="1611"/>
      <c r="Q41" s="1611"/>
      <c r="R41" s="1611"/>
      <c r="S41" s="1611"/>
      <c r="T41" s="1611"/>
      <c r="U41" s="1611"/>
      <c r="V41" s="1611"/>
      <c r="W41" s="1611"/>
      <c r="X41" s="1611"/>
      <c r="Y41" s="1611"/>
      <c r="Z41" s="1611"/>
      <c r="AA41" s="1611"/>
      <c r="AB41" s="1611"/>
      <c r="AC41" s="1611"/>
      <c r="AD41" s="1611"/>
      <c r="AE41" s="1611"/>
      <c r="AF41" s="1611"/>
      <c r="AG41" s="1611"/>
      <c r="AH41" s="1611"/>
      <c r="AI41" s="1611"/>
      <c r="AJ41" s="1611"/>
      <c r="AK41" s="1611"/>
      <c r="AL41" s="1611"/>
      <c r="AM41" s="1611"/>
      <c r="AN41" s="1611"/>
      <c r="AO41" s="1611"/>
      <c r="AP41" s="1611"/>
      <c r="AQ41" s="1611"/>
      <c r="AR41" s="1611"/>
      <c r="AS41" s="1611"/>
      <c r="AT41" s="1611"/>
      <c r="AU41" s="1611"/>
      <c r="AV41" s="1611"/>
      <c r="AW41" s="1611"/>
      <c r="AX41" s="1611"/>
      <c r="AY41" s="1611"/>
      <c r="AZ41" s="1611"/>
      <c r="BA41" s="1611"/>
      <c r="BB41" s="1612"/>
      <c r="BC41" s="291"/>
      <c r="BD41" s="1527"/>
      <c r="BE41" s="1642"/>
      <c r="BF41" s="122"/>
      <c r="BG41" s="122"/>
      <c r="BH41" s="122"/>
      <c r="BI41" s="122"/>
      <c r="BJ41" s="122"/>
      <c r="BK41" s="122"/>
      <c r="BL41" s="120"/>
      <c r="BM41" s="1618"/>
      <c r="BN41" s="120"/>
      <c r="BO41" s="1618"/>
      <c r="BP41" s="122"/>
      <c r="BQ41" s="120"/>
      <c r="BR41" s="1616">
        <f t="shared" si="4"/>
        <v>0</v>
      </c>
      <c r="BS41" s="120"/>
      <c r="BT41" s="291"/>
      <c r="BU41" s="1661"/>
      <c r="BV41" s="1656"/>
    </row>
    <row r="42">
      <c r="A42" s="1652"/>
      <c r="B42" s="291"/>
      <c r="C42" s="1653"/>
      <c r="BC42" s="291"/>
      <c r="BD42" s="1527"/>
      <c r="BE42" s="1646"/>
      <c r="BF42" s="122"/>
      <c r="BG42" s="122"/>
      <c r="BH42" s="122"/>
      <c r="BI42" s="122"/>
      <c r="BJ42" s="122"/>
      <c r="BK42" s="122"/>
      <c r="BL42" s="120"/>
      <c r="BM42" s="1647"/>
      <c r="BN42" s="120"/>
      <c r="BO42" s="1647"/>
      <c r="BP42" s="122"/>
      <c r="BQ42" s="120"/>
      <c r="BR42" s="1616">
        <f t="shared" si="4"/>
        <v>0</v>
      </c>
      <c r="BS42" s="120"/>
      <c r="BT42" s="291"/>
      <c r="BU42" s="1652"/>
      <c r="BV42" s="1656"/>
    </row>
    <row r="43">
      <c r="A43" s="1652"/>
      <c r="B43" s="291"/>
      <c r="C43" s="1633" t="s">
        <v>2316</v>
      </c>
      <c r="D43" s="1655"/>
      <c r="E43" s="1655"/>
      <c r="F43" s="1655"/>
      <c r="G43" s="1655"/>
      <c r="H43" s="1655"/>
      <c r="I43" s="1655"/>
      <c r="J43" s="1655"/>
      <c r="K43" s="1655"/>
      <c r="L43" s="1655"/>
      <c r="M43" s="1655"/>
      <c r="N43" s="1655"/>
      <c r="O43" s="1655"/>
      <c r="P43" s="1655"/>
      <c r="Q43" s="1655"/>
      <c r="R43" s="1655"/>
      <c r="S43" s="1655"/>
      <c r="T43" s="1655"/>
      <c r="U43" s="1655"/>
      <c r="V43" s="1655"/>
      <c r="W43" s="1655"/>
      <c r="X43" s="1655"/>
      <c r="Y43" s="1655"/>
      <c r="Z43" s="1655"/>
      <c r="AA43" s="1655"/>
      <c r="AB43" s="1655"/>
      <c r="AC43" s="1655"/>
      <c r="AD43" s="1655"/>
      <c r="AE43" s="1655"/>
      <c r="AF43" s="1655"/>
      <c r="AG43" s="1655"/>
      <c r="AH43" s="1655"/>
      <c r="AI43" s="1655"/>
      <c r="AJ43" s="1655"/>
      <c r="AK43" s="1655"/>
      <c r="AL43" s="1655"/>
      <c r="AM43" s="1655"/>
      <c r="AN43" s="1655"/>
      <c r="AO43" s="1655"/>
      <c r="AP43" s="1655"/>
      <c r="AQ43" s="1655"/>
      <c r="AR43" s="1655"/>
      <c r="AS43" s="1655"/>
      <c r="AT43" s="1655"/>
      <c r="AU43" s="1655"/>
      <c r="AV43" s="1655"/>
      <c r="AW43" s="1655"/>
      <c r="AX43" s="1655"/>
      <c r="AY43" s="1655"/>
      <c r="AZ43" s="1655"/>
      <c r="BA43" s="1655"/>
      <c r="BB43" s="1655"/>
      <c r="BC43" s="291"/>
      <c r="BD43" s="1527"/>
      <c r="BE43" s="1642"/>
      <c r="BF43" s="122"/>
      <c r="BG43" s="122"/>
      <c r="BH43" s="122"/>
      <c r="BI43" s="122"/>
      <c r="BJ43" s="122"/>
      <c r="BK43" s="122"/>
      <c r="BL43" s="120"/>
      <c r="BM43" s="1618"/>
      <c r="BN43" s="120"/>
      <c r="BO43" s="1618"/>
      <c r="BP43" s="122"/>
      <c r="BQ43" s="120"/>
      <c r="BR43" s="1616">
        <f t="shared" si="4"/>
        <v>0</v>
      </c>
      <c r="BS43" s="120"/>
      <c r="BT43" s="1534"/>
      <c r="BU43" s="1652"/>
      <c r="BV43" s="1656"/>
    </row>
    <row r="44">
      <c r="A44" s="1657"/>
      <c r="B44" s="291"/>
      <c r="C44" s="1658" t="str">
        <f>IFNA(VLOOKUP($C$3,'召喚物資料'!$B:$AU,39,FALSE),"")</f>
        <v/>
      </c>
      <c r="D44" s="1611"/>
      <c r="E44" s="1611"/>
      <c r="F44" s="1611"/>
      <c r="G44" s="1611"/>
      <c r="H44" s="1611"/>
      <c r="I44" s="1611"/>
      <c r="J44" s="1611"/>
      <c r="K44" s="1611"/>
      <c r="L44" s="1611"/>
      <c r="M44" s="1611"/>
      <c r="N44" s="1611"/>
      <c r="O44" s="1611"/>
      <c r="P44" s="1611"/>
      <c r="Q44" s="1611"/>
      <c r="R44" s="1611"/>
      <c r="S44" s="1611"/>
      <c r="T44" s="1611"/>
      <c r="U44" s="1611"/>
      <c r="V44" s="1611"/>
      <c r="W44" s="1611"/>
      <c r="X44" s="1611"/>
      <c r="Y44" s="1611"/>
      <c r="Z44" s="1611"/>
      <c r="AA44" s="1611"/>
      <c r="AB44" s="1611"/>
      <c r="AC44" s="1611"/>
      <c r="AD44" s="1611"/>
      <c r="AE44" s="1611"/>
      <c r="AF44" s="1611"/>
      <c r="AG44" s="1611"/>
      <c r="AH44" s="1611"/>
      <c r="AI44" s="1611"/>
      <c r="AJ44" s="1611"/>
      <c r="AK44" s="1611"/>
      <c r="AL44" s="1611"/>
      <c r="AM44" s="1611"/>
      <c r="AN44" s="1611"/>
      <c r="AO44" s="1611"/>
      <c r="AP44" s="1611"/>
      <c r="AQ44" s="1611"/>
      <c r="AR44" s="1611"/>
      <c r="AS44" s="1611"/>
      <c r="AT44" s="1611"/>
      <c r="AU44" s="1611"/>
      <c r="AV44" s="1611"/>
      <c r="AW44" s="1611"/>
      <c r="AX44" s="1611"/>
      <c r="AY44" s="1611"/>
      <c r="AZ44" s="1611"/>
      <c r="BA44" s="1611"/>
      <c r="BB44" s="1612"/>
      <c r="BC44" s="291"/>
      <c r="BD44" s="1527"/>
      <c r="BE44" s="1646"/>
      <c r="BF44" s="122"/>
      <c r="BG44" s="122"/>
      <c r="BH44" s="122"/>
      <c r="BI44" s="122"/>
      <c r="BJ44" s="122"/>
      <c r="BK44" s="122"/>
      <c r="BL44" s="120"/>
      <c r="BM44" s="1647"/>
      <c r="BN44" s="120"/>
      <c r="BO44" s="1647"/>
      <c r="BP44" s="122"/>
      <c r="BQ44" s="120"/>
      <c r="BR44" s="1616">
        <f t="shared" si="4"/>
        <v>0</v>
      </c>
      <c r="BS44" s="120"/>
      <c r="BT44" s="1534"/>
      <c r="BU44" s="1660"/>
      <c r="BV44" s="1656"/>
    </row>
    <row r="45">
      <c r="A45" s="1657"/>
      <c r="B45" s="291"/>
      <c r="C45" s="1658" t="str">
        <f>IFNA(VLOOKUP($C$3,'召喚物資料'!$B:$AU,40,FALSE),"")</f>
        <v/>
      </c>
      <c r="D45" s="1611"/>
      <c r="E45" s="1611"/>
      <c r="F45" s="1611"/>
      <c r="G45" s="1611"/>
      <c r="H45" s="1611"/>
      <c r="I45" s="1611"/>
      <c r="J45" s="1611"/>
      <c r="K45" s="1611"/>
      <c r="L45" s="1611"/>
      <c r="M45" s="1611"/>
      <c r="N45" s="1611"/>
      <c r="O45" s="1611"/>
      <c r="P45" s="1611"/>
      <c r="Q45" s="1611"/>
      <c r="R45" s="1611"/>
      <c r="S45" s="1611"/>
      <c r="T45" s="1611"/>
      <c r="U45" s="1611"/>
      <c r="V45" s="1611"/>
      <c r="W45" s="1611"/>
      <c r="X45" s="1611"/>
      <c r="Y45" s="1611"/>
      <c r="Z45" s="1611"/>
      <c r="AA45" s="1611"/>
      <c r="AB45" s="1611"/>
      <c r="AC45" s="1611"/>
      <c r="AD45" s="1611"/>
      <c r="AE45" s="1611"/>
      <c r="AF45" s="1611"/>
      <c r="AG45" s="1611"/>
      <c r="AH45" s="1611"/>
      <c r="AI45" s="1611"/>
      <c r="AJ45" s="1611"/>
      <c r="AK45" s="1611"/>
      <c r="AL45" s="1611"/>
      <c r="AM45" s="1611"/>
      <c r="AN45" s="1611"/>
      <c r="AO45" s="1611"/>
      <c r="AP45" s="1611"/>
      <c r="AQ45" s="1611"/>
      <c r="AR45" s="1611"/>
      <c r="AS45" s="1611"/>
      <c r="AT45" s="1611"/>
      <c r="AU45" s="1611"/>
      <c r="AV45" s="1611"/>
      <c r="AW45" s="1611"/>
      <c r="AX45" s="1611"/>
      <c r="AY45" s="1611"/>
      <c r="AZ45" s="1611"/>
      <c r="BA45" s="1611"/>
      <c r="BB45" s="1612"/>
      <c r="BC45" s="291"/>
      <c r="BD45" s="1527"/>
      <c r="BE45" s="1642"/>
      <c r="BF45" s="122"/>
      <c r="BG45" s="122"/>
      <c r="BH45" s="122"/>
      <c r="BI45" s="122"/>
      <c r="BJ45" s="122"/>
      <c r="BK45" s="122"/>
      <c r="BL45" s="120"/>
      <c r="BM45" s="1618"/>
      <c r="BN45" s="120"/>
      <c r="BO45" s="1618"/>
      <c r="BP45" s="122"/>
      <c r="BQ45" s="120"/>
      <c r="BR45" s="1616">
        <f t="shared" si="4"/>
        <v>0</v>
      </c>
      <c r="BS45" s="120"/>
      <c r="BT45" s="1534"/>
      <c r="BU45" s="1661"/>
      <c r="BV45" s="1656"/>
    </row>
    <row r="46">
      <c r="A46" s="1657"/>
      <c r="B46" s="291"/>
      <c r="C46" s="1658" t="str">
        <f>IFNA(VLOOKUP($C$3,'召喚物資料'!$B:$AU,41,FALSE),"")</f>
        <v/>
      </c>
      <c r="D46" s="1611"/>
      <c r="E46" s="1611"/>
      <c r="F46" s="1611"/>
      <c r="G46" s="1611"/>
      <c r="H46" s="1611"/>
      <c r="I46" s="1611"/>
      <c r="J46" s="1611"/>
      <c r="K46" s="1611"/>
      <c r="L46" s="1611"/>
      <c r="M46" s="1611"/>
      <c r="N46" s="1611"/>
      <c r="O46" s="1611"/>
      <c r="P46" s="1611"/>
      <c r="Q46" s="1611"/>
      <c r="R46" s="1611"/>
      <c r="S46" s="1611"/>
      <c r="T46" s="1611"/>
      <c r="U46" s="1611"/>
      <c r="V46" s="1611"/>
      <c r="W46" s="1611"/>
      <c r="X46" s="1611"/>
      <c r="Y46" s="1611"/>
      <c r="Z46" s="1611"/>
      <c r="AA46" s="1611"/>
      <c r="AB46" s="1611"/>
      <c r="AC46" s="1611"/>
      <c r="AD46" s="1611"/>
      <c r="AE46" s="1611"/>
      <c r="AF46" s="1611"/>
      <c r="AG46" s="1611"/>
      <c r="AH46" s="1611"/>
      <c r="AI46" s="1611"/>
      <c r="AJ46" s="1611"/>
      <c r="AK46" s="1611"/>
      <c r="AL46" s="1611"/>
      <c r="AM46" s="1611"/>
      <c r="AN46" s="1611"/>
      <c r="AO46" s="1611"/>
      <c r="AP46" s="1611"/>
      <c r="AQ46" s="1611"/>
      <c r="AR46" s="1611"/>
      <c r="AS46" s="1611"/>
      <c r="AT46" s="1611"/>
      <c r="AU46" s="1611"/>
      <c r="AV46" s="1611"/>
      <c r="AW46" s="1611"/>
      <c r="AX46" s="1611"/>
      <c r="AY46" s="1611"/>
      <c r="AZ46" s="1611"/>
      <c r="BA46" s="1611"/>
      <c r="BB46" s="1612"/>
      <c r="BC46" s="291"/>
      <c r="BD46" s="1527"/>
      <c r="BE46" s="1646"/>
      <c r="BF46" s="122"/>
      <c r="BG46" s="122"/>
      <c r="BH46" s="122"/>
      <c r="BI46" s="122"/>
      <c r="BJ46" s="122"/>
      <c r="BK46" s="122"/>
      <c r="BL46" s="120"/>
      <c r="BM46" s="1647"/>
      <c r="BN46" s="120"/>
      <c r="BO46" s="1647"/>
      <c r="BP46" s="122"/>
      <c r="BQ46" s="120"/>
      <c r="BR46" s="1616">
        <f t="shared" si="4"/>
        <v>0</v>
      </c>
      <c r="BS46" s="120"/>
      <c r="BT46" s="1534"/>
      <c r="BU46" s="1661"/>
      <c r="BV46" s="1656"/>
    </row>
    <row r="47">
      <c r="A47" s="1657"/>
      <c r="B47" s="291"/>
      <c r="C47" s="1658" t="str">
        <f>IFNA(VLOOKUP($C$3,'召喚物資料'!$B:$AU,42,FALSE),"")</f>
        <v/>
      </c>
      <c r="D47" s="1611"/>
      <c r="E47" s="1611"/>
      <c r="F47" s="1611"/>
      <c r="G47" s="1611"/>
      <c r="H47" s="1611"/>
      <c r="I47" s="1611"/>
      <c r="J47" s="1611"/>
      <c r="K47" s="1611"/>
      <c r="L47" s="1611"/>
      <c r="M47" s="1611"/>
      <c r="N47" s="1611"/>
      <c r="O47" s="1611"/>
      <c r="P47" s="1611"/>
      <c r="Q47" s="1611"/>
      <c r="R47" s="1611"/>
      <c r="S47" s="1611"/>
      <c r="T47" s="1611"/>
      <c r="U47" s="1611"/>
      <c r="V47" s="1611"/>
      <c r="W47" s="1611"/>
      <c r="X47" s="1611"/>
      <c r="Y47" s="1611"/>
      <c r="Z47" s="1611"/>
      <c r="AA47" s="1611"/>
      <c r="AB47" s="1611"/>
      <c r="AC47" s="1611"/>
      <c r="AD47" s="1611"/>
      <c r="AE47" s="1611"/>
      <c r="AF47" s="1611"/>
      <c r="AG47" s="1611"/>
      <c r="AH47" s="1611"/>
      <c r="AI47" s="1611"/>
      <c r="AJ47" s="1611"/>
      <c r="AK47" s="1611"/>
      <c r="AL47" s="1611"/>
      <c r="AM47" s="1611"/>
      <c r="AN47" s="1611"/>
      <c r="AO47" s="1611"/>
      <c r="AP47" s="1611"/>
      <c r="AQ47" s="1611"/>
      <c r="AR47" s="1611"/>
      <c r="AS47" s="1611"/>
      <c r="AT47" s="1611"/>
      <c r="AU47" s="1611"/>
      <c r="AV47" s="1611"/>
      <c r="AW47" s="1611"/>
      <c r="AX47" s="1611"/>
      <c r="AY47" s="1611"/>
      <c r="AZ47" s="1611"/>
      <c r="BA47" s="1611"/>
      <c r="BB47" s="1612"/>
      <c r="BC47" s="291"/>
      <c r="BD47" s="1527"/>
      <c r="BE47" s="1642"/>
      <c r="BF47" s="122"/>
      <c r="BG47" s="122"/>
      <c r="BH47" s="122"/>
      <c r="BI47" s="122"/>
      <c r="BJ47" s="122"/>
      <c r="BK47" s="122"/>
      <c r="BL47" s="120"/>
      <c r="BM47" s="1618"/>
      <c r="BN47" s="120"/>
      <c r="BO47" s="1618"/>
      <c r="BP47" s="122"/>
      <c r="BQ47" s="120"/>
      <c r="BR47" s="1616">
        <f t="shared" si="4"/>
        <v>0</v>
      </c>
      <c r="BS47" s="120"/>
      <c r="BT47" s="1534"/>
      <c r="BU47" s="1661"/>
      <c r="BV47" s="1656"/>
    </row>
    <row r="48">
      <c r="A48" s="1652"/>
      <c r="B48" s="291"/>
      <c r="C48" s="1653"/>
      <c r="BC48" s="291"/>
      <c r="BD48" s="1527"/>
      <c r="BE48" s="1646"/>
      <c r="BF48" s="122"/>
      <c r="BG48" s="122"/>
      <c r="BH48" s="122"/>
      <c r="BI48" s="122"/>
      <c r="BJ48" s="122"/>
      <c r="BK48" s="122"/>
      <c r="BL48" s="120"/>
      <c r="BM48" s="1647"/>
      <c r="BN48" s="120"/>
      <c r="BO48" s="1647"/>
      <c r="BP48" s="122"/>
      <c r="BQ48" s="120"/>
      <c r="BR48" s="1616">
        <f t="shared" si="4"/>
        <v>0</v>
      </c>
      <c r="BS48" s="120"/>
      <c r="BT48" s="291"/>
      <c r="BU48" s="1652"/>
      <c r="BV48" s="1656"/>
    </row>
    <row r="49">
      <c r="A49" s="1652"/>
      <c r="B49" s="291"/>
      <c r="C49" s="1633" t="s">
        <v>4152</v>
      </c>
      <c r="D49" s="1655"/>
      <c r="E49" s="1655"/>
      <c r="F49" s="1655"/>
      <c r="G49" s="1655"/>
      <c r="H49" s="1655"/>
      <c r="I49" s="1655"/>
      <c r="J49" s="1655"/>
      <c r="K49" s="1655"/>
      <c r="L49" s="1655"/>
      <c r="M49" s="1655"/>
      <c r="N49" s="1655"/>
      <c r="O49" s="1655"/>
      <c r="P49" s="1655"/>
      <c r="Q49" s="1655"/>
      <c r="R49" s="1655"/>
      <c r="S49" s="1655"/>
      <c r="T49" s="1655"/>
      <c r="U49" s="1655"/>
      <c r="V49" s="1655"/>
      <c r="W49" s="1655"/>
      <c r="X49" s="1655"/>
      <c r="Y49" s="1655"/>
      <c r="Z49" s="1655"/>
      <c r="AA49" s="1655"/>
      <c r="AB49" s="1655"/>
      <c r="AC49" s="1655"/>
      <c r="AD49" s="1655"/>
      <c r="AE49" s="1655"/>
      <c r="AF49" s="1655"/>
      <c r="AG49" s="1655"/>
      <c r="AH49" s="1655"/>
      <c r="AI49" s="1655"/>
      <c r="AJ49" s="1655"/>
      <c r="AK49" s="1655"/>
      <c r="AL49" s="1655"/>
      <c r="AM49" s="1655"/>
      <c r="AN49" s="1655"/>
      <c r="AO49" s="1655"/>
      <c r="AP49" s="1655"/>
      <c r="AQ49" s="1655"/>
      <c r="AR49" s="1655"/>
      <c r="AS49" s="1655"/>
      <c r="AT49" s="1655"/>
      <c r="AU49" s="1655"/>
      <c r="AV49" s="1655"/>
      <c r="AW49" s="1655"/>
      <c r="AX49" s="1655"/>
      <c r="AY49" s="1655"/>
      <c r="AZ49" s="1655"/>
      <c r="BA49" s="1655"/>
      <c r="BB49" s="1655"/>
      <c r="BC49" s="291"/>
      <c r="BD49" s="1527"/>
      <c r="BE49" s="1642"/>
      <c r="BF49" s="122"/>
      <c r="BG49" s="122"/>
      <c r="BH49" s="122"/>
      <c r="BI49" s="122"/>
      <c r="BJ49" s="122"/>
      <c r="BK49" s="122"/>
      <c r="BL49" s="120"/>
      <c r="BM49" s="1618"/>
      <c r="BN49" s="120"/>
      <c r="BO49" s="1618"/>
      <c r="BP49" s="122"/>
      <c r="BQ49" s="120"/>
      <c r="BR49" s="1616">
        <f t="shared" si="4"/>
        <v>0</v>
      </c>
      <c r="BS49" s="120"/>
      <c r="BT49" s="291"/>
      <c r="BU49" s="1652"/>
      <c r="BV49" s="1659"/>
    </row>
    <row r="50">
      <c r="A50" s="1652"/>
      <c r="B50" s="291"/>
      <c r="C50" s="1658" t="str">
        <f>IFNA(VLOOKUP($C$3,'召喚物資料'!$B:$AU,43,FALSE),"")</f>
        <v/>
      </c>
      <c r="D50" s="1611"/>
      <c r="E50" s="1611"/>
      <c r="F50" s="1611"/>
      <c r="G50" s="1611"/>
      <c r="H50" s="1611"/>
      <c r="I50" s="1611"/>
      <c r="J50" s="1611"/>
      <c r="K50" s="1611"/>
      <c r="L50" s="1611"/>
      <c r="M50" s="1611"/>
      <c r="N50" s="1611"/>
      <c r="O50" s="1611"/>
      <c r="P50" s="1611"/>
      <c r="Q50" s="1611"/>
      <c r="R50" s="1611"/>
      <c r="S50" s="1611"/>
      <c r="T50" s="1611"/>
      <c r="U50" s="1611"/>
      <c r="V50" s="1611"/>
      <c r="W50" s="1611"/>
      <c r="X50" s="1611"/>
      <c r="Y50" s="1611"/>
      <c r="Z50" s="1611"/>
      <c r="AA50" s="1611"/>
      <c r="AB50" s="1611"/>
      <c r="AC50" s="1611"/>
      <c r="AD50" s="1611"/>
      <c r="AE50" s="1611"/>
      <c r="AF50" s="1611"/>
      <c r="AG50" s="1611"/>
      <c r="AH50" s="1611"/>
      <c r="AI50" s="1611"/>
      <c r="AJ50" s="1611"/>
      <c r="AK50" s="1611"/>
      <c r="AL50" s="1611"/>
      <c r="AM50" s="1611"/>
      <c r="AN50" s="1611"/>
      <c r="AO50" s="1611"/>
      <c r="AP50" s="1611"/>
      <c r="AQ50" s="1611"/>
      <c r="AR50" s="1611"/>
      <c r="AS50" s="1611"/>
      <c r="AT50" s="1611"/>
      <c r="AU50" s="1611"/>
      <c r="AV50" s="1611"/>
      <c r="AW50" s="1611"/>
      <c r="AX50" s="1611"/>
      <c r="AY50" s="1611"/>
      <c r="AZ50" s="1611"/>
      <c r="BA50" s="1611"/>
      <c r="BB50" s="1612"/>
      <c r="BC50" s="291"/>
      <c r="BD50" s="1527"/>
      <c r="BE50" s="1646"/>
      <c r="BF50" s="122"/>
      <c r="BG50" s="122"/>
      <c r="BH50" s="122"/>
      <c r="BI50" s="122"/>
      <c r="BJ50" s="122"/>
      <c r="BK50" s="122"/>
      <c r="BL50" s="120"/>
      <c r="BM50" s="1647"/>
      <c r="BN50" s="120"/>
      <c r="BO50" s="1647"/>
      <c r="BP50" s="122"/>
      <c r="BQ50" s="120"/>
      <c r="BR50" s="1616">
        <f t="shared" si="4"/>
        <v>0</v>
      </c>
      <c r="BS50" s="120"/>
      <c r="BT50" s="291"/>
      <c r="BU50" s="1652"/>
      <c r="BV50" s="1659"/>
    </row>
    <row r="51">
      <c r="A51" s="1652"/>
      <c r="B51" s="291"/>
      <c r="C51" s="1658" t="str">
        <f>IFNA(VLOOKUP($C$3,'召喚物資料'!$B:$AU,44,FALSE),"")</f>
        <v/>
      </c>
      <c r="D51" s="1611"/>
      <c r="E51" s="1611"/>
      <c r="F51" s="1611"/>
      <c r="G51" s="1611"/>
      <c r="H51" s="1611"/>
      <c r="I51" s="1611"/>
      <c r="J51" s="1611"/>
      <c r="K51" s="1611"/>
      <c r="L51" s="1611"/>
      <c r="M51" s="1611"/>
      <c r="N51" s="1611"/>
      <c r="O51" s="1611"/>
      <c r="P51" s="1611"/>
      <c r="Q51" s="1611"/>
      <c r="R51" s="1611"/>
      <c r="S51" s="1611"/>
      <c r="T51" s="1611"/>
      <c r="U51" s="1611"/>
      <c r="V51" s="1611"/>
      <c r="W51" s="1611"/>
      <c r="X51" s="1611"/>
      <c r="Y51" s="1611"/>
      <c r="Z51" s="1611"/>
      <c r="AA51" s="1611"/>
      <c r="AB51" s="1611"/>
      <c r="AC51" s="1611"/>
      <c r="AD51" s="1611"/>
      <c r="AE51" s="1611"/>
      <c r="AF51" s="1611"/>
      <c r="AG51" s="1611"/>
      <c r="AH51" s="1611"/>
      <c r="AI51" s="1611"/>
      <c r="AJ51" s="1611"/>
      <c r="AK51" s="1611"/>
      <c r="AL51" s="1611"/>
      <c r="AM51" s="1611"/>
      <c r="AN51" s="1611"/>
      <c r="AO51" s="1611"/>
      <c r="AP51" s="1611"/>
      <c r="AQ51" s="1611"/>
      <c r="AR51" s="1611"/>
      <c r="AS51" s="1611"/>
      <c r="AT51" s="1611"/>
      <c r="AU51" s="1611"/>
      <c r="AV51" s="1611"/>
      <c r="AW51" s="1611"/>
      <c r="AX51" s="1611"/>
      <c r="AY51" s="1611"/>
      <c r="AZ51" s="1611"/>
      <c r="BA51" s="1611"/>
      <c r="BB51" s="1612"/>
      <c r="BC51" s="291"/>
      <c r="BD51" s="1527"/>
      <c r="BE51" s="1642"/>
      <c r="BF51" s="122"/>
      <c r="BG51" s="122"/>
      <c r="BH51" s="122"/>
      <c r="BI51" s="122"/>
      <c r="BJ51" s="122"/>
      <c r="BK51" s="122"/>
      <c r="BL51" s="120"/>
      <c r="BM51" s="1618"/>
      <c r="BN51" s="120"/>
      <c r="BO51" s="1618"/>
      <c r="BP51" s="122"/>
      <c r="BQ51" s="120"/>
      <c r="BR51" s="1616">
        <f t="shared" si="4"/>
        <v>0</v>
      </c>
      <c r="BS51" s="120"/>
      <c r="BT51" s="291"/>
      <c r="BU51" s="1652"/>
      <c r="BV51" s="1659"/>
    </row>
    <row r="52">
      <c r="A52" s="1652"/>
      <c r="B52" s="291"/>
      <c r="C52" s="1658" t="str">
        <f>IFNA(VLOOKUP($C$3,'召喚物資料'!$B:$AU,45,FALSE),"")</f>
        <v/>
      </c>
      <c r="D52" s="1611"/>
      <c r="E52" s="1611"/>
      <c r="F52" s="1611"/>
      <c r="G52" s="1611"/>
      <c r="H52" s="1611"/>
      <c r="I52" s="1611"/>
      <c r="J52" s="1611"/>
      <c r="K52" s="1611"/>
      <c r="L52" s="1611"/>
      <c r="M52" s="1611"/>
      <c r="N52" s="1611"/>
      <c r="O52" s="1611"/>
      <c r="P52" s="1611"/>
      <c r="Q52" s="1611"/>
      <c r="R52" s="1611"/>
      <c r="S52" s="1611"/>
      <c r="T52" s="1611"/>
      <c r="U52" s="1611"/>
      <c r="V52" s="1611"/>
      <c r="W52" s="1611"/>
      <c r="X52" s="1611"/>
      <c r="Y52" s="1611"/>
      <c r="Z52" s="1611"/>
      <c r="AA52" s="1611"/>
      <c r="AB52" s="1611"/>
      <c r="AC52" s="1611"/>
      <c r="AD52" s="1611"/>
      <c r="AE52" s="1611"/>
      <c r="AF52" s="1611"/>
      <c r="AG52" s="1611"/>
      <c r="AH52" s="1611"/>
      <c r="AI52" s="1611"/>
      <c r="AJ52" s="1611"/>
      <c r="AK52" s="1611"/>
      <c r="AL52" s="1611"/>
      <c r="AM52" s="1611"/>
      <c r="AN52" s="1611"/>
      <c r="AO52" s="1611"/>
      <c r="AP52" s="1611"/>
      <c r="AQ52" s="1611"/>
      <c r="AR52" s="1611"/>
      <c r="AS52" s="1611"/>
      <c r="AT52" s="1611"/>
      <c r="AU52" s="1611"/>
      <c r="AV52" s="1611"/>
      <c r="AW52" s="1611"/>
      <c r="AX52" s="1611"/>
      <c r="AY52" s="1611"/>
      <c r="AZ52" s="1611"/>
      <c r="BA52" s="1611"/>
      <c r="BB52" s="1612"/>
      <c r="BC52" s="291"/>
      <c r="BD52" s="1527"/>
      <c r="BE52" s="1662"/>
      <c r="BF52" s="144"/>
      <c r="BG52" s="144"/>
      <c r="BH52" s="144"/>
      <c r="BI52" s="144"/>
      <c r="BJ52" s="144"/>
      <c r="BK52" s="144"/>
      <c r="BL52" s="128"/>
      <c r="BM52" s="1663"/>
      <c r="BN52" s="128"/>
      <c r="BO52" s="1663"/>
      <c r="BP52" s="144"/>
      <c r="BQ52" s="128"/>
      <c r="BR52" s="1664">
        <f t="shared" si="4"/>
        <v>0</v>
      </c>
      <c r="BS52" s="128"/>
      <c r="BT52" s="291"/>
      <c r="BU52" s="1652"/>
      <c r="BV52" s="1659"/>
    </row>
    <row r="53">
      <c r="A53" s="1652"/>
      <c r="B53" s="291"/>
      <c r="C53" s="1658" t="str">
        <f>IFNA(VLOOKUP($C$3,'召喚物資料'!$B:$AU,46,FALSE),"")</f>
        <v/>
      </c>
      <c r="D53" s="1611"/>
      <c r="E53" s="1611"/>
      <c r="F53" s="1611"/>
      <c r="G53" s="1611"/>
      <c r="H53" s="1611"/>
      <c r="I53" s="1611"/>
      <c r="J53" s="1611"/>
      <c r="K53" s="1611"/>
      <c r="L53" s="1611"/>
      <c r="M53" s="1611"/>
      <c r="N53" s="1611"/>
      <c r="O53" s="1611"/>
      <c r="P53" s="1611"/>
      <c r="Q53" s="1611"/>
      <c r="R53" s="1611"/>
      <c r="S53" s="1611"/>
      <c r="T53" s="1611"/>
      <c r="U53" s="1611"/>
      <c r="V53" s="1611"/>
      <c r="W53" s="1611"/>
      <c r="X53" s="1611"/>
      <c r="Y53" s="1611"/>
      <c r="Z53" s="1611"/>
      <c r="AA53" s="1611"/>
      <c r="AB53" s="1611"/>
      <c r="AC53" s="1611"/>
      <c r="AD53" s="1611"/>
      <c r="AE53" s="1611"/>
      <c r="AF53" s="1611"/>
      <c r="AG53" s="1611"/>
      <c r="AH53" s="1611"/>
      <c r="AI53" s="1611"/>
      <c r="AJ53" s="1611"/>
      <c r="AK53" s="1611"/>
      <c r="AL53" s="1611"/>
      <c r="AM53" s="1611"/>
      <c r="AN53" s="1611"/>
      <c r="AO53" s="1611"/>
      <c r="AP53" s="1611"/>
      <c r="AQ53" s="1611"/>
      <c r="AR53" s="1611"/>
      <c r="AS53" s="1611"/>
      <c r="AT53" s="1611"/>
      <c r="AU53" s="1611"/>
      <c r="AV53" s="1611"/>
      <c r="AW53" s="1611"/>
      <c r="AX53" s="1611"/>
      <c r="AY53" s="1611"/>
      <c r="AZ53" s="1611"/>
      <c r="BA53" s="1611"/>
      <c r="BB53" s="1612"/>
      <c r="BC53" s="291"/>
      <c r="BD53" s="1527"/>
      <c r="BE53" s="1665" t="s">
        <v>4153</v>
      </c>
      <c r="BP53" s="1666">
        <f>SUM(BR13:BS52,BR4:BS7)</f>
        <v>0</v>
      </c>
      <c r="BQ53" s="240"/>
      <c r="BR53" s="240"/>
      <c r="BS53" s="241"/>
      <c r="BT53" s="291"/>
      <c r="BU53" s="1652"/>
      <c r="BV53" s="1659"/>
    </row>
    <row r="54">
      <c r="A54" s="1652"/>
      <c r="B54" s="291"/>
      <c r="C54" s="1653"/>
      <c r="D54" s="1653"/>
      <c r="E54" s="1653"/>
      <c r="F54" s="1653"/>
      <c r="G54" s="1653"/>
      <c r="H54" s="1653"/>
      <c r="I54" s="1653"/>
      <c r="J54" s="1653"/>
      <c r="K54" s="1653"/>
      <c r="L54" s="1653"/>
      <c r="M54" s="1653"/>
      <c r="N54" s="1653"/>
      <c r="O54" s="1653"/>
      <c r="P54" s="1653"/>
      <c r="Q54" s="1653"/>
      <c r="R54" s="1653"/>
      <c r="S54" s="1653"/>
      <c r="T54" s="1653"/>
      <c r="U54" s="1653"/>
      <c r="V54" s="1653"/>
      <c r="W54" s="1653"/>
      <c r="X54" s="1653"/>
      <c r="Y54" s="1653"/>
      <c r="Z54" s="1653"/>
      <c r="AA54" s="1653"/>
      <c r="AB54" s="1653"/>
      <c r="AC54" s="1653"/>
      <c r="AD54" s="1653"/>
      <c r="AE54" s="1653"/>
      <c r="AF54" s="1653"/>
      <c r="AG54" s="1653"/>
      <c r="AH54" s="1653"/>
      <c r="AI54" s="1653"/>
      <c r="AJ54" s="1653"/>
      <c r="AK54" s="291"/>
      <c r="AL54" s="291"/>
      <c r="AM54" s="291"/>
      <c r="AN54" s="291"/>
      <c r="AO54" s="291"/>
      <c r="AP54" s="291"/>
      <c r="AQ54" s="291"/>
      <c r="AR54" s="291"/>
      <c r="AS54" s="291"/>
      <c r="AT54" s="291"/>
      <c r="AU54" s="291"/>
      <c r="AV54" s="291"/>
      <c r="AW54" s="291"/>
      <c r="AX54" s="291"/>
      <c r="AY54" s="291"/>
      <c r="AZ54" s="291"/>
      <c r="BA54" s="291"/>
      <c r="BB54" s="291"/>
      <c r="BC54" s="291"/>
      <c r="BD54" s="1527"/>
      <c r="BE54" s="1667"/>
      <c r="BU54" s="1652"/>
      <c r="BV54" s="1659"/>
    </row>
    <row r="55" ht="15.0" customHeight="1">
      <c r="A55" s="1668" t="s">
        <v>370</v>
      </c>
      <c r="B55" s="1652"/>
      <c r="C55" s="1652"/>
      <c r="AJ55" s="1652"/>
      <c r="AK55" s="1652"/>
      <c r="AL55" s="1652"/>
      <c r="AM55" s="1652"/>
      <c r="AN55" s="1652"/>
      <c r="AO55" s="1652"/>
      <c r="AP55" s="1652"/>
      <c r="AQ55" s="1652"/>
      <c r="AR55" s="1652"/>
      <c r="AS55" s="1652"/>
      <c r="AT55" s="1652"/>
      <c r="AU55" s="1652"/>
      <c r="AV55" s="1652"/>
      <c r="AW55" s="1652"/>
      <c r="AX55" s="1652"/>
      <c r="AY55" s="1652"/>
      <c r="AZ55" s="1652"/>
      <c r="BA55" s="1652"/>
      <c r="BB55" s="1652"/>
      <c r="BC55" s="1652"/>
      <c r="BD55" s="1652"/>
      <c r="BE55" s="1669"/>
      <c r="BU55" s="1652"/>
      <c r="BV55" s="303"/>
    </row>
  </sheetData>
  <mergeCells count="356">
    <mergeCell ref="BE18:BL18"/>
    <mergeCell ref="BM18:BN18"/>
    <mergeCell ref="BO18:BQ18"/>
    <mergeCell ref="BR18:BS18"/>
    <mergeCell ref="BM19:BN19"/>
    <mergeCell ref="BO19:BQ19"/>
    <mergeCell ref="BR19:BS19"/>
    <mergeCell ref="BE19:BL19"/>
    <mergeCell ref="BE20:BL20"/>
    <mergeCell ref="BM20:BN20"/>
    <mergeCell ref="BO20:BQ20"/>
    <mergeCell ref="BR20:BS20"/>
    <mergeCell ref="BE21:BL21"/>
    <mergeCell ref="BM21:BN21"/>
    <mergeCell ref="BP10:BQ10"/>
    <mergeCell ref="BR10:BS10"/>
    <mergeCell ref="BE8:BL8"/>
    <mergeCell ref="BM8:BN8"/>
    <mergeCell ref="BO8:BQ8"/>
    <mergeCell ref="BR8:BS8"/>
    <mergeCell ref="BE10:BJ10"/>
    <mergeCell ref="BK10:BM10"/>
    <mergeCell ref="BN10:BO10"/>
    <mergeCell ref="BE14:BL14"/>
    <mergeCell ref="BM14:BN14"/>
    <mergeCell ref="BO14:BQ14"/>
    <mergeCell ref="BR14:BS14"/>
    <mergeCell ref="BM15:BN15"/>
    <mergeCell ref="BO15:BQ15"/>
    <mergeCell ref="BR15:BS15"/>
    <mergeCell ref="BO17:BQ17"/>
    <mergeCell ref="BR17:BS17"/>
    <mergeCell ref="BE15:BL15"/>
    <mergeCell ref="BE16:BL16"/>
    <mergeCell ref="BM16:BN16"/>
    <mergeCell ref="BO16:BQ16"/>
    <mergeCell ref="BR16:BS16"/>
    <mergeCell ref="BE17:BL17"/>
    <mergeCell ref="BM17:BN17"/>
    <mergeCell ref="BO21:BQ21"/>
    <mergeCell ref="BR21:BS21"/>
    <mergeCell ref="BE27:BL27"/>
    <mergeCell ref="BE29:BL29"/>
    <mergeCell ref="BM29:BN29"/>
    <mergeCell ref="BO29:BQ29"/>
    <mergeCell ref="BR29:BS29"/>
    <mergeCell ref="BE36:BL36"/>
    <mergeCell ref="BE37:BL37"/>
    <mergeCell ref="BM37:BN37"/>
    <mergeCell ref="BE32:BL32"/>
    <mergeCell ref="BE33:BL33"/>
    <mergeCell ref="BE34:BL34"/>
    <mergeCell ref="BM34:BN34"/>
    <mergeCell ref="BE35:BL35"/>
    <mergeCell ref="BM35:BN35"/>
    <mergeCell ref="BM36:BN36"/>
    <mergeCell ref="BE22:BL22"/>
    <mergeCell ref="BM22:BN22"/>
    <mergeCell ref="BO22:BQ22"/>
    <mergeCell ref="BR22:BS22"/>
    <mergeCell ref="BM23:BN23"/>
    <mergeCell ref="BO23:BQ23"/>
    <mergeCell ref="BR23:BS23"/>
    <mergeCell ref="BE23:BL23"/>
    <mergeCell ref="BE24:BL24"/>
    <mergeCell ref="BM24:BN24"/>
    <mergeCell ref="BO24:BQ24"/>
    <mergeCell ref="BR24:BS24"/>
    <mergeCell ref="BE25:BL25"/>
    <mergeCell ref="BM25:BN25"/>
    <mergeCell ref="B28:BC28"/>
    <mergeCell ref="BE28:BL28"/>
    <mergeCell ref="BM28:BN28"/>
    <mergeCell ref="BO28:BQ28"/>
    <mergeCell ref="BR28:BS28"/>
    <mergeCell ref="BE30:BL30"/>
    <mergeCell ref="BR30:BS30"/>
    <mergeCell ref="C30:BB30"/>
    <mergeCell ref="C31:BB31"/>
    <mergeCell ref="BE31:BL31"/>
    <mergeCell ref="BM31:BN31"/>
    <mergeCell ref="C32:BB32"/>
    <mergeCell ref="BM32:BN32"/>
    <mergeCell ref="BM33:BN33"/>
    <mergeCell ref="BM30:BN30"/>
    <mergeCell ref="BO30:BQ30"/>
    <mergeCell ref="BO31:BQ31"/>
    <mergeCell ref="BR31:BS31"/>
    <mergeCell ref="BO32:BQ32"/>
    <mergeCell ref="BR32:BS32"/>
    <mergeCell ref="BR33:BS33"/>
    <mergeCell ref="BO33:BQ33"/>
    <mergeCell ref="BO34:BQ34"/>
    <mergeCell ref="BR34:BS34"/>
    <mergeCell ref="BO35:BQ35"/>
    <mergeCell ref="BR35:BS35"/>
    <mergeCell ref="BO36:BQ36"/>
    <mergeCell ref="BR36:BS36"/>
    <mergeCell ref="BR39:BS39"/>
    <mergeCell ref="C33:BB33"/>
    <mergeCell ref="C34:BB34"/>
    <mergeCell ref="C35:BB35"/>
    <mergeCell ref="C36:BB36"/>
    <mergeCell ref="C37:BB37"/>
    <mergeCell ref="C38:BB38"/>
    <mergeCell ref="C39:BB39"/>
    <mergeCell ref="BE43:BL43"/>
    <mergeCell ref="BE44:BL44"/>
    <mergeCell ref="BE45:BL45"/>
    <mergeCell ref="BM45:BN45"/>
    <mergeCell ref="BE46:BL46"/>
    <mergeCell ref="BM46:BN46"/>
    <mergeCell ref="BM47:BN47"/>
    <mergeCell ref="BE47:BL47"/>
    <mergeCell ref="BE48:BL48"/>
    <mergeCell ref="BM48:BN48"/>
    <mergeCell ref="BE49:BL49"/>
    <mergeCell ref="BM49:BN49"/>
    <mergeCell ref="BE50:BL50"/>
    <mergeCell ref="BM50:BN50"/>
    <mergeCell ref="BE52:BL52"/>
    <mergeCell ref="BE53:BO53"/>
    <mergeCell ref="BP53:BS53"/>
    <mergeCell ref="BE54:BT54"/>
    <mergeCell ref="BE51:BL51"/>
    <mergeCell ref="BM51:BN51"/>
    <mergeCell ref="BO51:BQ51"/>
    <mergeCell ref="BR51:BS51"/>
    <mergeCell ref="BM52:BN52"/>
    <mergeCell ref="BO52:BQ52"/>
    <mergeCell ref="BR52:BS52"/>
    <mergeCell ref="C40:BB40"/>
    <mergeCell ref="BE40:BL40"/>
    <mergeCell ref="BM40:BN40"/>
    <mergeCell ref="BO40:BQ40"/>
    <mergeCell ref="BR40:BS40"/>
    <mergeCell ref="BE41:BL41"/>
    <mergeCell ref="BR41:BS41"/>
    <mergeCell ref="C41:BB41"/>
    <mergeCell ref="C42:BB42"/>
    <mergeCell ref="BE42:BL42"/>
    <mergeCell ref="BM42:BN42"/>
    <mergeCell ref="C43:BB43"/>
    <mergeCell ref="BM43:BN43"/>
    <mergeCell ref="BM44:BN44"/>
    <mergeCell ref="BM41:BN41"/>
    <mergeCell ref="BO41:BQ41"/>
    <mergeCell ref="BO42:BQ42"/>
    <mergeCell ref="BR42:BS42"/>
    <mergeCell ref="BO43:BQ43"/>
    <mergeCell ref="BR43:BS43"/>
    <mergeCell ref="BR44:BS44"/>
    <mergeCell ref="BO48:BQ48"/>
    <mergeCell ref="BR48:BS48"/>
    <mergeCell ref="BO49:BQ49"/>
    <mergeCell ref="BR49:BS49"/>
    <mergeCell ref="BO50:BQ50"/>
    <mergeCell ref="BR50:BS50"/>
    <mergeCell ref="BO44:BQ44"/>
    <mergeCell ref="BO45:BQ45"/>
    <mergeCell ref="BR45:BS45"/>
    <mergeCell ref="BO46:BQ46"/>
    <mergeCell ref="BR46:BS46"/>
    <mergeCell ref="BO47:BQ47"/>
    <mergeCell ref="BR47:BS47"/>
    <mergeCell ref="C51:BB51"/>
    <mergeCell ref="C52:BB52"/>
    <mergeCell ref="C53:BB53"/>
    <mergeCell ref="C55:AI55"/>
    <mergeCell ref="BE55:BT55"/>
    <mergeCell ref="C44:BB44"/>
    <mergeCell ref="C45:BB45"/>
    <mergeCell ref="C46:BB46"/>
    <mergeCell ref="C47:BB47"/>
    <mergeCell ref="C48:BB48"/>
    <mergeCell ref="C49:BB49"/>
    <mergeCell ref="C50:BB50"/>
    <mergeCell ref="AK8:AO8"/>
    <mergeCell ref="AK9:AO9"/>
    <mergeCell ref="AP9:AS9"/>
    <mergeCell ref="AU9:BB10"/>
    <mergeCell ref="AU11:BB11"/>
    <mergeCell ref="AP8:AS8"/>
    <mergeCell ref="AK11:AS11"/>
    <mergeCell ref="AK12:AM12"/>
    <mergeCell ref="AN12:AP12"/>
    <mergeCell ref="AU12:BB13"/>
    <mergeCell ref="AK13:AM13"/>
    <mergeCell ref="AN13:AP13"/>
    <mergeCell ref="AQ13:AS13"/>
    <mergeCell ref="AU14:BB14"/>
    <mergeCell ref="AQ12:AS12"/>
    <mergeCell ref="AK14:AM14"/>
    <mergeCell ref="AN14:AP14"/>
    <mergeCell ref="AQ14:AS14"/>
    <mergeCell ref="AK5:AO5"/>
    <mergeCell ref="AP5:AS5"/>
    <mergeCell ref="AK6:AO6"/>
    <mergeCell ref="AP6:AS6"/>
    <mergeCell ref="AK7:AO7"/>
    <mergeCell ref="AP7:AS7"/>
    <mergeCell ref="AA10:AI16"/>
    <mergeCell ref="AQ15:AS15"/>
    <mergeCell ref="P22:BB22"/>
    <mergeCell ref="P23:BB23"/>
    <mergeCell ref="P24:BB24"/>
    <mergeCell ref="P25:BB25"/>
    <mergeCell ref="P26:BB26"/>
    <mergeCell ref="AK15:AM15"/>
    <mergeCell ref="AN15:AP15"/>
    <mergeCell ref="AU15:BB16"/>
    <mergeCell ref="P18:BB18"/>
    <mergeCell ref="P19:BB19"/>
    <mergeCell ref="P20:BB20"/>
    <mergeCell ref="P21:BB21"/>
    <mergeCell ref="BM5:BN5"/>
    <mergeCell ref="BO5:BQ5"/>
    <mergeCell ref="BM6:BN6"/>
    <mergeCell ref="BO6:BQ6"/>
    <mergeCell ref="BR6:BS6"/>
    <mergeCell ref="BO7:BQ7"/>
    <mergeCell ref="BR7:BS7"/>
    <mergeCell ref="AU5:BB5"/>
    <mergeCell ref="BE5:BL5"/>
    <mergeCell ref="AU6:BB7"/>
    <mergeCell ref="BE6:BL6"/>
    <mergeCell ref="BE7:BL7"/>
    <mergeCell ref="BM7:BN7"/>
    <mergeCell ref="AU8:BB8"/>
    <mergeCell ref="AU4:BB4"/>
    <mergeCell ref="BE4:BS4"/>
    <mergeCell ref="AB4:AI4"/>
    <mergeCell ref="AB5:AI5"/>
    <mergeCell ref="W6:AI6"/>
    <mergeCell ref="W7:AI7"/>
    <mergeCell ref="B2:BC2"/>
    <mergeCell ref="BD2:BT2"/>
    <mergeCell ref="C3:K4"/>
    <mergeCell ref="X4:Z4"/>
    <mergeCell ref="AK4:AS4"/>
    <mergeCell ref="C5:K5"/>
    <mergeCell ref="X5:Z5"/>
    <mergeCell ref="BR5:BS5"/>
    <mergeCell ref="M4:V4"/>
    <mergeCell ref="M5:V5"/>
    <mergeCell ref="C6:G6"/>
    <mergeCell ref="I6:U6"/>
    <mergeCell ref="C7:G7"/>
    <mergeCell ref="I7:U7"/>
    <mergeCell ref="C8:AI8"/>
    <mergeCell ref="C10:J10"/>
    <mergeCell ref="K10:O10"/>
    <mergeCell ref="Q10:V10"/>
    <mergeCell ref="W10:Y10"/>
    <mergeCell ref="C11:E11"/>
    <mergeCell ref="F11:G11"/>
    <mergeCell ref="H11:J11"/>
    <mergeCell ref="Q13:S13"/>
    <mergeCell ref="T13:V13"/>
    <mergeCell ref="BO13:BQ13"/>
    <mergeCell ref="BR13:BS13"/>
    <mergeCell ref="BE11:BJ11"/>
    <mergeCell ref="BK11:BM11"/>
    <mergeCell ref="BN11:BO11"/>
    <mergeCell ref="BP11:BQ11"/>
    <mergeCell ref="BR11:BS11"/>
    <mergeCell ref="BE13:BL13"/>
    <mergeCell ref="BM13:BN13"/>
    <mergeCell ref="C16:E16"/>
    <mergeCell ref="F16:G16"/>
    <mergeCell ref="C18:F18"/>
    <mergeCell ref="G18:H18"/>
    <mergeCell ref="C19:F19"/>
    <mergeCell ref="G19:H19"/>
    <mergeCell ref="G20:H20"/>
    <mergeCell ref="C25:F25"/>
    <mergeCell ref="G25:H25"/>
    <mergeCell ref="C26:F26"/>
    <mergeCell ref="G26:H26"/>
    <mergeCell ref="C20:F20"/>
    <mergeCell ref="C21:F21"/>
    <mergeCell ref="G21:H21"/>
    <mergeCell ref="C22:F22"/>
    <mergeCell ref="G22:H22"/>
    <mergeCell ref="C23:F23"/>
    <mergeCell ref="G23:H23"/>
    <mergeCell ref="K11:L11"/>
    <mergeCell ref="M11:O11"/>
    <mergeCell ref="Q11:S12"/>
    <mergeCell ref="T11:V12"/>
    <mergeCell ref="W11:Y12"/>
    <mergeCell ref="C12:E12"/>
    <mergeCell ref="F12:G12"/>
    <mergeCell ref="M12:O12"/>
    <mergeCell ref="H12:J12"/>
    <mergeCell ref="K12:L12"/>
    <mergeCell ref="C13:E13"/>
    <mergeCell ref="F13:G13"/>
    <mergeCell ref="H13:J13"/>
    <mergeCell ref="K13:L13"/>
    <mergeCell ref="M13:O13"/>
    <mergeCell ref="C14:E14"/>
    <mergeCell ref="F14:G14"/>
    <mergeCell ref="H14:J14"/>
    <mergeCell ref="K14:L14"/>
    <mergeCell ref="M14:O14"/>
    <mergeCell ref="Q14:T14"/>
    <mergeCell ref="V14:Y14"/>
    <mergeCell ref="C15:E15"/>
    <mergeCell ref="F15:G15"/>
    <mergeCell ref="H15:J15"/>
    <mergeCell ref="K15:L15"/>
    <mergeCell ref="M15:O15"/>
    <mergeCell ref="Q15:T16"/>
    <mergeCell ref="V15:Y16"/>
    <mergeCell ref="M16:O16"/>
    <mergeCell ref="I20:L20"/>
    <mergeCell ref="I21:L21"/>
    <mergeCell ref="M21:N21"/>
    <mergeCell ref="I22:L22"/>
    <mergeCell ref="M22:N22"/>
    <mergeCell ref="I23:L23"/>
    <mergeCell ref="M23:N23"/>
    <mergeCell ref="H16:J16"/>
    <mergeCell ref="K16:L16"/>
    <mergeCell ref="I18:L18"/>
    <mergeCell ref="M18:N18"/>
    <mergeCell ref="I19:L19"/>
    <mergeCell ref="M19:N19"/>
    <mergeCell ref="M20:N20"/>
    <mergeCell ref="C24:F24"/>
    <mergeCell ref="G24:H24"/>
    <mergeCell ref="I24:L24"/>
    <mergeCell ref="M24:N24"/>
    <mergeCell ref="I25:L25"/>
    <mergeCell ref="M25:N25"/>
    <mergeCell ref="I26:L26"/>
    <mergeCell ref="M26:N26"/>
    <mergeCell ref="BM27:BN27"/>
    <mergeCell ref="BO27:BQ27"/>
    <mergeCell ref="BO25:BQ25"/>
    <mergeCell ref="BR25:BS25"/>
    <mergeCell ref="BE26:BL26"/>
    <mergeCell ref="BM26:BN26"/>
    <mergeCell ref="BO26:BQ26"/>
    <mergeCell ref="BR26:BS26"/>
    <mergeCell ref="BR27:BS27"/>
    <mergeCell ref="BM39:BN39"/>
    <mergeCell ref="BO39:BQ39"/>
    <mergeCell ref="BO37:BQ37"/>
    <mergeCell ref="BR37:BS37"/>
    <mergeCell ref="BE38:BL38"/>
    <mergeCell ref="BM38:BN38"/>
    <mergeCell ref="BO38:BQ38"/>
    <mergeCell ref="BR38:BS38"/>
    <mergeCell ref="BE39:BL39"/>
  </mergeCells>
  <conditionalFormatting sqref="BM14">
    <cfRule type="cellIs" dxfId="9" priority="1" operator="equal">
      <formula>"TRUE"</formula>
    </cfRule>
  </conditionalFormatting>
  <conditionalFormatting sqref="H11:I16 K11:N16 G18:G26 M18:M26">
    <cfRule type="cellIs" dxfId="3" priority="2" operator="lessThan">
      <formula>0</formula>
    </cfRule>
  </conditionalFormatting>
  <conditionalFormatting sqref="Q11 T11 W11 Q15 S15 V15 Y15">
    <cfRule type="expression" dxfId="4" priority="3">
      <formula>"[&lt;0]"0";0"</formula>
    </cfRule>
  </conditionalFormatting>
  <dataValidations>
    <dataValidation type="list" allowBlank="1" sqref="M4">
      <formula1>'索引資料'!$F$41:$F$69</formula1>
    </dataValidation>
    <dataValidation type="list" allowBlank="1" sqref="BE11">
      <formula1>'武器&amp;護甲'!$J$2:$J$18</formula1>
    </dataValidation>
    <dataValidation type="list" allowBlank="1" showDropDown="1" sqref="C6">
      <formula1>"1,2,3,4,5,6,7,8,9"</formula1>
    </dataValidation>
    <dataValidation type="list" allowBlank="1" showDropDown="1" sqref="X4">
      <formula1>"超微型,微型,超小型,小型,中型,大型,超大型,巨型,超巨型"</formula1>
    </dataValidation>
    <dataValidation type="list" allowBlank="1" showDropDown="1" sqref="C3">
      <formula1>'索引資料'!$E$43:$E$69</formula1>
    </dataValidation>
    <dataValidation type="list" allowBlank="1" showDropDown="1" sqref="I6">
      <formula1>'索引資料'!$D$41:$D$44</formula1>
    </dataValidation>
    <dataValidation type="list" allowBlank="1" showDropDown="1" sqref="W6">
      <formula1>"異怪 Aberration,野獸 Beast,天界生物 Celestial,構裝體 Construct,龍 Dragon,元素 Elemental,精類 Fey,邪魔 Fiend,巨人 Giant,類人生物 Humanoid,怪獸 Monstrositie,泥怪 Ooze,植物 Plant,不死生物 Undead,具名 NPC-Named NPC"</formula1>
    </dataValidation>
    <dataValidation type="list" allowBlank="1" showErrorMessage="1" sqref="BE7">
      <formula1>"無鞍座,騎乘鞍座,貨運鞍座,異種鞍座,軍用鞍座,騎兵鞍座"</formula1>
    </dataValidation>
    <dataValidation type="list" allowBlank="1" showErrorMessage="1" sqref="BK11">
      <formula1>"無,輕甲,中甲,重甲,天生,法師"</formula1>
    </dataValidation>
  </dataValidation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4.43" defaultRowHeight="15.0" outlineLevelCol="1"/>
  <cols>
    <col customWidth="1" min="1" max="55" width="2.29"/>
    <col customWidth="1" min="56" max="72" width="2.29" outlineLevel="1"/>
    <col customWidth="1" min="73" max="73" width="2.29"/>
    <col customWidth="1" hidden="1" min="74" max="74" width="12.57"/>
  </cols>
  <sheetData>
    <row r="1">
      <c r="A1" s="297"/>
      <c r="B1" s="297"/>
      <c r="C1" s="297"/>
      <c r="D1" s="297"/>
      <c r="E1" s="297"/>
      <c r="F1" s="297"/>
      <c r="G1" s="297"/>
      <c r="H1" s="297"/>
      <c r="I1" s="297"/>
      <c r="J1" s="297"/>
      <c r="K1" s="297"/>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c r="AO1" s="297"/>
      <c r="AP1" s="297"/>
      <c r="AQ1" s="297"/>
      <c r="AR1" s="297"/>
      <c r="AS1" s="297"/>
      <c r="AT1" s="297"/>
      <c r="AU1" s="297"/>
      <c r="AV1" s="297"/>
      <c r="AW1" s="297"/>
      <c r="AX1" s="297"/>
      <c r="AY1" s="297"/>
      <c r="AZ1" s="297"/>
      <c r="BA1" s="297"/>
      <c r="BB1" s="297"/>
      <c r="BC1" s="297"/>
      <c r="BD1" s="297"/>
      <c r="BE1" s="297"/>
      <c r="BF1" s="297"/>
      <c r="BG1" s="297"/>
      <c r="BH1" s="297"/>
      <c r="BI1" s="297"/>
      <c r="BJ1" s="297"/>
      <c r="BK1" s="297"/>
      <c r="BL1" s="297"/>
      <c r="BM1" s="297"/>
      <c r="BN1" s="297"/>
      <c r="BO1" s="297"/>
      <c r="BP1" s="297"/>
      <c r="BQ1" s="297"/>
      <c r="BR1" s="297"/>
      <c r="BS1" s="297"/>
      <c r="BT1" s="297"/>
      <c r="BU1" s="297"/>
      <c r="BV1" s="1523"/>
    </row>
    <row r="2">
      <c r="A2" s="297"/>
      <c r="B2" s="295" t="s">
        <v>4104</v>
      </c>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524" t="s">
        <v>4105</v>
      </c>
      <c r="BE2" s="19"/>
      <c r="BF2" s="19"/>
      <c r="BG2" s="19"/>
      <c r="BH2" s="19"/>
      <c r="BI2" s="19"/>
      <c r="BJ2" s="19"/>
      <c r="BK2" s="19"/>
      <c r="BL2" s="19"/>
      <c r="BM2" s="19"/>
      <c r="BN2" s="19"/>
      <c r="BO2" s="19"/>
      <c r="BP2" s="19"/>
      <c r="BQ2" s="19"/>
      <c r="BR2" s="19"/>
      <c r="BS2" s="19"/>
      <c r="BT2" s="20"/>
      <c r="BU2" s="297"/>
      <c r="BV2" s="1523" t="s">
        <v>4106</v>
      </c>
    </row>
    <row r="3" ht="15.0" customHeight="1">
      <c r="A3" s="303"/>
      <c r="B3" s="1525"/>
      <c r="C3" s="1526"/>
      <c r="L3" s="291"/>
      <c r="M3" s="291"/>
      <c r="N3" s="291"/>
      <c r="O3" s="291"/>
      <c r="P3" s="291"/>
      <c r="Q3" s="291"/>
      <c r="R3" s="291"/>
      <c r="S3" s="291"/>
      <c r="T3" s="291"/>
      <c r="U3" s="291"/>
      <c r="V3" s="291"/>
      <c r="W3" s="291"/>
      <c r="X3" s="291"/>
      <c r="Y3" s="291"/>
      <c r="Z3" s="291"/>
      <c r="AA3" s="291"/>
      <c r="AB3" s="291"/>
      <c r="AC3" s="291"/>
      <c r="AD3" s="291"/>
      <c r="AE3" s="291"/>
      <c r="AF3" s="291"/>
      <c r="AG3" s="291"/>
      <c r="AH3" s="291"/>
      <c r="AI3" s="291"/>
      <c r="AJ3" s="291"/>
      <c r="AK3" s="291"/>
      <c r="AL3" s="291"/>
      <c r="AM3" s="291"/>
      <c r="AN3" s="291"/>
      <c r="AO3" s="291"/>
      <c r="AP3" s="291"/>
      <c r="AQ3" s="291"/>
      <c r="AR3" s="291"/>
      <c r="AS3" s="291"/>
      <c r="AT3" s="291"/>
      <c r="AU3" s="291"/>
      <c r="AV3" s="291"/>
      <c r="AW3" s="291"/>
      <c r="AX3" s="291"/>
      <c r="AY3" s="291"/>
      <c r="AZ3" s="291"/>
      <c r="BA3" s="291"/>
      <c r="BB3" s="291"/>
      <c r="BC3" s="291"/>
      <c r="BD3" s="1527"/>
      <c r="BE3" s="148"/>
      <c r="BF3" s="148"/>
      <c r="BG3" s="148"/>
      <c r="BH3" s="148"/>
      <c r="BI3" s="148"/>
      <c r="BJ3" s="148"/>
      <c r="BK3" s="148"/>
      <c r="BL3" s="148"/>
      <c r="BM3" s="148"/>
      <c r="BN3" s="148"/>
      <c r="BO3" s="148"/>
      <c r="BP3" s="148"/>
      <c r="BQ3" s="148"/>
      <c r="BR3" s="148"/>
      <c r="BS3" s="148"/>
      <c r="BT3" s="291"/>
      <c r="BU3" s="303"/>
      <c r="BV3" s="1528" t="s">
        <v>4107</v>
      </c>
    </row>
    <row r="4" ht="15.75" customHeight="1">
      <c r="A4" s="303"/>
      <c r="B4" s="1525"/>
      <c r="C4" s="156"/>
      <c r="D4" s="156"/>
      <c r="E4" s="156"/>
      <c r="F4" s="156"/>
      <c r="G4" s="156"/>
      <c r="H4" s="156"/>
      <c r="I4" s="156"/>
      <c r="J4" s="156"/>
      <c r="K4" s="156"/>
      <c r="L4" s="1529"/>
      <c r="M4" s="1530"/>
      <c r="N4" s="156"/>
      <c r="O4" s="156"/>
      <c r="P4" s="156"/>
      <c r="Q4" s="156"/>
      <c r="R4" s="156"/>
      <c r="S4" s="156"/>
      <c r="T4" s="156"/>
      <c r="U4" s="156"/>
      <c r="V4" s="156"/>
      <c r="W4" s="291"/>
      <c r="X4" s="323"/>
      <c r="Y4" s="156"/>
      <c r="Z4" s="156"/>
      <c r="AA4" s="291"/>
      <c r="AB4" s="323"/>
      <c r="AC4" s="156"/>
      <c r="AD4" s="156"/>
      <c r="AE4" s="156"/>
      <c r="AF4" s="156"/>
      <c r="AG4" s="156"/>
      <c r="AH4" s="156"/>
      <c r="AI4" s="156"/>
      <c r="AJ4" s="291"/>
      <c r="AK4" s="1531" t="s">
        <v>4108</v>
      </c>
      <c r="AL4" s="152"/>
      <c r="AM4" s="152"/>
      <c r="AN4" s="152"/>
      <c r="AO4" s="152"/>
      <c r="AP4" s="152"/>
      <c r="AQ4" s="152"/>
      <c r="AR4" s="152"/>
      <c r="AS4" s="175"/>
      <c r="AT4" s="291"/>
      <c r="AU4" s="1532" t="s">
        <v>4109</v>
      </c>
      <c r="AV4" s="19"/>
      <c r="AW4" s="19"/>
      <c r="AX4" s="19"/>
      <c r="AY4" s="19"/>
      <c r="AZ4" s="19"/>
      <c r="BA4" s="19"/>
      <c r="BB4" s="20"/>
      <c r="BC4" s="291"/>
      <c r="BD4" s="1527"/>
      <c r="BE4" s="1533" t="s">
        <v>4110</v>
      </c>
      <c r="BF4" s="152"/>
      <c r="BG4" s="152"/>
      <c r="BH4" s="152"/>
      <c r="BI4" s="152"/>
      <c r="BJ4" s="152"/>
      <c r="BK4" s="152"/>
      <c r="BL4" s="152"/>
      <c r="BM4" s="152"/>
      <c r="BN4" s="152"/>
      <c r="BO4" s="152"/>
      <c r="BP4" s="152"/>
      <c r="BQ4" s="152"/>
      <c r="BR4" s="152"/>
      <c r="BS4" s="175"/>
      <c r="BT4" s="1534"/>
      <c r="BU4" s="1106"/>
      <c r="BV4" s="1528" t="s">
        <v>4111</v>
      </c>
    </row>
    <row r="5" ht="15.75" customHeight="1">
      <c r="A5" s="303"/>
      <c r="B5" s="1525"/>
      <c r="C5" s="319" t="s">
        <v>4112</v>
      </c>
      <c r="L5" s="1529"/>
      <c r="M5" s="319" t="s">
        <v>4113</v>
      </c>
      <c r="W5" s="291"/>
      <c r="X5" s="1535" t="s">
        <v>171</v>
      </c>
      <c r="AA5" s="291"/>
      <c r="AB5" s="1536" t="s">
        <v>4114</v>
      </c>
      <c r="AJ5" s="291"/>
      <c r="AK5" s="1670" t="s">
        <v>199</v>
      </c>
      <c r="AL5" s="1226"/>
      <c r="AM5" s="1226"/>
      <c r="AN5" s="1226"/>
      <c r="AO5" s="1226"/>
      <c r="AP5" s="1538"/>
      <c r="AQ5" s="240"/>
      <c r="AR5" s="240"/>
      <c r="AS5" s="241"/>
      <c r="AT5" s="291"/>
      <c r="AU5" s="1539" t="s">
        <v>4116</v>
      </c>
      <c r="AV5" s="19"/>
      <c r="AW5" s="19"/>
      <c r="AX5" s="19"/>
      <c r="AY5" s="19"/>
      <c r="AZ5" s="19"/>
      <c r="BA5" s="19"/>
      <c r="BB5" s="20"/>
      <c r="BC5" s="291"/>
      <c r="BD5" s="1527"/>
      <c r="BE5" s="1540" t="s">
        <v>4117</v>
      </c>
      <c r="BF5" s="1541"/>
      <c r="BG5" s="1541"/>
      <c r="BH5" s="1541"/>
      <c r="BI5" s="1541"/>
      <c r="BJ5" s="1541"/>
      <c r="BK5" s="1541"/>
      <c r="BL5" s="1542"/>
      <c r="BM5" s="1543" t="b">
        <v>0</v>
      </c>
      <c r="BN5" s="1544"/>
      <c r="BO5" s="1545">
        <f>'角色卡'!AJ9+'裝備與物品'!AB34</f>
        <v>0</v>
      </c>
      <c r="BP5" s="19"/>
      <c r="BQ5" s="20"/>
      <c r="BR5" s="1546">
        <f t="shared" ref="BR5:BR8" si="1">BM5*BO5</f>
        <v>0</v>
      </c>
      <c r="BS5" s="20"/>
      <c r="BT5" s="1534"/>
      <c r="BU5" s="1106"/>
      <c r="BV5" s="1528" t="s">
        <v>4118</v>
      </c>
    </row>
    <row r="6" ht="15.75" customHeight="1">
      <c r="A6" s="303"/>
      <c r="B6" s="1525"/>
      <c r="C6" s="323"/>
      <c r="D6" s="156"/>
      <c r="E6" s="156"/>
      <c r="F6" s="156"/>
      <c r="G6" s="156"/>
      <c r="H6" s="291"/>
      <c r="I6" s="323"/>
      <c r="J6" s="156"/>
      <c r="K6" s="156"/>
      <c r="L6" s="156"/>
      <c r="M6" s="156"/>
      <c r="N6" s="156"/>
      <c r="O6" s="156"/>
      <c r="P6" s="156"/>
      <c r="Q6" s="156"/>
      <c r="R6" s="156"/>
      <c r="S6" s="156"/>
      <c r="T6" s="156"/>
      <c r="U6" s="156"/>
      <c r="V6" s="291"/>
      <c r="W6" s="323"/>
      <c r="X6" s="156"/>
      <c r="Y6" s="156"/>
      <c r="Z6" s="156"/>
      <c r="AA6" s="156"/>
      <c r="AB6" s="156"/>
      <c r="AC6" s="156"/>
      <c r="AD6" s="156"/>
      <c r="AE6" s="156"/>
      <c r="AF6" s="156"/>
      <c r="AG6" s="156"/>
      <c r="AH6" s="156"/>
      <c r="AI6" s="156"/>
      <c r="AJ6" s="291"/>
      <c r="AK6" s="1537" t="s">
        <v>4115</v>
      </c>
      <c r="AL6" s="1226"/>
      <c r="AM6" s="1226"/>
      <c r="AN6" s="1226"/>
      <c r="AO6" s="1226"/>
      <c r="AP6" s="1538">
        <f>10+Q21</f>
        <v>5</v>
      </c>
      <c r="AQ6" s="240"/>
      <c r="AR6" s="240"/>
      <c r="AS6" s="241"/>
      <c r="AT6" s="291"/>
      <c r="AU6" s="1548"/>
      <c r="AV6" s="152"/>
      <c r="AW6" s="152"/>
      <c r="AX6" s="152"/>
      <c r="AY6" s="152"/>
      <c r="AZ6" s="152"/>
      <c r="BA6" s="152"/>
      <c r="BB6" s="175"/>
      <c r="BC6" s="291"/>
      <c r="BD6" s="1527"/>
      <c r="BE6" s="1549" t="s">
        <v>4119</v>
      </c>
      <c r="BF6" s="375"/>
      <c r="BG6" s="375"/>
      <c r="BH6" s="375"/>
      <c r="BI6" s="375"/>
      <c r="BJ6" s="375"/>
      <c r="BK6" s="375"/>
      <c r="BL6" s="376"/>
      <c r="BM6" s="1550">
        <v>1.0</v>
      </c>
      <c r="BN6" s="20"/>
      <c r="BO6" s="1551">
        <f>BR11</f>
        <v>0</v>
      </c>
      <c r="BP6" s="19"/>
      <c r="BQ6" s="20"/>
      <c r="BR6" s="1552">
        <f t="shared" si="1"/>
        <v>0</v>
      </c>
      <c r="BS6" s="20"/>
      <c r="BT6" s="1534"/>
      <c r="BU6" s="1106"/>
      <c r="BV6" s="1528" t="s">
        <v>4120</v>
      </c>
    </row>
    <row r="7" ht="15.75" customHeight="1">
      <c r="A7" s="303"/>
      <c r="B7" s="1525"/>
      <c r="C7" s="1553" t="s">
        <v>4121</v>
      </c>
      <c r="H7" s="291"/>
      <c r="I7" s="1553" t="s">
        <v>586</v>
      </c>
      <c r="V7" s="291"/>
      <c r="W7" s="1536" t="s">
        <v>230</v>
      </c>
      <c r="AJ7" s="291"/>
      <c r="AK7" s="1537" t="s">
        <v>2037</v>
      </c>
      <c r="AL7" s="1226"/>
      <c r="AM7" s="1226"/>
      <c r="AN7" s="1226"/>
      <c r="AO7" s="1226"/>
      <c r="AP7" s="1547"/>
      <c r="AQ7" s="240"/>
      <c r="AR7" s="240"/>
      <c r="AS7" s="241"/>
      <c r="AT7" s="291"/>
      <c r="AU7" s="121"/>
      <c r="BB7" s="318"/>
      <c r="BC7" s="291"/>
      <c r="BD7" s="1527"/>
      <c r="BE7" s="1554" t="s">
        <v>4123</v>
      </c>
      <c r="BF7" s="375"/>
      <c r="BG7" s="375"/>
      <c r="BH7" s="375"/>
      <c r="BI7" s="375"/>
      <c r="BJ7" s="375"/>
      <c r="BK7" s="375"/>
      <c r="BL7" s="376"/>
      <c r="BM7" s="1555" t="b">
        <v>0</v>
      </c>
      <c r="BN7" s="20"/>
      <c r="BO7" s="1551">
        <f>SWITCH(BE7,"無鞍座",0,"騎乘鞍座",25,"貨運鞍座",15,"異種鞍座",40,"軍用鞍座",30,"騎兵鞍座",25)</f>
        <v>0</v>
      </c>
      <c r="BP7" s="19"/>
      <c r="BQ7" s="20"/>
      <c r="BR7" s="1552">
        <f t="shared" si="1"/>
        <v>0</v>
      </c>
      <c r="BS7" s="20"/>
      <c r="BT7" s="1534"/>
      <c r="BU7" s="1106"/>
      <c r="BV7" s="1528"/>
    </row>
    <row r="8" ht="15.75" customHeight="1">
      <c r="A8" s="303"/>
      <c r="B8" s="1525"/>
      <c r="C8" s="1556" t="s">
        <v>4124</v>
      </c>
      <c r="AJ8" s="291"/>
      <c r="AK8" s="1537" t="s">
        <v>4122</v>
      </c>
      <c r="AL8" s="1226"/>
      <c r="AM8" s="1226"/>
      <c r="AN8" s="1226"/>
      <c r="AO8" s="1226"/>
      <c r="AP8" s="1547"/>
      <c r="AQ8" s="240"/>
      <c r="AR8" s="240"/>
      <c r="AS8" s="241"/>
      <c r="AT8" s="291"/>
      <c r="AU8" s="1539" t="s">
        <v>4126</v>
      </c>
      <c r="AV8" s="19"/>
      <c r="AW8" s="19"/>
      <c r="AX8" s="19"/>
      <c r="AY8" s="19"/>
      <c r="AZ8" s="19"/>
      <c r="BA8" s="19"/>
      <c r="BB8" s="20"/>
      <c r="BC8" s="291"/>
      <c r="BD8" s="1527"/>
      <c r="BE8" s="1557" t="s">
        <v>4127</v>
      </c>
      <c r="BF8" s="417"/>
      <c r="BG8" s="417"/>
      <c r="BH8" s="417"/>
      <c r="BI8" s="417"/>
      <c r="BJ8" s="417"/>
      <c r="BK8" s="417"/>
      <c r="BL8" s="517"/>
      <c r="BM8" s="1558" t="b">
        <v>0</v>
      </c>
      <c r="BN8" s="20"/>
      <c r="BO8" s="1551" t="s">
        <v>4128</v>
      </c>
      <c r="BP8" s="19"/>
      <c r="BQ8" s="20"/>
      <c r="BR8" s="1559">
        <f t="shared" si="1"/>
        <v>0</v>
      </c>
      <c r="BS8" s="20"/>
      <c r="BT8" s="1534"/>
      <c r="BU8" s="1106"/>
      <c r="BV8" s="1528" t="s">
        <v>4129</v>
      </c>
    </row>
    <row r="9" ht="15.75" customHeight="1">
      <c r="A9" s="303"/>
      <c r="B9" s="1525"/>
      <c r="C9" s="1560"/>
      <c r="D9" s="1560"/>
      <c r="E9" s="1560"/>
      <c r="F9" s="1560"/>
      <c r="G9" s="1560"/>
      <c r="H9" s="1560"/>
      <c r="I9" s="1560"/>
      <c r="J9" s="1560"/>
      <c r="K9" s="1560"/>
      <c r="L9" s="1560"/>
      <c r="M9" s="1560"/>
      <c r="N9" s="1560"/>
      <c r="O9" s="1560"/>
      <c r="P9" s="1560"/>
      <c r="Q9" s="1560"/>
      <c r="R9" s="1560"/>
      <c r="S9" s="1560"/>
      <c r="T9" s="1560"/>
      <c r="U9" s="1560"/>
      <c r="V9" s="1560"/>
      <c r="W9" s="1560"/>
      <c r="X9" s="1560"/>
      <c r="Y9" s="1560"/>
      <c r="Z9" s="1561"/>
      <c r="AA9" s="1561"/>
      <c r="AB9" s="1561"/>
      <c r="AC9" s="1561"/>
      <c r="AD9" s="1561"/>
      <c r="AE9" s="1561"/>
      <c r="AF9" s="1561"/>
      <c r="AG9" s="1561"/>
      <c r="AH9" s="1561"/>
      <c r="AI9" s="1561"/>
      <c r="AJ9" s="291"/>
      <c r="AK9" s="1537" t="s">
        <v>4125</v>
      </c>
      <c r="AL9" s="1226"/>
      <c r="AM9" s="1226"/>
      <c r="AN9" s="1226"/>
      <c r="AO9" s="1226"/>
      <c r="AP9" s="1547"/>
      <c r="AQ9" s="240"/>
      <c r="AR9" s="240"/>
      <c r="AS9" s="241"/>
      <c r="AT9" s="291"/>
      <c r="AU9" s="1548"/>
      <c r="AV9" s="152"/>
      <c r="AW9" s="152"/>
      <c r="AX9" s="152"/>
      <c r="AY9" s="152"/>
      <c r="AZ9" s="152"/>
      <c r="BA9" s="152"/>
      <c r="BB9" s="175"/>
      <c r="BC9" s="291"/>
      <c r="BD9" s="1527"/>
      <c r="BE9" s="148"/>
      <c r="BF9" s="148"/>
      <c r="BG9" s="148"/>
      <c r="BH9" s="148"/>
      <c r="BI9" s="148"/>
      <c r="BJ9" s="148"/>
      <c r="BK9" s="148"/>
      <c r="BL9" s="148"/>
      <c r="BM9" s="148"/>
      <c r="BN9" s="148"/>
      <c r="BO9" s="148"/>
      <c r="BP9" s="148"/>
      <c r="BQ9" s="148"/>
      <c r="BR9" s="148"/>
      <c r="BS9" s="148"/>
      <c r="BT9" s="291"/>
      <c r="BU9" s="1106"/>
      <c r="BV9" s="1528" t="s">
        <v>4131</v>
      </c>
    </row>
    <row r="10" ht="15.75" customHeight="1">
      <c r="A10" s="303"/>
      <c r="B10" s="1525"/>
      <c r="C10" s="346" t="s">
        <v>56</v>
      </c>
      <c r="D10" s="19"/>
      <c r="E10" s="19"/>
      <c r="F10" s="19"/>
      <c r="G10" s="19"/>
      <c r="H10" s="19"/>
      <c r="I10" s="19"/>
      <c r="J10" s="20"/>
      <c r="K10" s="346" t="s">
        <v>174</v>
      </c>
      <c r="L10" s="19"/>
      <c r="M10" s="19"/>
      <c r="N10" s="19"/>
      <c r="O10" s="20"/>
      <c r="P10" s="291"/>
      <c r="Q10" s="1563" t="s">
        <v>262</v>
      </c>
      <c r="R10" s="152"/>
      <c r="S10" s="152"/>
      <c r="T10" s="152"/>
      <c r="U10" s="152"/>
      <c r="V10" s="175"/>
      <c r="W10" s="1564" t="s">
        <v>4132</v>
      </c>
      <c r="X10" s="19"/>
      <c r="Y10" s="20"/>
      <c r="Z10" s="291"/>
      <c r="AA10" s="1565" t="s">
        <v>4133</v>
      </c>
      <c r="AB10" s="1566"/>
      <c r="AC10" s="1566"/>
      <c r="AD10" s="1566"/>
      <c r="AE10" s="1566"/>
      <c r="AF10" s="1566"/>
      <c r="AG10" s="1566"/>
      <c r="AH10" s="1566"/>
      <c r="AI10" s="1567"/>
      <c r="AJ10" s="291"/>
      <c r="AK10" s="1562" t="s">
        <v>4130</v>
      </c>
      <c r="AL10" s="249"/>
      <c r="AM10" s="249"/>
      <c r="AN10" s="249"/>
      <c r="AO10" s="249"/>
      <c r="AP10" s="1547"/>
      <c r="AQ10" s="240"/>
      <c r="AR10" s="240"/>
      <c r="AS10" s="241"/>
      <c r="AT10" s="291"/>
      <c r="AU10" s="121"/>
      <c r="BB10" s="318"/>
      <c r="BC10" s="291"/>
      <c r="BD10" s="1527"/>
      <c r="BE10" s="469" t="s">
        <v>4119</v>
      </c>
      <c r="BF10" s="19"/>
      <c r="BG10" s="19"/>
      <c r="BH10" s="19"/>
      <c r="BI10" s="19"/>
      <c r="BJ10" s="19"/>
      <c r="BK10" s="1568" t="s">
        <v>55</v>
      </c>
      <c r="BL10" s="19"/>
      <c r="BM10" s="400"/>
      <c r="BN10" s="1569" t="s">
        <v>4134</v>
      </c>
      <c r="BO10" s="400"/>
      <c r="BP10" s="1569" t="s">
        <v>71</v>
      </c>
      <c r="BQ10" s="400"/>
      <c r="BR10" s="1569" t="s">
        <v>270</v>
      </c>
      <c r="BS10" s="20"/>
      <c r="BT10" s="291"/>
      <c r="BU10" s="1106"/>
      <c r="BV10" s="1528" t="s">
        <v>4135</v>
      </c>
    </row>
    <row r="11" ht="15.75" customHeight="1">
      <c r="A11" s="303"/>
      <c r="B11" s="1525"/>
      <c r="C11" s="353" t="s">
        <v>67</v>
      </c>
      <c r="D11" s="354"/>
      <c r="E11" s="354"/>
      <c r="F11" s="355"/>
      <c r="G11" s="356"/>
      <c r="H11" s="1570">
        <f t="shared" ref="H11:H16" si="2">ROUNDDOWN(F11/2,0)-5</f>
        <v>-5</v>
      </c>
      <c r="I11" s="356"/>
      <c r="J11" s="357"/>
      <c r="K11" s="1571" t="b">
        <v>0</v>
      </c>
      <c r="L11" s="481"/>
      <c r="M11" s="1570">
        <f t="shared" ref="M11:M16" si="3">H11+IF(K11=TRUE,2,0)</f>
        <v>-5</v>
      </c>
      <c r="N11" s="356"/>
      <c r="O11" s="357"/>
      <c r="P11" s="291"/>
      <c r="Q11" s="1572"/>
      <c r="R11" s="152"/>
      <c r="S11" s="175"/>
      <c r="T11" s="1573"/>
      <c r="U11" s="152"/>
      <c r="V11" s="175"/>
      <c r="W11" s="1574">
        <v>0.0</v>
      </c>
      <c r="X11" s="152"/>
      <c r="Y11" s="175"/>
      <c r="Z11" s="291"/>
      <c r="AA11" s="1575"/>
      <c r="AI11" s="1576"/>
      <c r="AJ11" s="291"/>
      <c r="AK11" s="291"/>
      <c r="AL11" s="291"/>
      <c r="AM11" s="291"/>
      <c r="AN11" s="291"/>
      <c r="AO11" s="291"/>
      <c r="AP11" s="291"/>
      <c r="AQ11" s="291"/>
      <c r="AR11" s="291"/>
      <c r="AS11" s="291"/>
      <c r="AT11" s="291"/>
      <c r="AU11" s="1578" t="s">
        <v>4137</v>
      </c>
      <c r="AV11" s="19"/>
      <c r="AW11" s="19"/>
      <c r="AX11" s="19"/>
      <c r="AY11" s="19"/>
      <c r="AZ11" s="19"/>
      <c r="BA11" s="19"/>
      <c r="BB11" s="20"/>
      <c r="BC11" s="291"/>
      <c r="BD11" s="1527"/>
      <c r="BE11" s="1579"/>
      <c r="BF11" s="19"/>
      <c r="BG11" s="19"/>
      <c r="BH11" s="19"/>
      <c r="BI11" s="19"/>
      <c r="BJ11" s="19"/>
      <c r="BK11" s="1580" t="s">
        <v>272</v>
      </c>
      <c r="BL11" s="19"/>
      <c r="BM11" s="20"/>
      <c r="BN11" s="1581">
        <f>IFNA(VLOOKUP(BE11,'武器&amp;護甲'!J2:L14,2,FALSE),10)</f>
        <v>10</v>
      </c>
      <c r="BO11" s="20"/>
      <c r="BP11" s="1582">
        <f>IF(BK11="重甲",0,IF(BK11="中甲",IF(H12&gt;=2,2,H12),IF(BK11="輕甲",H12,IF(BK11="法師",H12,IF(BK11="無",H12,BK11)))))</f>
        <v>-5</v>
      </c>
      <c r="BQ11" s="20"/>
      <c r="BR11" s="1581">
        <f>IFNA(VLOOKUP(BE11,'武器&amp;護甲'!J2:L14,3,FALSE)*2,0)</f>
        <v>0</v>
      </c>
      <c r="BS11" s="20"/>
      <c r="BT11" s="291"/>
      <c r="BU11" s="1106"/>
      <c r="BV11" s="1528" t="s">
        <v>4138</v>
      </c>
    </row>
    <row r="12" ht="15.75" customHeight="1">
      <c r="A12" s="303"/>
      <c r="B12" s="1525"/>
      <c r="C12" s="373" t="s">
        <v>71</v>
      </c>
      <c r="D12" s="213"/>
      <c r="E12" s="213"/>
      <c r="F12" s="374"/>
      <c r="G12" s="375"/>
      <c r="H12" s="1583">
        <f t="shared" si="2"/>
        <v>-5</v>
      </c>
      <c r="I12" s="375"/>
      <c r="J12" s="376"/>
      <c r="K12" s="1584" t="b">
        <v>0</v>
      </c>
      <c r="L12" s="481"/>
      <c r="M12" s="1583">
        <f t="shared" si="3"/>
        <v>-5</v>
      </c>
      <c r="N12" s="375"/>
      <c r="O12" s="376"/>
      <c r="P12" s="291"/>
      <c r="Q12" s="143"/>
      <c r="R12" s="240"/>
      <c r="S12" s="241"/>
      <c r="T12" s="240"/>
      <c r="U12" s="240"/>
      <c r="V12" s="241"/>
      <c r="W12" s="143"/>
      <c r="X12" s="240"/>
      <c r="Y12" s="241"/>
      <c r="Z12" s="291"/>
      <c r="AA12" s="1575"/>
      <c r="AI12" s="1576"/>
      <c r="AJ12" s="291"/>
      <c r="AK12" s="1577" t="s">
        <v>4136</v>
      </c>
      <c r="AL12" s="19"/>
      <c r="AM12" s="19"/>
      <c r="AN12" s="19"/>
      <c r="AO12" s="19"/>
      <c r="AP12" s="19"/>
      <c r="AQ12" s="19"/>
      <c r="AR12" s="19"/>
      <c r="AS12" s="20"/>
      <c r="AT12" s="291"/>
      <c r="AU12" s="1548"/>
      <c r="AV12" s="152"/>
      <c r="AW12" s="152"/>
      <c r="AX12" s="152"/>
      <c r="AY12" s="152"/>
      <c r="AZ12" s="152"/>
      <c r="BA12" s="152"/>
      <c r="BB12" s="175"/>
      <c r="BC12" s="291"/>
      <c r="BD12" s="1527"/>
      <c r="BE12" s="148"/>
      <c r="BF12" s="148"/>
      <c r="BG12" s="148"/>
      <c r="BH12" s="148"/>
      <c r="BI12" s="148"/>
      <c r="BJ12" s="148"/>
      <c r="BK12" s="148"/>
      <c r="BL12" s="148"/>
      <c r="BM12" s="148"/>
      <c r="BN12" s="148"/>
      <c r="BO12" s="148"/>
      <c r="BP12" s="148"/>
      <c r="BQ12" s="148"/>
      <c r="BR12" s="148"/>
      <c r="BS12" s="148"/>
      <c r="BT12" s="291"/>
      <c r="BU12" s="1106"/>
      <c r="BV12" s="1528" t="s">
        <v>4139</v>
      </c>
    </row>
    <row r="13" ht="15.75" customHeight="1">
      <c r="A13" s="303"/>
      <c r="B13" s="1525"/>
      <c r="C13" s="373" t="s">
        <v>76</v>
      </c>
      <c r="D13" s="213"/>
      <c r="E13" s="213"/>
      <c r="F13" s="390"/>
      <c r="G13" s="375"/>
      <c r="H13" s="1587">
        <f t="shared" si="2"/>
        <v>-5</v>
      </c>
      <c r="I13" s="375"/>
      <c r="J13" s="376"/>
      <c r="K13" s="1571" t="b">
        <v>0</v>
      </c>
      <c r="L13" s="481"/>
      <c r="M13" s="1587">
        <f t="shared" si="3"/>
        <v>-5</v>
      </c>
      <c r="N13" s="375"/>
      <c r="O13" s="376"/>
      <c r="P13" s="291"/>
      <c r="Q13" s="524" t="s">
        <v>281</v>
      </c>
      <c r="T13" s="1588" t="s">
        <v>282</v>
      </c>
      <c r="W13" s="1588"/>
      <c r="X13" s="1588"/>
      <c r="Y13" s="291"/>
      <c r="Z13" s="291"/>
      <c r="AA13" s="1575"/>
      <c r="AI13" s="1576"/>
      <c r="AJ13" s="291"/>
      <c r="AK13" s="1585" t="s">
        <v>211</v>
      </c>
      <c r="AL13" s="19"/>
      <c r="AM13" s="1544"/>
      <c r="AN13" s="1586" t="s">
        <v>212</v>
      </c>
      <c r="AO13" s="152"/>
      <c r="AP13" s="1251"/>
      <c r="AQ13" s="1586" t="s">
        <v>213</v>
      </c>
      <c r="AR13" s="152"/>
      <c r="AS13" s="1251"/>
      <c r="AT13" s="291"/>
      <c r="AU13" s="121"/>
      <c r="BB13" s="318"/>
      <c r="BC13" s="291"/>
      <c r="BD13" s="1527"/>
      <c r="BE13" s="1590" t="s">
        <v>1441</v>
      </c>
      <c r="BF13" s="19"/>
      <c r="BG13" s="19"/>
      <c r="BH13" s="19"/>
      <c r="BI13" s="19"/>
      <c r="BJ13" s="19"/>
      <c r="BK13" s="19"/>
      <c r="BL13" s="19"/>
      <c r="BM13" s="1591" t="s">
        <v>318</v>
      </c>
      <c r="BN13" s="1088"/>
      <c r="BO13" s="1592" t="s">
        <v>270</v>
      </c>
      <c r="BP13" s="19"/>
      <c r="BQ13" s="1088"/>
      <c r="BR13" s="1593" t="s">
        <v>1442</v>
      </c>
      <c r="BS13" s="20"/>
      <c r="BT13" s="1534"/>
      <c r="BU13" s="1106"/>
    </row>
    <row r="14" ht="15.75" customHeight="1">
      <c r="A14" s="303"/>
      <c r="B14" s="1525"/>
      <c r="C14" s="373" t="s">
        <v>80</v>
      </c>
      <c r="D14" s="213"/>
      <c r="E14" s="213"/>
      <c r="F14" s="374"/>
      <c r="G14" s="375"/>
      <c r="H14" s="1587">
        <f t="shared" si="2"/>
        <v>-5</v>
      </c>
      <c r="I14" s="375"/>
      <c r="J14" s="376"/>
      <c r="K14" s="1584" t="b">
        <v>0</v>
      </c>
      <c r="L14" s="481"/>
      <c r="M14" s="1587">
        <f t="shared" si="3"/>
        <v>-5</v>
      </c>
      <c r="N14" s="375"/>
      <c r="O14" s="376"/>
      <c r="P14" s="291"/>
      <c r="Q14" s="1594" t="s">
        <v>176</v>
      </c>
      <c r="R14" s="19"/>
      <c r="S14" s="19"/>
      <c r="T14" s="20"/>
      <c r="U14" s="291"/>
      <c r="V14" s="1595" t="s">
        <v>264</v>
      </c>
      <c r="W14" s="152"/>
      <c r="X14" s="152"/>
      <c r="Y14" s="175"/>
      <c r="Z14" s="291"/>
      <c r="AA14" s="1575"/>
      <c r="AI14" s="1576"/>
      <c r="AJ14" s="291"/>
      <c r="AK14" s="1589"/>
      <c r="AL14" s="19"/>
      <c r="AM14" s="20"/>
      <c r="AN14" s="1589"/>
      <c r="AO14" s="19"/>
      <c r="AP14" s="20"/>
      <c r="AQ14" s="1589"/>
      <c r="AR14" s="19"/>
      <c r="AS14" s="20"/>
      <c r="AT14" s="291"/>
      <c r="AU14" s="1578" t="s">
        <v>4142</v>
      </c>
      <c r="AV14" s="19"/>
      <c r="AW14" s="19"/>
      <c r="AX14" s="19"/>
      <c r="AY14" s="19"/>
      <c r="AZ14" s="19"/>
      <c r="BA14" s="19"/>
      <c r="BB14" s="20"/>
      <c r="BC14" s="291"/>
      <c r="BD14" s="1527"/>
      <c r="BE14" s="1597" t="s">
        <v>4143</v>
      </c>
      <c r="BF14" s="152"/>
      <c r="BG14" s="152"/>
      <c r="BH14" s="152"/>
      <c r="BI14" s="152"/>
      <c r="BJ14" s="152"/>
      <c r="BK14" s="152"/>
      <c r="BL14" s="152"/>
      <c r="BM14" s="1598" t="b">
        <v>0</v>
      </c>
      <c r="BN14" s="20"/>
      <c r="BO14" s="1599">
        <v>8.0</v>
      </c>
      <c r="BP14" s="19"/>
      <c r="BQ14" s="19"/>
      <c r="BR14" s="1546">
        <f t="shared" ref="BR14:BR52" si="4">BM14*BO14</f>
        <v>0</v>
      </c>
      <c r="BS14" s="20"/>
      <c r="BT14" s="1534"/>
      <c r="BU14" s="1106"/>
    </row>
    <row r="15" ht="15.75" customHeight="1">
      <c r="A15" s="303"/>
      <c r="B15" s="1525"/>
      <c r="C15" s="408" t="s">
        <v>83</v>
      </c>
      <c r="D15" s="213"/>
      <c r="E15" s="213"/>
      <c r="F15" s="390"/>
      <c r="G15" s="375"/>
      <c r="H15" s="1587">
        <f t="shared" si="2"/>
        <v>-5</v>
      </c>
      <c r="I15" s="375"/>
      <c r="J15" s="376"/>
      <c r="K15" s="1571" t="b">
        <v>0</v>
      </c>
      <c r="L15" s="481"/>
      <c r="M15" s="1587">
        <f t="shared" si="3"/>
        <v>-5</v>
      </c>
      <c r="N15" s="375"/>
      <c r="O15" s="376"/>
      <c r="P15" s="291"/>
      <c r="Q15" s="1671"/>
      <c r="R15" s="152"/>
      <c r="S15" s="152"/>
      <c r="T15" s="175"/>
      <c r="U15" s="291"/>
      <c r="V15" s="1672"/>
      <c r="W15" s="152"/>
      <c r="X15" s="152"/>
      <c r="Y15" s="175"/>
      <c r="Z15" s="291"/>
      <c r="AA15" s="1575"/>
      <c r="AI15" s="1576"/>
      <c r="AJ15" s="291"/>
      <c r="AK15" s="1586" t="s">
        <v>214</v>
      </c>
      <c r="AL15" s="152"/>
      <c r="AM15" s="1251"/>
      <c r="AN15" s="1596" t="s">
        <v>4140</v>
      </c>
      <c r="AO15" s="152"/>
      <c r="AP15" s="1251"/>
      <c r="AQ15" s="1596" t="s">
        <v>4141</v>
      </c>
      <c r="AR15" s="152"/>
      <c r="AS15" s="175"/>
      <c r="AT15" s="291"/>
      <c r="AU15" s="1548"/>
      <c r="AV15" s="152"/>
      <c r="AW15" s="152"/>
      <c r="AX15" s="152"/>
      <c r="AY15" s="152"/>
      <c r="AZ15" s="152"/>
      <c r="BA15" s="152"/>
      <c r="BB15" s="175"/>
      <c r="BC15" s="291"/>
      <c r="BD15" s="1527"/>
      <c r="BE15" s="1602"/>
      <c r="BF15" s="701"/>
      <c r="BG15" s="701"/>
      <c r="BH15" s="701"/>
      <c r="BI15" s="701"/>
      <c r="BJ15" s="701"/>
      <c r="BK15" s="701"/>
      <c r="BL15" s="702"/>
      <c r="BM15" s="1603"/>
      <c r="BN15" s="702"/>
      <c r="BO15" s="1604"/>
      <c r="BP15" s="701"/>
      <c r="BQ15" s="702"/>
      <c r="BR15" s="1605">
        <f t="shared" si="4"/>
        <v>0</v>
      </c>
      <c r="BS15" s="771"/>
      <c r="BT15" s="1534"/>
      <c r="BU15" s="1106"/>
      <c r="BV15" s="1528" t="s">
        <v>4144</v>
      </c>
    </row>
    <row r="16" ht="15.75" customHeight="1">
      <c r="A16" s="303"/>
      <c r="B16" s="1525"/>
      <c r="C16" s="415" t="s">
        <v>88</v>
      </c>
      <c r="D16" s="240"/>
      <c r="E16" s="240"/>
      <c r="F16" s="1606"/>
      <c r="G16" s="417"/>
      <c r="H16" s="1607">
        <f t="shared" si="2"/>
        <v>-5</v>
      </c>
      <c r="I16" s="417"/>
      <c r="J16" s="517"/>
      <c r="K16" s="1608" t="b">
        <v>0</v>
      </c>
      <c r="L16" s="1609"/>
      <c r="M16" s="1607">
        <f t="shared" si="3"/>
        <v>-5</v>
      </c>
      <c r="N16" s="417"/>
      <c r="O16" s="517"/>
      <c r="P16" s="291"/>
      <c r="Q16" s="143"/>
      <c r="R16" s="240"/>
      <c r="S16" s="240"/>
      <c r="T16" s="241"/>
      <c r="U16" s="291"/>
      <c r="V16" s="143"/>
      <c r="W16" s="240"/>
      <c r="X16" s="240"/>
      <c r="Y16" s="241"/>
      <c r="Z16" s="291"/>
      <c r="AA16" s="1610"/>
      <c r="AB16" s="1611"/>
      <c r="AC16" s="1611"/>
      <c r="AD16" s="1611"/>
      <c r="AE16" s="1611"/>
      <c r="AF16" s="1611"/>
      <c r="AG16" s="1611"/>
      <c r="AH16" s="1611"/>
      <c r="AI16" s="1612"/>
      <c r="AJ16" s="291"/>
      <c r="AK16" s="1589"/>
      <c r="AL16" s="19"/>
      <c r="AM16" s="20"/>
      <c r="AN16" s="1589"/>
      <c r="AO16" s="19"/>
      <c r="AP16" s="20"/>
      <c r="AQ16" s="1589"/>
      <c r="AR16" s="19"/>
      <c r="AS16" s="20"/>
      <c r="AT16" s="291"/>
      <c r="AU16" s="143"/>
      <c r="AV16" s="240"/>
      <c r="AW16" s="240"/>
      <c r="AX16" s="240"/>
      <c r="AY16" s="240"/>
      <c r="AZ16" s="240"/>
      <c r="BA16" s="240"/>
      <c r="BB16" s="241"/>
      <c r="BC16" s="291"/>
      <c r="BD16" s="1527"/>
      <c r="BE16" s="1613"/>
      <c r="BF16" s="122"/>
      <c r="BG16" s="122"/>
      <c r="BH16" s="122"/>
      <c r="BI16" s="122"/>
      <c r="BJ16" s="122"/>
      <c r="BK16" s="122"/>
      <c r="BL16" s="120"/>
      <c r="BM16" s="1614"/>
      <c r="BN16" s="120"/>
      <c r="BO16" s="1615"/>
      <c r="BP16" s="122"/>
      <c r="BQ16" s="120"/>
      <c r="BR16" s="1616">
        <f t="shared" si="4"/>
        <v>0</v>
      </c>
      <c r="BS16" s="120"/>
      <c r="BT16" s="1534"/>
      <c r="BU16" s="1106"/>
      <c r="BV16" s="1528" t="s">
        <v>4145</v>
      </c>
    </row>
    <row r="17" ht="15.75" customHeight="1">
      <c r="A17" s="303"/>
      <c r="B17" s="1525"/>
      <c r="C17" s="291"/>
      <c r="D17" s="291"/>
      <c r="E17" s="291"/>
      <c r="F17" s="291"/>
      <c r="G17" s="291"/>
      <c r="H17" s="291"/>
      <c r="I17" s="291"/>
      <c r="J17" s="291"/>
      <c r="K17" s="291"/>
      <c r="L17" s="291"/>
      <c r="M17" s="291"/>
      <c r="N17" s="291"/>
      <c r="O17" s="291"/>
      <c r="P17" s="291"/>
      <c r="Q17" s="291"/>
      <c r="R17" s="291"/>
      <c r="S17" s="291"/>
      <c r="T17" s="291"/>
      <c r="U17" s="291"/>
      <c r="V17" s="291"/>
      <c r="W17" s="291"/>
      <c r="X17" s="291"/>
      <c r="Y17" s="291"/>
      <c r="Z17" s="291"/>
      <c r="AA17" s="291"/>
      <c r="AB17" s="291"/>
      <c r="AC17" s="291"/>
      <c r="AD17" s="291"/>
      <c r="AE17" s="291"/>
      <c r="AF17" s="291"/>
      <c r="AG17" s="291"/>
      <c r="AH17" s="291"/>
      <c r="AI17" s="291"/>
      <c r="AJ17" s="291"/>
      <c r="AK17" s="291"/>
      <c r="AL17" s="291"/>
      <c r="AM17" s="291"/>
      <c r="AN17" s="291"/>
      <c r="AO17" s="291"/>
      <c r="AP17" s="291"/>
      <c r="AQ17" s="291"/>
      <c r="AR17" s="291"/>
      <c r="AS17" s="291"/>
      <c r="AT17" s="291"/>
      <c r="AU17" s="291"/>
      <c r="AV17" s="291"/>
      <c r="AW17" s="291"/>
      <c r="AX17" s="291"/>
      <c r="AY17" s="291"/>
      <c r="AZ17" s="291"/>
      <c r="BA17" s="291"/>
      <c r="BB17" s="291"/>
      <c r="BC17" s="291"/>
      <c r="BD17" s="1527"/>
      <c r="BE17" s="1617"/>
      <c r="BF17" s="122"/>
      <c r="BG17" s="122"/>
      <c r="BH17" s="122"/>
      <c r="BI17" s="122"/>
      <c r="BJ17" s="122"/>
      <c r="BK17" s="122"/>
      <c r="BL17" s="120"/>
      <c r="BM17" s="1618"/>
      <c r="BN17" s="120"/>
      <c r="BO17" s="1619"/>
      <c r="BP17" s="122"/>
      <c r="BQ17" s="120"/>
      <c r="BR17" s="1616">
        <f t="shared" si="4"/>
        <v>0</v>
      </c>
      <c r="BS17" s="120"/>
      <c r="BT17" s="1534"/>
      <c r="BU17" s="1106"/>
      <c r="BV17" s="1528" t="s">
        <v>4146</v>
      </c>
    </row>
    <row r="18" ht="15.75" customHeight="1">
      <c r="A18" s="303"/>
      <c r="B18" s="1525"/>
      <c r="C18" s="1620" t="s">
        <v>182</v>
      </c>
      <c r="D18" s="179"/>
      <c r="E18" s="179"/>
      <c r="F18" s="195"/>
      <c r="G18" s="1673" t="b">
        <v>0</v>
      </c>
      <c r="H18" s="1674"/>
      <c r="I18" s="1675">
        <f>H11+IF(G18=TRUE,AP5,0)</f>
        <v>-5</v>
      </c>
      <c r="J18" s="197"/>
      <c r="K18" s="1621" t="s">
        <v>183</v>
      </c>
      <c r="L18" s="224"/>
      <c r="M18" s="224"/>
      <c r="N18" s="225"/>
      <c r="O18" s="1676" t="b">
        <v>0</v>
      </c>
      <c r="P18" s="1674"/>
      <c r="Q18" s="199">
        <f>H15+IF(O18=TRUE,AP5,0)</f>
        <v>-5</v>
      </c>
      <c r="R18" s="200"/>
      <c r="S18" s="291"/>
      <c r="T18" s="1622" t="s">
        <v>4147</v>
      </c>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20"/>
      <c r="BC18" s="291"/>
      <c r="BD18" s="1527"/>
      <c r="BE18" s="1623"/>
      <c r="BF18" s="122"/>
      <c r="BG18" s="122"/>
      <c r="BH18" s="122"/>
      <c r="BI18" s="122"/>
      <c r="BJ18" s="122"/>
      <c r="BK18" s="122"/>
      <c r="BL18" s="120"/>
      <c r="BM18" s="1624"/>
      <c r="BN18" s="120"/>
      <c r="BO18" s="1624"/>
      <c r="BP18" s="122"/>
      <c r="BQ18" s="120"/>
      <c r="BR18" s="1625">
        <f t="shared" si="4"/>
        <v>0</v>
      </c>
      <c r="BS18" s="120"/>
      <c r="BT18" s="1534"/>
      <c r="BU18" s="1106"/>
      <c r="BV18" s="1528" t="s">
        <v>4148</v>
      </c>
    </row>
    <row r="19" ht="15.75" customHeight="1">
      <c r="A19" s="303"/>
      <c r="B19" s="1525"/>
      <c r="C19" s="1626" t="s">
        <v>185</v>
      </c>
      <c r="D19" s="213"/>
      <c r="E19" s="213"/>
      <c r="F19" s="229"/>
      <c r="G19" s="1584" t="b">
        <v>0</v>
      </c>
      <c r="H19" s="481"/>
      <c r="I19" s="215">
        <f>H12+IF(G19=TRUE,AP5,0)</f>
        <v>-5</v>
      </c>
      <c r="J19" s="175"/>
      <c r="K19" s="1627" t="s">
        <v>186</v>
      </c>
      <c r="L19" s="213"/>
      <c r="M19" s="213"/>
      <c r="N19" s="229"/>
      <c r="O19" s="1571" t="b">
        <v>0</v>
      </c>
      <c r="P19" s="481"/>
      <c r="Q19" s="217">
        <f>H15+IF(O19=TRUE,AP5,0)</f>
        <v>-5</v>
      </c>
      <c r="R19" s="218"/>
      <c r="S19" s="291"/>
      <c r="T19" s="1628"/>
      <c r="U19" s="113"/>
      <c r="V19" s="113"/>
      <c r="W19" s="113"/>
      <c r="X19" s="113"/>
      <c r="Y19" s="113"/>
      <c r="Z19" s="113"/>
      <c r="AA19" s="113"/>
      <c r="AB19" s="113"/>
      <c r="AC19" s="113"/>
      <c r="AD19" s="113"/>
      <c r="AE19" s="113"/>
      <c r="AF19" s="113"/>
      <c r="AG19" s="113"/>
      <c r="AH19" s="113"/>
      <c r="AI19" s="113"/>
      <c r="AJ19" s="113"/>
      <c r="AK19" s="113"/>
      <c r="AL19" s="113"/>
      <c r="AM19" s="113"/>
      <c r="AN19" s="113"/>
      <c r="AO19" s="113"/>
      <c r="AP19" s="113"/>
      <c r="AQ19" s="113"/>
      <c r="AR19" s="113"/>
      <c r="AS19" s="113"/>
      <c r="AT19" s="113"/>
      <c r="AU19" s="113"/>
      <c r="AV19" s="113"/>
      <c r="AW19" s="113"/>
      <c r="AX19" s="113"/>
      <c r="AY19" s="113"/>
      <c r="AZ19" s="113"/>
      <c r="BA19" s="113"/>
      <c r="BB19" s="111"/>
      <c r="BC19" s="291"/>
      <c r="BD19" s="1527"/>
      <c r="BE19" s="1629"/>
      <c r="BF19" s="122"/>
      <c r="BG19" s="122"/>
      <c r="BH19" s="122"/>
      <c r="BI19" s="122"/>
      <c r="BJ19" s="122"/>
      <c r="BK19" s="122"/>
      <c r="BL19" s="120"/>
      <c r="BM19" s="1617"/>
      <c r="BN19" s="120"/>
      <c r="BO19" s="1629"/>
      <c r="BP19" s="122"/>
      <c r="BQ19" s="120"/>
      <c r="BR19" s="1625">
        <f t="shared" si="4"/>
        <v>0</v>
      </c>
      <c r="BS19" s="120"/>
      <c r="BT19" s="1630"/>
      <c r="BU19" s="1106"/>
      <c r="BV19" s="1528" t="s">
        <v>4149</v>
      </c>
    </row>
    <row r="20" ht="15.75" customHeight="1">
      <c r="A20" s="303"/>
      <c r="B20" s="1525"/>
      <c r="C20" s="1626" t="s">
        <v>188</v>
      </c>
      <c r="D20" s="213"/>
      <c r="E20" s="213"/>
      <c r="F20" s="229"/>
      <c r="G20" s="1571" t="b">
        <v>0</v>
      </c>
      <c r="H20" s="481"/>
      <c r="I20" s="217">
        <f>H12+IF(G20=TRUE,AP5,0)</f>
        <v>-5</v>
      </c>
      <c r="J20" s="175"/>
      <c r="K20" s="1627" t="s">
        <v>189</v>
      </c>
      <c r="L20" s="213"/>
      <c r="M20" s="213"/>
      <c r="N20" s="229"/>
      <c r="O20" s="1584" t="b">
        <v>0</v>
      </c>
      <c r="P20" s="481"/>
      <c r="Q20" s="215">
        <f>H15+IF(O20=TRUE,AP5,0)</f>
        <v>-5</v>
      </c>
      <c r="R20" s="218"/>
      <c r="S20" s="291"/>
      <c r="T20" s="1631"/>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c r="AX20" s="122"/>
      <c r="AY20" s="122"/>
      <c r="AZ20" s="122"/>
      <c r="BA20" s="122"/>
      <c r="BB20" s="120"/>
      <c r="BC20" s="291"/>
      <c r="BD20" s="1527"/>
      <c r="BE20" s="1613"/>
      <c r="BF20" s="122"/>
      <c r="BG20" s="122"/>
      <c r="BH20" s="122"/>
      <c r="BI20" s="122"/>
      <c r="BJ20" s="122"/>
      <c r="BK20" s="122"/>
      <c r="BL20" s="120"/>
      <c r="BM20" s="1632"/>
      <c r="BN20" s="120"/>
      <c r="BO20" s="1624"/>
      <c r="BP20" s="122"/>
      <c r="BQ20" s="120"/>
      <c r="BR20" s="1625">
        <f t="shared" si="4"/>
        <v>0</v>
      </c>
      <c r="BS20" s="120"/>
      <c r="BT20" s="1534"/>
      <c r="BU20" s="1106"/>
      <c r="BV20" s="1633"/>
    </row>
    <row r="21" ht="15.75" customHeight="1">
      <c r="A21" s="303"/>
      <c r="B21" s="1525"/>
      <c r="C21" s="1634" t="s">
        <v>190</v>
      </c>
      <c r="D21" s="240"/>
      <c r="E21" s="240"/>
      <c r="F21" s="241"/>
      <c r="G21" s="1584" t="b">
        <v>0</v>
      </c>
      <c r="H21" s="481"/>
      <c r="I21" s="215">
        <f>H12+IF(G21=TRUE,AP5,0)</f>
        <v>-5</v>
      </c>
      <c r="J21" s="175"/>
      <c r="K21" s="1627" t="s">
        <v>191</v>
      </c>
      <c r="L21" s="213"/>
      <c r="M21" s="213"/>
      <c r="N21" s="229"/>
      <c r="O21" s="1571" t="b">
        <v>0</v>
      </c>
      <c r="P21" s="481"/>
      <c r="Q21" s="217">
        <f>H15+IF(O21=TRUE,AP5,0)</f>
        <v>-5</v>
      </c>
      <c r="R21" s="218"/>
      <c r="S21" s="291"/>
      <c r="T21" s="1635"/>
      <c r="U21" s="122"/>
      <c r="V21" s="122"/>
      <c r="W21" s="122"/>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c r="AV21" s="122"/>
      <c r="AW21" s="122"/>
      <c r="AX21" s="122"/>
      <c r="AY21" s="122"/>
      <c r="AZ21" s="122"/>
      <c r="BA21" s="122"/>
      <c r="BB21" s="120"/>
      <c r="BC21" s="291"/>
      <c r="BD21" s="1527"/>
      <c r="BE21" s="1617"/>
      <c r="BF21" s="122"/>
      <c r="BG21" s="122"/>
      <c r="BH21" s="122"/>
      <c r="BI21" s="122"/>
      <c r="BJ21" s="122"/>
      <c r="BK21" s="122"/>
      <c r="BL21" s="120"/>
      <c r="BM21" s="1617"/>
      <c r="BN21" s="120"/>
      <c r="BO21" s="1629"/>
      <c r="BP21" s="122"/>
      <c r="BQ21" s="120"/>
      <c r="BR21" s="1625">
        <f t="shared" si="4"/>
        <v>0</v>
      </c>
      <c r="BS21" s="120"/>
      <c r="BT21" s="1534"/>
      <c r="BU21" s="1106"/>
    </row>
    <row r="22" ht="15.75" customHeight="1">
      <c r="A22" s="303"/>
      <c r="B22" s="1525"/>
      <c r="C22" s="1636" t="s">
        <v>193</v>
      </c>
      <c r="D22" s="213"/>
      <c r="E22" s="213"/>
      <c r="F22" s="229"/>
      <c r="G22" s="1571" t="b">
        <v>0</v>
      </c>
      <c r="H22" s="481"/>
      <c r="I22" s="217">
        <f>H14+IF(G22=TRUE,AP5,0)</f>
        <v>-5</v>
      </c>
      <c r="J22" s="175"/>
      <c r="K22" s="1637" t="s">
        <v>194</v>
      </c>
      <c r="L22" s="240"/>
      <c r="M22" s="240"/>
      <c r="N22" s="241"/>
      <c r="O22" s="1608" t="b">
        <v>0</v>
      </c>
      <c r="P22" s="1609"/>
      <c r="Q22" s="215">
        <f>H15+IF(O22=TRUE,AP5,0)</f>
        <v>-5</v>
      </c>
      <c r="R22" s="218"/>
      <c r="S22" s="291"/>
      <c r="T22" s="1631"/>
      <c r="U22" s="122"/>
      <c r="V22" s="122"/>
      <c r="W22" s="122"/>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c r="AV22" s="122"/>
      <c r="AW22" s="122"/>
      <c r="AX22" s="122"/>
      <c r="AY22" s="122"/>
      <c r="AZ22" s="122"/>
      <c r="BA22" s="122"/>
      <c r="BB22" s="120"/>
      <c r="BC22" s="291"/>
      <c r="BD22" s="1527"/>
      <c r="BE22" s="1623"/>
      <c r="BF22" s="122"/>
      <c r="BG22" s="122"/>
      <c r="BH22" s="122"/>
      <c r="BI22" s="122"/>
      <c r="BJ22" s="122"/>
      <c r="BK22" s="122"/>
      <c r="BL22" s="120"/>
      <c r="BM22" s="1632"/>
      <c r="BN22" s="120"/>
      <c r="BO22" s="1624"/>
      <c r="BP22" s="122"/>
      <c r="BQ22" s="120"/>
      <c r="BR22" s="1625">
        <f t="shared" si="4"/>
        <v>0</v>
      </c>
      <c r="BS22" s="120"/>
      <c r="BT22" s="1534"/>
      <c r="BU22" s="1638"/>
    </row>
    <row r="23" ht="15.75" customHeight="1">
      <c r="A23" s="303"/>
      <c r="B23" s="1525"/>
      <c r="C23" s="1636" t="s">
        <v>196</v>
      </c>
      <c r="D23" s="213"/>
      <c r="E23" s="213"/>
      <c r="F23" s="229"/>
      <c r="G23" s="1608" t="b">
        <v>0</v>
      </c>
      <c r="H23" s="1609"/>
      <c r="I23" s="215">
        <f>H14+IF(G23=TRUE,AP5,0)</f>
        <v>-5</v>
      </c>
      <c r="J23" s="175"/>
      <c r="K23" s="1639" t="s">
        <v>197</v>
      </c>
      <c r="L23" s="213"/>
      <c r="M23" s="213"/>
      <c r="N23" s="229"/>
      <c r="O23" s="1571" t="b">
        <v>0</v>
      </c>
      <c r="P23" s="481"/>
      <c r="Q23" s="217">
        <f>H16+IF(O23=TRUE,AP5,0)</f>
        <v>-5</v>
      </c>
      <c r="R23" s="218"/>
      <c r="S23" s="291"/>
      <c r="T23" s="1635"/>
      <c r="U23" s="122"/>
      <c r="V23" s="122"/>
      <c r="W23" s="122"/>
      <c r="X23" s="122"/>
      <c r="Y23" s="122"/>
      <c r="Z23" s="122"/>
      <c r="AA23" s="122"/>
      <c r="AB23" s="122"/>
      <c r="AC23" s="122"/>
      <c r="AD23" s="122"/>
      <c r="AE23" s="122"/>
      <c r="AF23" s="122"/>
      <c r="AG23" s="122"/>
      <c r="AH23" s="122"/>
      <c r="AI23" s="122"/>
      <c r="AJ23" s="122"/>
      <c r="AK23" s="122"/>
      <c r="AL23" s="122"/>
      <c r="AM23" s="122"/>
      <c r="AN23" s="122"/>
      <c r="AO23" s="122"/>
      <c r="AP23" s="122"/>
      <c r="AQ23" s="122"/>
      <c r="AR23" s="122"/>
      <c r="AS23" s="122"/>
      <c r="AT23" s="122"/>
      <c r="AU23" s="122"/>
      <c r="AV23" s="122"/>
      <c r="AW23" s="122"/>
      <c r="AX23" s="122"/>
      <c r="AY23" s="122"/>
      <c r="AZ23" s="122"/>
      <c r="BA23" s="122"/>
      <c r="BB23" s="120"/>
      <c r="BC23" s="291"/>
      <c r="BD23" s="1527"/>
      <c r="BE23" s="1629"/>
      <c r="BF23" s="122"/>
      <c r="BG23" s="122"/>
      <c r="BH23" s="122"/>
      <c r="BI23" s="122"/>
      <c r="BJ23" s="122"/>
      <c r="BK23" s="122"/>
      <c r="BL23" s="120"/>
      <c r="BM23" s="1640"/>
      <c r="BN23" s="120"/>
      <c r="BO23" s="1629"/>
      <c r="BP23" s="122"/>
      <c r="BQ23" s="120"/>
      <c r="BR23" s="1625">
        <f t="shared" si="4"/>
        <v>0</v>
      </c>
      <c r="BS23" s="120"/>
      <c r="BT23" s="1534"/>
      <c r="BU23" s="303"/>
    </row>
    <row r="24" ht="15.75" customHeight="1">
      <c r="A24" s="303"/>
      <c r="B24" s="1525"/>
      <c r="C24" s="1636" t="s">
        <v>200</v>
      </c>
      <c r="D24" s="213"/>
      <c r="E24" s="213"/>
      <c r="F24" s="229"/>
      <c r="G24" s="1571" t="b">
        <v>0</v>
      </c>
      <c r="H24" s="481"/>
      <c r="I24" s="217">
        <f>H14+IF(G24=TRUE,AP5,0)</f>
        <v>-5</v>
      </c>
      <c r="J24" s="175"/>
      <c r="K24" s="1639" t="s">
        <v>201</v>
      </c>
      <c r="L24" s="213"/>
      <c r="M24" s="213"/>
      <c r="N24" s="229"/>
      <c r="O24" s="1584" t="b">
        <v>0</v>
      </c>
      <c r="P24" s="481"/>
      <c r="Q24" s="215">
        <f>H16+IF(O24=TRUE,AP5,0)</f>
        <v>-5</v>
      </c>
      <c r="R24" s="218"/>
      <c r="S24" s="291"/>
      <c r="T24" s="1631"/>
      <c r="U24" s="122"/>
      <c r="V24" s="122"/>
      <c r="W24" s="122"/>
      <c r="X24" s="122"/>
      <c r="Y24" s="122"/>
      <c r="Z24" s="122"/>
      <c r="AA24" s="122"/>
      <c r="AB24" s="122"/>
      <c r="AC24" s="122"/>
      <c r="AD24" s="122"/>
      <c r="AE24" s="122"/>
      <c r="AF24" s="122"/>
      <c r="AG24" s="122"/>
      <c r="AH24" s="122"/>
      <c r="AI24" s="122"/>
      <c r="AJ24" s="122"/>
      <c r="AK24" s="122"/>
      <c r="AL24" s="122"/>
      <c r="AM24" s="122"/>
      <c r="AN24" s="122"/>
      <c r="AO24" s="122"/>
      <c r="AP24" s="122"/>
      <c r="AQ24" s="122"/>
      <c r="AR24" s="122"/>
      <c r="AS24" s="122"/>
      <c r="AT24" s="122"/>
      <c r="AU24" s="122"/>
      <c r="AV24" s="122"/>
      <c r="AW24" s="122"/>
      <c r="AX24" s="122"/>
      <c r="AY24" s="122"/>
      <c r="AZ24" s="122"/>
      <c r="BA24" s="122"/>
      <c r="BB24" s="120"/>
      <c r="BC24" s="291"/>
      <c r="BD24" s="1527"/>
      <c r="BE24" s="1623"/>
      <c r="BF24" s="122"/>
      <c r="BG24" s="122"/>
      <c r="BH24" s="122"/>
      <c r="BI24" s="122"/>
      <c r="BJ24" s="122"/>
      <c r="BK24" s="122"/>
      <c r="BL24" s="120"/>
      <c r="BM24" s="1624"/>
      <c r="BN24" s="120"/>
      <c r="BO24" s="1624"/>
      <c r="BP24" s="122"/>
      <c r="BQ24" s="120"/>
      <c r="BR24" s="1625">
        <f t="shared" si="4"/>
        <v>0</v>
      </c>
      <c r="BS24" s="120"/>
      <c r="BT24" s="1534"/>
      <c r="BU24" s="1641"/>
    </row>
    <row r="25" ht="15.75" customHeight="1">
      <c r="A25" s="303"/>
      <c r="B25" s="1525"/>
      <c r="C25" s="1636" t="s">
        <v>202</v>
      </c>
      <c r="D25" s="213"/>
      <c r="E25" s="213"/>
      <c r="F25" s="229"/>
      <c r="G25" s="1584" t="b">
        <v>0</v>
      </c>
      <c r="H25" s="481"/>
      <c r="I25" s="215">
        <f>H14+IF(G25=TRUE,AP5,0)</f>
        <v>-5</v>
      </c>
      <c r="J25" s="175"/>
      <c r="K25" s="1639" t="s">
        <v>203</v>
      </c>
      <c r="L25" s="213"/>
      <c r="M25" s="213"/>
      <c r="N25" s="229"/>
      <c r="O25" s="1571" t="b">
        <v>0</v>
      </c>
      <c r="P25" s="481"/>
      <c r="Q25" s="217">
        <f>H16+IF(O25=TRUE,AP5,0)</f>
        <v>-5</v>
      </c>
      <c r="R25" s="218"/>
      <c r="S25" s="291"/>
      <c r="T25" s="1635"/>
      <c r="U25" s="122"/>
      <c r="V25" s="122"/>
      <c r="W25" s="122"/>
      <c r="X25" s="122"/>
      <c r="Y25" s="122"/>
      <c r="Z25" s="122"/>
      <c r="AA25" s="122"/>
      <c r="AB25" s="122"/>
      <c r="AC25" s="122"/>
      <c r="AD25" s="122"/>
      <c r="AE25" s="122"/>
      <c r="AF25" s="122"/>
      <c r="AG25" s="122"/>
      <c r="AH25" s="122"/>
      <c r="AI25" s="122"/>
      <c r="AJ25" s="122"/>
      <c r="AK25" s="122"/>
      <c r="AL25" s="122"/>
      <c r="AM25" s="122"/>
      <c r="AN25" s="122"/>
      <c r="AO25" s="122"/>
      <c r="AP25" s="122"/>
      <c r="AQ25" s="122"/>
      <c r="AR25" s="122"/>
      <c r="AS25" s="122"/>
      <c r="AT25" s="122"/>
      <c r="AU25" s="122"/>
      <c r="AV25" s="122"/>
      <c r="AW25" s="122"/>
      <c r="AX25" s="122"/>
      <c r="AY25" s="122"/>
      <c r="AZ25" s="122"/>
      <c r="BA25" s="122"/>
      <c r="BB25" s="120"/>
      <c r="BC25" s="291"/>
      <c r="BD25" s="1527"/>
      <c r="BE25" s="1642"/>
      <c r="BF25" s="122"/>
      <c r="BG25" s="122"/>
      <c r="BH25" s="122"/>
      <c r="BI25" s="122"/>
      <c r="BJ25" s="122"/>
      <c r="BK25" s="122"/>
      <c r="BL25" s="120"/>
      <c r="BM25" s="1642"/>
      <c r="BN25" s="120"/>
      <c r="BO25" s="1642"/>
      <c r="BP25" s="122"/>
      <c r="BQ25" s="120"/>
      <c r="BR25" s="1616">
        <f t="shared" si="4"/>
        <v>0</v>
      </c>
      <c r="BS25" s="120"/>
      <c r="BT25" s="1534"/>
      <c r="BU25" s="1106"/>
    </row>
    <row r="26" ht="15.75" customHeight="1">
      <c r="A26" s="303"/>
      <c r="B26" s="1525"/>
      <c r="C26" s="1643" t="s">
        <v>206</v>
      </c>
      <c r="D26" s="156"/>
      <c r="E26" s="156"/>
      <c r="F26" s="253"/>
      <c r="G26" s="1677" t="b">
        <v>0</v>
      </c>
      <c r="H26" s="1678"/>
      <c r="I26" s="238">
        <f>H14+IF(G26=TRUE,AP5,0)</f>
        <v>-5</v>
      </c>
      <c r="J26" s="235"/>
      <c r="K26" s="1644" t="s">
        <v>207</v>
      </c>
      <c r="L26" s="156"/>
      <c r="M26" s="156"/>
      <c r="N26" s="253"/>
      <c r="O26" s="1679" t="b">
        <v>0</v>
      </c>
      <c r="P26" s="1678"/>
      <c r="Q26" s="236">
        <f>H16+IF(O26=TRUE,AP5,0)</f>
        <v>-5</v>
      </c>
      <c r="R26" s="203"/>
      <c r="S26" s="291"/>
      <c r="T26" s="1645"/>
      <c r="U26" s="144"/>
      <c r="V26" s="144"/>
      <c r="W26" s="144"/>
      <c r="X26" s="144"/>
      <c r="Y26" s="144"/>
      <c r="Z26" s="144"/>
      <c r="AA26" s="144"/>
      <c r="AB26" s="144"/>
      <c r="AC26" s="144"/>
      <c r="AD26" s="144"/>
      <c r="AE26" s="144"/>
      <c r="AF26" s="144"/>
      <c r="AG26" s="144"/>
      <c r="AH26" s="144"/>
      <c r="AI26" s="144"/>
      <c r="AJ26" s="144"/>
      <c r="AK26" s="144"/>
      <c r="AL26" s="144"/>
      <c r="AM26" s="144"/>
      <c r="AN26" s="144"/>
      <c r="AO26" s="144"/>
      <c r="AP26" s="144"/>
      <c r="AQ26" s="144"/>
      <c r="AR26" s="144"/>
      <c r="AS26" s="144"/>
      <c r="AT26" s="144"/>
      <c r="AU26" s="144"/>
      <c r="AV26" s="144"/>
      <c r="AW26" s="144"/>
      <c r="AX26" s="144"/>
      <c r="AY26" s="144"/>
      <c r="AZ26" s="144"/>
      <c r="BA26" s="144"/>
      <c r="BB26" s="128"/>
      <c r="BC26" s="291"/>
      <c r="BD26" s="1527"/>
      <c r="BE26" s="1646"/>
      <c r="BF26" s="122"/>
      <c r="BG26" s="122"/>
      <c r="BH26" s="122"/>
      <c r="BI26" s="122"/>
      <c r="BJ26" s="122"/>
      <c r="BK26" s="122"/>
      <c r="BL26" s="120"/>
      <c r="BM26" s="1647"/>
      <c r="BN26" s="120"/>
      <c r="BO26" s="1647"/>
      <c r="BP26" s="122"/>
      <c r="BQ26" s="120"/>
      <c r="BR26" s="1616">
        <f t="shared" si="4"/>
        <v>0</v>
      </c>
      <c r="BS26" s="120"/>
      <c r="BT26" s="1534"/>
      <c r="BU26" s="1106"/>
    </row>
    <row r="27" ht="15.75" customHeight="1">
      <c r="A27" s="303"/>
      <c r="B27" s="1525"/>
      <c r="C27" s="291"/>
      <c r="D27" s="291"/>
      <c r="E27" s="291"/>
      <c r="F27" s="291"/>
      <c r="G27" s="291"/>
      <c r="H27" s="291"/>
      <c r="I27" s="291"/>
      <c r="J27" s="291"/>
      <c r="K27" s="291"/>
      <c r="L27" s="291"/>
      <c r="M27" s="291"/>
      <c r="N27" s="291"/>
      <c r="O27" s="291"/>
      <c r="P27" s="291"/>
      <c r="Q27" s="291"/>
      <c r="R27" s="291"/>
      <c r="S27" s="291"/>
      <c r="T27" s="291"/>
      <c r="U27" s="291"/>
      <c r="V27" s="291"/>
      <c r="W27" s="1648"/>
      <c r="X27" s="1648"/>
      <c r="Y27" s="1648"/>
      <c r="Z27" s="1648"/>
      <c r="AA27" s="1648"/>
      <c r="AB27" s="1648"/>
      <c r="AC27" s="1648"/>
      <c r="AD27" s="1648"/>
      <c r="AE27" s="1648"/>
      <c r="AF27" s="1648"/>
      <c r="AG27" s="1648"/>
      <c r="AH27" s="1648"/>
      <c r="AI27" s="1648"/>
      <c r="AJ27" s="291"/>
      <c r="AK27" s="291"/>
      <c r="AL27" s="291"/>
      <c r="AM27" s="291"/>
      <c r="AN27" s="291"/>
      <c r="AO27" s="291"/>
      <c r="AP27" s="291"/>
      <c r="AQ27" s="291"/>
      <c r="AR27" s="291"/>
      <c r="AS27" s="291"/>
      <c r="AT27" s="291"/>
      <c r="AU27" s="291"/>
      <c r="AV27" s="291"/>
      <c r="AW27" s="291"/>
      <c r="AX27" s="291"/>
      <c r="AY27" s="291"/>
      <c r="AZ27" s="291"/>
      <c r="BA27" s="291"/>
      <c r="BB27" s="291"/>
      <c r="BC27" s="291"/>
      <c r="BD27" s="1527"/>
      <c r="BE27" s="1642"/>
      <c r="BF27" s="122"/>
      <c r="BG27" s="122"/>
      <c r="BH27" s="122"/>
      <c r="BI27" s="122"/>
      <c r="BJ27" s="122"/>
      <c r="BK27" s="122"/>
      <c r="BL27" s="120"/>
      <c r="BM27" s="1642"/>
      <c r="BN27" s="120"/>
      <c r="BO27" s="1642"/>
      <c r="BP27" s="122"/>
      <c r="BQ27" s="120"/>
      <c r="BR27" s="1616">
        <f t="shared" si="4"/>
        <v>0</v>
      </c>
      <c r="BS27" s="120"/>
      <c r="BT27" s="291"/>
      <c r="BU27" s="303"/>
    </row>
    <row r="28">
      <c r="A28" s="297"/>
      <c r="B28" s="295" t="s">
        <v>4150</v>
      </c>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527"/>
      <c r="BE28" s="1649"/>
      <c r="BF28" s="122"/>
      <c r="BG28" s="122"/>
      <c r="BH28" s="122"/>
      <c r="BI28" s="122"/>
      <c r="BJ28" s="122"/>
      <c r="BK28" s="122"/>
      <c r="BL28" s="120"/>
      <c r="BM28" s="1614"/>
      <c r="BN28" s="120"/>
      <c r="BO28" s="1614"/>
      <c r="BP28" s="122"/>
      <c r="BQ28" s="120"/>
      <c r="BR28" s="1650">
        <f t="shared" si="4"/>
        <v>0</v>
      </c>
      <c r="BS28" s="120"/>
      <c r="BT28" s="291"/>
      <c r="BU28" s="297"/>
      <c r="BV28" s="1651"/>
    </row>
    <row r="29">
      <c r="A29" s="1652"/>
      <c r="B29" s="291"/>
      <c r="C29" s="1653"/>
      <c r="D29" s="1653"/>
      <c r="E29" s="1653"/>
      <c r="F29" s="1653"/>
      <c r="G29" s="1653"/>
      <c r="H29" s="1653"/>
      <c r="I29" s="1653"/>
      <c r="J29" s="1653"/>
      <c r="K29" s="1653"/>
      <c r="L29" s="1653"/>
      <c r="M29" s="1653"/>
      <c r="N29" s="1653"/>
      <c r="O29" s="1653"/>
      <c r="P29" s="1653"/>
      <c r="Q29" s="1653"/>
      <c r="R29" s="1653"/>
      <c r="S29" s="1653"/>
      <c r="T29" s="1653"/>
      <c r="U29" s="1653"/>
      <c r="V29" s="1653"/>
      <c r="W29" s="1653"/>
      <c r="X29" s="1653"/>
      <c r="Y29" s="1653"/>
      <c r="Z29" s="1653"/>
      <c r="AA29" s="1653"/>
      <c r="AB29" s="1653"/>
      <c r="AC29" s="1653"/>
      <c r="AD29" s="1653"/>
      <c r="AE29" s="1653"/>
      <c r="AF29" s="1653"/>
      <c r="AG29" s="1653"/>
      <c r="AH29" s="1653"/>
      <c r="AI29" s="1653"/>
      <c r="AJ29" s="1653"/>
      <c r="AK29" s="291"/>
      <c r="AL29" s="291"/>
      <c r="AM29" s="291"/>
      <c r="AN29" s="291"/>
      <c r="AO29" s="291"/>
      <c r="AP29" s="291"/>
      <c r="AQ29" s="291"/>
      <c r="AR29" s="291"/>
      <c r="AS29" s="291"/>
      <c r="AT29" s="291"/>
      <c r="AU29" s="291"/>
      <c r="AV29" s="291"/>
      <c r="AW29" s="291"/>
      <c r="AX29" s="291"/>
      <c r="AY29" s="291"/>
      <c r="AZ29" s="291"/>
      <c r="BA29" s="291"/>
      <c r="BB29" s="291"/>
      <c r="BC29" s="291"/>
      <c r="BD29" s="1527"/>
      <c r="BE29" s="1642"/>
      <c r="BF29" s="122"/>
      <c r="BG29" s="122"/>
      <c r="BH29" s="122"/>
      <c r="BI29" s="122"/>
      <c r="BJ29" s="122"/>
      <c r="BK29" s="122"/>
      <c r="BL29" s="120"/>
      <c r="BM29" s="1642"/>
      <c r="BN29" s="120"/>
      <c r="BO29" s="1642"/>
      <c r="BP29" s="122"/>
      <c r="BQ29" s="120"/>
      <c r="BR29" s="1616">
        <f t="shared" si="4"/>
        <v>0</v>
      </c>
      <c r="BS29" s="120"/>
      <c r="BT29" s="1653"/>
      <c r="BU29" s="1652"/>
      <c r="BV29" s="1654"/>
    </row>
    <row r="30">
      <c r="A30" s="1652"/>
      <c r="B30" s="291"/>
      <c r="C30" s="1633" t="s">
        <v>4151</v>
      </c>
      <c r="D30" s="1655"/>
      <c r="E30" s="1655"/>
      <c r="F30" s="1655"/>
      <c r="G30" s="1655"/>
      <c r="H30" s="1655"/>
      <c r="I30" s="1655"/>
      <c r="J30" s="1655"/>
      <c r="K30" s="1655"/>
      <c r="L30" s="1655"/>
      <c r="M30" s="1655"/>
      <c r="N30" s="1655"/>
      <c r="O30" s="1655"/>
      <c r="P30" s="1655"/>
      <c r="Q30" s="1655"/>
      <c r="R30" s="1655"/>
      <c r="S30" s="1655"/>
      <c r="T30" s="1655"/>
      <c r="U30" s="1655"/>
      <c r="V30" s="1655"/>
      <c r="W30" s="1655"/>
      <c r="X30" s="1655"/>
      <c r="Y30" s="1655"/>
      <c r="Z30" s="1655"/>
      <c r="AA30" s="1655"/>
      <c r="AB30" s="1655"/>
      <c r="AC30" s="1655"/>
      <c r="AD30" s="1655"/>
      <c r="AE30" s="1655"/>
      <c r="AF30" s="1655"/>
      <c r="AG30" s="1655"/>
      <c r="AH30" s="1655"/>
      <c r="AI30" s="1655"/>
      <c r="AJ30" s="1655"/>
      <c r="AK30" s="1655"/>
      <c r="AL30" s="1655"/>
      <c r="AM30" s="1655"/>
      <c r="AN30" s="1655"/>
      <c r="AO30" s="1655"/>
      <c r="AP30" s="1655"/>
      <c r="AQ30" s="1655"/>
      <c r="AR30" s="1655"/>
      <c r="AS30" s="1655"/>
      <c r="AT30" s="1655"/>
      <c r="AU30" s="1655"/>
      <c r="AV30" s="1655"/>
      <c r="AW30" s="1655"/>
      <c r="AX30" s="1655"/>
      <c r="AY30" s="1655"/>
      <c r="AZ30" s="1655"/>
      <c r="BA30" s="1655"/>
      <c r="BB30" s="1655"/>
      <c r="BC30" s="291"/>
      <c r="BD30" s="1527"/>
      <c r="BE30" s="1646"/>
      <c r="BF30" s="122"/>
      <c r="BG30" s="122"/>
      <c r="BH30" s="122"/>
      <c r="BI30" s="122"/>
      <c r="BJ30" s="122"/>
      <c r="BK30" s="122"/>
      <c r="BL30" s="120"/>
      <c r="BM30" s="1647"/>
      <c r="BN30" s="120"/>
      <c r="BO30" s="1647"/>
      <c r="BP30" s="122"/>
      <c r="BQ30" s="120"/>
      <c r="BR30" s="1616">
        <f t="shared" si="4"/>
        <v>0</v>
      </c>
      <c r="BS30" s="120"/>
      <c r="BT30" s="291"/>
      <c r="BU30" s="1652"/>
      <c r="BV30" s="1656"/>
    </row>
    <row r="31">
      <c r="A31" s="1657"/>
      <c r="B31" s="291"/>
      <c r="C31" s="1658"/>
      <c r="D31" s="1611"/>
      <c r="E31" s="1611"/>
      <c r="F31" s="1611"/>
      <c r="G31" s="1611"/>
      <c r="H31" s="1611"/>
      <c r="I31" s="1611"/>
      <c r="J31" s="1611"/>
      <c r="K31" s="1611"/>
      <c r="L31" s="1611"/>
      <c r="M31" s="1611"/>
      <c r="N31" s="1611"/>
      <c r="O31" s="1611"/>
      <c r="P31" s="1611"/>
      <c r="Q31" s="1611"/>
      <c r="R31" s="1611"/>
      <c r="S31" s="1611"/>
      <c r="T31" s="1611"/>
      <c r="U31" s="1611"/>
      <c r="V31" s="1611"/>
      <c r="W31" s="1611"/>
      <c r="X31" s="1611"/>
      <c r="Y31" s="1611"/>
      <c r="Z31" s="1611"/>
      <c r="AA31" s="1611"/>
      <c r="AB31" s="1611"/>
      <c r="AC31" s="1611"/>
      <c r="AD31" s="1611"/>
      <c r="AE31" s="1611"/>
      <c r="AF31" s="1611"/>
      <c r="AG31" s="1611"/>
      <c r="AH31" s="1611"/>
      <c r="AI31" s="1611"/>
      <c r="AJ31" s="1611"/>
      <c r="AK31" s="1611"/>
      <c r="AL31" s="1611"/>
      <c r="AM31" s="1611"/>
      <c r="AN31" s="1611"/>
      <c r="AO31" s="1611"/>
      <c r="AP31" s="1611"/>
      <c r="AQ31" s="1611"/>
      <c r="AR31" s="1611"/>
      <c r="AS31" s="1611"/>
      <c r="AT31" s="1611"/>
      <c r="AU31" s="1611"/>
      <c r="AV31" s="1611"/>
      <c r="AW31" s="1611"/>
      <c r="AX31" s="1611"/>
      <c r="AY31" s="1611"/>
      <c r="AZ31" s="1611"/>
      <c r="BA31" s="1611"/>
      <c r="BB31" s="1612"/>
      <c r="BC31" s="291"/>
      <c r="BD31" s="1527"/>
      <c r="BE31" s="1642"/>
      <c r="BF31" s="122"/>
      <c r="BG31" s="122"/>
      <c r="BH31" s="122"/>
      <c r="BI31" s="122"/>
      <c r="BJ31" s="122"/>
      <c r="BK31" s="122"/>
      <c r="BL31" s="120"/>
      <c r="BM31" s="1642"/>
      <c r="BN31" s="120"/>
      <c r="BO31" s="1642"/>
      <c r="BP31" s="122"/>
      <c r="BQ31" s="120"/>
      <c r="BR31" s="1616">
        <f t="shared" si="4"/>
        <v>0</v>
      </c>
      <c r="BS31" s="120"/>
      <c r="BT31" s="291"/>
      <c r="BU31" s="303"/>
    </row>
    <row r="32">
      <c r="A32" s="1657"/>
      <c r="B32" s="291"/>
      <c r="C32" s="1658"/>
      <c r="D32" s="1611"/>
      <c r="E32" s="1611"/>
      <c r="F32" s="1611"/>
      <c r="G32" s="1611"/>
      <c r="H32" s="1611"/>
      <c r="I32" s="1611"/>
      <c r="J32" s="1611"/>
      <c r="K32" s="1611"/>
      <c r="L32" s="1611"/>
      <c r="M32" s="1611"/>
      <c r="N32" s="1611"/>
      <c r="O32" s="1611"/>
      <c r="P32" s="1611"/>
      <c r="Q32" s="1611"/>
      <c r="R32" s="1611"/>
      <c r="S32" s="1611"/>
      <c r="T32" s="1611"/>
      <c r="U32" s="1611"/>
      <c r="V32" s="1611"/>
      <c r="W32" s="1611"/>
      <c r="X32" s="1611"/>
      <c r="Y32" s="1611"/>
      <c r="Z32" s="1611"/>
      <c r="AA32" s="1611"/>
      <c r="AB32" s="1611"/>
      <c r="AC32" s="1611"/>
      <c r="AD32" s="1611"/>
      <c r="AE32" s="1611"/>
      <c r="AF32" s="1611"/>
      <c r="AG32" s="1611"/>
      <c r="AH32" s="1611"/>
      <c r="AI32" s="1611"/>
      <c r="AJ32" s="1611"/>
      <c r="AK32" s="1611"/>
      <c r="AL32" s="1611"/>
      <c r="AM32" s="1611"/>
      <c r="AN32" s="1611"/>
      <c r="AO32" s="1611"/>
      <c r="AP32" s="1611"/>
      <c r="AQ32" s="1611"/>
      <c r="AR32" s="1611"/>
      <c r="AS32" s="1611"/>
      <c r="AT32" s="1611"/>
      <c r="AU32" s="1611"/>
      <c r="AV32" s="1611"/>
      <c r="AW32" s="1611"/>
      <c r="AX32" s="1611"/>
      <c r="AY32" s="1611"/>
      <c r="AZ32" s="1611"/>
      <c r="BA32" s="1611"/>
      <c r="BB32" s="1612"/>
      <c r="BC32" s="291"/>
      <c r="BD32" s="1527"/>
      <c r="BE32" s="1646"/>
      <c r="BF32" s="122"/>
      <c r="BG32" s="122"/>
      <c r="BH32" s="122"/>
      <c r="BI32" s="122"/>
      <c r="BJ32" s="122"/>
      <c r="BK32" s="122"/>
      <c r="BL32" s="120"/>
      <c r="BM32" s="1647"/>
      <c r="BN32" s="120"/>
      <c r="BO32" s="1647"/>
      <c r="BP32" s="122"/>
      <c r="BQ32" s="120"/>
      <c r="BR32" s="1616">
        <f t="shared" si="4"/>
        <v>0</v>
      </c>
      <c r="BS32" s="120"/>
      <c r="BT32" s="291"/>
      <c r="BU32" s="303"/>
    </row>
    <row r="33">
      <c r="A33" s="1657"/>
      <c r="B33" s="291"/>
      <c r="C33" s="1658"/>
      <c r="D33" s="1611"/>
      <c r="E33" s="1611"/>
      <c r="F33" s="1611"/>
      <c r="G33" s="1611"/>
      <c r="H33" s="1611"/>
      <c r="I33" s="1611"/>
      <c r="J33" s="1611"/>
      <c r="K33" s="1611"/>
      <c r="L33" s="1611"/>
      <c r="M33" s="1611"/>
      <c r="N33" s="1611"/>
      <c r="O33" s="1611"/>
      <c r="P33" s="1611"/>
      <c r="Q33" s="1611"/>
      <c r="R33" s="1611"/>
      <c r="S33" s="1611"/>
      <c r="T33" s="1611"/>
      <c r="U33" s="1611"/>
      <c r="V33" s="1611"/>
      <c r="W33" s="1611"/>
      <c r="X33" s="1611"/>
      <c r="Y33" s="1611"/>
      <c r="Z33" s="1611"/>
      <c r="AA33" s="1611"/>
      <c r="AB33" s="1611"/>
      <c r="AC33" s="1611"/>
      <c r="AD33" s="1611"/>
      <c r="AE33" s="1611"/>
      <c r="AF33" s="1611"/>
      <c r="AG33" s="1611"/>
      <c r="AH33" s="1611"/>
      <c r="AI33" s="1611"/>
      <c r="AJ33" s="1611"/>
      <c r="AK33" s="1611"/>
      <c r="AL33" s="1611"/>
      <c r="AM33" s="1611"/>
      <c r="AN33" s="1611"/>
      <c r="AO33" s="1611"/>
      <c r="AP33" s="1611"/>
      <c r="AQ33" s="1611"/>
      <c r="AR33" s="1611"/>
      <c r="AS33" s="1611"/>
      <c r="AT33" s="1611"/>
      <c r="AU33" s="1611"/>
      <c r="AV33" s="1611"/>
      <c r="AW33" s="1611"/>
      <c r="AX33" s="1611"/>
      <c r="AY33" s="1611"/>
      <c r="AZ33" s="1611"/>
      <c r="BA33" s="1611"/>
      <c r="BB33" s="1612"/>
      <c r="BC33" s="291"/>
      <c r="BD33" s="1527"/>
      <c r="BE33" s="1642"/>
      <c r="BF33" s="122"/>
      <c r="BG33" s="122"/>
      <c r="BH33" s="122"/>
      <c r="BI33" s="122"/>
      <c r="BJ33" s="122"/>
      <c r="BK33" s="122"/>
      <c r="BL33" s="120"/>
      <c r="BM33" s="1642"/>
      <c r="BN33" s="120"/>
      <c r="BO33" s="1642"/>
      <c r="BP33" s="122"/>
      <c r="BQ33" s="120"/>
      <c r="BR33" s="1616">
        <f t="shared" si="4"/>
        <v>0</v>
      </c>
      <c r="BS33" s="120"/>
      <c r="BT33" s="291"/>
      <c r="BU33" s="303"/>
    </row>
    <row r="34">
      <c r="A34" s="1657"/>
      <c r="B34" s="291"/>
      <c r="C34" s="1658"/>
      <c r="D34" s="1611"/>
      <c r="E34" s="1611"/>
      <c r="F34" s="1611"/>
      <c r="G34" s="1611"/>
      <c r="H34" s="1611"/>
      <c r="I34" s="1611"/>
      <c r="J34" s="1611"/>
      <c r="K34" s="1611"/>
      <c r="L34" s="1611"/>
      <c r="M34" s="1611"/>
      <c r="N34" s="1611"/>
      <c r="O34" s="1611"/>
      <c r="P34" s="1611"/>
      <c r="Q34" s="1611"/>
      <c r="R34" s="1611"/>
      <c r="S34" s="1611"/>
      <c r="T34" s="1611"/>
      <c r="U34" s="1611"/>
      <c r="V34" s="1611"/>
      <c r="W34" s="1611"/>
      <c r="X34" s="1611"/>
      <c r="Y34" s="1611"/>
      <c r="Z34" s="1611"/>
      <c r="AA34" s="1611"/>
      <c r="AB34" s="1611"/>
      <c r="AC34" s="1611"/>
      <c r="AD34" s="1611"/>
      <c r="AE34" s="1611"/>
      <c r="AF34" s="1611"/>
      <c r="AG34" s="1611"/>
      <c r="AH34" s="1611"/>
      <c r="AI34" s="1611"/>
      <c r="AJ34" s="1611"/>
      <c r="AK34" s="1611"/>
      <c r="AL34" s="1611"/>
      <c r="AM34" s="1611"/>
      <c r="AN34" s="1611"/>
      <c r="AO34" s="1611"/>
      <c r="AP34" s="1611"/>
      <c r="AQ34" s="1611"/>
      <c r="AR34" s="1611"/>
      <c r="AS34" s="1611"/>
      <c r="AT34" s="1611"/>
      <c r="AU34" s="1611"/>
      <c r="AV34" s="1611"/>
      <c r="AW34" s="1611"/>
      <c r="AX34" s="1611"/>
      <c r="AY34" s="1611"/>
      <c r="AZ34" s="1611"/>
      <c r="BA34" s="1611"/>
      <c r="BB34" s="1612"/>
      <c r="BC34" s="291"/>
      <c r="BD34" s="1527"/>
      <c r="BE34" s="1646"/>
      <c r="BF34" s="122"/>
      <c r="BG34" s="122"/>
      <c r="BH34" s="122"/>
      <c r="BI34" s="122"/>
      <c r="BJ34" s="122"/>
      <c r="BK34" s="122"/>
      <c r="BL34" s="120"/>
      <c r="BM34" s="1647"/>
      <c r="BN34" s="120"/>
      <c r="BO34" s="1647"/>
      <c r="BP34" s="122"/>
      <c r="BQ34" s="120"/>
      <c r="BR34" s="1616">
        <f t="shared" si="4"/>
        <v>0</v>
      </c>
      <c r="BS34" s="120"/>
      <c r="BT34" s="291"/>
      <c r="BU34" s="303"/>
    </row>
    <row r="35">
      <c r="A35" s="1652"/>
      <c r="B35" s="291"/>
      <c r="C35" s="1653"/>
      <c r="BC35" s="291"/>
      <c r="BD35" s="1527"/>
      <c r="BE35" s="1642"/>
      <c r="BF35" s="122"/>
      <c r="BG35" s="122"/>
      <c r="BH35" s="122"/>
      <c r="BI35" s="122"/>
      <c r="BJ35" s="122"/>
      <c r="BK35" s="122"/>
      <c r="BL35" s="120"/>
      <c r="BM35" s="1642"/>
      <c r="BN35" s="120"/>
      <c r="BO35" s="1642"/>
      <c r="BP35" s="122"/>
      <c r="BQ35" s="120"/>
      <c r="BR35" s="1616">
        <f t="shared" si="4"/>
        <v>0</v>
      </c>
      <c r="BS35" s="120"/>
      <c r="BT35" s="291"/>
      <c r="BU35" s="1652"/>
      <c r="BV35" s="1659"/>
    </row>
    <row r="36">
      <c r="A36" s="1652"/>
      <c r="B36" s="291"/>
      <c r="C36" s="1633" t="s">
        <v>2253</v>
      </c>
      <c r="D36" s="1655"/>
      <c r="E36" s="1655"/>
      <c r="F36" s="1655"/>
      <c r="G36" s="1655"/>
      <c r="H36" s="1655"/>
      <c r="I36" s="1655"/>
      <c r="J36" s="1655"/>
      <c r="K36" s="1655"/>
      <c r="L36" s="1655"/>
      <c r="M36" s="1655"/>
      <c r="N36" s="1655"/>
      <c r="O36" s="1655"/>
      <c r="P36" s="1655"/>
      <c r="Q36" s="1655"/>
      <c r="R36" s="1655"/>
      <c r="S36" s="1655"/>
      <c r="T36" s="1655"/>
      <c r="U36" s="1655"/>
      <c r="V36" s="1655"/>
      <c r="W36" s="1655"/>
      <c r="X36" s="1655"/>
      <c r="Y36" s="1655"/>
      <c r="Z36" s="1655"/>
      <c r="AA36" s="1655"/>
      <c r="AB36" s="1655"/>
      <c r="AC36" s="1655"/>
      <c r="AD36" s="1655"/>
      <c r="AE36" s="1655"/>
      <c r="AF36" s="1655"/>
      <c r="AG36" s="1655"/>
      <c r="AH36" s="1655"/>
      <c r="AI36" s="1655"/>
      <c r="AJ36" s="1655"/>
      <c r="AK36" s="1655"/>
      <c r="AL36" s="1655"/>
      <c r="AM36" s="1655"/>
      <c r="AN36" s="1655"/>
      <c r="AO36" s="1655"/>
      <c r="AP36" s="1655"/>
      <c r="AQ36" s="1655"/>
      <c r="AR36" s="1655"/>
      <c r="AS36" s="1655"/>
      <c r="AT36" s="1655"/>
      <c r="AU36" s="1655"/>
      <c r="AV36" s="1655"/>
      <c r="AW36" s="1655"/>
      <c r="AX36" s="1655"/>
      <c r="AY36" s="1655"/>
      <c r="AZ36" s="1655"/>
      <c r="BA36" s="1655"/>
      <c r="BB36" s="1655"/>
      <c r="BC36" s="291"/>
      <c r="BD36" s="1527"/>
      <c r="BE36" s="1646"/>
      <c r="BF36" s="122"/>
      <c r="BG36" s="122"/>
      <c r="BH36" s="122"/>
      <c r="BI36" s="122"/>
      <c r="BJ36" s="122"/>
      <c r="BK36" s="122"/>
      <c r="BL36" s="120"/>
      <c r="BM36" s="1647"/>
      <c r="BN36" s="120"/>
      <c r="BO36" s="1647"/>
      <c r="BP36" s="122"/>
      <c r="BQ36" s="120"/>
      <c r="BR36" s="1650">
        <f t="shared" si="4"/>
        <v>0</v>
      </c>
      <c r="BS36" s="120"/>
      <c r="BT36" s="291"/>
      <c r="BU36" s="1652"/>
      <c r="BV36" s="1656"/>
    </row>
    <row r="37">
      <c r="A37" s="1657"/>
      <c r="B37" s="291"/>
      <c r="C37" s="1658"/>
      <c r="D37" s="1611"/>
      <c r="E37" s="1611"/>
      <c r="F37" s="1611"/>
      <c r="G37" s="1611"/>
      <c r="H37" s="1611"/>
      <c r="I37" s="1611"/>
      <c r="J37" s="1611"/>
      <c r="K37" s="1611"/>
      <c r="L37" s="1611"/>
      <c r="M37" s="1611"/>
      <c r="N37" s="1611"/>
      <c r="O37" s="1611"/>
      <c r="P37" s="1611"/>
      <c r="Q37" s="1611"/>
      <c r="R37" s="1611"/>
      <c r="S37" s="1611"/>
      <c r="T37" s="1611"/>
      <c r="U37" s="1611"/>
      <c r="V37" s="1611"/>
      <c r="W37" s="1611"/>
      <c r="X37" s="1611"/>
      <c r="Y37" s="1611"/>
      <c r="Z37" s="1611"/>
      <c r="AA37" s="1611"/>
      <c r="AB37" s="1611"/>
      <c r="AC37" s="1611"/>
      <c r="AD37" s="1611"/>
      <c r="AE37" s="1611"/>
      <c r="AF37" s="1611"/>
      <c r="AG37" s="1611"/>
      <c r="AH37" s="1611"/>
      <c r="AI37" s="1611"/>
      <c r="AJ37" s="1611"/>
      <c r="AK37" s="1611"/>
      <c r="AL37" s="1611"/>
      <c r="AM37" s="1611"/>
      <c r="AN37" s="1611"/>
      <c r="AO37" s="1611"/>
      <c r="AP37" s="1611"/>
      <c r="AQ37" s="1611"/>
      <c r="AR37" s="1611"/>
      <c r="AS37" s="1611"/>
      <c r="AT37" s="1611"/>
      <c r="AU37" s="1611"/>
      <c r="AV37" s="1611"/>
      <c r="AW37" s="1611"/>
      <c r="AX37" s="1611"/>
      <c r="AY37" s="1611"/>
      <c r="AZ37" s="1611"/>
      <c r="BA37" s="1611"/>
      <c r="BB37" s="1612"/>
      <c r="BC37" s="291"/>
      <c r="BD37" s="1527"/>
      <c r="BE37" s="1642"/>
      <c r="BF37" s="122"/>
      <c r="BG37" s="122"/>
      <c r="BH37" s="122"/>
      <c r="BI37" s="122"/>
      <c r="BJ37" s="122"/>
      <c r="BK37" s="122"/>
      <c r="BL37" s="120"/>
      <c r="BM37" s="1618"/>
      <c r="BN37" s="120"/>
      <c r="BO37" s="1618"/>
      <c r="BP37" s="122"/>
      <c r="BQ37" s="120"/>
      <c r="BR37" s="1616">
        <f t="shared" si="4"/>
        <v>0</v>
      </c>
      <c r="BS37" s="120"/>
      <c r="BT37" s="291"/>
      <c r="BU37" s="1660"/>
      <c r="BV37" s="1656"/>
    </row>
    <row r="38">
      <c r="A38" s="1657"/>
      <c r="B38" s="291"/>
      <c r="C38" s="1658"/>
      <c r="D38" s="1611"/>
      <c r="E38" s="1611"/>
      <c r="F38" s="1611"/>
      <c r="G38" s="1611"/>
      <c r="H38" s="1611"/>
      <c r="I38" s="1611"/>
      <c r="J38" s="1611"/>
      <c r="K38" s="1611"/>
      <c r="L38" s="1611"/>
      <c r="M38" s="1611"/>
      <c r="N38" s="1611"/>
      <c r="O38" s="1611"/>
      <c r="P38" s="1611"/>
      <c r="Q38" s="1611"/>
      <c r="R38" s="1611"/>
      <c r="S38" s="1611"/>
      <c r="T38" s="1611"/>
      <c r="U38" s="1611"/>
      <c r="V38" s="1611"/>
      <c r="W38" s="1611"/>
      <c r="X38" s="1611"/>
      <c r="Y38" s="1611"/>
      <c r="Z38" s="1611"/>
      <c r="AA38" s="1611"/>
      <c r="AB38" s="1611"/>
      <c r="AC38" s="1611"/>
      <c r="AD38" s="1611"/>
      <c r="AE38" s="1611"/>
      <c r="AF38" s="1611"/>
      <c r="AG38" s="1611"/>
      <c r="AH38" s="1611"/>
      <c r="AI38" s="1611"/>
      <c r="AJ38" s="1611"/>
      <c r="AK38" s="1611"/>
      <c r="AL38" s="1611"/>
      <c r="AM38" s="1611"/>
      <c r="AN38" s="1611"/>
      <c r="AO38" s="1611"/>
      <c r="AP38" s="1611"/>
      <c r="AQ38" s="1611"/>
      <c r="AR38" s="1611"/>
      <c r="AS38" s="1611"/>
      <c r="AT38" s="1611"/>
      <c r="AU38" s="1611"/>
      <c r="AV38" s="1611"/>
      <c r="AW38" s="1611"/>
      <c r="AX38" s="1611"/>
      <c r="AY38" s="1611"/>
      <c r="AZ38" s="1611"/>
      <c r="BA38" s="1611"/>
      <c r="BB38" s="1612"/>
      <c r="BC38" s="291"/>
      <c r="BD38" s="1527"/>
      <c r="BE38" s="1646"/>
      <c r="BF38" s="122"/>
      <c r="BG38" s="122"/>
      <c r="BH38" s="122"/>
      <c r="BI38" s="122"/>
      <c r="BJ38" s="122"/>
      <c r="BK38" s="122"/>
      <c r="BL38" s="120"/>
      <c r="BM38" s="1647"/>
      <c r="BN38" s="120"/>
      <c r="BO38" s="1647"/>
      <c r="BP38" s="122"/>
      <c r="BQ38" s="120"/>
      <c r="BR38" s="1616">
        <f t="shared" si="4"/>
        <v>0</v>
      </c>
      <c r="BS38" s="120"/>
      <c r="BT38" s="291"/>
      <c r="BU38" s="1661"/>
      <c r="BV38" s="1656"/>
    </row>
    <row r="39">
      <c r="A39" s="1657"/>
      <c r="B39" s="291"/>
      <c r="C39" s="1658"/>
      <c r="D39" s="1611"/>
      <c r="E39" s="1611"/>
      <c r="F39" s="1611"/>
      <c r="G39" s="1611"/>
      <c r="H39" s="1611"/>
      <c r="I39" s="1611"/>
      <c r="J39" s="1611"/>
      <c r="K39" s="1611"/>
      <c r="L39" s="1611"/>
      <c r="M39" s="1611"/>
      <c r="N39" s="1611"/>
      <c r="O39" s="1611"/>
      <c r="P39" s="1611"/>
      <c r="Q39" s="1611"/>
      <c r="R39" s="1611"/>
      <c r="S39" s="1611"/>
      <c r="T39" s="1611"/>
      <c r="U39" s="1611"/>
      <c r="V39" s="1611"/>
      <c r="W39" s="1611"/>
      <c r="X39" s="1611"/>
      <c r="Y39" s="1611"/>
      <c r="Z39" s="1611"/>
      <c r="AA39" s="1611"/>
      <c r="AB39" s="1611"/>
      <c r="AC39" s="1611"/>
      <c r="AD39" s="1611"/>
      <c r="AE39" s="1611"/>
      <c r="AF39" s="1611"/>
      <c r="AG39" s="1611"/>
      <c r="AH39" s="1611"/>
      <c r="AI39" s="1611"/>
      <c r="AJ39" s="1611"/>
      <c r="AK39" s="1611"/>
      <c r="AL39" s="1611"/>
      <c r="AM39" s="1611"/>
      <c r="AN39" s="1611"/>
      <c r="AO39" s="1611"/>
      <c r="AP39" s="1611"/>
      <c r="AQ39" s="1611"/>
      <c r="AR39" s="1611"/>
      <c r="AS39" s="1611"/>
      <c r="AT39" s="1611"/>
      <c r="AU39" s="1611"/>
      <c r="AV39" s="1611"/>
      <c r="AW39" s="1611"/>
      <c r="AX39" s="1611"/>
      <c r="AY39" s="1611"/>
      <c r="AZ39" s="1611"/>
      <c r="BA39" s="1611"/>
      <c r="BB39" s="1612"/>
      <c r="BC39" s="291"/>
      <c r="BD39" s="1527"/>
      <c r="BE39" s="1642"/>
      <c r="BF39" s="122"/>
      <c r="BG39" s="122"/>
      <c r="BH39" s="122"/>
      <c r="BI39" s="122"/>
      <c r="BJ39" s="122"/>
      <c r="BK39" s="122"/>
      <c r="BL39" s="120"/>
      <c r="BM39" s="1618"/>
      <c r="BN39" s="120"/>
      <c r="BO39" s="1618"/>
      <c r="BP39" s="122"/>
      <c r="BQ39" s="120"/>
      <c r="BR39" s="1616">
        <f t="shared" si="4"/>
        <v>0</v>
      </c>
      <c r="BS39" s="120"/>
      <c r="BT39" s="291"/>
      <c r="BU39" s="1661"/>
      <c r="BV39" s="1656"/>
    </row>
    <row r="40">
      <c r="A40" s="1657"/>
      <c r="B40" s="291"/>
      <c r="C40" s="1658"/>
      <c r="D40" s="1611"/>
      <c r="E40" s="1611"/>
      <c r="F40" s="1611"/>
      <c r="G40" s="1611"/>
      <c r="H40" s="1611"/>
      <c r="I40" s="1611"/>
      <c r="J40" s="1611"/>
      <c r="K40" s="1611"/>
      <c r="L40" s="1611"/>
      <c r="M40" s="1611"/>
      <c r="N40" s="1611"/>
      <c r="O40" s="1611"/>
      <c r="P40" s="1611"/>
      <c r="Q40" s="1611"/>
      <c r="R40" s="1611"/>
      <c r="S40" s="1611"/>
      <c r="T40" s="1611"/>
      <c r="U40" s="1611"/>
      <c r="V40" s="1611"/>
      <c r="W40" s="1611"/>
      <c r="X40" s="1611"/>
      <c r="Y40" s="1611"/>
      <c r="Z40" s="1611"/>
      <c r="AA40" s="1611"/>
      <c r="AB40" s="1611"/>
      <c r="AC40" s="1611"/>
      <c r="AD40" s="1611"/>
      <c r="AE40" s="1611"/>
      <c r="AF40" s="1611"/>
      <c r="AG40" s="1611"/>
      <c r="AH40" s="1611"/>
      <c r="AI40" s="1611"/>
      <c r="AJ40" s="1611"/>
      <c r="AK40" s="1611"/>
      <c r="AL40" s="1611"/>
      <c r="AM40" s="1611"/>
      <c r="AN40" s="1611"/>
      <c r="AO40" s="1611"/>
      <c r="AP40" s="1611"/>
      <c r="AQ40" s="1611"/>
      <c r="AR40" s="1611"/>
      <c r="AS40" s="1611"/>
      <c r="AT40" s="1611"/>
      <c r="AU40" s="1611"/>
      <c r="AV40" s="1611"/>
      <c r="AW40" s="1611"/>
      <c r="AX40" s="1611"/>
      <c r="AY40" s="1611"/>
      <c r="AZ40" s="1611"/>
      <c r="BA40" s="1611"/>
      <c r="BB40" s="1612"/>
      <c r="BC40" s="291"/>
      <c r="BD40" s="1527"/>
      <c r="BE40" s="1646"/>
      <c r="BF40" s="122"/>
      <c r="BG40" s="122"/>
      <c r="BH40" s="122"/>
      <c r="BI40" s="122"/>
      <c r="BJ40" s="122"/>
      <c r="BK40" s="122"/>
      <c r="BL40" s="120"/>
      <c r="BM40" s="1647"/>
      <c r="BN40" s="120"/>
      <c r="BO40" s="1647"/>
      <c r="BP40" s="122"/>
      <c r="BQ40" s="120"/>
      <c r="BR40" s="1616">
        <f t="shared" si="4"/>
        <v>0</v>
      </c>
      <c r="BS40" s="120"/>
      <c r="BT40" s="291"/>
      <c r="BU40" s="1661"/>
      <c r="BV40" s="1656"/>
    </row>
    <row r="41">
      <c r="A41" s="1657"/>
      <c r="B41" s="291"/>
      <c r="C41" s="1658"/>
      <c r="D41" s="1611"/>
      <c r="E41" s="1611"/>
      <c r="F41" s="1611"/>
      <c r="G41" s="1611"/>
      <c r="H41" s="1611"/>
      <c r="I41" s="1611"/>
      <c r="J41" s="1611"/>
      <c r="K41" s="1611"/>
      <c r="L41" s="1611"/>
      <c r="M41" s="1611"/>
      <c r="N41" s="1611"/>
      <c r="O41" s="1611"/>
      <c r="P41" s="1611"/>
      <c r="Q41" s="1611"/>
      <c r="R41" s="1611"/>
      <c r="S41" s="1611"/>
      <c r="T41" s="1611"/>
      <c r="U41" s="1611"/>
      <c r="V41" s="1611"/>
      <c r="W41" s="1611"/>
      <c r="X41" s="1611"/>
      <c r="Y41" s="1611"/>
      <c r="Z41" s="1611"/>
      <c r="AA41" s="1611"/>
      <c r="AB41" s="1611"/>
      <c r="AC41" s="1611"/>
      <c r="AD41" s="1611"/>
      <c r="AE41" s="1611"/>
      <c r="AF41" s="1611"/>
      <c r="AG41" s="1611"/>
      <c r="AH41" s="1611"/>
      <c r="AI41" s="1611"/>
      <c r="AJ41" s="1611"/>
      <c r="AK41" s="1611"/>
      <c r="AL41" s="1611"/>
      <c r="AM41" s="1611"/>
      <c r="AN41" s="1611"/>
      <c r="AO41" s="1611"/>
      <c r="AP41" s="1611"/>
      <c r="AQ41" s="1611"/>
      <c r="AR41" s="1611"/>
      <c r="AS41" s="1611"/>
      <c r="AT41" s="1611"/>
      <c r="AU41" s="1611"/>
      <c r="AV41" s="1611"/>
      <c r="AW41" s="1611"/>
      <c r="AX41" s="1611"/>
      <c r="AY41" s="1611"/>
      <c r="AZ41" s="1611"/>
      <c r="BA41" s="1611"/>
      <c r="BB41" s="1612"/>
      <c r="BC41" s="291"/>
      <c r="BD41" s="1527"/>
      <c r="BE41" s="1642"/>
      <c r="BF41" s="122"/>
      <c r="BG41" s="122"/>
      <c r="BH41" s="122"/>
      <c r="BI41" s="122"/>
      <c r="BJ41" s="122"/>
      <c r="BK41" s="122"/>
      <c r="BL41" s="120"/>
      <c r="BM41" s="1618"/>
      <c r="BN41" s="120"/>
      <c r="BO41" s="1618"/>
      <c r="BP41" s="122"/>
      <c r="BQ41" s="120"/>
      <c r="BR41" s="1616">
        <f t="shared" si="4"/>
        <v>0</v>
      </c>
      <c r="BS41" s="120"/>
      <c r="BT41" s="291"/>
      <c r="BU41" s="1661"/>
      <c r="BV41" s="1656"/>
    </row>
    <row r="42">
      <c r="A42" s="1652"/>
      <c r="B42" s="291"/>
      <c r="C42" s="1653"/>
      <c r="BC42" s="291"/>
      <c r="BD42" s="1527"/>
      <c r="BE42" s="1646"/>
      <c r="BF42" s="122"/>
      <c r="BG42" s="122"/>
      <c r="BH42" s="122"/>
      <c r="BI42" s="122"/>
      <c r="BJ42" s="122"/>
      <c r="BK42" s="122"/>
      <c r="BL42" s="120"/>
      <c r="BM42" s="1647"/>
      <c r="BN42" s="120"/>
      <c r="BO42" s="1647"/>
      <c r="BP42" s="122"/>
      <c r="BQ42" s="120"/>
      <c r="BR42" s="1616">
        <f t="shared" si="4"/>
        <v>0</v>
      </c>
      <c r="BS42" s="120"/>
      <c r="BT42" s="291"/>
      <c r="BU42" s="1652"/>
      <c r="BV42" s="1656"/>
    </row>
    <row r="43">
      <c r="A43" s="1652"/>
      <c r="B43" s="291"/>
      <c r="C43" s="1633" t="s">
        <v>2316</v>
      </c>
      <c r="D43" s="1655"/>
      <c r="E43" s="1655"/>
      <c r="F43" s="1655"/>
      <c r="G43" s="1655"/>
      <c r="H43" s="1655"/>
      <c r="I43" s="1655"/>
      <c r="J43" s="1655"/>
      <c r="K43" s="1655"/>
      <c r="L43" s="1655"/>
      <c r="M43" s="1655"/>
      <c r="N43" s="1655"/>
      <c r="O43" s="1655"/>
      <c r="P43" s="1655"/>
      <c r="Q43" s="1655"/>
      <c r="R43" s="1655"/>
      <c r="S43" s="1655"/>
      <c r="T43" s="1655"/>
      <c r="U43" s="1655"/>
      <c r="V43" s="1655"/>
      <c r="W43" s="1655"/>
      <c r="X43" s="1655"/>
      <c r="Y43" s="1655"/>
      <c r="Z43" s="1655"/>
      <c r="AA43" s="1655"/>
      <c r="AB43" s="1655"/>
      <c r="AC43" s="1655"/>
      <c r="AD43" s="1655"/>
      <c r="AE43" s="1655"/>
      <c r="AF43" s="1655"/>
      <c r="AG43" s="1655"/>
      <c r="AH43" s="1655"/>
      <c r="AI43" s="1655"/>
      <c r="AJ43" s="1655"/>
      <c r="AK43" s="1655"/>
      <c r="AL43" s="1655"/>
      <c r="AM43" s="1655"/>
      <c r="AN43" s="1655"/>
      <c r="AO43" s="1655"/>
      <c r="AP43" s="1655"/>
      <c r="AQ43" s="1655"/>
      <c r="AR43" s="1655"/>
      <c r="AS43" s="1655"/>
      <c r="AT43" s="1655"/>
      <c r="AU43" s="1655"/>
      <c r="AV43" s="1655"/>
      <c r="AW43" s="1655"/>
      <c r="AX43" s="1655"/>
      <c r="AY43" s="1655"/>
      <c r="AZ43" s="1655"/>
      <c r="BA43" s="1655"/>
      <c r="BB43" s="1655"/>
      <c r="BC43" s="291"/>
      <c r="BD43" s="1527"/>
      <c r="BE43" s="1642"/>
      <c r="BF43" s="122"/>
      <c r="BG43" s="122"/>
      <c r="BH43" s="122"/>
      <c r="BI43" s="122"/>
      <c r="BJ43" s="122"/>
      <c r="BK43" s="122"/>
      <c r="BL43" s="120"/>
      <c r="BM43" s="1618"/>
      <c r="BN43" s="120"/>
      <c r="BO43" s="1618"/>
      <c r="BP43" s="122"/>
      <c r="BQ43" s="120"/>
      <c r="BR43" s="1616">
        <f t="shared" si="4"/>
        <v>0</v>
      </c>
      <c r="BS43" s="120"/>
      <c r="BT43" s="1534"/>
      <c r="BU43" s="1652"/>
      <c r="BV43" s="1656"/>
    </row>
    <row r="44">
      <c r="A44" s="1657"/>
      <c r="B44" s="291"/>
      <c r="C44" s="1658"/>
      <c r="D44" s="1611"/>
      <c r="E44" s="1611"/>
      <c r="F44" s="1611"/>
      <c r="G44" s="1611"/>
      <c r="H44" s="1611"/>
      <c r="I44" s="1611"/>
      <c r="J44" s="1611"/>
      <c r="K44" s="1611"/>
      <c r="L44" s="1611"/>
      <c r="M44" s="1611"/>
      <c r="N44" s="1611"/>
      <c r="O44" s="1611"/>
      <c r="P44" s="1611"/>
      <c r="Q44" s="1611"/>
      <c r="R44" s="1611"/>
      <c r="S44" s="1611"/>
      <c r="T44" s="1611"/>
      <c r="U44" s="1611"/>
      <c r="V44" s="1611"/>
      <c r="W44" s="1611"/>
      <c r="X44" s="1611"/>
      <c r="Y44" s="1611"/>
      <c r="Z44" s="1611"/>
      <c r="AA44" s="1611"/>
      <c r="AB44" s="1611"/>
      <c r="AC44" s="1611"/>
      <c r="AD44" s="1611"/>
      <c r="AE44" s="1611"/>
      <c r="AF44" s="1611"/>
      <c r="AG44" s="1611"/>
      <c r="AH44" s="1611"/>
      <c r="AI44" s="1611"/>
      <c r="AJ44" s="1611"/>
      <c r="AK44" s="1611"/>
      <c r="AL44" s="1611"/>
      <c r="AM44" s="1611"/>
      <c r="AN44" s="1611"/>
      <c r="AO44" s="1611"/>
      <c r="AP44" s="1611"/>
      <c r="AQ44" s="1611"/>
      <c r="AR44" s="1611"/>
      <c r="AS44" s="1611"/>
      <c r="AT44" s="1611"/>
      <c r="AU44" s="1611"/>
      <c r="AV44" s="1611"/>
      <c r="AW44" s="1611"/>
      <c r="AX44" s="1611"/>
      <c r="AY44" s="1611"/>
      <c r="AZ44" s="1611"/>
      <c r="BA44" s="1611"/>
      <c r="BB44" s="1612"/>
      <c r="BC44" s="291"/>
      <c r="BD44" s="1527"/>
      <c r="BE44" s="1646"/>
      <c r="BF44" s="122"/>
      <c r="BG44" s="122"/>
      <c r="BH44" s="122"/>
      <c r="BI44" s="122"/>
      <c r="BJ44" s="122"/>
      <c r="BK44" s="122"/>
      <c r="BL44" s="120"/>
      <c r="BM44" s="1647"/>
      <c r="BN44" s="120"/>
      <c r="BO44" s="1647"/>
      <c r="BP44" s="122"/>
      <c r="BQ44" s="120"/>
      <c r="BR44" s="1616">
        <f t="shared" si="4"/>
        <v>0</v>
      </c>
      <c r="BS44" s="120"/>
      <c r="BT44" s="1534"/>
      <c r="BU44" s="1660"/>
      <c r="BV44" s="1656"/>
    </row>
    <row r="45">
      <c r="A45" s="1657"/>
      <c r="B45" s="291"/>
      <c r="C45" s="1658"/>
      <c r="D45" s="1611"/>
      <c r="E45" s="1611"/>
      <c r="F45" s="1611"/>
      <c r="G45" s="1611"/>
      <c r="H45" s="1611"/>
      <c r="I45" s="1611"/>
      <c r="J45" s="1611"/>
      <c r="K45" s="1611"/>
      <c r="L45" s="1611"/>
      <c r="M45" s="1611"/>
      <c r="N45" s="1611"/>
      <c r="O45" s="1611"/>
      <c r="P45" s="1611"/>
      <c r="Q45" s="1611"/>
      <c r="R45" s="1611"/>
      <c r="S45" s="1611"/>
      <c r="T45" s="1611"/>
      <c r="U45" s="1611"/>
      <c r="V45" s="1611"/>
      <c r="W45" s="1611"/>
      <c r="X45" s="1611"/>
      <c r="Y45" s="1611"/>
      <c r="Z45" s="1611"/>
      <c r="AA45" s="1611"/>
      <c r="AB45" s="1611"/>
      <c r="AC45" s="1611"/>
      <c r="AD45" s="1611"/>
      <c r="AE45" s="1611"/>
      <c r="AF45" s="1611"/>
      <c r="AG45" s="1611"/>
      <c r="AH45" s="1611"/>
      <c r="AI45" s="1611"/>
      <c r="AJ45" s="1611"/>
      <c r="AK45" s="1611"/>
      <c r="AL45" s="1611"/>
      <c r="AM45" s="1611"/>
      <c r="AN45" s="1611"/>
      <c r="AO45" s="1611"/>
      <c r="AP45" s="1611"/>
      <c r="AQ45" s="1611"/>
      <c r="AR45" s="1611"/>
      <c r="AS45" s="1611"/>
      <c r="AT45" s="1611"/>
      <c r="AU45" s="1611"/>
      <c r="AV45" s="1611"/>
      <c r="AW45" s="1611"/>
      <c r="AX45" s="1611"/>
      <c r="AY45" s="1611"/>
      <c r="AZ45" s="1611"/>
      <c r="BA45" s="1611"/>
      <c r="BB45" s="1612"/>
      <c r="BC45" s="291"/>
      <c r="BD45" s="1527"/>
      <c r="BE45" s="1642"/>
      <c r="BF45" s="122"/>
      <c r="BG45" s="122"/>
      <c r="BH45" s="122"/>
      <c r="BI45" s="122"/>
      <c r="BJ45" s="122"/>
      <c r="BK45" s="122"/>
      <c r="BL45" s="120"/>
      <c r="BM45" s="1618"/>
      <c r="BN45" s="120"/>
      <c r="BO45" s="1618"/>
      <c r="BP45" s="122"/>
      <c r="BQ45" s="120"/>
      <c r="BR45" s="1616">
        <f t="shared" si="4"/>
        <v>0</v>
      </c>
      <c r="BS45" s="120"/>
      <c r="BT45" s="1534"/>
      <c r="BU45" s="1661"/>
      <c r="BV45" s="1656"/>
    </row>
    <row r="46">
      <c r="A46" s="1657"/>
      <c r="B46" s="291"/>
      <c r="C46" s="1658"/>
      <c r="D46" s="1611"/>
      <c r="E46" s="1611"/>
      <c r="F46" s="1611"/>
      <c r="G46" s="1611"/>
      <c r="H46" s="1611"/>
      <c r="I46" s="1611"/>
      <c r="J46" s="1611"/>
      <c r="K46" s="1611"/>
      <c r="L46" s="1611"/>
      <c r="M46" s="1611"/>
      <c r="N46" s="1611"/>
      <c r="O46" s="1611"/>
      <c r="P46" s="1611"/>
      <c r="Q46" s="1611"/>
      <c r="R46" s="1611"/>
      <c r="S46" s="1611"/>
      <c r="T46" s="1611"/>
      <c r="U46" s="1611"/>
      <c r="V46" s="1611"/>
      <c r="W46" s="1611"/>
      <c r="X46" s="1611"/>
      <c r="Y46" s="1611"/>
      <c r="Z46" s="1611"/>
      <c r="AA46" s="1611"/>
      <c r="AB46" s="1611"/>
      <c r="AC46" s="1611"/>
      <c r="AD46" s="1611"/>
      <c r="AE46" s="1611"/>
      <c r="AF46" s="1611"/>
      <c r="AG46" s="1611"/>
      <c r="AH46" s="1611"/>
      <c r="AI46" s="1611"/>
      <c r="AJ46" s="1611"/>
      <c r="AK46" s="1611"/>
      <c r="AL46" s="1611"/>
      <c r="AM46" s="1611"/>
      <c r="AN46" s="1611"/>
      <c r="AO46" s="1611"/>
      <c r="AP46" s="1611"/>
      <c r="AQ46" s="1611"/>
      <c r="AR46" s="1611"/>
      <c r="AS46" s="1611"/>
      <c r="AT46" s="1611"/>
      <c r="AU46" s="1611"/>
      <c r="AV46" s="1611"/>
      <c r="AW46" s="1611"/>
      <c r="AX46" s="1611"/>
      <c r="AY46" s="1611"/>
      <c r="AZ46" s="1611"/>
      <c r="BA46" s="1611"/>
      <c r="BB46" s="1612"/>
      <c r="BC46" s="291"/>
      <c r="BD46" s="1527"/>
      <c r="BE46" s="1646"/>
      <c r="BF46" s="122"/>
      <c r="BG46" s="122"/>
      <c r="BH46" s="122"/>
      <c r="BI46" s="122"/>
      <c r="BJ46" s="122"/>
      <c r="BK46" s="122"/>
      <c r="BL46" s="120"/>
      <c r="BM46" s="1647"/>
      <c r="BN46" s="120"/>
      <c r="BO46" s="1647"/>
      <c r="BP46" s="122"/>
      <c r="BQ46" s="120"/>
      <c r="BR46" s="1616">
        <f t="shared" si="4"/>
        <v>0</v>
      </c>
      <c r="BS46" s="120"/>
      <c r="BT46" s="1534"/>
      <c r="BU46" s="1661"/>
      <c r="BV46" s="1656"/>
    </row>
    <row r="47">
      <c r="A47" s="1657"/>
      <c r="B47" s="291"/>
      <c r="C47" s="1658"/>
      <c r="D47" s="1611"/>
      <c r="E47" s="1611"/>
      <c r="F47" s="1611"/>
      <c r="G47" s="1611"/>
      <c r="H47" s="1611"/>
      <c r="I47" s="1611"/>
      <c r="J47" s="1611"/>
      <c r="K47" s="1611"/>
      <c r="L47" s="1611"/>
      <c r="M47" s="1611"/>
      <c r="N47" s="1611"/>
      <c r="O47" s="1611"/>
      <c r="P47" s="1611"/>
      <c r="Q47" s="1611"/>
      <c r="R47" s="1611"/>
      <c r="S47" s="1611"/>
      <c r="T47" s="1611"/>
      <c r="U47" s="1611"/>
      <c r="V47" s="1611"/>
      <c r="W47" s="1611"/>
      <c r="X47" s="1611"/>
      <c r="Y47" s="1611"/>
      <c r="Z47" s="1611"/>
      <c r="AA47" s="1611"/>
      <c r="AB47" s="1611"/>
      <c r="AC47" s="1611"/>
      <c r="AD47" s="1611"/>
      <c r="AE47" s="1611"/>
      <c r="AF47" s="1611"/>
      <c r="AG47" s="1611"/>
      <c r="AH47" s="1611"/>
      <c r="AI47" s="1611"/>
      <c r="AJ47" s="1611"/>
      <c r="AK47" s="1611"/>
      <c r="AL47" s="1611"/>
      <c r="AM47" s="1611"/>
      <c r="AN47" s="1611"/>
      <c r="AO47" s="1611"/>
      <c r="AP47" s="1611"/>
      <c r="AQ47" s="1611"/>
      <c r="AR47" s="1611"/>
      <c r="AS47" s="1611"/>
      <c r="AT47" s="1611"/>
      <c r="AU47" s="1611"/>
      <c r="AV47" s="1611"/>
      <c r="AW47" s="1611"/>
      <c r="AX47" s="1611"/>
      <c r="AY47" s="1611"/>
      <c r="AZ47" s="1611"/>
      <c r="BA47" s="1611"/>
      <c r="BB47" s="1612"/>
      <c r="BC47" s="291"/>
      <c r="BD47" s="1527"/>
      <c r="BE47" s="1642"/>
      <c r="BF47" s="122"/>
      <c r="BG47" s="122"/>
      <c r="BH47" s="122"/>
      <c r="BI47" s="122"/>
      <c r="BJ47" s="122"/>
      <c r="BK47" s="122"/>
      <c r="BL47" s="120"/>
      <c r="BM47" s="1618"/>
      <c r="BN47" s="120"/>
      <c r="BO47" s="1618"/>
      <c r="BP47" s="122"/>
      <c r="BQ47" s="120"/>
      <c r="BR47" s="1616">
        <f t="shared" si="4"/>
        <v>0</v>
      </c>
      <c r="BS47" s="120"/>
      <c r="BT47" s="1534"/>
      <c r="BU47" s="1661"/>
      <c r="BV47" s="1656"/>
    </row>
    <row r="48">
      <c r="A48" s="1652"/>
      <c r="B48" s="291"/>
      <c r="C48" s="1653"/>
      <c r="BC48" s="291"/>
      <c r="BD48" s="1527"/>
      <c r="BE48" s="1646"/>
      <c r="BF48" s="122"/>
      <c r="BG48" s="122"/>
      <c r="BH48" s="122"/>
      <c r="BI48" s="122"/>
      <c r="BJ48" s="122"/>
      <c r="BK48" s="122"/>
      <c r="BL48" s="120"/>
      <c r="BM48" s="1647"/>
      <c r="BN48" s="120"/>
      <c r="BO48" s="1647"/>
      <c r="BP48" s="122"/>
      <c r="BQ48" s="120"/>
      <c r="BR48" s="1616">
        <f t="shared" si="4"/>
        <v>0</v>
      </c>
      <c r="BS48" s="120"/>
      <c r="BT48" s="291"/>
      <c r="BU48" s="1652"/>
      <c r="BV48" s="1656"/>
    </row>
    <row r="49">
      <c r="A49" s="1652"/>
      <c r="B49" s="291"/>
      <c r="C49" s="1633" t="s">
        <v>4152</v>
      </c>
      <c r="D49" s="1655"/>
      <c r="E49" s="1655"/>
      <c r="F49" s="1655"/>
      <c r="G49" s="1655"/>
      <c r="H49" s="1655"/>
      <c r="I49" s="1655"/>
      <c r="J49" s="1655"/>
      <c r="K49" s="1655"/>
      <c r="L49" s="1655"/>
      <c r="M49" s="1655"/>
      <c r="N49" s="1655"/>
      <c r="O49" s="1655"/>
      <c r="P49" s="1655"/>
      <c r="Q49" s="1655"/>
      <c r="R49" s="1655"/>
      <c r="S49" s="1655"/>
      <c r="T49" s="1655"/>
      <c r="U49" s="1655"/>
      <c r="V49" s="1655"/>
      <c r="W49" s="1655"/>
      <c r="X49" s="1655"/>
      <c r="Y49" s="1655"/>
      <c r="Z49" s="1655"/>
      <c r="AA49" s="1655"/>
      <c r="AB49" s="1655"/>
      <c r="AC49" s="1655"/>
      <c r="AD49" s="1655"/>
      <c r="AE49" s="1655"/>
      <c r="AF49" s="1655"/>
      <c r="AG49" s="1655"/>
      <c r="AH49" s="1655"/>
      <c r="AI49" s="1655"/>
      <c r="AJ49" s="1655"/>
      <c r="AK49" s="1655"/>
      <c r="AL49" s="1655"/>
      <c r="AM49" s="1655"/>
      <c r="AN49" s="1655"/>
      <c r="AO49" s="1655"/>
      <c r="AP49" s="1655"/>
      <c r="AQ49" s="1655"/>
      <c r="AR49" s="1655"/>
      <c r="AS49" s="1655"/>
      <c r="AT49" s="1655"/>
      <c r="AU49" s="1655"/>
      <c r="AV49" s="1655"/>
      <c r="AW49" s="1655"/>
      <c r="AX49" s="1655"/>
      <c r="AY49" s="1655"/>
      <c r="AZ49" s="1655"/>
      <c r="BA49" s="1655"/>
      <c r="BB49" s="1655"/>
      <c r="BC49" s="291"/>
      <c r="BD49" s="1527"/>
      <c r="BE49" s="1642"/>
      <c r="BF49" s="122"/>
      <c r="BG49" s="122"/>
      <c r="BH49" s="122"/>
      <c r="BI49" s="122"/>
      <c r="BJ49" s="122"/>
      <c r="BK49" s="122"/>
      <c r="BL49" s="120"/>
      <c r="BM49" s="1618"/>
      <c r="BN49" s="120"/>
      <c r="BO49" s="1618"/>
      <c r="BP49" s="122"/>
      <c r="BQ49" s="120"/>
      <c r="BR49" s="1616">
        <f t="shared" si="4"/>
        <v>0</v>
      </c>
      <c r="BS49" s="120"/>
      <c r="BT49" s="291"/>
      <c r="BU49" s="1652"/>
      <c r="BV49" s="1659"/>
    </row>
    <row r="50">
      <c r="A50" s="1652"/>
      <c r="B50" s="291"/>
      <c r="C50" s="1658"/>
      <c r="D50" s="1611"/>
      <c r="E50" s="1611"/>
      <c r="F50" s="1611"/>
      <c r="G50" s="1611"/>
      <c r="H50" s="1611"/>
      <c r="I50" s="1611"/>
      <c r="J50" s="1611"/>
      <c r="K50" s="1611"/>
      <c r="L50" s="1611"/>
      <c r="M50" s="1611"/>
      <c r="N50" s="1611"/>
      <c r="O50" s="1611"/>
      <c r="P50" s="1611"/>
      <c r="Q50" s="1611"/>
      <c r="R50" s="1611"/>
      <c r="S50" s="1611"/>
      <c r="T50" s="1611"/>
      <c r="U50" s="1611"/>
      <c r="V50" s="1611"/>
      <c r="W50" s="1611"/>
      <c r="X50" s="1611"/>
      <c r="Y50" s="1611"/>
      <c r="Z50" s="1611"/>
      <c r="AA50" s="1611"/>
      <c r="AB50" s="1611"/>
      <c r="AC50" s="1611"/>
      <c r="AD50" s="1611"/>
      <c r="AE50" s="1611"/>
      <c r="AF50" s="1611"/>
      <c r="AG50" s="1611"/>
      <c r="AH50" s="1611"/>
      <c r="AI50" s="1611"/>
      <c r="AJ50" s="1611"/>
      <c r="AK50" s="1611"/>
      <c r="AL50" s="1611"/>
      <c r="AM50" s="1611"/>
      <c r="AN50" s="1611"/>
      <c r="AO50" s="1611"/>
      <c r="AP50" s="1611"/>
      <c r="AQ50" s="1611"/>
      <c r="AR50" s="1611"/>
      <c r="AS50" s="1611"/>
      <c r="AT50" s="1611"/>
      <c r="AU50" s="1611"/>
      <c r="AV50" s="1611"/>
      <c r="AW50" s="1611"/>
      <c r="AX50" s="1611"/>
      <c r="AY50" s="1611"/>
      <c r="AZ50" s="1611"/>
      <c r="BA50" s="1611"/>
      <c r="BB50" s="1612"/>
      <c r="BC50" s="291"/>
      <c r="BD50" s="1527"/>
      <c r="BE50" s="1646"/>
      <c r="BF50" s="122"/>
      <c r="BG50" s="122"/>
      <c r="BH50" s="122"/>
      <c r="BI50" s="122"/>
      <c r="BJ50" s="122"/>
      <c r="BK50" s="122"/>
      <c r="BL50" s="120"/>
      <c r="BM50" s="1647"/>
      <c r="BN50" s="120"/>
      <c r="BO50" s="1647"/>
      <c r="BP50" s="122"/>
      <c r="BQ50" s="120"/>
      <c r="BR50" s="1616">
        <f t="shared" si="4"/>
        <v>0</v>
      </c>
      <c r="BS50" s="120"/>
      <c r="BT50" s="291"/>
      <c r="BU50" s="1652"/>
      <c r="BV50" s="1659"/>
    </row>
    <row r="51">
      <c r="A51" s="1652"/>
      <c r="B51" s="291"/>
      <c r="C51" s="1658"/>
      <c r="D51" s="1611"/>
      <c r="E51" s="1611"/>
      <c r="F51" s="1611"/>
      <c r="G51" s="1611"/>
      <c r="H51" s="1611"/>
      <c r="I51" s="1611"/>
      <c r="J51" s="1611"/>
      <c r="K51" s="1611"/>
      <c r="L51" s="1611"/>
      <c r="M51" s="1611"/>
      <c r="N51" s="1611"/>
      <c r="O51" s="1611"/>
      <c r="P51" s="1611"/>
      <c r="Q51" s="1611"/>
      <c r="R51" s="1611"/>
      <c r="S51" s="1611"/>
      <c r="T51" s="1611"/>
      <c r="U51" s="1611"/>
      <c r="V51" s="1611"/>
      <c r="W51" s="1611"/>
      <c r="X51" s="1611"/>
      <c r="Y51" s="1611"/>
      <c r="Z51" s="1611"/>
      <c r="AA51" s="1611"/>
      <c r="AB51" s="1611"/>
      <c r="AC51" s="1611"/>
      <c r="AD51" s="1611"/>
      <c r="AE51" s="1611"/>
      <c r="AF51" s="1611"/>
      <c r="AG51" s="1611"/>
      <c r="AH51" s="1611"/>
      <c r="AI51" s="1611"/>
      <c r="AJ51" s="1611"/>
      <c r="AK51" s="1611"/>
      <c r="AL51" s="1611"/>
      <c r="AM51" s="1611"/>
      <c r="AN51" s="1611"/>
      <c r="AO51" s="1611"/>
      <c r="AP51" s="1611"/>
      <c r="AQ51" s="1611"/>
      <c r="AR51" s="1611"/>
      <c r="AS51" s="1611"/>
      <c r="AT51" s="1611"/>
      <c r="AU51" s="1611"/>
      <c r="AV51" s="1611"/>
      <c r="AW51" s="1611"/>
      <c r="AX51" s="1611"/>
      <c r="AY51" s="1611"/>
      <c r="AZ51" s="1611"/>
      <c r="BA51" s="1611"/>
      <c r="BB51" s="1612"/>
      <c r="BC51" s="291"/>
      <c r="BD51" s="1527"/>
      <c r="BE51" s="1642"/>
      <c r="BF51" s="122"/>
      <c r="BG51" s="122"/>
      <c r="BH51" s="122"/>
      <c r="BI51" s="122"/>
      <c r="BJ51" s="122"/>
      <c r="BK51" s="122"/>
      <c r="BL51" s="120"/>
      <c r="BM51" s="1618"/>
      <c r="BN51" s="120"/>
      <c r="BO51" s="1618"/>
      <c r="BP51" s="122"/>
      <c r="BQ51" s="120"/>
      <c r="BR51" s="1616">
        <f t="shared" si="4"/>
        <v>0</v>
      </c>
      <c r="BS51" s="120"/>
      <c r="BT51" s="291"/>
      <c r="BU51" s="1652"/>
      <c r="BV51" s="1659"/>
    </row>
    <row r="52">
      <c r="A52" s="1652"/>
      <c r="B52" s="291"/>
      <c r="C52" s="1658"/>
      <c r="D52" s="1611"/>
      <c r="E52" s="1611"/>
      <c r="F52" s="1611"/>
      <c r="G52" s="1611"/>
      <c r="H52" s="1611"/>
      <c r="I52" s="1611"/>
      <c r="J52" s="1611"/>
      <c r="K52" s="1611"/>
      <c r="L52" s="1611"/>
      <c r="M52" s="1611"/>
      <c r="N52" s="1611"/>
      <c r="O52" s="1611"/>
      <c r="P52" s="1611"/>
      <c r="Q52" s="1611"/>
      <c r="R52" s="1611"/>
      <c r="S52" s="1611"/>
      <c r="T52" s="1611"/>
      <c r="U52" s="1611"/>
      <c r="V52" s="1611"/>
      <c r="W52" s="1611"/>
      <c r="X52" s="1611"/>
      <c r="Y52" s="1611"/>
      <c r="Z52" s="1611"/>
      <c r="AA52" s="1611"/>
      <c r="AB52" s="1611"/>
      <c r="AC52" s="1611"/>
      <c r="AD52" s="1611"/>
      <c r="AE52" s="1611"/>
      <c r="AF52" s="1611"/>
      <c r="AG52" s="1611"/>
      <c r="AH52" s="1611"/>
      <c r="AI52" s="1611"/>
      <c r="AJ52" s="1611"/>
      <c r="AK52" s="1611"/>
      <c r="AL52" s="1611"/>
      <c r="AM52" s="1611"/>
      <c r="AN52" s="1611"/>
      <c r="AO52" s="1611"/>
      <c r="AP52" s="1611"/>
      <c r="AQ52" s="1611"/>
      <c r="AR52" s="1611"/>
      <c r="AS52" s="1611"/>
      <c r="AT52" s="1611"/>
      <c r="AU52" s="1611"/>
      <c r="AV52" s="1611"/>
      <c r="AW52" s="1611"/>
      <c r="AX52" s="1611"/>
      <c r="AY52" s="1611"/>
      <c r="AZ52" s="1611"/>
      <c r="BA52" s="1611"/>
      <c r="BB52" s="1612"/>
      <c r="BC52" s="291"/>
      <c r="BD52" s="1527"/>
      <c r="BE52" s="1662"/>
      <c r="BF52" s="144"/>
      <c r="BG52" s="144"/>
      <c r="BH52" s="144"/>
      <c r="BI52" s="144"/>
      <c r="BJ52" s="144"/>
      <c r="BK52" s="144"/>
      <c r="BL52" s="128"/>
      <c r="BM52" s="1663"/>
      <c r="BN52" s="128"/>
      <c r="BO52" s="1663"/>
      <c r="BP52" s="144"/>
      <c r="BQ52" s="128"/>
      <c r="BR52" s="1664">
        <f t="shared" si="4"/>
        <v>0</v>
      </c>
      <c r="BS52" s="128"/>
      <c r="BT52" s="291"/>
      <c r="BU52" s="1652"/>
      <c r="BV52" s="1659"/>
    </row>
    <row r="53">
      <c r="A53" s="1652"/>
      <c r="B53" s="291"/>
      <c r="C53" s="1658"/>
      <c r="D53" s="1611"/>
      <c r="E53" s="1611"/>
      <c r="F53" s="1611"/>
      <c r="G53" s="1611"/>
      <c r="H53" s="1611"/>
      <c r="I53" s="1611"/>
      <c r="J53" s="1611"/>
      <c r="K53" s="1611"/>
      <c r="L53" s="1611"/>
      <c r="M53" s="1611"/>
      <c r="N53" s="1611"/>
      <c r="O53" s="1611"/>
      <c r="P53" s="1611"/>
      <c r="Q53" s="1611"/>
      <c r="R53" s="1611"/>
      <c r="S53" s="1611"/>
      <c r="T53" s="1611"/>
      <c r="U53" s="1611"/>
      <c r="V53" s="1611"/>
      <c r="W53" s="1611"/>
      <c r="X53" s="1611"/>
      <c r="Y53" s="1611"/>
      <c r="Z53" s="1611"/>
      <c r="AA53" s="1611"/>
      <c r="AB53" s="1611"/>
      <c r="AC53" s="1611"/>
      <c r="AD53" s="1611"/>
      <c r="AE53" s="1611"/>
      <c r="AF53" s="1611"/>
      <c r="AG53" s="1611"/>
      <c r="AH53" s="1611"/>
      <c r="AI53" s="1611"/>
      <c r="AJ53" s="1611"/>
      <c r="AK53" s="1611"/>
      <c r="AL53" s="1611"/>
      <c r="AM53" s="1611"/>
      <c r="AN53" s="1611"/>
      <c r="AO53" s="1611"/>
      <c r="AP53" s="1611"/>
      <c r="AQ53" s="1611"/>
      <c r="AR53" s="1611"/>
      <c r="AS53" s="1611"/>
      <c r="AT53" s="1611"/>
      <c r="AU53" s="1611"/>
      <c r="AV53" s="1611"/>
      <c r="AW53" s="1611"/>
      <c r="AX53" s="1611"/>
      <c r="AY53" s="1611"/>
      <c r="AZ53" s="1611"/>
      <c r="BA53" s="1611"/>
      <c r="BB53" s="1612"/>
      <c r="BC53" s="291"/>
      <c r="BD53" s="1527"/>
      <c r="BE53" s="1665" t="s">
        <v>4153</v>
      </c>
      <c r="BP53" s="1666">
        <f>SUM(BR13:BS52,BR4:BS7)</f>
        <v>0</v>
      </c>
      <c r="BQ53" s="240"/>
      <c r="BR53" s="240"/>
      <c r="BS53" s="241"/>
      <c r="BT53" s="291"/>
      <c r="BU53" s="1652"/>
      <c r="BV53" s="1659"/>
    </row>
    <row r="54">
      <c r="A54" s="1652"/>
      <c r="B54" s="291"/>
      <c r="C54" s="1653"/>
      <c r="D54" s="1653"/>
      <c r="E54" s="1653"/>
      <c r="F54" s="1653"/>
      <c r="G54" s="1653"/>
      <c r="H54" s="1653"/>
      <c r="I54" s="1653"/>
      <c r="J54" s="1653"/>
      <c r="K54" s="1653"/>
      <c r="L54" s="1653"/>
      <c r="M54" s="1653"/>
      <c r="N54" s="1653"/>
      <c r="O54" s="1653"/>
      <c r="P54" s="1653"/>
      <c r="Q54" s="1653"/>
      <c r="R54" s="1653"/>
      <c r="S54" s="1653"/>
      <c r="T54" s="1653"/>
      <c r="U54" s="1653"/>
      <c r="V54" s="1653"/>
      <c r="W54" s="1653"/>
      <c r="X54" s="1653"/>
      <c r="Y54" s="1653"/>
      <c r="Z54" s="1653"/>
      <c r="AA54" s="1653"/>
      <c r="AB54" s="1653"/>
      <c r="AC54" s="1653"/>
      <c r="AD54" s="1653"/>
      <c r="AE54" s="1653"/>
      <c r="AF54" s="1653"/>
      <c r="AG54" s="1653"/>
      <c r="AH54" s="1653"/>
      <c r="AI54" s="1653"/>
      <c r="AJ54" s="1653"/>
      <c r="AK54" s="291"/>
      <c r="AL54" s="291"/>
      <c r="AM54" s="291"/>
      <c r="AN54" s="291"/>
      <c r="AO54" s="291"/>
      <c r="AP54" s="291"/>
      <c r="AQ54" s="291"/>
      <c r="AR54" s="291"/>
      <c r="AS54" s="291"/>
      <c r="AT54" s="291"/>
      <c r="AU54" s="291"/>
      <c r="AV54" s="291"/>
      <c r="AW54" s="291"/>
      <c r="AX54" s="291"/>
      <c r="AY54" s="291"/>
      <c r="AZ54" s="291"/>
      <c r="BA54" s="291"/>
      <c r="BB54" s="291"/>
      <c r="BC54" s="291"/>
      <c r="BD54" s="1527"/>
      <c r="BE54" s="1667"/>
      <c r="BU54" s="1652"/>
      <c r="BV54" s="1659"/>
    </row>
    <row r="55" ht="15.0" customHeight="1">
      <c r="A55" s="1668" t="s">
        <v>370</v>
      </c>
      <c r="B55" s="1652"/>
      <c r="C55" s="1652"/>
      <c r="AJ55" s="1652"/>
      <c r="AK55" s="1652"/>
      <c r="AL55" s="1652"/>
      <c r="AM55" s="1652"/>
      <c r="AN55" s="1652"/>
      <c r="AO55" s="1652"/>
      <c r="AP55" s="1652"/>
      <c r="AQ55" s="1652"/>
      <c r="AR55" s="1652"/>
      <c r="AS55" s="1652"/>
      <c r="AT55" s="1652"/>
      <c r="AU55" s="1652"/>
      <c r="AV55" s="1652"/>
      <c r="AW55" s="1652"/>
      <c r="AX55" s="1652"/>
      <c r="AY55" s="1652"/>
      <c r="AZ55" s="1652"/>
      <c r="BA55" s="1652"/>
      <c r="BB55" s="1652"/>
      <c r="BC55" s="1652"/>
      <c r="BD55" s="1652"/>
      <c r="BE55" s="1669"/>
      <c r="BU55" s="1652"/>
      <c r="BV55" s="303"/>
    </row>
  </sheetData>
  <mergeCells count="376">
    <mergeCell ref="BE22:BL22"/>
    <mergeCell ref="BM22:BN22"/>
    <mergeCell ref="BO22:BQ22"/>
    <mergeCell ref="BR22:BS22"/>
    <mergeCell ref="BM23:BN23"/>
    <mergeCell ref="BO23:BQ23"/>
    <mergeCell ref="BR23:BS23"/>
    <mergeCell ref="BE23:BL23"/>
    <mergeCell ref="BE24:BL24"/>
    <mergeCell ref="BM24:BN24"/>
    <mergeCell ref="BO24:BQ24"/>
    <mergeCell ref="BR24:BS24"/>
    <mergeCell ref="BE25:BL25"/>
    <mergeCell ref="BM25:BN25"/>
    <mergeCell ref="BP10:BQ10"/>
    <mergeCell ref="BR10:BS10"/>
    <mergeCell ref="BE8:BL8"/>
    <mergeCell ref="BM8:BN8"/>
    <mergeCell ref="BO8:BQ8"/>
    <mergeCell ref="BR8:BS8"/>
    <mergeCell ref="BE10:BJ10"/>
    <mergeCell ref="BK10:BM10"/>
    <mergeCell ref="BN10:BO10"/>
    <mergeCell ref="BE14:BL14"/>
    <mergeCell ref="BM14:BN14"/>
    <mergeCell ref="BO14:BQ14"/>
    <mergeCell ref="BR14:BS14"/>
    <mergeCell ref="BM15:BN15"/>
    <mergeCell ref="BO15:BQ15"/>
    <mergeCell ref="BR15:BS15"/>
    <mergeCell ref="BO17:BQ17"/>
    <mergeCell ref="BR17:BS17"/>
    <mergeCell ref="BE15:BL15"/>
    <mergeCell ref="BE16:BL16"/>
    <mergeCell ref="BM16:BN16"/>
    <mergeCell ref="BO16:BQ16"/>
    <mergeCell ref="BR16:BS16"/>
    <mergeCell ref="BE17:BL17"/>
    <mergeCell ref="BM17:BN17"/>
    <mergeCell ref="BO21:BQ21"/>
    <mergeCell ref="BR21:BS21"/>
    <mergeCell ref="BM29:BN29"/>
    <mergeCell ref="BO29:BQ29"/>
    <mergeCell ref="BO25:BQ25"/>
    <mergeCell ref="BR25:BS25"/>
    <mergeCell ref="BE27:BL27"/>
    <mergeCell ref="BM27:BN27"/>
    <mergeCell ref="BO27:BQ27"/>
    <mergeCell ref="BR27:BS27"/>
    <mergeCell ref="BE29:BL29"/>
    <mergeCell ref="BR29:BS29"/>
    <mergeCell ref="BE36:BL36"/>
    <mergeCell ref="BM36:BN36"/>
    <mergeCell ref="BO36:BQ36"/>
    <mergeCell ref="BR36:BS36"/>
    <mergeCell ref="BM37:BN37"/>
    <mergeCell ref="BO37:BQ37"/>
    <mergeCell ref="BR37:BS37"/>
    <mergeCell ref="BE37:BL37"/>
    <mergeCell ref="BE38:BL38"/>
    <mergeCell ref="BM38:BN38"/>
    <mergeCell ref="BO38:BQ38"/>
    <mergeCell ref="BR38:BS38"/>
    <mergeCell ref="BE39:BL39"/>
    <mergeCell ref="BM39:BN39"/>
    <mergeCell ref="BE18:BL18"/>
    <mergeCell ref="BM18:BN18"/>
    <mergeCell ref="BO18:BQ18"/>
    <mergeCell ref="BR18:BS18"/>
    <mergeCell ref="BM19:BN19"/>
    <mergeCell ref="BO19:BQ19"/>
    <mergeCell ref="BR19:BS19"/>
    <mergeCell ref="BE19:BL19"/>
    <mergeCell ref="BE20:BL20"/>
    <mergeCell ref="BM20:BN20"/>
    <mergeCell ref="BO20:BQ20"/>
    <mergeCell ref="BR20:BS20"/>
    <mergeCell ref="BE21:BL21"/>
    <mergeCell ref="BM21:BN21"/>
    <mergeCell ref="BE26:BL26"/>
    <mergeCell ref="BM26:BN26"/>
    <mergeCell ref="BO26:BQ26"/>
    <mergeCell ref="BR26:BS26"/>
    <mergeCell ref="BM28:BN28"/>
    <mergeCell ref="BO28:BQ28"/>
    <mergeCell ref="BR28:BS28"/>
    <mergeCell ref="BO31:BQ31"/>
    <mergeCell ref="BR31:BS31"/>
    <mergeCell ref="BE28:BL28"/>
    <mergeCell ref="BE30:BL30"/>
    <mergeCell ref="BM30:BN30"/>
    <mergeCell ref="BO30:BQ30"/>
    <mergeCell ref="BR30:BS30"/>
    <mergeCell ref="BE31:BL31"/>
    <mergeCell ref="BM31:BN31"/>
    <mergeCell ref="BO35:BQ35"/>
    <mergeCell ref="BR35:BS35"/>
    <mergeCell ref="BO39:BQ39"/>
    <mergeCell ref="BR39:BS39"/>
    <mergeCell ref="BE48:BL48"/>
    <mergeCell ref="BM48:BN48"/>
    <mergeCell ref="BO48:BQ48"/>
    <mergeCell ref="BR48:BS48"/>
    <mergeCell ref="BM49:BN49"/>
    <mergeCell ref="BO49:BQ49"/>
    <mergeCell ref="BR49:BS49"/>
    <mergeCell ref="BE49:BL49"/>
    <mergeCell ref="BE50:BL50"/>
    <mergeCell ref="BM50:BN50"/>
    <mergeCell ref="BO50:BQ50"/>
    <mergeCell ref="BR50:BS50"/>
    <mergeCell ref="BE51:BL51"/>
    <mergeCell ref="BM51:BN51"/>
    <mergeCell ref="BE54:BT54"/>
    <mergeCell ref="BE32:BL32"/>
    <mergeCell ref="BM32:BN32"/>
    <mergeCell ref="BO32:BQ32"/>
    <mergeCell ref="BR32:BS32"/>
    <mergeCell ref="BM33:BN33"/>
    <mergeCell ref="BO33:BQ33"/>
    <mergeCell ref="BR33:BS33"/>
    <mergeCell ref="BE33:BL33"/>
    <mergeCell ref="BE34:BL34"/>
    <mergeCell ref="BM34:BN34"/>
    <mergeCell ref="BO34:BQ34"/>
    <mergeCell ref="BR34:BS34"/>
    <mergeCell ref="BE35:BL35"/>
    <mergeCell ref="BM35:BN35"/>
    <mergeCell ref="BE40:BL40"/>
    <mergeCell ref="BM40:BN40"/>
    <mergeCell ref="BO40:BQ40"/>
    <mergeCell ref="BR40:BS40"/>
    <mergeCell ref="BM41:BN41"/>
    <mergeCell ref="BO41:BQ41"/>
    <mergeCell ref="BR41:BS41"/>
    <mergeCell ref="BO43:BQ43"/>
    <mergeCell ref="BR43:BS43"/>
    <mergeCell ref="BE41:BL41"/>
    <mergeCell ref="BE42:BL42"/>
    <mergeCell ref="BM42:BN42"/>
    <mergeCell ref="BO42:BQ42"/>
    <mergeCell ref="BR42:BS42"/>
    <mergeCell ref="BE43:BL43"/>
    <mergeCell ref="BM43:BN43"/>
    <mergeCell ref="BO47:BQ47"/>
    <mergeCell ref="BR47:BS47"/>
    <mergeCell ref="BO51:BQ51"/>
    <mergeCell ref="BR51:BS51"/>
    <mergeCell ref="BM5:BN5"/>
    <mergeCell ref="BO5:BQ5"/>
    <mergeCell ref="BM6:BN6"/>
    <mergeCell ref="BO6:BQ6"/>
    <mergeCell ref="BR6:BS6"/>
    <mergeCell ref="BO7:BQ7"/>
    <mergeCell ref="BR7:BS7"/>
    <mergeCell ref="AU5:BB5"/>
    <mergeCell ref="BE5:BL5"/>
    <mergeCell ref="AU6:BB7"/>
    <mergeCell ref="BE6:BL6"/>
    <mergeCell ref="BE7:BL7"/>
    <mergeCell ref="BM7:BN7"/>
    <mergeCell ref="AU8:BB8"/>
    <mergeCell ref="AU4:BB4"/>
    <mergeCell ref="BE4:BS4"/>
    <mergeCell ref="AB4:AI4"/>
    <mergeCell ref="AB5:AI5"/>
    <mergeCell ref="W6:AI6"/>
    <mergeCell ref="W7:AI7"/>
    <mergeCell ref="B2:BC2"/>
    <mergeCell ref="BD2:BT2"/>
    <mergeCell ref="C3:K4"/>
    <mergeCell ref="X4:Z4"/>
    <mergeCell ref="AK4:AS4"/>
    <mergeCell ref="C5:K5"/>
    <mergeCell ref="X5:Z5"/>
    <mergeCell ref="BR5:BS5"/>
    <mergeCell ref="M4:V4"/>
    <mergeCell ref="M5:V5"/>
    <mergeCell ref="C6:G6"/>
    <mergeCell ref="I6:U6"/>
    <mergeCell ref="C7:G7"/>
    <mergeCell ref="I7:U7"/>
    <mergeCell ref="C8:AI8"/>
    <mergeCell ref="C10:J10"/>
    <mergeCell ref="K10:O10"/>
    <mergeCell ref="Q10:V10"/>
    <mergeCell ref="W10:Y10"/>
    <mergeCell ref="C11:E11"/>
    <mergeCell ref="F11:G11"/>
    <mergeCell ref="H11:J11"/>
    <mergeCell ref="Q13:S13"/>
    <mergeCell ref="T13:V13"/>
    <mergeCell ref="BO13:BQ13"/>
    <mergeCell ref="BR13:BS13"/>
    <mergeCell ref="BE11:BJ11"/>
    <mergeCell ref="BK11:BM11"/>
    <mergeCell ref="BN11:BO11"/>
    <mergeCell ref="BP11:BQ11"/>
    <mergeCell ref="BR11:BS11"/>
    <mergeCell ref="BE13:BL13"/>
    <mergeCell ref="BM13:BN13"/>
    <mergeCell ref="K21:N21"/>
    <mergeCell ref="O21:P21"/>
    <mergeCell ref="K22:N22"/>
    <mergeCell ref="O22:P22"/>
    <mergeCell ref="Q22:R22"/>
    <mergeCell ref="K23:N23"/>
    <mergeCell ref="O23:P23"/>
    <mergeCell ref="Q23:R23"/>
    <mergeCell ref="C20:F20"/>
    <mergeCell ref="G20:H20"/>
    <mergeCell ref="I20:J20"/>
    <mergeCell ref="K20:N20"/>
    <mergeCell ref="O20:P20"/>
    <mergeCell ref="Q20:R20"/>
    <mergeCell ref="C21:F21"/>
    <mergeCell ref="Q21:R21"/>
    <mergeCell ref="C23:F23"/>
    <mergeCell ref="C24:F24"/>
    <mergeCell ref="G24:H24"/>
    <mergeCell ref="I24:J24"/>
    <mergeCell ref="K24:N24"/>
    <mergeCell ref="O24:P24"/>
    <mergeCell ref="Q24:R24"/>
    <mergeCell ref="G21:H21"/>
    <mergeCell ref="I21:J21"/>
    <mergeCell ref="C22:F22"/>
    <mergeCell ref="G22:H22"/>
    <mergeCell ref="I22:J22"/>
    <mergeCell ref="G23:H23"/>
    <mergeCell ref="I23:J23"/>
    <mergeCell ref="G26:H26"/>
    <mergeCell ref="I26:J26"/>
    <mergeCell ref="K26:N26"/>
    <mergeCell ref="O26:P26"/>
    <mergeCell ref="C25:F25"/>
    <mergeCell ref="G25:H25"/>
    <mergeCell ref="I25:J25"/>
    <mergeCell ref="K25:N25"/>
    <mergeCell ref="O25:P25"/>
    <mergeCell ref="Q25:R25"/>
    <mergeCell ref="C26:F26"/>
    <mergeCell ref="Q26:R26"/>
    <mergeCell ref="K11:L11"/>
    <mergeCell ref="M11:O11"/>
    <mergeCell ref="Q11:S12"/>
    <mergeCell ref="T11:V12"/>
    <mergeCell ref="W11:Y12"/>
    <mergeCell ref="C12:E12"/>
    <mergeCell ref="F12:G12"/>
    <mergeCell ref="M12:O12"/>
    <mergeCell ref="H12:J12"/>
    <mergeCell ref="K12:L12"/>
    <mergeCell ref="C13:E13"/>
    <mergeCell ref="F13:G13"/>
    <mergeCell ref="H13:J13"/>
    <mergeCell ref="K13:L13"/>
    <mergeCell ref="M13:O13"/>
    <mergeCell ref="C14:E14"/>
    <mergeCell ref="F14:G14"/>
    <mergeCell ref="H14:J14"/>
    <mergeCell ref="K14:L14"/>
    <mergeCell ref="M14:O14"/>
    <mergeCell ref="Q14:T14"/>
    <mergeCell ref="V14:Y14"/>
    <mergeCell ref="H16:J16"/>
    <mergeCell ref="K16:L16"/>
    <mergeCell ref="C15:E15"/>
    <mergeCell ref="F15:G15"/>
    <mergeCell ref="H15:J15"/>
    <mergeCell ref="K15:L15"/>
    <mergeCell ref="M15:O15"/>
    <mergeCell ref="Q15:T16"/>
    <mergeCell ref="V15:Y16"/>
    <mergeCell ref="M16:O16"/>
    <mergeCell ref="C16:E16"/>
    <mergeCell ref="F16:G16"/>
    <mergeCell ref="G18:H18"/>
    <mergeCell ref="I18:J18"/>
    <mergeCell ref="K18:N18"/>
    <mergeCell ref="O18:P18"/>
    <mergeCell ref="Q18:R18"/>
    <mergeCell ref="C18:F18"/>
    <mergeCell ref="C19:F19"/>
    <mergeCell ref="G19:H19"/>
    <mergeCell ref="I19:J19"/>
    <mergeCell ref="K19:N19"/>
    <mergeCell ref="O19:P19"/>
    <mergeCell ref="Q19:R19"/>
    <mergeCell ref="AQ16:AS16"/>
    <mergeCell ref="T18:BB18"/>
    <mergeCell ref="T19:BB19"/>
    <mergeCell ref="T20:BB20"/>
    <mergeCell ref="T21:BB21"/>
    <mergeCell ref="T22:BB22"/>
    <mergeCell ref="T23:BB23"/>
    <mergeCell ref="T24:BB24"/>
    <mergeCell ref="T25:BB25"/>
    <mergeCell ref="T26:BB26"/>
    <mergeCell ref="B28:BC28"/>
    <mergeCell ref="C30:BB30"/>
    <mergeCell ref="C31:BB31"/>
    <mergeCell ref="C32:BB32"/>
    <mergeCell ref="C33:BB33"/>
    <mergeCell ref="C34:BB34"/>
    <mergeCell ref="C35:BB35"/>
    <mergeCell ref="C36:BB36"/>
    <mergeCell ref="C37:BB37"/>
    <mergeCell ref="C38:BB38"/>
    <mergeCell ref="C39:BB39"/>
    <mergeCell ref="C47:BB47"/>
    <mergeCell ref="C48:BB48"/>
    <mergeCell ref="C49:BB49"/>
    <mergeCell ref="C50:BB50"/>
    <mergeCell ref="C51:BB51"/>
    <mergeCell ref="C52:BB52"/>
    <mergeCell ref="C53:BB53"/>
    <mergeCell ref="C55:AI55"/>
    <mergeCell ref="C40:BB40"/>
    <mergeCell ref="C41:BB41"/>
    <mergeCell ref="C42:BB42"/>
    <mergeCell ref="C43:BB43"/>
    <mergeCell ref="C44:BB44"/>
    <mergeCell ref="C45:BB45"/>
    <mergeCell ref="C46:BB46"/>
    <mergeCell ref="AP8:AS8"/>
    <mergeCell ref="AK12:AS12"/>
    <mergeCell ref="AK10:AO10"/>
    <mergeCell ref="AK13:AM13"/>
    <mergeCell ref="AK8:AO8"/>
    <mergeCell ref="AK9:AO9"/>
    <mergeCell ref="AP9:AS9"/>
    <mergeCell ref="AU9:BB10"/>
    <mergeCell ref="AP10:AS10"/>
    <mergeCell ref="AU11:BB11"/>
    <mergeCell ref="AU12:BB13"/>
    <mergeCell ref="AN13:AP13"/>
    <mergeCell ref="AQ13:AS13"/>
    <mergeCell ref="AK14:AM14"/>
    <mergeCell ref="AN14:AP14"/>
    <mergeCell ref="AU14:BB14"/>
    <mergeCell ref="AK5:AO5"/>
    <mergeCell ref="AP5:AS5"/>
    <mergeCell ref="AK6:AO6"/>
    <mergeCell ref="AP6:AS6"/>
    <mergeCell ref="AK7:AO7"/>
    <mergeCell ref="AP7:AS7"/>
    <mergeCell ref="AA10:AI16"/>
    <mergeCell ref="AQ14:AS14"/>
    <mergeCell ref="AK15:AM15"/>
    <mergeCell ref="AN15:AP15"/>
    <mergeCell ref="AQ15:AS15"/>
    <mergeCell ref="AU15:BB16"/>
    <mergeCell ref="AK16:AM16"/>
    <mergeCell ref="AN16:AP16"/>
    <mergeCell ref="BE44:BL44"/>
    <mergeCell ref="BM44:BN44"/>
    <mergeCell ref="BO44:BQ44"/>
    <mergeCell ref="BR44:BS44"/>
    <mergeCell ref="BM45:BN45"/>
    <mergeCell ref="BO45:BQ45"/>
    <mergeCell ref="BR45:BS45"/>
    <mergeCell ref="BE52:BL52"/>
    <mergeCell ref="BM52:BN52"/>
    <mergeCell ref="BO52:BQ52"/>
    <mergeCell ref="BR52:BS52"/>
    <mergeCell ref="BE53:BO53"/>
    <mergeCell ref="BP53:BS53"/>
    <mergeCell ref="BE55:BT55"/>
    <mergeCell ref="BE45:BL45"/>
    <mergeCell ref="BE46:BL46"/>
    <mergeCell ref="BM46:BN46"/>
    <mergeCell ref="BO46:BQ46"/>
    <mergeCell ref="BR46:BS46"/>
    <mergeCell ref="BE47:BL47"/>
    <mergeCell ref="BM47:BN47"/>
  </mergeCells>
  <conditionalFormatting sqref="BM14">
    <cfRule type="cellIs" dxfId="9" priority="1" operator="equal">
      <formula>"TRUE"</formula>
    </cfRule>
  </conditionalFormatting>
  <conditionalFormatting sqref="H11:I16 K11:N16 G18:I26 O18:Q26">
    <cfRule type="cellIs" dxfId="3" priority="2" operator="lessThan">
      <formula>0</formula>
    </cfRule>
  </conditionalFormatting>
  <conditionalFormatting sqref="Q11 T11 W11 Q15 S15 V15 Y15">
    <cfRule type="expression" dxfId="4" priority="3">
      <formula>"[&lt;0]"0";0"</formula>
    </cfRule>
  </conditionalFormatting>
  <dataValidations>
    <dataValidation type="list" allowBlank="1" sqref="BE11">
      <formula1>'武器&amp;護甲'!$J$2:$J$18</formula1>
    </dataValidation>
    <dataValidation type="list" allowBlank="1" showDropDown="1" sqref="C3">
      <formula1>'索引資料'!$E$43:$E$57</formula1>
    </dataValidation>
    <dataValidation type="list" allowBlank="1" sqref="M4">
      <formula1>'索引資料'!$F$41:$F$57</formula1>
    </dataValidation>
    <dataValidation type="list" allowBlank="1" showDropDown="1" sqref="C6">
      <formula1>"1,2,3,4,5,6,7,8,9"</formula1>
    </dataValidation>
    <dataValidation type="list" allowBlank="1" showDropDown="1" sqref="X4">
      <formula1>"超微型,微型,超小型,小型,中型,大型,超大型,巨型,超巨型"</formula1>
    </dataValidation>
    <dataValidation type="list" allowBlank="1" showDropDown="1" sqref="I6">
      <formula1>'索引資料'!$D$41:$D$44</formula1>
    </dataValidation>
    <dataValidation type="list" allowBlank="1" showDropDown="1" sqref="W6">
      <formula1>"異怪 Aberration,野獸 Beast,天界生物 Celestial,構裝體 Construct,龍 Dragon,元素 Elemental,精類 Fey,邪魔 Fiend,巨人 Giant,類人生物 Humanoid,怪獸 Monstrositie,泥怪 Ooze,植物 Plant,不死生物 Undead,具名 NPC-Named NPC"</formula1>
    </dataValidation>
    <dataValidation type="list" allowBlank="1" showErrorMessage="1" sqref="BE7">
      <formula1>"無鞍座,騎乘鞍座,貨運鞍座,異種鞍座,軍用鞍座,騎兵鞍座"</formula1>
    </dataValidation>
    <dataValidation type="list" allowBlank="1" showErrorMessage="1" sqref="BK11">
      <formula1>"無,輕甲,中甲,重甲,天生,法師"</formula1>
    </dataValidation>
  </dataValidations>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3"/>
    <col customWidth="1" min="2" max="2" width="13.86"/>
    <col customWidth="1" min="3" max="3" width="14.43"/>
    <col customWidth="1" min="4" max="4" width="15.14"/>
    <col customWidth="1" min="5" max="5" width="14.43"/>
    <col customWidth="1" min="6" max="25" width="5.57"/>
    <col customWidth="1" min="26" max="30" width="14.43"/>
    <col customWidth="1" min="31" max="47" width="21.57"/>
  </cols>
  <sheetData>
    <row r="1" ht="27.0" customHeight="1">
      <c r="A1" s="1680"/>
      <c r="B1" s="1681" t="s">
        <v>4112</v>
      </c>
      <c r="C1" s="1682" t="s">
        <v>2247</v>
      </c>
      <c r="D1" s="1682" t="s">
        <v>4113</v>
      </c>
      <c r="E1" s="1682" t="s">
        <v>230</v>
      </c>
      <c r="F1" s="1682" t="s">
        <v>171</v>
      </c>
      <c r="G1" s="1682" t="s">
        <v>4154</v>
      </c>
      <c r="H1" s="1682" t="s">
        <v>268</v>
      </c>
      <c r="I1" s="1682" t="s">
        <v>243</v>
      </c>
      <c r="J1" s="1682" t="s">
        <v>211</v>
      </c>
      <c r="K1" s="1683" t="s">
        <v>212</v>
      </c>
      <c r="L1" s="1683" t="s">
        <v>213</v>
      </c>
      <c r="M1" s="1683" t="s">
        <v>214</v>
      </c>
      <c r="N1" s="1683" t="s">
        <v>4140</v>
      </c>
      <c r="O1" s="1683" t="s">
        <v>4141</v>
      </c>
      <c r="P1" s="1682" t="s">
        <v>67</v>
      </c>
      <c r="Q1" s="1682" t="s">
        <v>71</v>
      </c>
      <c r="R1" s="1682" t="s">
        <v>76</v>
      </c>
      <c r="S1" s="1682" t="s">
        <v>80</v>
      </c>
      <c r="T1" s="1682" t="s">
        <v>83</v>
      </c>
      <c r="U1" s="1682" t="s">
        <v>88</v>
      </c>
      <c r="V1" s="1682" t="s">
        <v>2037</v>
      </c>
      <c r="W1" s="1682" t="s">
        <v>4122</v>
      </c>
      <c r="X1" s="1682" t="s">
        <v>4125</v>
      </c>
      <c r="Y1" s="1682" t="s">
        <v>4130</v>
      </c>
      <c r="Z1" s="1682" t="s">
        <v>1062</v>
      </c>
      <c r="AA1" s="1682" t="s">
        <v>4116</v>
      </c>
      <c r="AB1" s="1682" t="s">
        <v>4126</v>
      </c>
      <c r="AC1" s="1682" t="s">
        <v>4137</v>
      </c>
      <c r="AD1" s="1682" t="s">
        <v>4142</v>
      </c>
      <c r="AE1" s="1682" t="s">
        <v>4155</v>
      </c>
      <c r="AF1" s="1682" t="s">
        <v>4156</v>
      </c>
      <c r="AG1" s="1682" t="s">
        <v>4157</v>
      </c>
      <c r="AH1" s="1682" t="s">
        <v>4158</v>
      </c>
      <c r="AI1" s="1682" t="s">
        <v>4159</v>
      </c>
      <c r="AJ1" s="1682" t="s">
        <v>4160</v>
      </c>
      <c r="AK1" s="1682" t="s">
        <v>4161</v>
      </c>
      <c r="AL1" s="1682" t="s">
        <v>4162</v>
      </c>
      <c r="AM1" s="1682" t="s">
        <v>4163</v>
      </c>
      <c r="AN1" s="1682" t="s">
        <v>4164</v>
      </c>
      <c r="AO1" s="1682" t="s">
        <v>4165</v>
      </c>
      <c r="AP1" s="1682" t="s">
        <v>4166</v>
      </c>
      <c r="AQ1" s="1682" t="s">
        <v>4167</v>
      </c>
      <c r="AR1" s="1682" t="s">
        <v>4168</v>
      </c>
      <c r="AS1" s="1682" t="s">
        <v>4169</v>
      </c>
      <c r="AT1" s="1682" t="s">
        <v>4170</v>
      </c>
      <c r="AU1" s="1682" t="s">
        <v>4171</v>
      </c>
    </row>
    <row r="2">
      <c r="A2" s="1419"/>
      <c r="B2" s="1684" t="str">
        <f>IF('坐騎召喚物'!M4="坐騎",'坐騎召喚物'!C3,"")</f>
        <v/>
      </c>
      <c r="C2" s="1685"/>
      <c r="D2" s="1685" t="s">
        <v>590</v>
      </c>
      <c r="E2" s="1685" t="str">
        <f>IFNA(VLOOKUP(B2,'坐騎資料'!B:AT,3,FALSE),"")</f>
        <v/>
      </c>
      <c r="F2" s="1686" t="str">
        <f>IFNA(VLOOKUP(B2,'坐騎資料'!B:AT,4,FALSE),"")</f>
        <v/>
      </c>
      <c r="G2" s="1686" t="str">
        <f>IFNA(VLOOKUP($B$2,'坐騎資料'!$B:$AT,5,FALSE),"")</f>
        <v/>
      </c>
      <c r="H2" s="1686" t="str">
        <f>IFNA(VLOOKUP($B$2,'坐騎資料'!$B:$AT,6,FALSE),"")</f>
        <v/>
      </c>
      <c r="I2" s="1686" t="str">
        <f>IFNA(VLOOKUP($B$2,'坐騎資料'!$B:$AT,7,FALSE),"")</f>
        <v/>
      </c>
      <c r="J2" s="1686" t="str">
        <f>IFNA(VLOOKUP($B$2,'坐騎資料'!$B:$AT,8,FALSE),"")</f>
        <v/>
      </c>
      <c r="K2" s="1686" t="str">
        <f>IFNA(VLOOKUP($B$2,'坐騎資料'!$B:$AT,9,FALSE),"")</f>
        <v/>
      </c>
      <c r="L2" s="1686" t="str">
        <f>IFNA(VLOOKUP($B$2,'坐騎資料'!$B:$AT,10,FALSE),"")</f>
        <v/>
      </c>
      <c r="M2" s="1686" t="str">
        <f>IFNA(VLOOKUP($B$2,'坐騎資料'!$B:$AT,11,FALSE),"")</f>
        <v/>
      </c>
      <c r="N2" s="1686" t="str">
        <f>IFNA(VLOOKUP($B$2,'坐騎資料'!$B:$AT,12,FALSE),"")</f>
        <v/>
      </c>
      <c r="O2" s="1686" t="str">
        <f>IFNA(VLOOKUP($B$2,'坐騎資料'!$B:$AT,13,FALSE),"")</f>
        <v/>
      </c>
      <c r="P2" s="1686" t="str">
        <f>IFNA(VLOOKUP($B$2,'坐騎資料'!$B:$AT,14,FALSE),"")</f>
        <v/>
      </c>
      <c r="Q2" s="1686" t="str">
        <f>IFNA(VLOOKUP($B$2,'坐騎資料'!$B:$AT,15,FALSE),"")</f>
        <v/>
      </c>
      <c r="R2" s="1686" t="str">
        <f>IFNA(VLOOKUP($B$2,'坐騎資料'!$B:$AT,16,FALSE),"")</f>
        <v/>
      </c>
      <c r="S2" s="1686" t="str">
        <f>IFNA(VLOOKUP($B$2,'坐騎資料'!$B:$AT,17,FALSE),"")</f>
        <v/>
      </c>
      <c r="T2" s="1686" t="str">
        <f>IFNA(VLOOKUP($B$2,'坐騎資料'!$B:$AT,18,FALSE),"")</f>
        <v/>
      </c>
      <c r="U2" s="1686" t="str">
        <f>IFNA(VLOOKUP($B$2,'坐騎資料'!$B:$AT,19,FALSE),"")</f>
        <v/>
      </c>
      <c r="V2" s="1686" t="str">
        <f>IFNA(VLOOKUP($B$2,'坐騎資料'!$B:$AT,20,FALSE),"")</f>
        <v/>
      </c>
      <c r="W2" s="1686" t="str">
        <f>IFNA(VLOOKUP($B$2,'坐騎資料'!$B:$AT,21,FALSE),"")</f>
        <v/>
      </c>
      <c r="X2" s="1686" t="str">
        <f>IFNA(VLOOKUP($B$2,'坐騎資料'!$B:$AT,22,FALSE),"")</f>
        <v/>
      </c>
      <c r="Y2" s="1686" t="str">
        <f>IFNA(VLOOKUP($B$2,'坐騎資料'!$B:$AT,23,FALSE),"")</f>
        <v/>
      </c>
      <c r="Z2" s="1686" t="str">
        <f>IFNA(VLOOKUP($B$2,'坐騎資料'!$B:$AT,24,FALSE),"")</f>
        <v/>
      </c>
      <c r="AA2" s="1686" t="str">
        <f>IFNA(VLOOKUP($B$2,'坐騎資料'!$B:$AT,25,FALSE),"")</f>
        <v/>
      </c>
      <c r="AB2" s="1686" t="str">
        <f>IFNA(VLOOKUP($B$2,'坐騎資料'!$B:$AT,26,FALSE),"")</f>
        <v/>
      </c>
      <c r="AC2" s="1686" t="str">
        <f>IFNA(VLOOKUP($B$2,'坐騎資料'!$B:$AT,27,FALSE),"")</f>
        <v/>
      </c>
      <c r="AD2" s="1686" t="str">
        <f>IFNA(VLOOKUP($B$2,'坐騎資料'!$B:$AT,28,FALSE),"")</f>
        <v/>
      </c>
      <c r="AE2" s="1686" t="str">
        <f>IFNA(VLOOKUP($B$2,'坐騎資料'!$B:$AT,29,FALSE),"")</f>
        <v/>
      </c>
      <c r="AF2" s="1686" t="str">
        <f>IFNA(VLOOKUP($B$2,'坐騎資料'!$B:$AT,30,FALSE),"")</f>
        <v/>
      </c>
      <c r="AG2" s="1686" t="str">
        <f>IFNA(VLOOKUP($B$2,'坐騎資料'!$B:$AT,31,FALSE),"")</f>
        <v/>
      </c>
      <c r="AH2" s="1686" t="str">
        <f>IFNA(VLOOKUP($B$2,'坐騎資料'!$B:$AT,32,FALSE),"")</f>
        <v/>
      </c>
      <c r="AI2" s="1686" t="str">
        <f>IFNA(VLOOKUP($B$2,'坐騎資料'!$B:$AT,33,FALSE),"")</f>
        <v/>
      </c>
      <c r="AJ2" s="1686" t="str">
        <f>IFNA(VLOOKUP($B$2,'坐騎資料'!$B:$AT,34,FALSE),"")</f>
        <v/>
      </c>
      <c r="AK2" s="1686" t="str">
        <f>IFNA(VLOOKUP($B$2,'坐騎資料'!$B:$AT,35,FALSE),"")</f>
        <v/>
      </c>
      <c r="AL2" s="1686" t="str">
        <f>IFNA(VLOOKUP($B$2,'坐騎資料'!$B:$AT,36,FALSE),"")</f>
        <v/>
      </c>
      <c r="AM2" s="1686" t="str">
        <f>IFNA(VLOOKUP($B$2,'坐騎資料'!$B:$AT,37,FALSE),"")</f>
        <v/>
      </c>
      <c r="AN2" s="1686" t="str">
        <f>IFNA(VLOOKUP($B$2,'坐騎資料'!$B:$AT,38,FALSE),"")</f>
        <v/>
      </c>
      <c r="AO2" s="1686" t="str">
        <f>IFNA(VLOOKUP($B$2,'坐騎資料'!$B:$AT,39,FALSE),"")</f>
        <v/>
      </c>
      <c r="AP2" s="1686" t="str">
        <f>IFNA(VLOOKUP($B$2,'坐騎資料'!$B:$AT,40,FALSE),"")</f>
        <v/>
      </c>
      <c r="AQ2" s="1686" t="str">
        <f>IFNA(VLOOKUP($B$2,'坐騎資料'!$B:$AT,41,FALSE),"")</f>
        <v/>
      </c>
      <c r="AR2" s="1686" t="str">
        <f>IFNA(VLOOKUP($B$2,'坐騎資料'!$B:$AT,42,FALSE),"")</f>
        <v/>
      </c>
      <c r="AS2" s="1686" t="str">
        <f>IFNA(VLOOKUP($B$2,'坐騎資料'!$B:$AT,43,FALSE),"")</f>
        <v/>
      </c>
      <c r="AT2" s="1686" t="str">
        <f>IFNA(VLOOKUP($B$2,'坐騎資料'!$B:$AT,44,FALSE),"")</f>
        <v/>
      </c>
      <c r="AU2" s="1686" t="str">
        <f>IFNA(VLOOKUP($B$2,'坐騎資料'!$B:$AT,45,FALSE),"")</f>
        <v/>
      </c>
    </row>
    <row r="3">
      <c r="A3" s="1419"/>
      <c r="B3" s="1684" t="str">
        <f>IF('坐騎召喚物'!M4="尋獲魔寵",'坐騎召喚物'!C3,"")</f>
        <v/>
      </c>
      <c r="C3" s="1685" t="str">
        <f>IFNA(VLOOKUP(B3,'魔寵資料'!B:AT,2,FALSE),"")</f>
        <v/>
      </c>
      <c r="D3" s="1685" t="s">
        <v>592</v>
      </c>
      <c r="E3" s="1685" t="str">
        <f>IFNA(VLOOKUP(B3,'魔寵資料'!B:AT,3,FALSE),"")</f>
        <v/>
      </c>
      <c r="F3" s="1686" t="str">
        <f>IFNA(VLOOKUP(B3,'魔寵資料'!B:AT,4,FALSE),"")</f>
        <v/>
      </c>
      <c r="G3" s="1686" t="str">
        <f>IFNA(VLOOKUP($B$3,'魔寵資料'!$B:$AT,5,FALSE),"")</f>
        <v/>
      </c>
      <c r="H3" s="1686" t="str">
        <f>IFNA(VLOOKUP($B$3,'魔寵資料'!$B:$AT,6,FALSE),"")</f>
        <v/>
      </c>
      <c r="I3" s="1686" t="str">
        <f>IFNA(VLOOKUP($B$3,'魔寵資料'!$B:$AT,7,FALSE),"")</f>
        <v/>
      </c>
      <c r="J3" s="1686" t="str">
        <f>IFNA(VLOOKUP($B$3,'魔寵資料'!$B:$AT,8,FALSE),"")</f>
        <v/>
      </c>
      <c r="K3" s="1686" t="str">
        <f>IFNA(VLOOKUP($B$3,'魔寵資料'!$B:$AT,9,FALSE),"")</f>
        <v/>
      </c>
      <c r="L3" s="1686" t="str">
        <f>IFNA(VLOOKUP($B$3,'魔寵資料'!$B:$AT,10,FALSE),"")</f>
        <v/>
      </c>
      <c r="M3" s="1686" t="str">
        <f>IFNA(VLOOKUP($B$3,'魔寵資料'!$B:$AT,11,FALSE),"")</f>
        <v/>
      </c>
      <c r="N3" s="1686" t="str">
        <f>IFNA(VLOOKUP($B$3,'魔寵資料'!$B:$AT,12,FALSE),"")</f>
        <v/>
      </c>
      <c r="O3" s="1686" t="str">
        <f>IFNA(VLOOKUP($B$3,'魔寵資料'!$B:$AT,13,FALSE),"")</f>
        <v/>
      </c>
      <c r="P3" s="1686" t="str">
        <f>IFNA(VLOOKUP($B$3,'魔寵資料'!$B:$AT,14,FALSE),"")</f>
        <v/>
      </c>
      <c r="Q3" s="1686" t="str">
        <f>IFNA(VLOOKUP($B$3,'魔寵資料'!$B:$AT,15,FALSE),"")</f>
        <v/>
      </c>
      <c r="R3" s="1686" t="str">
        <f>IFNA(VLOOKUP($B$3,'魔寵資料'!$B:$AT,16,FALSE),"")</f>
        <v/>
      </c>
      <c r="S3" s="1686" t="str">
        <f>IFNA(VLOOKUP($B$3,'魔寵資料'!$B:$AT,17,FALSE),"")</f>
        <v/>
      </c>
      <c r="T3" s="1686" t="str">
        <f>IFNA(VLOOKUP($B$3,'魔寵資料'!$B:$AT,18,FALSE),"")</f>
        <v/>
      </c>
      <c r="U3" s="1686" t="str">
        <f>IFNA(VLOOKUP($B$3,'魔寵資料'!$B:$AT,19,FALSE),"")</f>
        <v/>
      </c>
      <c r="V3" s="1686" t="str">
        <f>IFNA(VLOOKUP($B$3,'魔寵資料'!$B:$AT,20,FALSE),"")</f>
        <v/>
      </c>
      <c r="W3" s="1686" t="str">
        <f>IFNA(VLOOKUP($B$3,'魔寵資料'!$B:$AT,21,FALSE),"")</f>
        <v/>
      </c>
      <c r="X3" s="1686" t="str">
        <f>IFNA(VLOOKUP($B$3,'魔寵資料'!$B:$AT,22,FALSE),"")</f>
        <v/>
      </c>
      <c r="Y3" s="1686" t="str">
        <f>IFNA(VLOOKUP($B$3,'魔寵資料'!$B:$AT,23,FALSE),"")</f>
        <v/>
      </c>
      <c r="Z3" s="1686" t="str">
        <f>IFNA(VLOOKUP($B$3,'魔寵資料'!$B:$AT,24,FALSE),"")</f>
        <v/>
      </c>
      <c r="AA3" s="1686" t="str">
        <f>IFNA(VLOOKUP($B$3,'魔寵資料'!$B:$AT,25,FALSE),"")</f>
        <v/>
      </c>
      <c r="AB3" s="1686" t="str">
        <f>IFNA(VLOOKUP($B$3,'魔寵資料'!$B:$AT,26,FALSE),"")</f>
        <v/>
      </c>
      <c r="AC3" s="1686" t="str">
        <f>IFNA(VLOOKUP($B$3,'魔寵資料'!$B:$AT,27,FALSE),"")</f>
        <v/>
      </c>
      <c r="AD3" s="1686" t="str">
        <f>IFNA(VLOOKUP($B$3,'魔寵資料'!$B:$AT,28,FALSE),"")</f>
        <v/>
      </c>
      <c r="AE3" s="1686" t="str">
        <f>IFNA(VLOOKUP($B$3,'魔寵資料'!$B:$AT,29,FALSE),"")</f>
        <v/>
      </c>
      <c r="AF3" s="1686" t="str">
        <f>IFNA(VLOOKUP($B$3,'魔寵資料'!$B:$AT,30,FALSE),"")</f>
        <v/>
      </c>
      <c r="AG3" s="1686" t="str">
        <f>IFNA(VLOOKUP($B$3,'魔寵資料'!$B:$AT,31,FALSE),"")</f>
        <v/>
      </c>
      <c r="AH3" s="1686" t="str">
        <f>IFNA(VLOOKUP($B$3,'魔寵資料'!$B:$AT,32,FALSE),"")</f>
        <v/>
      </c>
      <c r="AI3" s="1686" t="str">
        <f>IFNA(VLOOKUP($B$3,'魔寵資料'!$B:$AT,33,FALSE),"")</f>
        <v/>
      </c>
      <c r="AJ3" s="1686" t="str">
        <f>IFNA(VLOOKUP($B$3,'魔寵資料'!$B:$AT,34,FALSE),"")</f>
        <v/>
      </c>
      <c r="AK3" s="1686" t="str">
        <f>IFNA(VLOOKUP($B$3,'魔寵資料'!$B:$AT,35,FALSE),"")</f>
        <v/>
      </c>
      <c r="AL3" s="1686" t="str">
        <f>IFNA(VLOOKUP($B$3,'魔寵資料'!$B:$AT,36,FALSE),"")</f>
        <v/>
      </c>
      <c r="AM3" s="1686" t="str">
        <f>IFNA(VLOOKUP($B$3,'魔寵資料'!$B:$AT,37,FALSE),"")</f>
        <v/>
      </c>
      <c r="AN3" s="1686" t="str">
        <f>IFNA(VLOOKUP($B$3,'魔寵資料'!$B:$AT,38,FALSE),"")</f>
        <v/>
      </c>
      <c r="AO3" s="1686" t="str">
        <f>IFNA(VLOOKUP($B$3,'魔寵資料'!$B:$AT,39,FALSE),"")</f>
        <v/>
      </c>
      <c r="AP3" s="1686" t="str">
        <f>IFNA(VLOOKUP($B$3,'魔寵資料'!$B:$AT,40,FALSE),"")</f>
        <v/>
      </c>
      <c r="AQ3" s="1686" t="str">
        <f>IFNA(VLOOKUP($B$3,'魔寵資料'!$B:$AT,41,FALSE),"")</f>
        <v/>
      </c>
      <c r="AR3" s="1686" t="str">
        <f>IFNA(VLOOKUP($B$3,'魔寵資料'!$B:$AT,42,FALSE),"")</f>
        <v/>
      </c>
      <c r="AS3" s="1686" t="str">
        <f>IFNA(VLOOKUP($B$3,'魔寵資料'!$B:$AT,43,FALSE),"")</f>
        <v/>
      </c>
      <c r="AT3" s="1686" t="str">
        <f>IFNA(VLOOKUP($B$3,'魔寵資料'!$B:$AT,44,FALSE),"")</f>
        <v/>
      </c>
      <c r="AU3" s="1686" t="str">
        <f>IFNA(VLOOKUP($B$3,'魔寵資料'!$B:$AT,45,FALSE),"")</f>
        <v/>
      </c>
    </row>
    <row r="4">
      <c r="A4" s="1419"/>
      <c r="B4" s="1687" t="s">
        <v>4172</v>
      </c>
      <c r="C4" s="1688" t="s">
        <v>4173</v>
      </c>
      <c r="D4" s="1688" t="s">
        <v>627</v>
      </c>
      <c r="E4" s="1688" t="s">
        <v>4174</v>
      </c>
      <c r="F4" s="1689" t="s">
        <v>690</v>
      </c>
      <c r="G4" s="1690" t="s">
        <v>4175</v>
      </c>
      <c r="H4" s="1689">
        <f>11+'坐騎召喚物'!C6</f>
        <v>11</v>
      </c>
      <c r="I4" s="1689">
        <f>40+10*('坐騎召喚物'!C6-4)</f>
        <v>0</v>
      </c>
      <c r="J4" s="1689">
        <v>30.0</v>
      </c>
      <c r="K4" s="1689">
        <v>0.0</v>
      </c>
      <c r="L4" s="1689">
        <v>0.0</v>
      </c>
      <c r="M4" s="1689">
        <v>0.0</v>
      </c>
      <c r="N4" s="1689">
        <f>IF('坐騎召喚物'!I6="眼魔Beholderkin",30,0)</f>
        <v>0</v>
      </c>
      <c r="O4" s="1689">
        <v>0.0</v>
      </c>
      <c r="P4" s="1689">
        <v>16.0</v>
      </c>
      <c r="Q4" s="1689">
        <v>10.0</v>
      </c>
      <c r="R4" s="1689">
        <v>15.0</v>
      </c>
      <c r="S4" s="1689">
        <v>16.0</v>
      </c>
      <c r="T4" s="1689">
        <v>10.0</v>
      </c>
      <c r="U4" s="1689">
        <v>6.0</v>
      </c>
      <c r="V4" s="1689">
        <v>60.0</v>
      </c>
      <c r="W4" s="1689">
        <v>0.0</v>
      </c>
      <c r="X4" s="1689">
        <v>0.0</v>
      </c>
      <c r="Y4" s="1689">
        <v>0.0</v>
      </c>
      <c r="Z4" s="1689"/>
      <c r="AA4" s="1690" t="str">
        <f>IF('坐騎召喚物'!S6="史拉蟾Slaad","再生Regeneration。
精魄在其回合開始時恢復5點生命值，前提是它至少有1點生命值。",IF('坐騎召喚物'!S6="奪心魔Mind Flayer","低語靈光Whispering Aura。
只要精魄並未失能，它就會在自己的每個回合開始時釋放出靈能能量。
感知豁免：DC等於你的法術豁免DC，精魄5尺內除你之外的每個生物。
失敗：2d6心靈傷害。",""))</f>
        <v/>
      </c>
      <c r="AB4" s="1690"/>
      <c r="AC4" s="1690"/>
      <c r="AD4" s="1690"/>
      <c r="AE4" s="1690" t="str">
        <f>IF('坐騎召喚物'!I6="史拉蟾Slaad","再生Regeneration。
精魄在其回合開始時恢復5點生命值，前提是它至少有1點生命值。",IF('坐騎召喚物'!I6="奪心魔Mind Flayer","低語靈光Whispering Aura。
只要精魄並未失能，它就會在自己的每個回合開始時釋放出靈能能量。
感知豁免：DC等於你的法術豁免DC，精魄5尺內除你之外的每個生物。
失敗：2d6心靈傷害。",""))</f>
        <v/>
      </c>
      <c r="AF4" s="1690"/>
      <c r="AG4" s="1690"/>
      <c r="AH4" s="1690"/>
      <c r="AI4" s="1690" t="str">
        <f>"多重攻擊Multiattack。精魄發動"&amp;ROUNDDOWN('坐騎召喚物'!C6/2,0)&amp;"次攻擊。"</f>
        <v>多重攻擊Multiattack。精魄發動0次攻擊。</v>
      </c>
      <c r="AJ4" s="1690" t="str">
        <f>SWITCH('坐騎召喚物'!I6,"史拉蟾Slaad","爪擊Claw。
近戰攻擊：加值等於你的法術攻擊加值，觸及5尺。
命中：1d10+3+"&amp;'坐騎召喚物'!C6&amp;"劈砍傷害，目標無法恢復生命值直到精魄下一回合開始。"
,"奪心魔Mind Flayer","眼波射線Eye Ray。
遠程攻擊：加值等於你的法術攻擊加值，射程150尺。
命中：1d8+3+"&amp;'坐騎召喚物'!C6&amp;"心靈傷害。"
,"眼魔Beholderkin","靈能猛擊Psychic Slam。
近戰攻擊：加值等於你的法術攻擊加值，觸及5尺。
命中：1d8+3+"&amp;'坐騎召喚物'!C6&amp;"心靈傷害。","")</f>
        <v/>
      </c>
      <c r="AK4" s="1690"/>
      <c r="AL4" s="1690"/>
      <c r="AM4" s="1690"/>
      <c r="AN4" s="1690"/>
      <c r="AO4" s="1690"/>
      <c r="AP4" s="1690"/>
      <c r="AQ4" s="1690"/>
      <c r="AR4" s="1690" t="str">
        <f>IF('坐騎召喚物'!S6="史拉蟾Slaad","再生Regeneration。
精魄在其回合開始時恢復5點生命值，前提是它至少有1點生命值。",IF('坐騎召喚物'!S6="奪心魔Mind Flayer","低語靈光Whispering Aura。
只要精魄並未失能，它就會在自己的每個回合開始時釋放出靈能能量。
感知豁免：DC等於你的法術豁免DC，精魄5尺內除你之外的每個生物。
失敗：2d6心靈傷害。",""))</f>
        <v/>
      </c>
      <c r="AS4" s="1690"/>
      <c r="AT4" s="1690"/>
      <c r="AU4" s="1690"/>
    </row>
    <row r="5">
      <c r="A5" s="1419"/>
      <c r="B5" s="1684" t="s">
        <v>4176</v>
      </c>
      <c r="C5" s="1685" t="s">
        <v>4177</v>
      </c>
      <c r="D5" s="1685" t="s">
        <v>603</v>
      </c>
      <c r="E5" s="1685" t="s">
        <v>4178</v>
      </c>
      <c r="F5" s="1691" t="s">
        <v>705</v>
      </c>
      <c r="G5" s="1686" t="s">
        <v>4175</v>
      </c>
      <c r="H5" s="1691">
        <f>11+'坐騎召喚物'!C6</f>
        <v>11</v>
      </c>
      <c r="I5" s="1691">
        <f>30+10*('坐騎召喚物'!C6-2)+IF('坐騎召喚物'!I6="天空Air",-10)</f>
        <v>10</v>
      </c>
      <c r="J5" s="1691">
        <v>30.0</v>
      </c>
      <c r="K5" s="1691">
        <f>IF('坐騎召喚物'!I6="海洋Water",30,0)</f>
        <v>0</v>
      </c>
      <c r="L5" s="1691">
        <f>IF('坐騎召喚物'!I6="天空Air",60,0)</f>
        <v>0</v>
      </c>
      <c r="M5" s="1691">
        <f>IF('坐騎召喚物'!I6="大地Land",30,0)</f>
        <v>0</v>
      </c>
      <c r="N5" s="1691">
        <v>0.0</v>
      </c>
      <c r="O5" s="1691">
        <v>0.0</v>
      </c>
      <c r="P5" s="1691">
        <v>18.0</v>
      </c>
      <c r="Q5" s="1691">
        <v>11.0</v>
      </c>
      <c r="R5" s="1691">
        <v>16.0</v>
      </c>
      <c r="S5" s="1691">
        <v>4.0</v>
      </c>
      <c r="T5" s="1691">
        <v>14.0</v>
      </c>
      <c r="U5" s="1691">
        <v>5.0</v>
      </c>
      <c r="V5" s="1691">
        <v>60.0</v>
      </c>
      <c r="W5" s="1691">
        <v>0.0</v>
      </c>
      <c r="X5" s="1691">
        <v>0.0</v>
      </c>
      <c r="Y5" s="1691">
        <v>0.0</v>
      </c>
      <c r="Z5" s="1691"/>
      <c r="AA5" s="1686"/>
      <c r="AB5" s="1686"/>
      <c r="AC5" s="1686"/>
      <c r="AD5" s="1686"/>
      <c r="AE5" s="1686" t="str">
        <f>IFNA(SWITCH('坐騎召喚物'!I6,"天空Air","飛掠Flyby。
精魂飛出敵人觸及範圍時不會引起藉機攻擊。"
,"大地Land"
,"集群戰術Pack Tactics。
當精魂有至少一個未處於失能狀態的盟友在目標生物5尺內時，它對該生物發動的攻擊檢定有優勢。"
,"海洋Water"
,"集群戰術Pack Tactics。
當精魂有至少一個未處於失能狀態的盟友在目標生物5尺內時，它對該生物發動的攻擊檢定有優勢。"),"")</f>
        <v/>
      </c>
      <c r="AF5" s="1686" t="str">
        <f>IF('坐騎召喚物'!I6="海洋Water"
,"水下呼吸Water Breathing。
精魂只能在水下呼吸。","")</f>
        <v/>
      </c>
      <c r="AG5" s="1686"/>
      <c r="AH5" s="1686"/>
      <c r="AI5" s="1686" t="str">
        <f>"多重攻擊Multiattack。精魄發動"&amp;ROUNDDOWN('坐騎召喚物'!C6/2,0)&amp;"次撕裂攻擊。"</f>
        <v>多重攻擊Multiattack。精魄發動0次撕裂攻擊。</v>
      </c>
      <c r="AJ5" s="1686" t="str">
        <f>"撕裂Rend。
近戰攻擊：加值等於你的法術攻擊加值，觸及5尺。
命中：1d8+4+"&amp;'坐騎召喚物'!C6&amp;"劈砍傷害。"</f>
        <v>撕裂Rend。
近戰攻擊：加值等於你的法術攻擊加值，觸及5尺。
命中：1d8+4+劈砍傷害。</v>
      </c>
      <c r="AK5" s="1686"/>
      <c r="AL5" s="1686"/>
      <c r="AM5" s="1686"/>
      <c r="AN5" s="1686"/>
      <c r="AO5" s="1686"/>
      <c r="AP5" s="1686"/>
      <c r="AQ5" s="1686"/>
      <c r="AR5" s="1686"/>
      <c r="AS5" s="1686" t="str">
        <f>IF('坐騎召喚物'!S6="海洋野獸Water"
,"水下呼吸Water Breathing。
精魂只能在水下呼吸。","")</f>
        <v/>
      </c>
      <c r="AT5" s="1686"/>
      <c r="AU5" s="1686"/>
    </row>
    <row r="6">
      <c r="A6" s="1419"/>
      <c r="B6" s="1687" t="s">
        <v>4179</v>
      </c>
      <c r="C6" s="1688" t="s">
        <v>4180</v>
      </c>
      <c r="D6" s="1688" t="s">
        <v>648</v>
      </c>
      <c r="E6" s="1688" t="s">
        <v>4181</v>
      </c>
      <c r="F6" s="1689" t="s">
        <v>4182</v>
      </c>
      <c r="G6" s="1690" t="s">
        <v>4175</v>
      </c>
      <c r="H6" s="1689">
        <f>11+'坐騎召喚物'!C6+IF('坐騎召喚物'!I6="守護聖靈Defender",2)</f>
        <v>11</v>
      </c>
      <c r="I6" s="1689">
        <f>40+10*('坐騎召喚物'!C6-5)</f>
        <v>-10</v>
      </c>
      <c r="J6" s="1689">
        <v>30.0</v>
      </c>
      <c r="K6" s="1689">
        <v>0.0</v>
      </c>
      <c r="L6" s="1689">
        <v>40.0</v>
      </c>
      <c r="M6" s="1689">
        <v>0.0</v>
      </c>
      <c r="N6" s="1689">
        <v>0.0</v>
      </c>
      <c r="O6" s="1689">
        <v>0.0</v>
      </c>
      <c r="P6" s="1689">
        <v>16.0</v>
      </c>
      <c r="Q6" s="1689">
        <v>14.0</v>
      </c>
      <c r="R6" s="1689">
        <v>16.0</v>
      </c>
      <c r="S6" s="1689">
        <v>10.0</v>
      </c>
      <c r="T6" s="1689">
        <v>14.0</v>
      </c>
      <c r="U6" s="1689">
        <v>16.0</v>
      </c>
      <c r="V6" s="1689">
        <v>60.0</v>
      </c>
      <c r="W6" s="1689">
        <v>0.0</v>
      </c>
      <c r="X6" s="1689">
        <v>0.0</v>
      </c>
      <c r="Y6" s="1689">
        <v>0.0</v>
      </c>
      <c r="Z6" s="1689"/>
      <c r="AA6" s="1690"/>
      <c r="AB6" s="1690" t="s">
        <v>1661</v>
      </c>
      <c r="AC6" s="1690"/>
      <c r="AD6" s="1690" t="s">
        <v>4183</v>
      </c>
      <c r="AE6" s="1690"/>
      <c r="AF6" s="1690"/>
      <c r="AG6" s="1690"/>
      <c r="AH6" s="1690"/>
      <c r="AI6" s="1690" t="str">
        <f>"多重攻擊Multiattack。精魄發動"&amp;ROUNDDOWN('坐騎召喚物'!C6/2,0)&amp;"次攻擊。"</f>
        <v>多重攻擊Multiattack。精魄發動0次攻擊。</v>
      </c>
      <c r="AJ6" s="1690" t="str">
        <f>IFNA(SWITCH('坐騎召喚物'!I6,"復仇聖靈Avenger","光耀之弓Radiant Bow。
遠程攻擊：加值等於你的法術攻擊加值，射程600尺。
命中：2d6+2+"&amp;'坐騎召喚物'!C6&amp;"的光耀傷害。"
,"守護聖靈Defender","光耀之鎚Radiant Mace。
近戰攻擊：加值等於你的法術攻擊加值，觸及5尺。
命中：1d10+3+"&amp;'坐騎召喚物'!C6&amp;"光耀傷害，且精魂可選擇自己或其10尺內可見的另一生物，令其獲得1d10臨時生命值。"),"")</f>
        <v/>
      </c>
      <c r="AK6" s="1690" t="str">
        <f>"治癒之觸Healing Touch（1/日）。
精魄觸碰另一個生物。目標魔法性地恢復2d8+"&amp;'坐騎召喚物'!C6&amp;"點生命值。"</f>
        <v>治癒之觸Healing Touch（1/日）。
精魄觸碰另一個生物。目標魔法性地恢復2d8+點生命值。</v>
      </c>
      <c r="AL6" s="1690"/>
      <c r="AM6" s="1690"/>
      <c r="AN6" s="1690"/>
      <c r="AO6" s="1690"/>
      <c r="AP6" s="1690"/>
      <c r="AQ6" s="1690"/>
      <c r="AR6" s="1690"/>
      <c r="AS6" s="1690"/>
      <c r="AT6" s="1690"/>
      <c r="AU6" s="1690"/>
    </row>
    <row r="7">
      <c r="A7" s="1419"/>
      <c r="B7" s="1684" t="s">
        <v>4184</v>
      </c>
      <c r="C7" s="1685" t="s">
        <v>4185</v>
      </c>
      <c r="D7" s="1685" t="s">
        <v>632</v>
      </c>
      <c r="E7" s="1685" t="s">
        <v>4186</v>
      </c>
      <c r="F7" s="1691" t="s">
        <v>690</v>
      </c>
      <c r="G7" s="1686" t="s">
        <v>4175</v>
      </c>
      <c r="H7" s="1691">
        <f>13+'坐騎召喚物'!C6</f>
        <v>13</v>
      </c>
      <c r="I7" s="1691">
        <f>40+15*('坐騎召喚物'!C6-4)</f>
        <v>-20</v>
      </c>
      <c r="J7" s="1691">
        <v>30.0</v>
      </c>
      <c r="K7" s="1691">
        <v>0.0</v>
      </c>
      <c r="L7" s="1691">
        <v>0.0</v>
      </c>
      <c r="M7" s="1691">
        <v>0.0</v>
      </c>
      <c r="N7" s="1691">
        <v>0.0</v>
      </c>
      <c r="O7" s="1691">
        <v>0.0</v>
      </c>
      <c r="P7" s="1691">
        <v>18.0</v>
      </c>
      <c r="Q7" s="1691">
        <v>10.0</v>
      </c>
      <c r="R7" s="1691">
        <v>18.0</v>
      </c>
      <c r="S7" s="1691">
        <v>4.0</v>
      </c>
      <c r="T7" s="1691">
        <v>11.0</v>
      </c>
      <c r="U7" s="1691">
        <v>5.0</v>
      </c>
      <c r="V7" s="1691">
        <v>60.0</v>
      </c>
      <c r="W7" s="1691">
        <v>0.0</v>
      </c>
      <c r="X7" s="1691">
        <v>0.0</v>
      </c>
      <c r="Y7" s="1691">
        <v>0.0</v>
      </c>
      <c r="Z7" s="1691"/>
      <c r="AA7" s="1686"/>
      <c r="AB7" s="1686" t="s">
        <v>4187</v>
      </c>
      <c r="AC7" s="1686"/>
      <c r="AD7" s="1686" t="s">
        <v>4188</v>
      </c>
      <c r="AE7" s="1686" t="str">
        <f>IFNA(SWITCH('坐騎召喚物'!I6,"天空Air","灼熱之軀Heated Body。
當生物對精魄發動近戰攻擊並命中，或在擒抱精魄、被精魄擒抱期間開始其回合時，那個生物受到1d10火焰傷害。"
,"岩石魔偶Stone"
,"當一個靈魄可見的生物在其10尺距離內開始回合時，它可以對其釋放出一道魔法能量。
感知豁免：DC等於你的法術豁免DC，被指定的生物。
失敗：目標直到精魂下一回合開始。不能進行藉機攻擊且速度減半。"),"")</f>
        <v/>
      </c>
      <c r="AF7" s="1686"/>
      <c r="AG7" s="1686"/>
      <c r="AH7" s="1686"/>
      <c r="AI7" s="1686" t="str">
        <f>"多重攻擊Multiattack。精魄發動"&amp;ROUNDDOWN('坐騎召喚物'!C6/2,0)&amp;"次猛擊攻擊。"</f>
        <v>多重攻擊Multiattack。精魄發動0次猛擊攻擊。</v>
      </c>
      <c r="AJ7" s="1686" t="str">
        <f>"猛擊Slam。
近戰攻擊：加值等於你的法術攻擊加值，觸及5尺。
命中：1d8+4+"&amp;'坐騎召喚物'!C6&amp;"鈍擊傷害。"</f>
        <v>猛擊Slam。
近戰攻擊：加值等於你的法術攻擊加值，觸及5尺。
命中：1d8+4+鈍擊傷害。</v>
      </c>
      <c r="AK7" s="1686"/>
      <c r="AL7" s="1686"/>
      <c r="AM7" s="1686"/>
      <c r="AN7" s="1686"/>
      <c r="AO7" s="1686"/>
      <c r="AP7" s="1686"/>
      <c r="AQ7" s="1686"/>
      <c r="AR7" s="1686" t="str">
        <f>IF('坐騎召喚物'!I6="黏土魔偶Clay"
,"狂怒亂擊Berserk Lashing。
觸發：一個生物對靈魄造成了傷害。
反應：靈魄對此目標發動猛擊攻擊（若可能），或靈魄向該目標移動至多等於其速度一半的距離且不觸發藉機攻擊。","")</f>
        <v/>
      </c>
      <c r="AS7" s="1686"/>
      <c r="AT7" s="1686"/>
      <c r="AU7" s="1686"/>
    </row>
    <row r="8">
      <c r="A8" s="1419"/>
      <c r="B8" s="1687" t="s">
        <v>4189</v>
      </c>
      <c r="C8" s="1688" t="s">
        <v>4190</v>
      </c>
      <c r="D8" s="1688" t="s">
        <v>652</v>
      </c>
      <c r="E8" s="1688" t="s">
        <v>4191</v>
      </c>
      <c r="F8" s="1689" t="s">
        <v>4182</v>
      </c>
      <c r="G8" s="1690" t="s">
        <v>4175</v>
      </c>
      <c r="H8" s="1689">
        <f>14+'坐騎召喚物'!C6</f>
        <v>14</v>
      </c>
      <c r="I8" s="1689">
        <f>50+10*('坐騎召喚物'!C6-5)</f>
        <v>0</v>
      </c>
      <c r="J8" s="1689">
        <v>30.0</v>
      </c>
      <c r="K8" s="1689">
        <v>30.0</v>
      </c>
      <c r="L8" s="1689">
        <v>60.0</v>
      </c>
      <c r="M8" s="1689">
        <v>0.0</v>
      </c>
      <c r="N8" s="1689">
        <v>0.0</v>
      </c>
      <c r="O8" s="1689">
        <v>0.0</v>
      </c>
      <c r="P8" s="1689">
        <v>19.0</v>
      </c>
      <c r="Q8" s="1689">
        <v>14.0</v>
      </c>
      <c r="R8" s="1689">
        <v>17.0</v>
      </c>
      <c r="S8" s="1689">
        <v>10.0</v>
      </c>
      <c r="T8" s="1689">
        <v>14.0</v>
      </c>
      <c r="U8" s="1689">
        <v>14.0</v>
      </c>
      <c r="V8" s="1689">
        <v>60.0</v>
      </c>
      <c r="W8" s="1689">
        <v>30.0</v>
      </c>
      <c r="X8" s="1689">
        <v>0.0</v>
      </c>
      <c r="Y8" s="1689">
        <v>0.0</v>
      </c>
      <c r="Z8" s="1689"/>
      <c r="AA8" s="1690"/>
      <c r="AB8" s="1690" t="s">
        <v>4192</v>
      </c>
      <c r="AC8" s="1690"/>
      <c r="AD8" s="1690" t="s">
        <v>4193</v>
      </c>
      <c r="AE8" s="1690" t="s">
        <v>4194</v>
      </c>
      <c r="AF8" s="1690"/>
      <c r="AG8" s="1690"/>
      <c r="AH8" s="1690"/>
      <c r="AI8" s="1690" t="str">
        <f>"多重攻擊Multiattack。精魄發動"&amp;ROUNDDOWN('坐騎召喚物'!C6/2,0)&amp;"次撕裂攻擊，並使用其吐息武器。"</f>
        <v>多重攻擊Multiattack。精魄發動0次撕裂攻擊，並使用其吐息武器。</v>
      </c>
      <c r="AJ8" s="1690" t="str">
        <f>"撕裂Rend。
近戰攻擊：加值等於你的法術攻擊加值，觸及10尺。
命中：1d8+4+"&amp;'坐騎召喚物'!C6&amp;"劈砍傷害。"</f>
        <v>撕裂Rend。
近戰攻擊：加值等於你的法術攻擊加值，觸及10尺。
命中：1d8+4+劈砍傷害。</v>
      </c>
      <c r="AK8" s="1690" t="s">
        <v>4195</v>
      </c>
      <c r="AL8" s="1690"/>
      <c r="AM8" s="1690"/>
      <c r="AN8" s="1690"/>
      <c r="AO8" s="1690"/>
      <c r="AP8" s="1690"/>
      <c r="AQ8" s="1690"/>
      <c r="AR8" s="1690"/>
      <c r="AS8" s="1690"/>
      <c r="AT8" s="1690"/>
      <c r="AU8" s="1690"/>
    </row>
    <row r="9">
      <c r="A9" s="1419"/>
      <c r="B9" s="1684" t="s">
        <v>4196</v>
      </c>
      <c r="C9" s="1685" t="s">
        <v>4197</v>
      </c>
      <c r="D9" s="1685" t="s">
        <v>637</v>
      </c>
      <c r="E9" s="1685" t="s">
        <v>4198</v>
      </c>
      <c r="F9" s="1691" t="s">
        <v>690</v>
      </c>
      <c r="G9" s="1686" t="s">
        <v>4175</v>
      </c>
      <c r="H9" s="1691">
        <f>11+'坐騎召喚物'!C6</f>
        <v>11</v>
      </c>
      <c r="I9" s="1691">
        <f>50+10*('坐騎召喚物'!C6-4)</f>
        <v>10</v>
      </c>
      <c r="J9" s="1691">
        <v>40.0</v>
      </c>
      <c r="K9" s="1691">
        <f>IF('坐騎召喚物'!I6="水元素Water",40,0)</f>
        <v>0</v>
      </c>
      <c r="L9" s="1691">
        <v>0.0</v>
      </c>
      <c r="M9" s="1691">
        <v>0.0</v>
      </c>
      <c r="N9" s="1691">
        <f>IF('坐騎召喚物'!I6="氣元素Air",40,0)</f>
        <v>0</v>
      </c>
      <c r="O9" s="1691">
        <f>IF('坐騎召喚物'!I6="土元素Earth",40,0)</f>
        <v>0</v>
      </c>
      <c r="P9" s="1691">
        <v>18.0</v>
      </c>
      <c r="Q9" s="1691">
        <v>15.0</v>
      </c>
      <c r="R9" s="1691">
        <v>17.0</v>
      </c>
      <c r="S9" s="1691">
        <v>4.0</v>
      </c>
      <c r="T9" s="1691">
        <v>10.0</v>
      </c>
      <c r="U9" s="1691">
        <v>16.0</v>
      </c>
      <c r="V9" s="1691">
        <v>60.0</v>
      </c>
      <c r="W9" s="1691">
        <v>0.0</v>
      </c>
      <c r="X9" s="1691">
        <v>0.0</v>
      </c>
      <c r="Y9" s="1691">
        <v>0.0</v>
      </c>
      <c r="Z9" s="1691"/>
      <c r="AA9" s="1686"/>
      <c r="AB9" s="1686" t="str">
        <f>IFNA(SWITCH('坐騎召喚物'!I6,"氣元素Air","閃電、雷鳴","土元素Earth","穿刺、劈砍","水元素Water","強酸"),"")</f>
        <v/>
      </c>
      <c r="AC9" s="1686" t="str">
        <f>IF('坐騎召喚物'!I6="火元素Fire","火焰、","")&amp;"毒素"</f>
        <v>毒素</v>
      </c>
      <c r="AD9" s="1686" t="s">
        <v>4199</v>
      </c>
      <c r="AE9" s="1686" t="str">
        <f>IF(OR('坐騎召喚物'!I6="氣元素Air",'坐騎召喚物'!I6="火元素Fire",'坐騎召喚物'!I6="水元素Water"),"不定形態Amorphous Form。
精魄能夠輕易穿過最窄1吋寬的狹窄空間，如同其是困難地形。","")</f>
        <v/>
      </c>
      <c r="AF9" s="1686"/>
      <c r="AG9" s="1686"/>
      <c r="AH9" s="1686"/>
      <c r="AI9" s="1686" t="str">
        <f>"多重攻擊Multiattack。精魄發動"&amp;ROUNDDOWN('坐騎召喚物'!C6/2,0)&amp;"次猛擊攻擊。"</f>
        <v>多重攻擊Multiattack。精魄發動0次猛擊攻擊。</v>
      </c>
      <c r="AJ9" s="1686" t="str">
        <f>"猛擊Slam。
近戰攻擊：加值等於你的法術攻擊加值，觸及5尺。
命中：1d8+4+"&amp;'坐騎召喚物'!C6&amp;SWITCH('坐騎召喚物'!I6,"氣元素Air","閃電","土元素Earth","鈍擊","火元素Fire","火焰","水元素Water","冰凍","")&amp;"傷害。"</f>
        <v>猛擊Slam。
近戰攻擊：加值等於你的法術攻擊加值，觸及5尺。
命中：1d8+4+傷害。</v>
      </c>
      <c r="AK9" s="1686"/>
      <c r="AL9" s="1686"/>
      <c r="AM9" s="1686"/>
      <c r="AN9" s="1686"/>
      <c r="AO9" s="1686"/>
      <c r="AP9" s="1686"/>
      <c r="AQ9" s="1686"/>
      <c r="AR9" s="1686"/>
      <c r="AS9" s="1686"/>
      <c r="AT9" s="1686"/>
      <c r="AU9" s="1686"/>
    </row>
    <row r="10">
      <c r="A10" s="1419"/>
      <c r="B10" s="1687" t="s">
        <v>4200</v>
      </c>
      <c r="C10" s="1688" t="s">
        <v>4201</v>
      </c>
      <c r="D10" s="1688" t="s">
        <v>612</v>
      </c>
      <c r="E10" s="1688" t="s">
        <v>4202</v>
      </c>
      <c r="F10" s="1690" t="s">
        <v>705</v>
      </c>
      <c r="G10" s="1690" t="s">
        <v>4175</v>
      </c>
      <c r="H10" s="1690">
        <f>12+'坐騎召喚物'!C6</f>
        <v>12</v>
      </c>
      <c r="I10" s="1690">
        <f>30+15*('坐騎召喚物'!C6-3)</f>
        <v>-15</v>
      </c>
      <c r="J10" s="1690">
        <v>30.0</v>
      </c>
      <c r="K10" s="1690">
        <v>0.0</v>
      </c>
      <c r="L10" s="1690">
        <v>30.0</v>
      </c>
      <c r="M10" s="1690">
        <v>0.0</v>
      </c>
      <c r="N10" s="1690">
        <v>0.0</v>
      </c>
      <c r="O10" s="1690">
        <v>0.0</v>
      </c>
      <c r="P10" s="1690">
        <v>13.0</v>
      </c>
      <c r="Q10" s="1690">
        <v>16.0</v>
      </c>
      <c r="R10" s="1690">
        <v>14.0</v>
      </c>
      <c r="S10" s="1690">
        <v>14.0</v>
      </c>
      <c r="T10" s="1690">
        <v>11.0</v>
      </c>
      <c r="U10" s="1690">
        <v>16.0</v>
      </c>
      <c r="V10" s="1690">
        <v>60.0</v>
      </c>
      <c r="W10" s="1690">
        <v>0.0</v>
      </c>
      <c r="X10" s="1690">
        <v>0.0</v>
      </c>
      <c r="Y10" s="1690">
        <v>0.0</v>
      </c>
      <c r="Z10" s="1690"/>
      <c r="AA10" s="1690"/>
      <c r="AB10" s="1690"/>
      <c r="AC10" s="1690"/>
      <c r="AD10" s="1690" t="s">
        <v>4203</v>
      </c>
      <c r="AE10" s="1690"/>
      <c r="AF10" s="1690"/>
      <c r="AG10" s="1690"/>
      <c r="AH10" s="1690"/>
      <c r="AI10" s="1690" t="str">
        <f>"多重攻擊Multiattack。精魄發動"&amp;ROUNDDOWN('坐騎召喚物'!C6/2,0)&amp;"次妖精劍攻擊。"</f>
        <v>多重攻擊Multiattack。精魄發動0次妖精劍攻擊。</v>
      </c>
      <c r="AJ10" s="1690" t="str">
        <f>"妖精之刃Fey Blade。
近戰攻擊：加值等於你的法術攻擊加值，觸及5尺。
命中：1d8+3+"&amp;'坐騎召喚物'!C6&amp;"力場傷害。"</f>
        <v>妖精之刃Fey Blade。
近戰攻擊：加值等於你的法術攻擊加值，觸及5尺。
命中：1d8+3+力場傷害。</v>
      </c>
      <c r="AK10" s="1690"/>
      <c r="AL10" s="1690"/>
      <c r="AM10" s="1690"/>
      <c r="AN10" s="1690" t="str">
        <f>"妖精步伐Fey Step。
靈魄魔法地傳送至多30尺至一處它可見的未被佔據空間。隨後根據所選類型，精魄觸發以下效果："&amp;
SWITCH('坐騎召喚物'!I6,"盛怒妖精Fuming","妖精在此回合結束前的下一次攻擊檢定具有優勢。","歡愉妖精Mirthful","感知豁免：DC等於你的法術豁免DC，精魄10呎內它可見的一個生物。
失敗：目標受你和精魄魅惑1分鐘或直到目標受到任意傷害。)","詭詐妖精Tricksy","精魄令魔法黑暗充斥於它5尺內的一處10尺立方區域，持續直到精魄的下一輪結束。","")</f>
        <v>妖精步伐Fey Step。
靈魄魔法地傳送至多30尺至一處它可見的未被佔據空間。隨後根據所選類型，精魄觸發以下效果：</v>
      </c>
      <c r="AO10" s="1690"/>
      <c r="AP10" s="1690"/>
      <c r="AQ10" s="1690"/>
      <c r="AR10" s="1690"/>
      <c r="AS10" s="1690"/>
      <c r="AT10" s="1690"/>
      <c r="AU10" s="1690"/>
    </row>
    <row r="11">
      <c r="A11" s="1419"/>
      <c r="B11" s="1684" t="s">
        <v>4204</v>
      </c>
      <c r="C11" s="1685" t="s">
        <v>4205</v>
      </c>
      <c r="D11" s="1685" t="s">
        <v>654</v>
      </c>
      <c r="E11" s="1685" t="s">
        <v>4206</v>
      </c>
      <c r="F11" s="1686" t="s">
        <v>4182</v>
      </c>
      <c r="G11" s="1686" t="s">
        <v>4175</v>
      </c>
      <c r="H11" s="1686">
        <f>12+'坐騎召喚物'!C6</f>
        <v>12</v>
      </c>
      <c r="I11" s="1686">
        <f>50+15*('坐騎召喚物'!C6-6)+IF('坐騎召喚物'!I6="魔鬼Devil",-10)+IF('坐騎召喚物'!I6="尤格羅斯魔Yugoloth",10)</f>
        <v>-40</v>
      </c>
      <c r="J11" s="1686">
        <v>40.0</v>
      </c>
      <c r="K11" s="1686">
        <v>0.0</v>
      </c>
      <c r="L11" s="1686">
        <f>IF('坐騎召喚物'!I6="魔鬼Devil",60,0)</f>
        <v>0</v>
      </c>
      <c r="M11" s="1686">
        <f>IF('坐騎召喚物'!I6="惡魔Demon",40,0)</f>
        <v>0</v>
      </c>
      <c r="N11" s="1686">
        <v>0.0</v>
      </c>
      <c r="O11" s="1686">
        <v>0.0</v>
      </c>
      <c r="P11" s="1686">
        <v>13.0</v>
      </c>
      <c r="Q11" s="1686">
        <v>16.0</v>
      </c>
      <c r="R11" s="1686">
        <v>15.0</v>
      </c>
      <c r="S11" s="1686">
        <v>10.0</v>
      </c>
      <c r="T11" s="1686">
        <v>10.0</v>
      </c>
      <c r="U11" s="1686">
        <v>16.0</v>
      </c>
      <c r="V11" s="1686">
        <v>60.0</v>
      </c>
      <c r="W11" s="1686">
        <v>0.0</v>
      </c>
      <c r="X11" s="1686">
        <v>0.0</v>
      </c>
      <c r="Y11" s="1686">
        <v>0.0</v>
      </c>
      <c r="Z11" s="1686"/>
      <c r="AA11" s="1686"/>
      <c r="AB11" s="1686" t="s">
        <v>1628</v>
      </c>
      <c r="AC11" s="1686" t="s">
        <v>4187</v>
      </c>
      <c r="AD11" s="1686" t="s">
        <v>4207</v>
      </c>
      <c r="AE11" s="1686" t="s">
        <v>4208</v>
      </c>
      <c r="AF11" s="1686" t="str">
        <f>SWITCH('坐騎召喚物'!I6,"惡魔Demon","焚身爆Death Throes。
當精魄生命值降值0時，或法術結束時，精魄會爆炸。
敏捷豁免：DC等於你的法術豁免DC，以精魄為中心10尺光環區域內的每個生物。
失敗：2d10+"&amp;'坐騎召喚物'!C6&amp;"火焰傷害。
成功：半傷。"
,"魔鬼Devil"
,"魔鬼視覺Devil's Sight。
 魔法黑暗不會阻礙精魄的黑暗視覺。","")</f>
        <v/>
      </c>
      <c r="AG11" s="1686"/>
      <c r="AH11" s="1686"/>
      <c r="AI11" s="1686" t="str">
        <f>"多重攻擊Multiattack。精魄發動"&amp;ROUNDDOWN('坐騎召喚物'!C6/2,0)&amp;"次攻擊。"</f>
        <v>多重攻擊Multiattack。精魄發動0次攻擊。</v>
      </c>
      <c r="AJ11" s="1686" t="str">
        <f>IFNA(SWITCH('坐騎召喚物'!I6,"惡魔Demon","啃咬Bite。
近戰攻擊：加值等於你的法術攻擊加值，觸及5尺。
命中：1d12+3+"&amp;'坐騎召喚物'!C6&amp;"暗蝕傷害。"
,"魔鬼Devil","狂焰襲Fiery Strike。
近戰或遠程攻擊：加值等於你的法術攻擊加值，觸及5尺或射程150尺。
命中：2d6+3+"&amp;'坐騎召喚物'!C6&amp;"火焰傷害。"
,"尤格羅斯魔Yugoloth","爪擊Claws（僅尤格羅斯魔）。
近戰攻擊：加值等於你的法術攻擊加值，觸及5尺。
命中：1d8+3+"&amp;'坐騎召喚物'!C6&amp;"劈砍傷害。
命中或失手後，精魄可以立即魔法性地傳送至多30尺至一處它可見且未被佔據的空間。"),"")</f>
        <v/>
      </c>
      <c r="AK11" s="1686"/>
      <c r="AL11" s="1686"/>
      <c r="AM11" s="1686"/>
      <c r="AN11" s="1686"/>
      <c r="AO11" s="1686"/>
      <c r="AP11" s="1686"/>
      <c r="AQ11" s="1686"/>
      <c r="AR11" s="1686"/>
      <c r="AS11" s="1686"/>
      <c r="AT11" s="1686"/>
      <c r="AU11" s="1686"/>
    </row>
    <row r="12">
      <c r="A12" s="1419"/>
      <c r="B12" s="1687" t="s">
        <v>4209</v>
      </c>
      <c r="C12" s="1688" t="s">
        <v>4210</v>
      </c>
      <c r="D12" s="1688" t="s">
        <v>617</v>
      </c>
      <c r="E12" s="1688" t="s">
        <v>4211</v>
      </c>
      <c r="F12" s="1689" t="s">
        <v>690</v>
      </c>
      <c r="G12" s="1690" t="s">
        <v>4175</v>
      </c>
      <c r="H12" s="1689">
        <f>11+'坐騎召喚物'!C6</f>
        <v>11</v>
      </c>
      <c r="I12" s="1689">
        <f>30+10*('坐騎召喚物'!C6-3)+IF('坐騎召喚物'!I6="骷髏Skeletal",-10)</f>
        <v>0</v>
      </c>
      <c r="J12" s="1689">
        <v>30.0</v>
      </c>
      <c r="K12" s="1689">
        <v>0.0</v>
      </c>
      <c r="L12" s="1689">
        <v>0.0</v>
      </c>
      <c r="M12" s="1689">
        <v>0.0</v>
      </c>
      <c r="N12" s="1689">
        <f>IF('坐騎召喚物'!I6="幽魂Ghostly",40,0)</f>
        <v>0</v>
      </c>
      <c r="O12" s="1689">
        <v>0.0</v>
      </c>
      <c r="P12" s="1689">
        <v>12.0</v>
      </c>
      <c r="Q12" s="1689">
        <v>16.0</v>
      </c>
      <c r="R12" s="1689">
        <v>15.0</v>
      </c>
      <c r="S12" s="1689">
        <v>4.0</v>
      </c>
      <c r="T12" s="1689">
        <v>10.0</v>
      </c>
      <c r="U12" s="1689">
        <v>9.0</v>
      </c>
      <c r="V12" s="1689">
        <v>60.0</v>
      </c>
      <c r="W12" s="1689">
        <v>0.0</v>
      </c>
      <c r="X12" s="1689">
        <v>0.0</v>
      </c>
      <c r="Y12" s="1689">
        <v>0.0</v>
      </c>
      <c r="Z12" s="1689"/>
      <c r="AA12" s="1690"/>
      <c r="AB12" s="1690"/>
      <c r="AC12" s="1690" t="s">
        <v>4212</v>
      </c>
      <c r="AD12" s="1690" t="s">
        <v>4213</v>
      </c>
      <c r="AE12" s="1690" t="str">
        <f>SWITCH('坐騎召喚物'!I6,"腐屍Putrid","腐滅靈光Festering Aura
體質豁免：DC等於你的法術豁免DC，所有在以精魄為源點5尺光環區域內開始其回合的生物（除了你）。
失敗：該生物陷入中毒狀態，直至下一回合開始。"
,"幽魂Ghostly"
,"虛體移動Incorporeal Movement。
精魄可以虛體化並如同穿過困難地形一樣穿過其他生物和物體。如果它在自己的回合結束時仍處在物體內部，則被挪到距離最近的未被佔據的位置，且每因此移動5尺便受到1d10力場傷害。","")</f>
        <v/>
      </c>
      <c r="AF12" s="1690"/>
      <c r="AG12" s="1690"/>
      <c r="AH12" s="1690"/>
      <c r="AI12" s="1690" t="str">
        <f>"多重攻擊Multiattack。精魄發動"&amp;ROUNDDOWN('坐騎召喚物'!C6/2,0)&amp;"次攻擊。"</f>
        <v>多重攻擊Multiattack。精魄發動0次攻擊。</v>
      </c>
      <c r="AJ12" s="1690" t="str">
        <f>IFNA(SWITCH('坐騎召喚物'!I6,"幽魂Ghostly","致死之觸Deathly Touch。
近戰攻擊：加值等於你的法術攻擊加值，觸及5尺。
命中：1d8+3+"&amp;'坐騎召喚物'!C6&amp;"暗蝕傷害，且目標陷入恐慌狀態直到下一回合結束。"
,"骷髏Skeletal","暗澹箭Grave Bolt。
遠程攻擊：加值等於你的法術攻擊加值，射程150尺。
命中：2d4+3+"&amp;'坐騎召喚物'!C6&amp;"暗蝕傷害。"
,"腐屍Putrid","腐滅爪擊Rotting Claw。
近戰攻擊：加值等於你的法術攻擊加值，觸及5尺。
命中：1d6+3+"&amp;'坐騎召喚物'!C6&amp;"揮砍傷害。若目標具有中毒狀態，則其也會陷入麻痺狀態，直到下一回合結束。"),"")</f>
        <v/>
      </c>
      <c r="AK12" s="1690"/>
      <c r="AL12" s="1690"/>
      <c r="AM12" s="1690"/>
      <c r="AN12" s="1690"/>
      <c r="AO12" s="1690"/>
      <c r="AP12" s="1690"/>
      <c r="AQ12" s="1690"/>
      <c r="AR12" s="1690"/>
      <c r="AS12" s="1690"/>
      <c r="AT12" s="1690"/>
      <c r="AU12" s="1690"/>
    </row>
    <row r="13">
      <c r="A13" s="1419"/>
      <c r="B13" s="1684" t="s">
        <v>4214</v>
      </c>
      <c r="C13" s="1685" t="s">
        <v>2693</v>
      </c>
      <c r="D13" s="1685" t="s">
        <v>622</v>
      </c>
      <c r="E13" s="1685" t="s">
        <v>4178</v>
      </c>
      <c r="F13" s="1686" t="s">
        <v>4182</v>
      </c>
      <c r="G13" s="1686" t="s">
        <v>4175</v>
      </c>
      <c r="H13" s="1686">
        <f>11+'坐騎召喚物'!C6</f>
        <v>11</v>
      </c>
      <c r="I13" s="1686">
        <f>30+10*('坐騎召喚物'!C6-4)</f>
        <v>-10</v>
      </c>
      <c r="J13" s="1686">
        <v>40.0</v>
      </c>
      <c r="K13" s="1686">
        <v>0.0</v>
      </c>
      <c r="L13" s="1686">
        <f>IF('坐騎召喚物'!I6="黃蜂Wasp",40,0)</f>
        <v>0</v>
      </c>
      <c r="M13" s="1686">
        <v>40.0</v>
      </c>
      <c r="N13" s="1686">
        <v>0.0</v>
      </c>
      <c r="O13" s="1686">
        <v>0.0</v>
      </c>
      <c r="P13" s="1686">
        <v>17.0</v>
      </c>
      <c r="Q13" s="1686">
        <v>13.0</v>
      </c>
      <c r="R13" s="1686">
        <v>15.0</v>
      </c>
      <c r="S13" s="1686">
        <v>4.0</v>
      </c>
      <c r="T13" s="1686">
        <v>14.0</v>
      </c>
      <c r="U13" s="1686">
        <v>3.0</v>
      </c>
      <c r="V13" s="1686">
        <v>60.0</v>
      </c>
      <c r="W13" s="1686">
        <v>0.0</v>
      </c>
      <c r="X13" s="1686">
        <v>0.0</v>
      </c>
      <c r="Y13" s="1686">
        <v>0.0</v>
      </c>
      <c r="Z13" s="1686"/>
      <c r="AA13" s="1686"/>
      <c r="AB13" s="1686"/>
      <c r="AC13" s="1686"/>
      <c r="AD13" s="1686"/>
      <c r="AE13" s="1686" t="s">
        <v>4215</v>
      </c>
      <c r="AF13" s="1686"/>
      <c r="AG13" s="1686"/>
      <c r="AH13" s="1686"/>
      <c r="AI13" s="1686" t="str">
        <f>"多重攻擊Multiattack。精魄發動"&amp;ROUNDDOWN('坐騎召喚物'!C6/2,0)&amp;"次攻擊。"</f>
        <v>多重攻擊Multiattack。精魄發動0次攻擊。</v>
      </c>
      <c r="AJ13" s="1686" t="str">
        <f>"毒液刺Poison Jab。
近戰攻擊：加值等於你的法術攻擊加值，觸及10尺。
命中：1d6+3+"&amp;'坐騎召喚物'!C6&amp;"穿刺傷害+1d4點毒素傷害。"</f>
        <v>毒液刺Poison Jab。
近戰攻擊：加值等於你的法術攻擊加值，觸及10尺。
命中：1d6+3+穿刺傷害+1d4點毒素傷害。</v>
      </c>
      <c r="AK13" s="1686" t="str">
        <f>IF('坐騎召喚物'!I6="蜘蛛Spider","蛛網箭Web Bolt。
遠程攻擊：加值等同於你的法術攻擊調整值，射程60尺。
命中：1d10+3+"&amp;'坐騎召喚物'!C6&amp;"鈍擊傷害，且目標直到巨蟲的下個回合開始為止速度降為0。","")</f>
        <v/>
      </c>
      <c r="AL13" s="1686"/>
      <c r="AM13" s="1686"/>
      <c r="AN13" s="1686" t="str">
        <f>IF('坐騎召喚物'!I6="蜈蚣Centipede","劇毒噴湧Venomous Spew。
體質豁免：DC等同於你的法術豁免DC，距離巨蟲10尺內的一個可見生物。
失敗：目標直到巨蟲的下個回合開始時陷入中毒狀態。","")</f>
        <v/>
      </c>
      <c r="AO13" s="1686"/>
      <c r="AP13" s="1686"/>
      <c r="AQ13" s="1686"/>
      <c r="AR13" s="1686"/>
      <c r="AS13" s="1686"/>
      <c r="AT13" s="1686"/>
      <c r="AU13" s="1686"/>
    </row>
    <row r="14">
      <c r="A14" s="1419"/>
      <c r="B14" s="1687" t="s">
        <v>643</v>
      </c>
      <c r="C14" s="1688" t="s">
        <v>4216</v>
      </c>
      <c r="D14" s="1688" t="s">
        <v>643</v>
      </c>
      <c r="E14" s="1688" t="s">
        <v>4186</v>
      </c>
      <c r="F14" s="1689" t="str">
        <f>SWITCH('坐騎召喚物'!I6,"巨型Huge","巨型","大型Large","大型","中型或更小Medium or smaller","可變","")</f>
        <v/>
      </c>
      <c r="G14" s="1689" t="s">
        <v>4217</v>
      </c>
      <c r="H14" s="1689">
        <v>15.0</v>
      </c>
      <c r="I14" s="1689" t="str">
        <f>SWITCH('坐騎召喚物'!I6,"巨型Huge",40,"大型Large",20,"中型或更小Medium or smaller",10,"")</f>
        <v/>
      </c>
      <c r="J14" s="1689">
        <v>30.0</v>
      </c>
      <c r="K14" s="1689">
        <v>0.0</v>
      </c>
      <c r="L14" s="1689">
        <v>0.0</v>
      </c>
      <c r="M14" s="1689">
        <v>0.0</v>
      </c>
      <c r="N14" s="1689">
        <v>0.0</v>
      </c>
      <c r="O14" s="1689">
        <v>0.0</v>
      </c>
      <c r="P14" s="1689">
        <v>16.0</v>
      </c>
      <c r="Q14" s="1689">
        <v>10.0</v>
      </c>
      <c r="R14" s="1689">
        <v>10.0</v>
      </c>
      <c r="S14" s="1689">
        <v>3.0</v>
      </c>
      <c r="T14" s="1689">
        <v>3.0</v>
      </c>
      <c r="U14" s="1689">
        <v>1.0</v>
      </c>
      <c r="V14" s="1689">
        <v>0.0</v>
      </c>
      <c r="W14" s="1689">
        <v>30.0</v>
      </c>
      <c r="X14" s="1689">
        <v>0.0</v>
      </c>
      <c r="Y14" s="1689">
        <v>0.0</v>
      </c>
      <c r="Z14" s="1689"/>
      <c r="AA14" s="1690"/>
      <c r="AB14" s="1690"/>
      <c r="AC14" s="1690" t="s">
        <v>4218</v>
      </c>
      <c r="AD14" s="1690" t="s">
        <v>4188</v>
      </c>
      <c r="AE14" s="1690"/>
      <c r="AF14" s="1690"/>
      <c r="AG14" s="1690"/>
      <c r="AH14" s="1690"/>
      <c r="AI14" s="1690" t="str">
        <f>"猛擊Slam。
近戰攻擊：加值等於你的法術攻擊加值，觸及5尺。
命中："&amp;SWITCH('坐騎召喚物'!I6,"巨型Huge","2d12+3+你的施法調整值","大型Large","2d6+3+你的施法調整值","中型或更小Medium or smaller","1d4+3+你的施法調整值","")&amp;"力場傷害。"</f>
        <v>猛擊Slam。
近戰攻擊：加值等於你的法術攻擊加值，觸及5尺。
命中：力場傷害。</v>
      </c>
      <c r="AJ14" s="1690"/>
      <c r="AK14" s="1690"/>
      <c r="AL14" s="1690"/>
      <c r="AM14" s="1690"/>
      <c r="AN14" s="1690"/>
      <c r="AO14" s="1690"/>
      <c r="AP14" s="1690"/>
      <c r="AQ14" s="1690"/>
      <c r="AR14" s="1690"/>
      <c r="AS14" s="1690"/>
      <c r="AT14" s="1690"/>
      <c r="AU14" s="1690"/>
    </row>
    <row r="15">
      <c r="A15" s="1419"/>
      <c r="B15" s="1684" t="s">
        <v>4219</v>
      </c>
      <c r="C15" s="1685" t="s">
        <v>4220</v>
      </c>
      <c r="D15" s="1685" t="s">
        <v>594</v>
      </c>
      <c r="E15" s="1685" t="str">
        <f>IF('坐騎召喚物'!C3=B15,'坐騎召喚物'!I6,"")</f>
        <v/>
      </c>
      <c r="F15" s="1691" t="s">
        <v>4182</v>
      </c>
      <c r="G15" s="1686" t="s">
        <v>4175</v>
      </c>
      <c r="H15" s="1691">
        <f>10+'坐騎召喚物'!C6</f>
        <v>10</v>
      </c>
      <c r="I15" s="1691">
        <f>5+10*'坐騎召喚物'!C6</f>
        <v>5</v>
      </c>
      <c r="J15" s="1691">
        <v>60.0</v>
      </c>
      <c r="K15" s="1691">
        <v>0.0</v>
      </c>
      <c r="L15" s="1691">
        <f>IF(AND('坐騎召喚物'!C3=B15,'坐騎召喚物'!C6&gt;=4),60,0)</f>
        <v>0</v>
      </c>
      <c r="M15" s="1691">
        <v>0.0</v>
      </c>
      <c r="N15" s="1691">
        <v>0.0</v>
      </c>
      <c r="O15" s="1691">
        <v>0.0</v>
      </c>
      <c r="P15" s="1691">
        <v>18.0</v>
      </c>
      <c r="Q15" s="1691">
        <v>12.0</v>
      </c>
      <c r="R15" s="1691">
        <v>14.0</v>
      </c>
      <c r="S15" s="1691">
        <v>6.0</v>
      </c>
      <c r="T15" s="1691">
        <v>12.0</v>
      </c>
      <c r="U15" s="1686">
        <v>8.0</v>
      </c>
      <c r="V15" s="1691">
        <v>0.0</v>
      </c>
      <c r="W15" s="1691">
        <v>0.0</v>
      </c>
      <c r="X15" s="1691">
        <v>0.0</v>
      </c>
      <c r="Y15" s="1691">
        <v>0.0</v>
      </c>
      <c r="Z15" s="1691"/>
      <c r="AA15" s="1686"/>
      <c r="AB15" s="1686"/>
      <c r="AC15" s="1686"/>
      <c r="AD15" s="1686"/>
      <c r="AE15" s="1686" t="s">
        <v>4221</v>
      </c>
      <c r="AF15" s="1686"/>
      <c r="AG15" s="1686"/>
      <c r="AH15" s="1686"/>
      <c r="AI15" s="1686" t="str">
        <f>"異界猛擊Otherworldly Slam。
近戰攻擊：加值等於你的法術攻擊加值，觸及5尺。
命中：1d8+"&amp;'坐騎召喚物'!C6&amp;SWITCH('坐騎召喚物'!I6,"天界生物Celestials","光耀","精類Fey","心靈","邪魔Fiends","暗蝕","")&amp;"傷害。"</f>
        <v>異界猛擊Otherworldly Slam。
近戰攻擊：加值等於你的法術攻擊加值，觸及5尺。
命中：1d8+傷害。</v>
      </c>
      <c r="AJ15" s="1686"/>
      <c r="AK15" s="1686"/>
      <c r="AL15" s="1686"/>
      <c r="AM15" s="1686"/>
      <c r="AN15" s="1686" t="str">
        <f>SWITCH('坐騎召喚物'!I6,"天界生物Celestials","治癒之觸Healing Touch（長休充能）。
一名距坐騎5尺內的生物恢復2d8+法術環階點生命值。"
,"精類Fey","妖精跨步Fey Step（長休充能）。
坐騎連同其騎手傳送至你選擇的距其60尺內未佔空間中。"
,"邪魔Fiends","墮落凝視Fell Glare（長休充能）。
感知豁免：DC等同於你的法術豁免DC，距離坐騎60呎內的一個可見生物。
失敗：目標直到你下個回合結束為止陷入恐慌Frightened狀態。","")</f>
        <v/>
      </c>
      <c r="AO15" s="1686"/>
      <c r="AP15" s="1686"/>
      <c r="AQ15" s="1686"/>
      <c r="AR15" s="1686"/>
      <c r="AS15" s="1686"/>
      <c r="AT15" s="1686"/>
      <c r="AU15" s="1686"/>
    </row>
    <row r="16">
      <c r="A16" s="1419"/>
      <c r="B16" s="1687" t="s">
        <v>4222</v>
      </c>
      <c r="C16" s="1688" t="s">
        <v>4223</v>
      </c>
      <c r="D16" s="1688" t="s">
        <v>609</v>
      </c>
      <c r="E16" s="1688" t="s">
        <v>4211</v>
      </c>
      <c r="F16" s="1689" t="s">
        <v>690</v>
      </c>
      <c r="G16" s="1689" t="s">
        <v>4224</v>
      </c>
      <c r="H16" s="1689">
        <v>8.0</v>
      </c>
      <c r="I16" s="1689">
        <v>15.0</v>
      </c>
      <c r="J16" s="1689">
        <v>20.0</v>
      </c>
      <c r="K16" s="1689">
        <v>0.0</v>
      </c>
      <c r="L16" s="1689">
        <v>0.0</v>
      </c>
      <c r="M16" s="1689">
        <v>0.0</v>
      </c>
      <c r="N16" s="1689">
        <v>0.0</v>
      </c>
      <c r="O16" s="1689">
        <v>0.0</v>
      </c>
      <c r="P16" s="1689">
        <v>13.0</v>
      </c>
      <c r="Q16" s="1689">
        <v>6.0</v>
      </c>
      <c r="R16" s="1689">
        <v>16.0</v>
      </c>
      <c r="S16" s="1689">
        <v>3.0</v>
      </c>
      <c r="T16" s="1689">
        <v>6.0</v>
      </c>
      <c r="U16" s="1689">
        <v>5.0</v>
      </c>
      <c r="V16" s="1689">
        <v>60.0</v>
      </c>
      <c r="W16" s="1689">
        <v>0.0</v>
      </c>
      <c r="X16" s="1689">
        <v>0.0</v>
      </c>
      <c r="Y16" s="1689">
        <v>0.0</v>
      </c>
      <c r="Z16" s="1689"/>
      <c r="AA16" s="1690"/>
      <c r="AB16" s="1690"/>
      <c r="AC16" s="1690" t="s">
        <v>4187</v>
      </c>
      <c r="AD16" s="1690" t="s">
        <v>4225</v>
      </c>
      <c r="AE16" s="1690" t="s">
        <v>4226</v>
      </c>
      <c r="AF16" s="1690"/>
      <c r="AG16" s="1690"/>
      <c r="AH16" s="1690"/>
      <c r="AI16" s="1690" t="s">
        <v>4227</v>
      </c>
      <c r="AJ16" s="1690"/>
      <c r="AK16" s="1690"/>
      <c r="AL16" s="1690"/>
      <c r="AM16" s="1690"/>
      <c r="AN16" s="1690"/>
      <c r="AO16" s="1690"/>
      <c r="AP16" s="1690"/>
      <c r="AQ16" s="1690"/>
      <c r="AR16" s="1690"/>
      <c r="AS16" s="1690"/>
      <c r="AT16" s="1690"/>
      <c r="AU16" s="1690"/>
    </row>
    <row r="17">
      <c r="A17" s="1419"/>
      <c r="B17" s="1684" t="s">
        <v>4228</v>
      </c>
      <c r="C17" s="1685" t="s">
        <v>4229</v>
      </c>
      <c r="D17" s="1685" t="s">
        <v>609</v>
      </c>
      <c r="E17" s="1685" t="s">
        <v>4211</v>
      </c>
      <c r="F17" s="1686" t="s">
        <v>690</v>
      </c>
      <c r="G17" s="1686" t="s">
        <v>4230</v>
      </c>
      <c r="H17" s="1686">
        <v>13.0</v>
      </c>
      <c r="I17" s="1686">
        <v>13.0</v>
      </c>
      <c r="J17" s="1686">
        <v>30.0</v>
      </c>
      <c r="K17" s="1686">
        <v>0.0</v>
      </c>
      <c r="L17" s="1686">
        <v>0.0</v>
      </c>
      <c r="M17" s="1686">
        <v>0.0</v>
      </c>
      <c r="N17" s="1686">
        <v>0.0</v>
      </c>
      <c r="O17" s="1686">
        <v>0.0</v>
      </c>
      <c r="P17" s="1686">
        <v>10.0</v>
      </c>
      <c r="Q17" s="1686">
        <v>16.0</v>
      </c>
      <c r="R17" s="1686">
        <v>15.0</v>
      </c>
      <c r="S17" s="1686">
        <v>6.0</v>
      </c>
      <c r="T17" s="1686">
        <v>8.0</v>
      </c>
      <c r="U17" s="1686">
        <v>5.0</v>
      </c>
      <c r="V17" s="1686">
        <v>60.0</v>
      </c>
      <c r="W17" s="1686">
        <v>0.0</v>
      </c>
      <c r="X17" s="1686">
        <v>0.0</v>
      </c>
      <c r="Y17" s="1686">
        <v>0.0</v>
      </c>
      <c r="Z17" s="1686"/>
      <c r="AA17" s="1686" t="s">
        <v>1502</v>
      </c>
      <c r="AB17" s="1686"/>
      <c r="AC17" s="1686" t="s">
        <v>4187</v>
      </c>
      <c r="AD17" s="1686" t="s">
        <v>4225</v>
      </c>
      <c r="AE17" s="1686"/>
      <c r="AF17" s="1686"/>
      <c r="AG17" s="1686"/>
      <c r="AH17" s="1686"/>
      <c r="AI17" s="1686" t="s">
        <v>4231</v>
      </c>
      <c r="AJ17" s="1686" t="s">
        <v>4232</v>
      </c>
      <c r="AK17" s="1686"/>
      <c r="AL17" s="1686"/>
      <c r="AM17" s="1686"/>
      <c r="AN17" s="1686"/>
      <c r="AO17" s="1686"/>
      <c r="AP17" s="1686"/>
      <c r="AQ17" s="1686"/>
      <c r="AR17" s="1686"/>
      <c r="AS17" s="1686"/>
      <c r="AT17" s="1686"/>
      <c r="AU17" s="1686"/>
    </row>
    <row r="18">
      <c r="A18" s="1419"/>
      <c r="B18" s="1687" t="s">
        <v>390</v>
      </c>
      <c r="C18" s="1688" t="s">
        <v>4233</v>
      </c>
      <c r="D18" s="1688" t="s">
        <v>4234</v>
      </c>
      <c r="E18" s="1688" t="s">
        <v>4178</v>
      </c>
      <c r="F18" s="1690" t="str">
        <f>IF('坐騎召喚物'!I6="天空野獸Beast of the Sky","小型","中型")</f>
        <v>中型</v>
      </c>
      <c r="G18" s="1690" t="s">
        <v>4175</v>
      </c>
      <c r="H18" s="1692">
        <f>13+'角色卡'!J19</f>
        <v>14</v>
      </c>
      <c r="I18" s="1690">
        <f>5+IF('角色卡'!AB16="遊俠-Ranger",5*'角色卡'!AL16,IF('角色卡'!AB17="遊俠-Ranger",5*'角色卡'!AL17,IF('角色卡'!AB18="遊俠-Ranger",5*'角色卡'!AL18,"")))</f>
        <v>5</v>
      </c>
      <c r="J18" s="1690" t="str">
        <f>SWITCH('坐騎召喚物'!I6,"海洋野獸Beast of the Sea",5,"大地野獸Beast of the Land",40,"天空野獸Beast of the Sky",10,"")</f>
        <v/>
      </c>
      <c r="K18" s="1690">
        <f>IF('坐騎召喚物'!I6="海洋野獸Beast of the Sea",60,0)</f>
        <v>0</v>
      </c>
      <c r="L18" s="1690">
        <f>IF('坐騎召喚物'!I6="天空野獸Beast of the Sky",60,0)</f>
        <v>0</v>
      </c>
      <c r="M18" s="1690">
        <f>IF('坐騎召喚物'!I6="大地野獸Beast of the Land",40,0)</f>
        <v>0</v>
      </c>
      <c r="N18" s="1690">
        <v>0.0</v>
      </c>
      <c r="O18" s="1690">
        <v>0.0</v>
      </c>
      <c r="P18" s="1690">
        <f>IF(OR('坐騎召喚物'!I6="大地野獸Beast of the Land",'坐騎召喚物'!I6="海洋野獸Beast of the Sea"),14,6)</f>
        <v>6</v>
      </c>
      <c r="Q18" s="1690">
        <f>IF(OR('坐騎召喚物'!I6="大地野獸Beast of the Land",'坐騎召喚物'!I6="海洋野獸Beast of the Sea"),14,16)</f>
        <v>16</v>
      </c>
      <c r="R18" s="1690">
        <f>IF(OR('坐騎召喚物'!I6="大地野獸Beast of the Land",'坐騎召喚物'!I6="海洋野獸Beast of the Sea"),15,13)</f>
        <v>13</v>
      </c>
      <c r="S18" s="1690">
        <v>8.0</v>
      </c>
      <c r="T18" s="1690">
        <v>14.0</v>
      </c>
      <c r="U18" s="1690">
        <v>11.0</v>
      </c>
      <c r="V18" s="1690">
        <f>IF(OR('坐騎召喚物'!I6="大地野獸Beast of the Land",'坐騎召喚物'!I6="天空野獸Beast of the Sky"),60,90)</f>
        <v>90</v>
      </c>
      <c r="W18" s="1690">
        <v>0.0</v>
      </c>
      <c r="X18" s="1690">
        <v>0.0</v>
      </c>
      <c r="Y18" s="1690">
        <v>0.0</v>
      </c>
      <c r="Z18" s="1690"/>
      <c r="AA18" s="1690"/>
      <c r="AB18" s="1690"/>
      <c r="AC18" s="1690"/>
      <c r="AD18" s="1690"/>
      <c r="AE18" s="1690" t="s">
        <v>4235</v>
      </c>
      <c r="AF18" s="1690" t="str">
        <f>SWITCH('坐騎召喚物'!I6,"天空野獸Beast of the Sky","飛掠Flyby。
野獸以飛行離開敵人的觸及範圍時不會引發對方的藉機攻擊。",
"海洋野獸Beast of the Sea","水陸兩棲Amphibious。
野獸可以在空氣和水中呼吸。","")</f>
        <v/>
      </c>
      <c r="AG18" s="1690"/>
      <c r="AH18" s="1690"/>
      <c r="AI18" s="1690" t="str">
        <f>"野獸打擊Beast's strike。
近戰攻擊：加值等於你的法術攻擊加值，觸及5尺。"&amp;
SWITCH('坐騎召喚物'!I6,"海洋野獸Beast of the Sea",
"命中：1d6+2+"&amp;'角色卡'!J19&amp;"鈍擊或穿刺傷害（於召喚動物時選擇），且目標陷入被擒狀態（逃脫DC等於你的法術豁免DC）。",
"大地野獸Beast of the Land",
"命中：1d8+2+"&amp;'角色卡'!J19&amp;"穿刺、揮砍、或鈍擊傷害（於召喚動物時選擇）。
如果野獸在命中一個目標前向目標直線移動了至少20尺，則目標會額外受到1d6與攻擊傷害類型相同的傷害，且若目標是大型或更小的生物則其還會陷入伏地狀態。",
"天空野獸Beast of the Sky",
"命中：1d4+3+"&amp;'角色卡'!J19&amp;"劈砍傷害。","")</f>
        <v>野獸打擊Beast's strike。
近戰攻擊：加值等於你的法術攻擊加值，觸及5尺。</v>
      </c>
      <c r="AJ18" s="1690"/>
      <c r="AK18" s="1690"/>
      <c r="AL18" s="1690"/>
      <c r="AM18" s="1690"/>
      <c r="AN18" s="1690"/>
      <c r="AO18" s="1690"/>
      <c r="AP18" s="1690"/>
      <c r="AQ18" s="1690"/>
      <c r="AR18" s="1690"/>
      <c r="AS18" s="1690"/>
      <c r="AT18" s="1690"/>
      <c r="AU18" s="1690"/>
    </row>
    <row r="19">
      <c r="A19" s="1419"/>
      <c r="B19" s="1684" t="s">
        <v>659</v>
      </c>
      <c r="C19" s="1685" t="s">
        <v>4236</v>
      </c>
      <c r="D19" s="1685" t="s">
        <v>660</v>
      </c>
      <c r="E19" s="1685" t="s">
        <v>4237</v>
      </c>
      <c r="F19" s="1686" t="s">
        <v>4238</v>
      </c>
      <c r="G19" s="1686" t="s">
        <v>308</v>
      </c>
      <c r="H19" s="1693">
        <v>18.0</v>
      </c>
      <c r="I19" s="1686">
        <f>5*'職業能力'!A2</f>
        <v>0</v>
      </c>
      <c r="J19" s="1686" t="s">
        <v>308</v>
      </c>
      <c r="K19" s="1686" t="s">
        <v>308</v>
      </c>
      <c r="L19" s="1686" t="s">
        <v>308</v>
      </c>
      <c r="M19" s="1686" t="s">
        <v>308</v>
      </c>
      <c r="N19" s="1686" t="s">
        <v>308</v>
      </c>
      <c r="O19" s="1686" t="s">
        <v>308</v>
      </c>
      <c r="P19" s="1686" t="s">
        <v>308</v>
      </c>
      <c r="Q19" s="1686" t="s">
        <v>308</v>
      </c>
      <c r="R19" s="1686" t="s">
        <v>308</v>
      </c>
      <c r="S19" s="1686" t="s">
        <v>308</v>
      </c>
      <c r="T19" s="1686" t="s">
        <v>308</v>
      </c>
      <c r="U19" s="1686" t="s">
        <v>308</v>
      </c>
      <c r="V19" s="1686" t="s">
        <v>308</v>
      </c>
      <c r="W19" s="1686" t="s">
        <v>308</v>
      </c>
      <c r="X19" s="1686" t="s">
        <v>308</v>
      </c>
      <c r="Y19" s="1686" t="s">
        <v>308</v>
      </c>
      <c r="Z19" s="1686"/>
      <c r="AA19" s="1686"/>
      <c r="AB19" s="1686"/>
      <c r="AC19" s="1686" t="s">
        <v>4218</v>
      </c>
      <c r="AD19" s="1686"/>
      <c r="AE19" s="1686" t="s">
        <v>4239</v>
      </c>
      <c r="AF19" s="1686" t="s">
        <v>4240</v>
      </c>
      <c r="AG19" s="1686" t="s">
        <v>4241</v>
      </c>
      <c r="AH19" s="1686" t="s">
        <v>4242</v>
      </c>
      <c r="AI19" s="1686"/>
      <c r="AJ19" s="1686"/>
      <c r="AK19" s="1686"/>
      <c r="AL19" s="1686"/>
      <c r="AM19" s="1686"/>
      <c r="AN19" s="1686"/>
      <c r="AO19" s="1686"/>
      <c r="AP19" s="1686"/>
      <c r="AQ19" s="1686"/>
      <c r="AR19" s="1686"/>
      <c r="AS19" s="1686"/>
      <c r="AT19" s="1686"/>
      <c r="AU19" s="1686"/>
    </row>
    <row r="20">
      <c r="A20" s="1419"/>
      <c r="B20" s="1687" t="s">
        <v>662</v>
      </c>
      <c r="C20" s="1688" t="s">
        <v>4243</v>
      </c>
      <c r="D20" s="1688" t="s">
        <v>663</v>
      </c>
      <c r="E20" s="1688" t="s">
        <v>4186</v>
      </c>
      <c r="F20" s="1690" t="s">
        <v>690</v>
      </c>
      <c r="G20" s="1690" t="s">
        <v>4175</v>
      </c>
      <c r="H20" s="1694">
        <f>12+IntMod</f>
        <v>15</v>
      </c>
      <c r="I20" s="1689">
        <f>5+5*'職業能力'!A2</f>
        <v>5</v>
      </c>
      <c r="J20" s="1690">
        <v>40.0</v>
      </c>
      <c r="K20" s="1690">
        <v>0.0</v>
      </c>
      <c r="L20" s="1689">
        <v>0.0</v>
      </c>
      <c r="M20" s="1690">
        <v>0.0</v>
      </c>
      <c r="N20" s="1690">
        <v>0.0</v>
      </c>
      <c r="O20" s="1690">
        <v>0.0</v>
      </c>
      <c r="P20" s="1690">
        <v>14.0</v>
      </c>
      <c r="Q20" s="1690">
        <v>12.0</v>
      </c>
      <c r="R20" s="1690">
        <v>14.0</v>
      </c>
      <c r="S20" s="1690">
        <v>4.0</v>
      </c>
      <c r="T20" s="1690">
        <v>10.0</v>
      </c>
      <c r="U20" s="1690">
        <v>6.0</v>
      </c>
      <c r="V20" s="1690">
        <v>60.0</v>
      </c>
      <c r="W20" s="1690">
        <v>0.0</v>
      </c>
      <c r="X20" s="1690">
        <v>0.0</v>
      </c>
      <c r="Y20" s="1690">
        <v>0.0</v>
      </c>
      <c r="Z20" s="1689"/>
      <c r="AA20" s="1690"/>
      <c r="AB20" s="1690"/>
      <c r="AC20" s="1690" t="s">
        <v>4187</v>
      </c>
      <c r="AD20" s="1690" t="s">
        <v>4244</v>
      </c>
      <c r="AE20" s="1690" t="s">
        <v>4245</v>
      </c>
      <c r="AF20" s="1690"/>
      <c r="AG20" s="1690"/>
      <c r="AH20" s="1690"/>
      <c r="AI20" s="1690" t="s">
        <v>4246</v>
      </c>
      <c r="AJ20" s="1690" t="s">
        <v>4247</v>
      </c>
      <c r="AK20" s="1690"/>
      <c r="AL20" s="1690"/>
      <c r="AM20" s="1690"/>
      <c r="AN20" s="1690"/>
      <c r="AO20" s="1690"/>
      <c r="AP20" s="1690"/>
      <c r="AQ20" s="1690"/>
      <c r="AR20" s="1690"/>
      <c r="AS20" s="1690"/>
      <c r="AT20" s="1690"/>
      <c r="AU20" s="1690"/>
    </row>
    <row r="21">
      <c r="A21" s="1419"/>
      <c r="B21" s="1684" t="s">
        <v>3372</v>
      </c>
      <c r="C21" s="1685" t="s">
        <v>3373</v>
      </c>
      <c r="D21" s="1685" t="s">
        <v>3372</v>
      </c>
      <c r="E21" s="1685" t="s">
        <v>4186</v>
      </c>
      <c r="F21" s="1686" t="s">
        <v>4248</v>
      </c>
      <c r="G21" s="1686" t="s">
        <v>4175</v>
      </c>
      <c r="H21" s="1686">
        <v>13.0</v>
      </c>
      <c r="I21" s="1691">
        <f>5+'坐騎召喚物'!C6*5</f>
        <v>5</v>
      </c>
      <c r="J21" s="1686">
        <v>20.0</v>
      </c>
      <c r="K21" s="1686">
        <v>0.0</v>
      </c>
      <c r="L21" s="1686">
        <v>30.0</v>
      </c>
      <c r="M21" s="1686">
        <v>0.0</v>
      </c>
      <c r="N21" s="1686">
        <v>0.0</v>
      </c>
      <c r="O21" s="1686">
        <v>0.0</v>
      </c>
      <c r="P21" s="1686">
        <v>4.0</v>
      </c>
      <c r="Q21" s="1686">
        <v>15.0</v>
      </c>
      <c r="R21" s="1686">
        <v>12.0</v>
      </c>
      <c r="S21" s="1686">
        <v>10.0</v>
      </c>
      <c r="T21" s="1686">
        <v>10.0</v>
      </c>
      <c r="U21" s="1686">
        <v>7.0</v>
      </c>
      <c r="V21" s="1686">
        <v>60.0</v>
      </c>
      <c r="W21" s="1686">
        <v>0.0</v>
      </c>
      <c r="X21" s="1686">
        <v>0.0</v>
      </c>
      <c r="Y21" s="1686">
        <v>0.0</v>
      </c>
      <c r="Z21" s="1691"/>
      <c r="AA21" s="1686"/>
      <c r="AB21" s="1686"/>
      <c r="AC21" s="1686" t="s">
        <v>4187</v>
      </c>
      <c r="AD21" s="1686" t="s">
        <v>4225</v>
      </c>
      <c r="AE21" s="1686" t="s">
        <v>4249</v>
      </c>
      <c r="AF21" s="1686" t="s">
        <v>4250</v>
      </c>
      <c r="AG21" s="1686"/>
      <c r="AH21" s="1686"/>
      <c r="AI21" s="1686" t="str">
        <f>"力場打擊 Force Strike。
近戰或遠程攻擊：加值等同於你的法術攻擊加值，觸及5尺，或射程30尺。命中：1d6+ "&amp; '坐騎召喚物'!C6&amp;" 力場傷害。"</f>
        <v>力場打擊 Force Strike。
近戰或遠程攻擊：加值等同於你的法術攻擊加值，觸及5尺，或射程30尺。命中：1d6+  力場傷害。</v>
      </c>
      <c r="AJ21" s="1686"/>
      <c r="AK21" s="1686"/>
      <c r="AL21" s="1686"/>
      <c r="AM21" s="1686"/>
      <c r="AN21" s="1686"/>
      <c r="AO21" s="1686"/>
      <c r="AP21" s="1686"/>
      <c r="AQ21" s="1686"/>
      <c r="AR21" s="1686" t="s">
        <v>4251</v>
      </c>
      <c r="AS21" s="1686"/>
      <c r="AT21" s="1686"/>
      <c r="AU21" s="1686"/>
    </row>
    <row r="22">
      <c r="A22" s="1419"/>
      <c r="B22" s="1687" t="s">
        <v>4252</v>
      </c>
      <c r="C22" s="1688" t="s">
        <v>4253</v>
      </c>
      <c r="D22" s="1688" t="s">
        <v>3609</v>
      </c>
      <c r="E22" s="1688" t="s">
        <v>4254</v>
      </c>
      <c r="F22" s="1690" t="s">
        <v>4255</v>
      </c>
      <c r="G22" s="1690" t="s">
        <v>4175</v>
      </c>
      <c r="H22" s="1689">
        <f>11+'坐騎召喚物'!C6</f>
        <v>11</v>
      </c>
      <c r="I22" s="1689">
        <f>20+10*('坐騎召喚物'!C6-2)+IF('坐騎召喚物'!I6='索引資料'!H61,10,0)</f>
        <v>0</v>
      </c>
      <c r="J22" s="1690">
        <v>30.0</v>
      </c>
      <c r="K22" s="1690">
        <v>0.0</v>
      </c>
      <c r="L22" s="1690">
        <v>0.0</v>
      </c>
      <c r="M22" s="1689">
        <f>30-IF('坐騎召喚物'!I6='索引資料'!H61,30,0)</f>
        <v>30</v>
      </c>
      <c r="N22" s="1690">
        <v>0.0</v>
      </c>
      <c r="O22" s="1690">
        <v>0.0</v>
      </c>
      <c r="P22" s="1690">
        <v>16.0</v>
      </c>
      <c r="Q22" s="1690">
        <v>13.0</v>
      </c>
      <c r="R22" s="1690">
        <v>19.0</v>
      </c>
      <c r="S22" s="1690">
        <v>4.0</v>
      </c>
      <c r="T22" s="1690">
        <v>12.0</v>
      </c>
      <c r="U22" s="1690">
        <v>10.0</v>
      </c>
      <c r="V22" s="1690">
        <v>0.0</v>
      </c>
      <c r="W22" s="1690">
        <v>0.0</v>
      </c>
      <c r="X22" s="1690">
        <v>30.0</v>
      </c>
      <c r="Y22" s="1690">
        <v>0.0</v>
      </c>
      <c r="Z22" s="1689"/>
      <c r="AA22" s="1690"/>
      <c r="AB22" s="1690"/>
      <c r="AC22" s="1690"/>
      <c r="AD22" s="1690" t="s">
        <v>4256</v>
      </c>
      <c r="AE22" s="1690" t="s">
        <v>4257</v>
      </c>
      <c r="AF22" s="1690"/>
      <c r="AG22" s="1690"/>
      <c r="AH22" s="1690"/>
      <c r="AI22" s="1690" t="str">
        <f>"多重攻擊 Multiattack。植物精魂發動"&amp;ROUNDDOWN('坐騎召喚物'!C6/2,0)&amp;"次攻擊。"</f>
        <v>多重攻擊 Multiattack。植物精魂發動0次攻擊。</v>
      </c>
      <c r="AJ22" s="1690" t="str">
        <f>"猛擊 Slam。
近戰攻擊：加值等於你的法術攻擊加值，觸及5尺。
命中：1d8+3+"&amp;'坐騎召喚物'!C6&amp;"鈍擊傷害。"</f>
        <v>猛擊 Slam。
近戰攻擊：加值等於你的法術攻擊加值，觸及5尺。
命中：1d8+3+鈍擊傷害。</v>
      </c>
      <c r="AK22" s="1690" t="str">
        <f>IF('坐騎召喚物'!I6='索引資料'!G61,"花瓣爆發 Petal Burst。
植物精魂使花瓣自身在 10 呎範圍區域內迸發。該區域陷入重度隱蔽，持續 1 分鐘。","") </f>
        <v/>
      </c>
      <c r="AL22" s="1690"/>
      <c r="AM22" s="1690"/>
      <c r="AN22" s="1690"/>
      <c r="AO22" s="1690"/>
      <c r="AP22" s="1690"/>
      <c r="AQ22" s="1690"/>
      <c r="AR22" s="1690" t="str">
        <f>IF('坐騎召喚物'!I6='索引資料'!H61,"橡木之盾 Oaken Shield。
當植物 5 呎內的一個生物因攻擊受到傷害時，由植物精魂代為承受該傷害。","")</f>
        <v/>
      </c>
      <c r="AS22" s="1690" t="str">
        <f>IF('坐騎召喚物'!I6='索引資料'!I61,"多刺防護 Prickly Protection。
當植物 5 呎內的一個生物攻擊植物精魂時，植物對該生物進行一次具有優勢的猛擊攻擊。","")</f>
        <v/>
      </c>
      <c r="AT22" s="1690"/>
      <c r="AU22" s="1690"/>
    </row>
    <row r="23">
      <c r="A23" s="1419"/>
      <c r="B23" s="1684" t="s">
        <v>4258</v>
      </c>
      <c r="C23" s="1685" t="s">
        <v>4259</v>
      </c>
      <c r="D23" s="1685" t="s">
        <v>3680</v>
      </c>
      <c r="E23" s="1685" t="s">
        <v>4260</v>
      </c>
      <c r="F23" s="1686" t="s">
        <v>4182</v>
      </c>
      <c r="G23" s="1686" t="s">
        <v>4175</v>
      </c>
      <c r="H23" s="1686">
        <f>11+'坐騎召喚物'!C6</f>
        <v>11</v>
      </c>
      <c r="I23" s="1686">
        <f>30+10*('坐騎召喚物'!C6-3)</f>
        <v>0</v>
      </c>
      <c r="J23" s="1686">
        <v>30.0</v>
      </c>
      <c r="K23" s="1686">
        <v>60.0</v>
      </c>
      <c r="L23" s="1686">
        <f>IF('坐騎召喚物'!I6='索引資料'!I62,40,0)</f>
        <v>0</v>
      </c>
      <c r="M23" s="1686">
        <v>0.0</v>
      </c>
      <c r="N23" s="1686">
        <v>0.0</v>
      </c>
      <c r="O23" s="1686">
        <v>0.0</v>
      </c>
      <c r="P23" s="1686">
        <v>16.0</v>
      </c>
      <c r="Q23" s="1686">
        <v>14.0</v>
      </c>
      <c r="R23" s="1686">
        <v>13.0</v>
      </c>
      <c r="S23" s="1686">
        <v>4.0</v>
      </c>
      <c r="T23" s="1686">
        <v>10.0</v>
      </c>
      <c r="U23" s="1686">
        <v>10.0</v>
      </c>
      <c r="V23" s="1686">
        <v>60.0</v>
      </c>
      <c r="W23" s="1686">
        <v>0.0</v>
      </c>
      <c r="X23" s="1686">
        <v>0.0</v>
      </c>
      <c r="Y23" s="1686">
        <v>0.0</v>
      </c>
      <c r="Z23" s="1686"/>
      <c r="AA23" s="1686"/>
      <c r="AB23" s="1686" t="s">
        <v>4261</v>
      </c>
      <c r="AC23" s="1686"/>
      <c r="AD23" s="1686" t="s">
        <v>4262</v>
      </c>
      <c r="AE23" s="1686" t="str">
        <f>IF('坐騎召喚物'!I6='索引資料'!I62,"飛掠 Flyby。
海蛇精魂飛出敵人的觸及範圍時，不會引發藉機攻擊。","") </f>
        <v/>
      </c>
      <c r="AF23" s="1686"/>
      <c r="AG23" s="1686"/>
      <c r="AH23" s="1686"/>
      <c r="AI23" s="1686" t="str">
        <f>"多重攻擊 Multiattack。海蛇精魂發動"&amp;ROUNDDOWN('坐騎召喚物'!C6/2,0)&amp;"次攻擊。"</f>
        <v>多重攻擊 Multiattack。海蛇精魂發動0次攻擊。</v>
      </c>
      <c r="AJ23" s="1686" t="str">
        <f>"啃咬 Bite。
近戰攻擊：加值等於你的法術攻擊加值，觸及5尺。
命中：1d6+3+"&amp;'坐騎召喚物'!C6&amp;"穿刺傷害，且目標陷入被擒(逃脫 DC 等同於你的法術豁免 DC)。若海蛇啃咬其他生物，則此擒抱狀態結束。"</f>
        <v>啃咬 Bite。
近戰攻擊：加值等於你的法術攻擊加值，觸及5尺。
命中：1d6+3+穿刺傷害，且目標陷入被擒(逃脫 DC 等同於你的法術豁免 DC)。若海蛇啃咬其他生物，則此擒抱狀態結束。</v>
      </c>
      <c r="AK23" s="1686" t="str">
        <f>"尾擊 Thrash。
近戰攻擊：加值等於你的法術攻擊加值，觸及10尺。
命中：1d10+3+"&amp;'坐騎召喚物'!C6&amp;"鈍擊傷害，且目標被海蛇推離 5 尺。"</f>
        <v>尾擊 Thrash。
近戰攻擊：加值等於你的法術攻擊加值，觸及10尺。
命中：1d10+3+鈍擊傷害，且目標被海蛇推離 5 尺。</v>
      </c>
      <c r="AL23" s="1686" t="str">
        <f>IF('坐騎召喚物'!I6='索引資料'!H62,"誘惑 Allure。
海蛇精魂使其鰭上垂下的燈籠發出怪異的光。
感知豁免：DC 等同於你的法術豁免 DC，對象為海蛇精魂自身 30 呎區域內的所有生物。
失敗：目標被海蛇精魂魅惑直到其下個回合開始。若海蛇在本回合內已對該生物造成傷害，則該生物在豁免時具有優勢；若海蛇對受此效應魅惑的生物造成傷害，則魅惑狀態立即結束。",IF('坐騎召喚物'!I6='索引資料'!G62,"吸入 Inhale。
力量豁免：DC 等同於你的法術豁免 DC，對象為 15 呎錐狀區域內的所有生物。
失敗：受到1d6+"&amp;'坐騎召喚物'!C6&amp;"點心靈傷害，並被垂直拉向海蛇精魂 5 呎；若該生物已位於海蛇精魂 5 呎內，則額外受到 2d6 點穿刺傷害。
成功：傷害減半。",""))</f>
        <v/>
      </c>
      <c r="AM23" s="1686"/>
      <c r="AN23" s="1686"/>
      <c r="AO23" s="1686"/>
      <c r="AP23" s="1686"/>
      <c r="AQ23" s="1686"/>
      <c r="AR23" s="1686"/>
      <c r="AS23" s="1686"/>
      <c r="AT23" s="1686"/>
      <c r="AU23" s="1686"/>
    </row>
    <row r="24">
      <c r="A24" s="1419"/>
      <c r="B24" s="1687" t="s">
        <v>4263</v>
      </c>
      <c r="C24" s="1688" t="s">
        <v>4264</v>
      </c>
      <c r="D24" s="1688" t="s">
        <v>3811</v>
      </c>
      <c r="E24" s="1688" t="s">
        <v>4186</v>
      </c>
      <c r="F24" s="1690" t="s">
        <v>690</v>
      </c>
      <c r="G24" s="1690" t="s">
        <v>4175</v>
      </c>
      <c r="H24" s="1689">
        <f>11+'坐騎召喚物'!C6</f>
        <v>11</v>
      </c>
      <c r="I24" s="1689">
        <f>70+10*('坐騎召喚物'!C6-7)</f>
        <v>0</v>
      </c>
      <c r="J24" s="1690">
        <v>30.0</v>
      </c>
      <c r="K24" s="1690">
        <v>0.0</v>
      </c>
      <c r="L24" s="1690">
        <v>0.0</v>
      </c>
      <c r="M24" s="1690">
        <v>0.0</v>
      </c>
      <c r="N24" s="1690">
        <v>0.0</v>
      </c>
      <c r="O24" s="1690">
        <v>0.0</v>
      </c>
      <c r="P24" s="1690">
        <v>14.0</v>
      </c>
      <c r="Q24" s="1690">
        <v>18.0</v>
      </c>
      <c r="R24" s="1690">
        <v>18.0</v>
      </c>
      <c r="S24" s="1690">
        <v>11.0</v>
      </c>
      <c r="T24" s="1690">
        <v>14.0</v>
      </c>
      <c r="U24" s="1690">
        <v>4.0</v>
      </c>
      <c r="V24" s="1690">
        <v>0.0</v>
      </c>
      <c r="W24" s="1690">
        <v>0.0</v>
      </c>
      <c r="X24" s="1690">
        <v>0.0</v>
      </c>
      <c r="Y24" s="1690">
        <v>0.0</v>
      </c>
      <c r="Z24" s="1689"/>
      <c r="AA24" s="1690"/>
      <c r="AB24" s="1690" t="s">
        <v>4265</v>
      </c>
      <c r="AC24" s="1690" t="s">
        <v>4187</v>
      </c>
      <c r="AD24" s="1690" t="s">
        <v>4188</v>
      </c>
      <c r="AE24" s="1690"/>
      <c r="AF24" s="1690"/>
      <c r="AG24" s="1690"/>
      <c r="AH24" s="1690"/>
      <c r="AI24" s="1690" t="str">
        <f>"絞殺 Strangle。
近戰攻擊：加值等於你的法術攻擊加值，觸及5尺。
命中：2d8+"&amp;'坐騎召喚物'!C6&amp;"鈍擊傷害，且目標陷入被擒(逃脫 DC 等同於你的法術豁免 DC)且無法說話。在擒抱結束前，目標陷入束縛狀態並開始窒息。"</f>
        <v>絞殺 Strangle。
近戰攻擊：加值等於你的法術攻擊加值，觸及5尺。
命中：2d8+鈍擊傷害，且目標陷入被擒(逃脫 DC 等同於你的法術豁免 DC)且無法說話。在擒抱結束前，目標陷入束縛狀態並開始窒息。</v>
      </c>
      <c r="AJ24" s="1690" t="str">
        <f>"勒緊 Constrict。
血肉構裝體勒緊一個正被其擒抱的目標，造成 2d8+"&amp;'坐騎召喚物'!C6&amp;"點鈍擊傷害。"</f>
        <v>勒緊 Constrict。
血肉構裝體勒緊一個正被其擒抱的目標，造成 2d8+點鈍擊傷害。</v>
      </c>
      <c r="AK24" s="1690"/>
      <c r="AL24" s="1690"/>
      <c r="AM24" s="1690"/>
      <c r="AN24" s="1690"/>
      <c r="AO24" s="1690"/>
      <c r="AP24" s="1690"/>
      <c r="AQ24" s="1690"/>
      <c r="AR24" s="1690"/>
      <c r="AS24" s="1690"/>
      <c r="AT24" s="1690"/>
      <c r="AU24" s="1690"/>
    </row>
    <row r="25">
      <c r="A25" s="1419"/>
      <c r="B25" s="1684" t="s">
        <v>4266</v>
      </c>
      <c r="C25" s="1685" t="s">
        <v>4267</v>
      </c>
      <c r="D25" s="1685" t="s">
        <v>4268</v>
      </c>
      <c r="E25" s="1685" t="s">
        <v>4178</v>
      </c>
      <c r="F25" s="1686" t="s">
        <v>690</v>
      </c>
      <c r="G25" s="1686" t="s">
        <v>4217</v>
      </c>
      <c r="H25" s="1691">
        <f>11+'坐騎召喚物'!C6</f>
        <v>11</v>
      </c>
      <c r="I25" s="1691">
        <f>5+10*'坐騎召喚物'!C6</f>
        <v>5</v>
      </c>
      <c r="J25" s="1686">
        <v>30.0</v>
      </c>
      <c r="K25" s="1686">
        <v>0.0</v>
      </c>
      <c r="L25" s="1686">
        <v>0.0</v>
      </c>
      <c r="M25" s="1686">
        <v>30.0</v>
      </c>
      <c r="N25" s="1686">
        <v>0.0</v>
      </c>
      <c r="O25" s="1686">
        <v>0.0</v>
      </c>
      <c r="P25" s="1686">
        <v>9.0</v>
      </c>
      <c r="Q25" s="1686">
        <v>13.0</v>
      </c>
      <c r="R25" s="1686">
        <v>12.0</v>
      </c>
      <c r="S25" s="1686">
        <v>2.0</v>
      </c>
      <c r="T25" s="1686">
        <v>10.0</v>
      </c>
      <c r="U25" s="1686">
        <v>5.0</v>
      </c>
      <c r="V25" s="1686">
        <v>30.0</v>
      </c>
      <c r="W25" s="1686">
        <v>0.0</v>
      </c>
      <c r="X25" s="1686">
        <v>0.0</v>
      </c>
      <c r="Y25" s="1686">
        <v>0.0</v>
      </c>
      <c r="Z25" s="1691"/>
      <c r="AA25" s="1686"/>
      <c r="AB25" s="1686" t="s">
        <v>4269</v>
      </c>
      <c r="AC25" s="1686"/>
      <c r="AD25" s="1686" t="s">
        <v>4270</v>
      </c>
      <c r="AE25" s="1686" t="s">
        <v>4271</v>
      </c>
      <c r="AF25" s="1686" t="s">
        <v>4272</v>
      </c>
      <c r="AG25" s="1686"/>
      <c r="AH25" s="1686"/>
      <c r="AI25" s="1686" t="str">
        <f>"啃咬 Bite。
近戰攻擊：加值等於你的法術攻擊加值，觸及0尺。
命中：2d6+1+"&amp;'坐騎召喚物'!C6&amp;"穿刺傷害。"</f>
        <v>啃咬 Bite。
近戰攻擊：加值等於你的法術攻擊加值，觸及0尺。
命中：2d6+1+穿刺傷害。</v>
      </c>
      <c r="AJ25" s="1686"/>
      <c r="AK25" s="1686"/>
      <c r="AL25" s="1686"/>
      <c r="AM25" s="1686"/>
      <c r="AN25" s="1686"/>
      <c r="AO25" s="1686"/>
      <c r="AP25" s="1686"/>
      <c r="AQ25" s="1686"/>
      <c r="AR25" s="1686"/>
      <c r="AS25" s="1686"/>
      <c r="AT25" s="1686"/>
      <c r="AU25" s="1686"/>
    </row>
    <row r="26">
      <c r="A26" s="1419"/>
      <c r="B26" s="1687" t="s">
        <v>4273</v>
      </c>
      <c r="C26" s="1688" t="s">
        <v>4274</v>
      </c>
      <c r="D26" s="1688" t="s">
        <v>4275</v>
      </c>
      <c r="E26" s="1689" t="s">
        <v>4178</v>
      </c>
      <c r="F26" s="1690" t="s">
        <v>4255</v>
      </c>
      <c r="G26" s="1690" t="s">
        <v>4175</v>
      </c>
      <c r="H26" s="1694">
        <f>12+'角色卡'!J17</f>
        <v>13</v>
      </c>
      <c r="I26" s="1689">
        <f>6+6*'職業能力'!B2</f>
        <v>6</v>
      </c>
      <c r="J26" s="1690">
        <v>30.0</v>
      </c>
      <c r="K26" s="1690">
        <f>IF('坐騎召喚物'!I6="海洋Water",40,0)</f>
        <v>0</v>
      </c>
      <c r="L26" s="1689">
        <f>IF('坐騎召喚物'!I6="天空Air",40,0)</f>
        <v>0</v>
      </c>
      <c r="M26" s="1690">
        <v>0.0</v>
      </c>
      <c r="N26" s="1690">
        <v>0.0</v>
      </c>
      <c r="O26" s="1690">
        <v>0.0</v>
      </c>
      <c r="P26" s="1690">
        <v>15.0</v>
      </c>
      <c r="Q26" s="1690">
        <v>12.0</v>
      </c>
      <c r="R26" s="1690">
        <v>16.0</v>
      </c>
      <c r="S26" s="1690">
        <v>4.0</v>
      </c>
      <c r="T26" s="1690">
        <v>12.0</v>
      </c>
      <c r="U26" s="1690">
        <v>6.0</v>
      </c>
      <c r="V26" s="1690">
        <v>60.0</v>
      </c>
      <c r="W26" s="1690">
        <v>0.0</v>
      </c>
      <c r="X26" s="1690">
        <v>0.0</v>
      </c>
      <c r="Y26" s="1690">
        <v>0.0</v>
      </c>
      <c r="Z26" s="1689"/>
      <c r="AA26" s="1690"/>
      <c r="AB26" s="1690"/>
      <c r="AC26" s="1690"/>
      <c r="AD26" s="1690"/>
      <c r="AE26" s="1690" t="s">
        <v>4276</v>
      </c>
      <c r="AF26" s="1690" t="s">
        <v>4277</v>
      </c>
      <c r="AG26" s="1690" t="s">
        <v>4278</v>
      </c>
      <c r="AH26" s="1690"/>
      <c r="AI26" s="1690" t="s">
        <v>4279</v>
      </c>
      <c r="AJ26" s="1690"/>
      <c r="AK26" s="1690"/>
      <c r="AL26" s="1690"/>
      <c r="AM26" s="1690"/>
      <c r="AN26" s="1690"/>
      <c r="AO26" s="1690"/>
      <c r="AP26" s="1690"/>
      <c r="AQ26" s="1690"/>
      <c r="AR26" s="1690" t="s">
        <v>4280</v>
      </c>
      <c r="AS26" s="1690"/>
      <c r="AT26" s="1690"/>
      <c r="AU26" s="1690"/>
    </row>
    <row r="27">
      <c r="A27" s="1419"/>
      <c r="B27" s="1684" t="s">
        <v>4281</v>
      </c>
      <c r="C27" s="1685" t="s">
        <v>4282</v>
      </c>
      <c r="D27" s="1685" t="s">
        <v>4275</v>
      </c>
      <c r="E27" s="1685" t="s">
        <v>4178</v>
      </c>
      <c r="F27" s="1686" t="s">
        <v>690</v>
      </c>
      <c r="G27" s="1686" t="s">
        <v>4175</v>
      </c>
      <c r="H27" s="1695">
        <f>12+'角色卡'!J17</f>
        <v>13</v>
      </c>
      <c r="I27" s="1686">
        <f>5+4*'職業能力'!B2</f>
        <v>5</v>
      </c>
      <c r="J27" s="1686">
        <v>40.0</v>
      </c>
      <c r="K27" s="1686">
        <f>IF('坐騎召喚物'!I6="海洋Water",60,0)</f>
        <v>0</v>
      </c>
      <c r="L27" s="1686">
        <f>IF('坐騎召喚物'!I6="天空Air",60,0)</f>
        <v>0</v>
      </c>
      <c r="M27" s="1686">
        <v>0.0</v>
      </c>
      <c r="N27" s="1686">
        <v>0.0</v>
      </c>
      <c r="O27" s="1686">
        <v>0.0</v>
      </c>
      <c r="P27" s="1686">
        <v>15.0</v>
      </c>
      <c r="Q27" s="1686">
        <v>15.0</v>
      </c>
      <c r="R27" s="1686">
        <v>15.0</v>
      </c>
      <c r="S27" s="1686">
        <v>4.0</v>
      </c>
      <c r="T27" s="1686">
        <v>12.0</v>
      </c>
      <c r="U27" s="1686">
        <v>7.0</v>
      </c>
      <c r="V27" s="1686">
        <v>60.0</v>
      </c>
      <c r="W27" s="1686">
        <v>0.0</v>
      </c>
      <c r="X27" s="1686">
        <v>0.0</v>
      </c>
      <c r="Y27" s="1686">
        <v>0.0</v>
      </c>
      <c r="Z27" s="1686"/>
      <c r="AA27" s="1686"/>
      <c r="AB27" s="1686"/>
      <c r="AC27" s="1686"/>
      <c r="AD27" s="1686"/>
      <c r="AE27" s="1686" t="s">
        <v>4283</v>
      </c>
      <c r="AF27" s="1686" t="s">
        <v>4278</v>
      </c>
      <c r="AG27" s="1686" t="str">
        <f>IFNA(SWITCH('坐騎召喚物'!I6,"天空Air","飛掠 Flyby。
野獸飛出敵人觸及範圍時不會引起藉機攻擊。"
,"海洋Water"
,"水上突擊 Aquatic Assault。
當野獸處於水下時，其對於沒有游泳速度且沉沒在水中的生物的攻擊檢定具有優勢。"),"")</f>
        <v/>
      </c>
      <c r="AH27" s="1686"/>
      <c r="AI27" s="1686" t="s">
        <v>4284</v>
      </c>
      <c r="AJ27" s="1686"/>
      <c r="AK27" s="1686"/>
      <c r="AL27" s="1686"/>
      <c r="AM27" s="1686"/>
      <c r="AN27" s="1686"/>
      <c r="AO27" s="1686"/>
      <c r="AP27" s="1686"/>
      <c r="AQ27" s="1686"/>
      <c r="AR27" s="1686" t="str">
        <f>IF('坐騎召喚物'!I6='索引資料'!H65,"騷擾 Harry。
觸發：當一個距離 5 尺內且野獸能看見的生物發起攻擊。 
回應：該攻擊具有優勢。","")</f>
        <v/>
      </c>
      <c r="AS27" s="1686"/>
      <c r="AT27" s="1686"/>
      <c r="AU27" s="1686"/>
    </row>
    <row r="28">
      <c r="A28" s="1419"/>
      <c r="B28" s="1687" t="s">
        <v>4285</v>
      </c>
      <c r="C28" s="1688" t="s">
        <v>4286</v>
      </c>
      <c r="D28" s="1688" t="s">
        <v>4066</v>
      </c>
      <c r="E28" s="1688" t="s">
        <v>4211</v>
      </c>
      <c r="F28" s="1690" t="s">
        <v>690</v>
      </c>
      <c r="G28" s="1690" t="s">
        <v>4175</v>
      </c>
      <c r="H28" s="1689">
        <f>11+'坐騎召喚物'!C6</f>
        <v>11</v>
      </c>
      <c r="I28" s="1689">
        <f>40+10*('坐騎召喚物'!C6-5)+IF('坐騎召喚物'!I6='索引資料'!H67,10,0)</f>
        <v>-10</v>
      </c>
      <c r="J28" s="1690">
        <v>30.0</v>
      </c>
      <c r="K28" s="1690">
        <v>0.0</v>
      </c>
      <c r="L28" s="1689">
        <f>IF('坐騎召喚物'!I6='索引資料'!G67,40,0)</f>
        <v>0</v>
      </c>
      <c r="M28" s="1690">
        <v>0.0</v>
      </c>
      <c r="N28" s="1690">
        <v>0.0</v>
      </c>
      <c r="O28" s="1690">
        <v>0.0</v>
      </c>
      <c r="P28" s="1690">
        <v>10.0</v>
      </c>
      <c r="Q28" s="1690">
        <v>20.0</v>
      </c>
      <c r="R28" s="1690">
        <v>15.0</v>
      </c>
      <c r="S28" s="1690">
        <v>10.0</v>
      </c>
      <c r="T28" s="1690">
        <v>10.0</v>
      </c>
      <c r="U28" s="1690">
        <v>12.0</v>
      </c>
      <c r="V28" s="1690">
        <v>60.0</v>
      </c>
      <c r="W28" s="1690">
        <v>0.0</v>
      </c>
      <c r="X28" s="1690">
        <v>0.0</v>
      </c>
      <c r="Y28" s="1690">
        <v>0.0</v>
      </c>
      <c r="Z28" s="1689"/>
      <c r="AA28" s="1690"/>
      <c r="AB28" s="1690" t="s">
        <v>1657</v>
      </c>
      <c r="AC28" s="1690" t="s">
        <v>4261</v>
      </c>
      <c r="AD28" s="1690"/>
      <c r="AE28" s="1690" t="s">
        <v>4287</v>
      </c>
      <c r="AF28" s="1690" t="s">
        <v>4288</v>
      </c>
      <c r="AG28" s="1690"/>
      <c r="AH28" s="1690"/>
      <c r="AI28" s="1690" t="str">
        <f>"多重攻擊 Multiattack。暗影精魂發動"&amp;ROUNDDOWN('坐騎召喚物'!C6/2,0)&amp;"次攻擊。"</f>
        <v>多重攻擊 Multiattack。暗影精魂發動0次攻擊。</v>
      </c>
      <c r="AJ28" s="1690" t="str">
        <f>IF('坐騎召喚物'!I6='索引資料'!G67,"寒顫之觸 Chill Touch。
近戰攻擊：加值等於你的法術攻擊加值，觸及5尺。
命中：1d8+3+"&amp;'坐騎召喚物'!C6&amp;"的寒冷傷害。",IF('坐騎召喚物'!I6='索引資料'!H67,"致命箭 Deathly Bolt。
遠程攻擊：加值等於你的法術攻擊加值，射程150尺。
命中：2d4+3+"&amp;'坐騎召喚物'!C6&amp;"的寒冷傷害。如果該精魂在發動攻擊時處於躲藏，則該攻擊會額外造成2d4寒冷傷害。",""))</f>
        <v/>
      </c>
      <c r="AK28" s="1690"/>
      <c r="AL28" s="1690"/>
      <c r="AM28" s="1690"/>
      <c r="AN28" s="1690"/>
      <c r="AO28" s="1690"/>
      <c r="AP28" s="1690"/>
      <c r="AQ28" s="1690"/>
      <c r="AR28" s="1690"/>
      <c r="AS28" s="1690"/>
      <c r="AT28" s="1690"/>
      <c r="AU28" s="1690"/>
    </row>
    <row r="29">
      <c r="A29" s="1419"/>
      <c r="B29" s="1684" t="s">
        <v>679</v>
      </c>
      <c r="C29" s="1685" t="s">
        <v>4289</v>
      </c>
      <c r="D29" s="1685" t="s">
        <v>680</v>
      </c>
      <c r="E29" s="1685" t="s">
        <v>4178</v>
      </c>
      <c r="F29" s="1686" t="s">
        <v>690</v>
      </c>
      <c r="G29" s="1686" t="s">
        <v>4175</v>
      </c>
      <c r="H29" s="1696">
        <f>12+ConMod</f>
        <v>13</v>
      </c>
      <c r="I29" s="1691">
        <f>5+5*'職業能力'!K2</f>
        <v>5</v>
      </c>
      <c r="J29" s="1686">
        <v>40.0</v>
      </c>
      <c r="K29" s="1686">
        <v>0.0</v>
      </c>
      <c r="L29" s="1686">
        <v>0.0</v>
      </c>
      <c r="M29" s="1686">
        <v>0.0</v>
      </c>
      <c r="N29" s="1686">
        <v>0.0</v>
      </c>
      <c r="O29" s="1686">
        <v>0.0</v>
      </c>
      <c r="P29" s="1686">
        <v>14.0</v>
      </c>
      <c r="Q29" s="1686">
        <v>14.0</v>
      </c>
      <c r="R29" s="1686">
        <v>15.0</v>
      </c>
      <c r="S29" s="1686">
        <v>3.0</v>
      </c>
      <c r="T29" s="1686">
        <v>12.0</v>
      </c>
      <c r="U29" s="1686">
        <v>13.0</v>
      </c>
      <c r="V29" s="1686">
        <v>60.0</v>
      </c>
      <c r="W29" s="1686">
        <v>0.0</v>
      </c>
      <c r="X29" s="1686">
        <v>0.0</v>
      </c>
      <c r="Y29" s="1686">
        <v>0.0</v>
      </c>
      <c r="Z29" s="1691"/>
      <c r="AA29" s="1686"/>
      <c r="AB29" s="1686"/>
      <c r="AC29" s="1686"/>
      <c r="AD29" s="1686"/>
      <c r="AE29" s="1686" t="s">
        <v>4290</v>
      </c>
      <c r="AF29" s="1686"/>
      <c r="AG29" s="1686"/>
      <c r="AH29" s="1686"/>
      <c r="AI29" s="1686" t="s">
        <v>4291</v>
      </c>
      <c r="AJ29" s="1686"/>
      <c r="AK29" s="1686"/>
      <c r="AL29" s="1686"/>
      <c r="AM29" s="1686"/>
      <c r="AN29" s="1686"/>
      <c r="AO29" s="1686"/>
      <c r="AP29" s="1686"/>
      <c r="AQ29" s="1686"/>
      <c r="AR29" s="1686"/>
      <c r="AS29" s="1686"/>
      <c r="AT29" s="1686"/>
      <c r="AU29" s="1686"/>
    </row>
    <row r="30">
      <c r="A30" s="1419"/>
      <c r="B30" s="1687"/>
      <c r="C30" s="1688"/>
      <c r="D30" s="1688"/>
      <c r="E30" s="1688"/>
      <c r="F30" s="1689"/>
      <c r="G30" s="1689"/>
      <c r="H30" s="1689"/>
      <c r="I30" s="1689"/>
      <c r="J30" s="1689"/>
      <c r="K30" s="1689"/>
      <c r="L30" s="1689"/>
      <c r="M30" s="1689"/>
      <c r="N30" s="1689"/>
      <c r="O30" s="1689"/>
      <c r="P30" s="1689"/>
      <c r="Q30" s="1689"/>
      <c r="R30" s="1689"/>
      <c r="S30" s="1689"/>
      <c r="T30" s="1689"/>
      <c r="U30" s="1689"/>
      <c r="V30" s="1689"/>
      <c r="W30" s="1689"/>
      <c r="X30" s="1689"/>
      <c r="Y30" s="1689"/>
      <c r="Z30" s="1689"/>
      <c r="AA30" s="1690"/>
      <c r="AB30" s="1690"/>
      <c r="AC30" s="1690"/>
      <c r="AD30" s="1690"/>
      <c r="AE30" s="1690"/>
      <c r="AF30" s="1690"/>
      <c r="AG30" s="1690"/>
      <c r="AH30" s="1690"/>
      <c r="AI30" s="1690"/>
      <c r="AJ30" s="1690"/>
      <c r="AK30" s="1690"/>
      <c r="AL30" s="1690"/>
      <c r="AM30" s="1690"/>
      <c r="AN30" s="1690"/>
      <c r="AO30" s="1690"/>
      <c r="AP30" s="1690"/>
      <c r="AQ30" s="1690"/>
      <c r="AR30" s="1690"/>
      <c r="AS30" s="1690"/>
      <c r="AT30" s="1690"/>
      <c r="AU30" s="1690"/>
    </row>
    <row r="31">
      <c r="A31" s="1419"/>
      <c r="B31" s="1684"/>
      <c r="C31" s="1685"/>
      <c r="D31" s="1685"/>
      <c r="E31" s="1685"/>
      <c r="F31" s="1691"/>
      <c r="G31" s="1691"/>
      <c r="H31" s="1691"/>
      <c r="I31" s="1691"/>
      <c r="J31" s="1691"/>
      <c r="K31" s="1691"/>
      <c r="L31" s="1691"/>
      <c r="M31" s="1691"/>
      <c r="N31" s="1691"/>
      <c r="O31" s="1691"/>
      <c r="P31" s="1691"/>
      <c r="Q31" s="1691"/>
      <c r="R31" s="1691"/>
      <c r="S31" s="1691"/>
      <c r="T31" s="1691"/>
      <c r="U31" s="1691"/>
      <c r="V31" s="1691"/>
      <c r="W31" s="1691"/>
      <c r="X31" s="1691"/>
      <c r="Y31" s="1691"/>
      <c r="Z31" s="1691"/>
      <c r="AA31" s="1686"/>
      <c r="AB31" s="1686"/>
      <c r="AC31" s="1686"/>
      <c r="AD31" s="1686"/>
      <c r="AE31" s="1686"/>
      <c r="AF31" s="1686"/>
      <c r="AG31" s="1686"/>
      <c r="AH31" s="1686"/>
      <c r="AI31" s="1686"/>
      <c r="AJ31" s="1686"/>
      <c r="AK31" s="1686"/>
      <c r="AL31" s="1686"/>
      <c r="AM31" s="1686"/>
      <c r="AN31" s="1686"/>
      <c r="AO31" s="1686"/>
      <c r="AP31" s="1686"/>
      <c r="AQ31" s="1686"/>
      <c r="AR31" s="1686"/>
      <c r="AS31" s="1686"/>
      <c r="AT31" s="1686"/>
      <c r="AU31" s="1686"/>
    </row>
    <row r="32">
      <c r="A32" s="1419"/>
      <c r="B32" s="1687"/>
      <c r="C32" s="1688"/>
      <c r="D32" s="1688"/>
      <c r="E32" s="1688"/>
      <c r="F32" s="1690"/>
      <c r="G32" s="1690"/>
      <c r="H32" s="1690"/>
      <c r="I32" s="1690"/>
      <c r="J32" s="1690"/>
      <c r="K32" s="1690"/>
      <c r="L32" s="1690"/>
      <c r="M32" s="1690"/>
      <c r="N32" s="1690"/>
      <c r="O32" s="1690"/>
      <c r="P32" s="1690"/>
      <c r="Q32" s="1690"/>
      <c r="R32" s="1690"/>
      <c r="S32" s="1690"/>
      <c r="T32" s="1690"/>
      <c r="U32" s="1690"/>
      <c r="V32" s="1690"/>
      <c r="W32" s="1690"/>
      <c r="X32" s="1690"/>
      <c r="Y32" s="1690"/>
      <c r="Z32" s="1690"/>
      <c r="AA32" s="1690"/>
      <c r="AB32" s="1690"/>
      <c r="AC32" s="1690"/>
      <c r="AD32" s="1690"/>
      <c r="AE32" s="1690"/>
      <c r="AF32" s="1690"/>
      <c r="AG32" s="1690"/>
      <c r="AH32" s="1690"/>
      <c r="AI32" s="1690"/>
      <c r="AJ32" s="1690"/>
      <c r="AK32" s="1690"/>
      <c r="AL32" s="1690"/>
      <c r="AM32" s="1690"/>
      <c r="AN32" s="1690"/>
      <c r="AO32" s="1690"/>
      <c r="AP32" s="1690"/>
      <c r="AQ32" s="1690"/>
      <c r="AR32" s="1690"/>
      <c r="AS32" s="1690"/>
      <c r="AT32" s="1690"/>
      <c r="AU32" s="1690"/>
    </row>
    <row r="33">
      <c r="A33" s="1419"/>
      <c r="B33" s="1684"/>
      <c r="C33" s="1685"/>
      <c r="D33" s="1685"/>
      <c r="E33" s="1685"/>
      <c r="F33" s="1686"/>
      <c r="G33" s="1686"/>
      <c r="H33" s="1686"/>
      <c r="I33" s="1686"/>
      <c r="J33" s="1686"/>
      <c r="K33" s="1686"/>
      <c r="L33" s="1686"/>
      <c r="M33" s="1686"/>
      <c r="N33" s="1686"/>
      <c r="O33" s="1686"/>
      <c r="P33" s="1686"/>
      <c r="Q33" s="1686"/>
      <c r="R33" s="1686"/>
      <c r="S33" s="1686"/>
      <c r="T33" s="1686"/>
      <c r="U33" s="1686"/>
      <c r="V33" s="1686"/>
      <c r="W33" s="1686"/>
      <c r="X33" s="1686"/>
      <c r="Y33" s="1686"/>
      <c r="Z33" s="1686"/>
      <c r="AA33" s="1686"/>
      <c r="AB33" s="1686"/>
      <c r="AC33" s="1686"/>
      <c r="AD33" s="1686"/>
      <c r="AE33" s="1686"/>
      <c r="AF33" s="1686"/>
      <c r="AG33" s="1686"/>
      <c r="AH33" s="1686"/>
      <c r="AI33" s="1686"/>
      <c r="AJ33" s="1686"/>
      <c r="AK33" s="1686"/>
      <c r="AL33" s="1686"/>
      <c r="AM33" s="1686"/>
      <c r="AN33" s="1686"/>
      <c r="AO33" s="1686"/>
      <c r="AP33" s="1686"/>
      <c r="AQ33" s="1686"/>
      <c r="AR33" s="1686"/>
      <c r="AS33" s="1686"/>
      <c r="AT33" s="1686"/>
      <c r="AU33" s="1686"/>
    </row>
    <row r="34">
      <c r="A34" s="1419"/>
      <c r="B34" s="1687"/>
      <c r="C34" s="1688"/>
      <c r="D34" s="1688"/>
      <c r="E34" s="1688"/>
      <c r="F34" s="1689"/>
      <c r="G34" s="1689"/>
      <c r="H34" s="1689"/>
      <c r="I34" s="1689"/>
      <c r="J34" s="1689"/>
      <c r="K34" s="1689"/>
      <c r="L34" s="1689"/>
      <c r="M34" s="1689"/>
      <c r="N34" s="1689"/>
      <c r="O34" s="1689"/>
      <c r="P34" s="1689"/>
      <c r="Q34" s="1689"/>
      <c r="R34" s="1689"/>
      <c r="S34" s="1689"/>
      <c r="T34" s="1689"/>
      <c r="U34" s="1689"/>
      <c r="V34" s="1689"/>
      <c r="W34" s="1689"/>
      <c r="X34" s="1689"/>
      <c r="Y34" s="1689"/>
      <c r="Z34" s="1689"/>
      <c r="AA34" s="1690"/>
      <c r="AB34" s="1690"/>
      <c r="AC34" s="1690"/>
      <c r="AD34" s="1690"/>
      <c r="AE34" s="1690"/>
      <c r="AF34" s="1690"/>
      <c r="AG34" s="1690"/>
      <c r="AH34" s="1690"/>
      <c r="AI34" s="1690"/>
      <c r="AJ34" s="1690"/>
      <c r="AK34" s="1690"/>
      <c r="AL34" s="1690"/>
      <c r="AM34" s="1690"/>
      <c r="AN34" s="1690"/>
      <c r="AO34" s="1690"/>
      <c r="AP34" s="1690"/>
      <c r="AQ34" s="1690"/>
      <c r="AR34" s="1690"/>
      <c r="AS34" s="1690"/>
      <c r="AT34" s="1690"/>
      <c r="AU34" s="1690"/>
    </row>
    <row r="35">
      <c r="A35" s="1419"/>
      <c r="B35" s="1684"/>
      <c r="C35" s="1685"/>
      <c r="D35" s="1685"/>
      <c r="E35" s="1685"/>
      <c r="F35" s="1691"/>
      <c r="G35" s="1691"/>
      <c r="H35" s="1691"/>
      <c r="I35" s="1691"/>
      <c r="J35" s="1691"/>
      <c r="K35" s="1691"/>
      <c r="L35" s="1691"/>
      <c r="M35" s="1691"/>
      <c r="N35" s="1691"/>
      <c r="O35" s="1691"/>
      <c r="P35" s="1691"/>
      <c r="Q35" s="1691"/>
      <c r="R35" s="1691"/>
      <c r="S35" s="1691"/>
      <c r="T35" s="1691"/>
      <c r="U35" s="1691"/>
      <c r="V35" s="1691"/>
      <c r="W35" s="1691"/>
      <c r="X35" s="1691"/>
      <c r="Y35" s="1691"/>
      <c r="Z35" s="1691"/>
      <c r="AA35" s="1686"/>
      <c r="AB35" s="1686"/>
      <c r="AC35" s="1686"/>
      <c r="AD35" s="1686"/>
      <c r="AE35" s="1686"/>
      <c r="AF35" s="1686"/>
      <c r="AG35" s="1686"/>
      <c r="AH35" s="1686"/>
      <c r="AI35" s="1686"/>
      <c r="AJ35" s="1686"/>
      <c r="AK35" s="1686"/>
      <c r="AL35" s="1686"/>
      <c r="AM35" s="1686"/>
      <c r="AN35" s="1686"/>
      <c r="AO35" s="1686"/>
      <c r="AP35" s="1686"/>
      <c r="AQ35" s="1686"/>
      <c r="AR35" s="1686"/>
      <c r="AS35" s="1686"/>
      <c r="AT35" s="1686"/>
      <c r="AU35" s="1686"/>
    </row>
    <row r="36">
      <c r="A36" s="1419"/>
      <c r="B36" s="1687"/>
      <c r="C36" s="1688"/>
      <c r="D36" s="1688"/>
      <c r="E36" s="1688"/>
      <c r="F36" s="1689"/>
      <c r="G36" s="1689"/>
      <c r="H36" s="1689"/>
      <c r="I36" s="1689"/>
      <c r="J36" s="1689"/>
      <c r="K36" s="1689"/>
      <c r="L36" s="1689"/>
      <c r="M36" s="1689"/>
      <c r="N36" s="1689"/>
      <c r="O36" s="1689"/>
      <c r="P36" s="1689"/>
      <c r="Q36" s="1689"/>
      <c r="R36" s="1689"/>
      <c r="S36" s="1689"/>
      <c r="T36" s="1689"/>
      <c r="U36" s="1689"/>
      <c r="V36" s="1689"/>
      <c r="W36" s="1689"/>
      <c r="X36" s="1689"/>
      <c r="Y36" s="1689"/>
      <c r="Z36" s="1689"/>
      <c r="AA36" s="1690"/>
      <c r="AB36" s="1690"/>
      <c r="AC36" s="1690"/>
      <c r="AD36" s="1690"/>
      <c r="AE36" s="1690"/>
      <c r="AF36" s="1690"/>
      <c r="AG36" s="1690"/>
      <c r="AH36" s="1690"/>
      <c r="AI36" s="1690"/>
      <c r="AJ36" s="1690"/>
      <c r="AK36" s="1690"/>
      <c r="AL36" s="1690"/>
      <c r="AM36" s="1690"/>
      <c r="AN36" s="1690"/>
      <c r="AO36" s="1690"/>
      <c r="AP36" s="1690"/>
      <c r="AQ36" s="1690"/>
      <c r="AR36" s="1690"/>
      <c r="AS36" s="1690"/>
      <c r="AT36" s="1690"/>
      <c r="AU36" s="1690"/>
    </row>
    <row r="37">
      <c r="A37" s="1419"/>
      <c r="B37" s="1684"/>
      <c r="C37" s="1685"/>
      <c r="D37" s="1685"/>
      <c r="E37" s="1685"/>
      <c r="F37" s="1686"/>
      <c r="G37" s="1686"/>
      <c r="H37" s="1686"/>
      <c r="I37" s="1686"/>
      <c r="J37" s="1686"/>
      <c r="K37" s="1686"/>
      <c r="L37" s="1686"/>
      <c r="M37" s="1686"/>
      <c r="N37" s="1686"/>
      <c r="O37" s="1686"/>
      <c r="P37" s="1686"/>
      <c r="Q37" s="1686"/>
      <c r="R37" s="1686"/>
      <c r="S37" s="1686"/>
      <c r="T37" s="1686"/>
      <c r="U37" s="1686"/>
      <c r="V37" s="1686"/>
      <c r="W37" s="1686"/>
      <c r="X37" s="1686"/>
      <c r="Y37" s="1686"/>
      <c r="Z37" s="1686"/>
      <c r="AA37" s="1686"/>
      <c r="AB37" s="1686"/>
      <c r="AC37" s="1686"/>
      <c r="AD37" s="1686"/>
      <c r="AE37" s="1686"/>
      <c r="AF37" s="1686"/>
      <c r="AG37" s="1686"/>
      <c r="AH37" s="1686"/>
      <c r="AI37" s="1686"/>
      <c r="AJ37" s="1686"/>
      <c r="AK37" s="1686"/>
      <c r="AL37" s="1686"/>
      <c r="AM37" s="1686"/>
      <c r="AN37" s="1686"/>
      <c r="AO37" s="1686"/>
      <c r="AP37" s="1686"/>
      <c r="AQ37" s="1686"/>
      <c r="AR37" s="1686"/>
      <c r="AS37" s="1686"/>
      <c r="AT37" s="1686"/>
      <c r="AU37" s="1686"/>
    </row>
    <row r="38">
      <c r="A38" s="1419"/>
      <c r="B38" s="1687"/>
      <c r="C38" s="1688"/>
      <c r="D38" s="1688"/>
      <c r="E38" s="1688"/>
      <c r="F38" s="1689"/>
      <c r="G38" s="1689"/>
      <c r="H38" s="1689"/>
      <c r="I38" s="1689"/>
      <c r="J38" s="1689"/>
      <c r="K38" s="1689"/>
      <c r="L38" s="1689"/>
      <c r="M38" s="1689"/>
      <c r="N38" s="1689"/>
      <c r="O38" s="1689"/>
      <c r="P38" s="1689"/>
      <c r="Q38" s="1689"/>
      <c r="R38" s="1689"/>
      <c r="S38" s="1689"/>
      <c r="T38" s="1689"/>
      <c r="U38" s="1689"/>
      <c r="V38" s="1689"/>
      <c r="W38" s="1689"/>
      <c r="X38" s="1689"/>
      <c r="Y38" s="1689"/>
      <c r="Z38" s="1689"/>
      <c r="AA38" s="1690"/>
      <c r="AB38" s="1690"/>
      <c r="AC38" s="1690"/>
      <c r="AD38" s="1690"/>
      <c r="AE38" s="1690"/>
      <c r="AF38" s="1690"/>
      <c r="AG38" s="1690"/>
      <c r="AH38" s="1690"/>
      <c r="AI38" s="1690"/>
      <c r="AJ38" s="1690"/>
      <c r="AK38" s="1690"/>
      <c r="AL38" s="1690"/>
      <c r="AM38" s="1690"/>
      <c r="AN38" s="1690"/>
      <c r="AO38" s="1690"/>
      <c r="AP38" s="1690"/>
      <c r="AQ38" s="1690"/>
      <c r="AR38" s="1690"/>
      <c r="AS38" s="1690"/>
      <c r="AT38" s="1690"/>
      <c r="AU38" s="1690"/>
    </row>
    <row r="39">
      <c r="A39" s="1419"/>
      <c r="B39" s="1684"/>
      <c r="C39" s="1685"/>
      <c r="D39" s="1685"/>
      <c r="E39" s="1685"/>
      <c r="F39" s="1691"/>
      <c r="G39" s="1691"/>
      <c r="H39" s="1691"/>
      <c r="I39" s="1691"/>
      <c r="J39" s="1691"/>
      <c r="K39" s="1691"/>
      <c r="L39" s="1691"/>
      <c r="M39" s="1691"/>
      <c r="N39" s="1691"/>
      <c r="O39" s="1691"/>
      <c r="P39" s="1691"/>
      <c r="Q39" s="1691"/>
      <c r="R39" s="1691"/>
      <c r="S39" s="1691"/>
      <c r="T39" s="1691"/>
      <c r="U39" s="1691"/>
      <c r="V39" s="1691"/>
      <c r="W39" s="1691"/>
      <c r="X39" s="1691"/>
      <c r="Y39" s="1691"/>
      <c r="Z39" s="1691"/>
      <c r="AA39" s="1686"/>
      <c r="AB39" s="1686"/>
      <c r="AC39" s="1686"/>
      <c r="AD39" s="1686"/>
      <c r="AE39" s="1686"/>
      <c r="AF39" s="1686"/>
      <c r="AG39" s="1686"/>
      <c r="AH39" s="1686"/>
      <c r="AI39" s="1686"/>
      <c r="AJ39" s="1686"/>
      <c r="AK39" s="1686"/>
      <c r="AL39" s="1686"/>
      <c r="AM39" s="1686"/>
      <c r="AN39" s="1686"/>
      <c r="AO39" s="1686"/>
      <c r="AP39" s="1686"/>
      <c r="AQ39" s="1686"/>
      <c r="AR39" s="1686"/>
      <c r="AS39" s="1686"/>
      <c r="AT39" s="1686"/>
      <c r="AU39" s="1686"/>
    </row>
    <row r="40">
      <c r="A40" s="1419"/>
      <c r="B40" s="1687"/>
      <c r="C40" s="1688"/>
      <c r="D40" s="1688"/>
      <c r="E40" s="1688"/>
      <c r="F40" s="1689"/>
      <c r="G40" s="1689"/>
      <c r="H40" s="1689"/>
      <c r="I40" s="1689"/>
      <c r="J40" s="1689"/>
      <c r="K40" s="1689"/>
      <c r="L40" s="1689"/>
      <c r="M40" s="1689"/>
      <c r="N40" s="1689"/>
      <c r="O40" s="1689"/>
      <c r="P40" s="1689"/>
      <c r="Q40" s="1689"/>
      <c r="R40" s="1689"/>
      <c r="S40" s="1689"/>
      <c r="T40" s="1689"/>
      <c r="U40" s="1689"/>
      <c r="V40" s="1689"/>
      <c r="W40" s="1689"/>
      <c r="X40" s="1689"/>
      <c r="Y40" s="1689"/>
      <c r="Z40" s="1689"/>
      <c r="AA40" s="1690"/>
      <c r="AB40" s="1690"/>
      <c r="AC40" s="1690"/>
      <c r="AD40" s="1690"/>
      <c r="AE40" s="1690"/>
      <c r="AF40" s="1690"/>
      <c r="AG40" s="1690"/>
      <c r="AH40" s="1690"/>
      <c r="AI40" s="1690"/>
      <c r="AJ40" s="1690"/>
      <c r="AK40" s="1690"/>
      <c r="AL40" s="1690"/>
      <c r="AM40" s="1690"/>
      <c r="AN40" s="1690"/>
      <c r="AO40" s="1690"/>
      <c r="AP40" s="1690"/>
      <c r="AQ40" s="1690"/>
      <c r="AR40" s="1690"/>
      <c r="AS40" s="1690"/>
      <c r="AT40" s="1690"/>
      <c r="AU40" s="1690"/>
    </row>
    <row r="41">
      <c r="A41" s="1419"/>
      <c r="B41" s="1684"/>
      <c r="C41" s="1685"/>
      <c r="D41" s="1685"/>
      <c r="E41" s="1685"/>
      <c r="F41" s="1686"/>
      <c r="G41" s="1686"/>
      <c r="H41" s="1686"/>
      <c r="I41" s="1686"/>
      <c r="J41" s="1686"/>
      <c r="K41" s="1686"/>
      <c r="L41" s="1686"/>
      <c r="M41" s="1686"/>
      <c r="N41" s="1686"/>
      <c r="O41" s="1686"/>
      <c r="P41" s="1686"/>
      <c r="Q41" s="1686"/>
      <c r="R41" s="1686"/>
      <c r="S41" s="1686"/>
      <c r="T41" s="1686"/>
      <c r="U41" s="1686"/>
      <c r="V41" s="1686"/>
      <c r="W41" s="1686"/>
      <c r="X41" s="1686"/>
      <c r="Y41" s="1686"/>
      <c r="Z41" s="1686"/>
      <c r="AA41" s="1686"/>
      <c r="AB41" s="1686"/>
      <c r="AC41" s="1686"/>
      <c r="AD41" s="1686"/>
      <c r="AE41" s="1686"/>
      <c r="AF41" s="1686"/>
      <c r="AG41" s="1686"/>
      <c r="AH41" s="1686"/>
      <c r="AI41" s="1686"/>
      <c r="AJ41" s="1686"/>
      <c r="AK41" s="1686"/>
      <c r="AL41" s="1686"/>
      <c r="AM41" s="1686"/>
      <c r="AN41" s="1686"/>
      <c r="AO41" s="1686"/>
      <c r="AP41" s="1686"/>
      <c r="AQ41" s="1686"/>
      <c r="AR41" s="1686"/>
      <c r="AS41" s="1686"/>
      <c r="AT41" s="1686"/>
      <c r="AU41" s="1686"/>
    </row>
    <row r="42">
      <c r="A42" s="1419"/>
      <c r="B42" s="1687"/>
      <c r="C42" s="1688"/>
      <c r="D42" s="1688"/>
      <c r="E42" s="1688"/>
      <c r="F42" s="1689"/>
      <c r="G42" s="1689"/>
      <c r="H42" s="1689"/>
      <c r="I42" s="1689"/>
      <c r="J42" s="1689"/>
      <c r="K42" s="1689"/>
      <c r="L42" s="1689"/>
      <c r="M42" s="1689"/>
      <c r="N42" s="1689"/>
      <c r="O42" s="1689"/>
      <c r="P42" s="1689"/>
      <c r="Q42" s="1689"/>
      <c r="R42" s="1689"/>
      <c r="S42" s="1689"/>
      <c r="T42" s="1689"/>
      <c r="U42" s="1689"/>
      <c r="V42" s="1689"/>
      <c r="W42" s="1689"/>
      <c r="X42" s="1689"/>
      <c r="Y42" s="1689"/>
      <c r="Z42" s="1689"/>
      <c r="AA42" s="1690"/>
      <c r="AB42" s="1690"/>
      <c r="AC42" s="1690"/>
      <c r="AD42" s="1690"/>
      <c r="AE42" s="1690"/>
      <c r="AF42" s="1690"/>
      <c r="AG42" s="1690"/>
      <c r="AH42" s="1690"/>
      <c r="AI42" s="1690"/>
      <c r="AJ42" s="1690"/>
      <c r="AK42" s="1690"/>
      <c r="AL42" s="1690"/>
      <c r="AM42" s="1690"/>
      <c r="AN42" s="1690"/>
      <c r="AO42" s="1690"/>
      <c r="AP42" s="1690"/>
      <c r="AQ42" s="1690"/>
      <c r="AR42" s="1690"/>
      <c r="AS42" s="1690"/>
      <c r="AT42" s="1690"/>
      <c r="AU42" s="1690"/>
    </row>
    <row r="43">
      <c r="A43" s="1419"/>
      <c r="B43" s="1684"/>
      <c r="C43" s="1685"/>
      <c r="D43" s="1685"/>
      <c r="E43" s="1685"/>
      <c r="F43" s="1691"/>
      <c r="G43" s="1691"/>
      <c r="H43" s="1691"/>
      <c r="I43" s="1691"/>
      <c r="J43" s="1691"/>
      <c r="K43" s="1691"/>
      <c r="L43" s="1691"/>
      <c r="M43" s="1691"/>
      <c r="N43" s="1691"/>
      <c r="O43" s="1691"/>
      <c r="P43" s="1691"/>
      <c r="Q43" s="1691"/>
      <c r="R43" s="1691"/>
      <c r="S43" s="1691"/>
      <c r="T43" s="1691"/>
      <c r="U43" s="1691"/>
      <c r="V43" s="1691"/>
      <c r="W43" s="1691"/>
      <c r="X43" s="1691"/>
      <c r="Y43" s="1691"/>
      <c r="Z43" s="1691"/>
      <c r="AA43" s="1686"/>
      <c r="AB43" s="1686"/>
      <c r="AC43" s="1686"/>
      <c r="AD43" s="1686"/>
      <c r="AE43" s="1686"/>
      <c r="AF43" s="1686"/>
      <c r="AG43" s="1686"/>
      <c r="AH43" s="1686"/>
      <c r="AI43" s="1686"/>
      <c r="AJ43" s="1686"/>
      <c r="AK43" s="1686"/>
      <c r="AL43" s="1686"/>
      <c r="AM43" s="1686"/>
      <c r="AN43" s="1686"/>
      <c r="AO43" s="1686"/>
      <c r="AP43" s="1686"/>
      <c r="AQ43" s="1686"/>
      <c r="AR43" s="1686"/>
      <c r="AS43" s="1686"/>
      <c r="AT43" s="1686"/>
      <c r="AU43" s="1686"/>
    </row>
    <row r="44">
      <c r="A44" s="1419"/>
      <c r="B44" s="1687"/>
      <c r="C44" s="1688"/>
      <c r="D44" s="1688"/>
      <c r="E44" s="1688"/>
      <c r="F44" s="1689"/>
      <c r="G44" s="1689"/>
      <c r="H44" s="1689"/>
      <c r="I44" s="1689"/>
      <c r="J44" s="1689"/>
      <c r="K44" s="1689"/>
      <c r="L44" s="1689"/>
      <c r="M44" s="1689"/>
      <c r="N44" s="1689"/>
      <c r="O44" s="1689"/>
      <c r="P44" s="1689"/>
      <c r="Q44" s="1689"/>
      <c r="R44" s="1689"/>
      <c r="S44" s="1689"/>
      <c r="T44" s="1689"/>
      <c r="U44" s="1689"/>
      <c r="V44" s="1689"/>
      <c r="W44" s="1689"/>
      <c r="X44" s="1689"/>
      <c r="Y44" s="1689"/>
      <c r="Z44" s="1689"/>
      <c r="AA44" s="1690"/>
      <c r="AB44" s="1690"/>
      <c r="AC44" s="1690"/>
      <c r="AD44" s="1690"/>
      <c r="AE44" s="1690"/>
      <c r="AF44" s="1690"/>
      <c r="AG44" s="1690"/>
      <c r="AH44" s="1690"/>
      <c r="AI44" s="1690"/>
      <c r="AJ44" s="1690"/>
      <c r="AK44" s="1690"/>
      <c r="AL44" s="1690"/>
      <c r="AM44" s="1690"/>
      <c r="AN44" s="1690"/>
      <c r="AO44" s="1690"/>
      <c r="AP44" s="1690"/>
      <c r="AQ44" s="1690"/>
      <c r="AR44" s="1690"/>
      <c r="AS44" s="1690"/>
      <c r="AT44" s="1690"/>
      <c r="AU44" s="1690"/>
    </row>
    <row r="45">
      <c r="A45" s="1419"/>
      <c r="B45" s="1684"/>
      <c r="C45" s="1685"/>
      <c r="D45" s="1685"/>
      <c r="E45" s="1685"/>
      <c r="F45" s="1691"/>
      <c r="G45" s="1691"/>
      <c r="H45" s="1691"/>
      <c r="I45" s="1691"/>
      <c r="J45" s="1691"/>
      <c r="K45" s="1691"/>
      <c r="L45" s="1691"/>
      <c r="M45" s="1691"/>
      <c r="N45" s="1691"/>
      <c r="O45" s="1691"/>
      <c r="P45" s="1691"/>
      <c r="Q45" s="1691"/>
      <c r="R45" s="1691"/>
      <c r="S45" s="1691"/>
      <c r="T45" s="1691"/>
      <c r="U45" s="1691"/>
      <c r="V45" s="1691"/>
      <c r="W45" s="1691"/>
      <c r="X45" s="1691"/>
      <c r="Y45" s="1691"/>
      <c r="Z45" s="1691"/>
      <c r="AA45" s="1686"/>
      <c r="AB45" s="1686"/>
      <c r="AC45" s="1686"/>
      <c r="AD45" s="1686"/>
      <c r="AE45" s="1686"/>
      <c r="AF45" s="1686"/>
      <c r="AG45" s="1686"/>
      <c r="AH45" s="1686"/>
      <c r="AI45" s="1686"/>
      <c r="AJ45" s="1686"/>
      <c r="AK45" s="1686"/>
      <c r="AL45" s="1686"/>
      <c r="AM45" s="1686"/>
      <c r="AN45" s="1686"/>
      <c r="AO45" s="1686"/>
      <c r="AP45" s="1686"/>
      <c r="AQ45" s="1686"/>
      <c r="AR45" s="1686"/>
      <c r="AS45" s="1686"/>
      <c r="AT45" s="1686"/>
      <c r="AU45" s="1686"/>
    </row>
    <row r="46">
      <c r="A46" s="1419"/>
      <c r="B46" s="1687"/>
      <c r="C46" s="1688"/>
      <c r="D46" s="1688"/>
      <c r="E46" s="1688"/>
      <c r="F46" s="1689"/>
      <c r="G46" s="1689"/>
      <c r="H46" s="1689"/>
      <c r="I46" s="1689"/>
      <c r="J46" s="1689"/>
      <c r="K46" s="1689"/>
      <c r="L46" s="1689"/>
      <c r="M46" s="1689"/>
      <c r="N46" s="1689"/>
      <c r="O46" s="1689"/>
      <c r="P46" s="1689"/>
      <c r="Q46" s="1689"/>
      <c r="R46" s="1689"/>
      <c r="S46" s="1689"/>
      <c r="T46" s="1689"/>
      <c r="U46" s="1689"/>
      <c r="V46" s="1689"/>
      <c r="W46" s="1689"/>
      <c r="X46" s="1689"/>
      <c r="Y46" s="1689"/>
      <c r="Z46" s="1689"/>
      <c r="AA46" s="1690"/>
      <c r="AB46" s="1690"/>
      <c r="AC46" s="1690"/>
      <c r="AD46" s="1690"/>
      <c r="AE46" s="1690"/>
      <c r="AF46" s="1690"/>
      <c r="AG46" s="1690"/>
      <c r="AH46" s="1690"/>
      <c r="AI46" s="1690"/>
      <c r="AJ46" s="1690"/>
      <c r="AK46" s="1690"/>
      <c r="AL46" s="1690"/>
      <c r="AM46" s="1690"/>
      <c r="AN46" s="1690"/>
      <c r="AO46" s="1690"/>
      <c r="AP46" s="1690"/>
      <c r="AQ46" s="1690"/>
      <c r="AR46" s="1690"/>
      <c r="AS46" s="1690"/>
      <c r="AT46" s="1690"/>
      <c r="AU46" s="1690"/>
    </row>
    <row r="47">
      <c r="A47" s="1419"/>
      <c r="B47" s="1684"/>
      <c r="C47" s="1685"/>
      <c r="D47" s="1685"/>
      <c r="E47" s="1685"/>
      <c r="F47" s="1691"/>
      <c r="G47" s="1691"/>
      <c r="H47" s="1691"/>
      <c r="I47" s="1691"/>
      <c r="J47" s="1691"/>
      <c r="K47" s="1691"/>
      <c r="L47" s="1691"/>
      <c r="M47" s="1691"/>
      <c r="N47" s="1691"/>
      <c r="O47" s="1691"/>
      <c r="P47" s="1691"/>
      <c r="Q47" s="1691"/>
      <c r="R47" s="1691"/>
      <c r="S47" s="1691"/>
      <c r="T47" s="1691"/>
      <c r="U47" s="1691"/>
      <c r="V47" s="1691"/>
      <c r="W47" s="1691"/>
      <c r="X47" s="1691"/>
      <c r="Y47" s="1691"/>
      <c r="Z47" s="1691"/>
      <c r="AA47" s="1686"/>
      <c r="AB47" s="1686"/>
      <c r="AC47" s="1686"/>
      <c r="AD47" s="1686"/>
      <c r="AE47" s="1686"/>
      <c r="AF47" s="1686"/>
      <c r="AG47" s="1686"/>
      <c r="AH47" s="1686"/>
      <c r="AI47" s="1686"/>
      <c r="AJ47" s="1686"/>
      <c r="AK47" s="1686"/>
      <c r="AL47" s="1686"/>
      <c r="AM47" s="1686"/>
      <c r="AN47" s="1686"/>
      <c r="AO47" s="1686"/>
      <c r="AP47" s="1686"/>
      <c r="AQ47" s="1686"/>
      <c r="AR47" s="1686"/>
      <c r="AS47" s="1686"/>
      <c r="AT47" s="1686"/>
      <c r="AU47" s="1686"/>
    </row>
    <row r="48">
      <c r="A48" s="1419"/>
      <c r="B48" s="1687"/>
      <c r="C48" s="1688"/>
      <c r="D48" s="1688"/>
      <c r="E48" s="1688"/>
      <c r="F48" s="1690"/>
      <c r="G48" s="1690"/>
      <c r="H48" s="1690"/>
      <c r="I48" s="1690"/>
      <c r="J48" s="1690"/>
      <c r="K48" s="1690"/>
      <c r="L48" s="1690"/>
      <c r="M48" s="1690"/>
      <c r="N48" s="1690"/>
      <c r="O48" s="1690"/>
      <c r="P48" s="1690"/>
      <c r="Q48" s="1690"/>
      <c r="R48" s="1690"/>
      <c r="S48" s="1690"/>
      <c r="T48" s="1690"/>
      <c r="U48" s="1690"/>
      <c r="V48" s="1690"/>
      <c r="W48" s="1690"/>
      <c r="X48" s="1690"/>
      <c r="Y48" s="1690"/>
      <c r="Z48" s="1690"/>
      <c r="AA48" s="1690"/>
      <c r="AB48" s="1690"/>
      <c r="AC48" s="1690"/>
      <c r="AD48" s="1690"/>
      <c r="AE48" s="1690"/>
      <c r="AF48" s="1690"/>
      <c r="AG48" s="1690"/>
      <c r="AH48" s="1690"/>
      <c r="AI48" s="1690"/>
      <c r="AJ48" s="1690"/>
      <c r="AK48" s="1690"/>
      <c r="AL48" s="1690"/>
      <c r="AM48" s="1690"/>
      <c r="AN48" s="1690"/>
      <c r="AO48" s="1690"/>
      <c r="AP48" s="1690"/>
      <c r="AQ48" s="1690"/>
      <c r="AR48" s="1690"/>
      <c r="AS48" s="1690"/>
      <c r="AT48" s="1690"/>
      <c r="AU48" s="1690"/>
    </row>
    <row r="49">
      <c r="A49" s="1419"/>
      <c r="B49" s="1684"/>
      <c r="C49" s="1685"/>
      <c r="D49" s="1685"/>
      <c r="E49" s="1685"/>
      <c r="F49" s="1686"/>
      <c r="G49" s="1686"/>
      <c r="H49" s="1686"/>
      <c r="I49" s="1686"/>
      <c r="J49" s="1686"/>
      <c r="K49" s="1686"/>
      <c r="L49" s="1686"/>
      <c r="M49" s="1686"/>
      <c r="N49" s="1686"/>
      <c r="O49" s="1686"/>
      <c r="P49" s="1686"/>
      <c r="Q49" s="1686"/>
      <c r="R49" s="1686"/>
      <c r="S49" s="1686"/>
      <c r="T49" s="1686"/>
      <c r="U49" s="1686"/>
      <c r="V49" s="1686"/>
      <c r="W49" s="1686"/>
      <c r="X49" s="1686"/>
      <c r="Y49" s="1686"/>
      <c r="Z49" s="1686"/>
      <c r="AA49" s="1686"/>
      <c r="AB49" s="1686"/>
      <c r="AC49" s="1686"/>
      <c r="AD49" s="1686"/>
      <c r="AE49" s="1686"/>
      <c r="AF49" s="1686"/>
      <c r="AG49" s="1686"/>
      <c r="AH49" s="1686"/>
      <c r="AI49" s="1686"/>
      <c r="AJ49" s="1686"/>
      <c r="AK49" s="1686"/>
      <c r="AL49" s="1686"/>
      <c r="AM49" s="1686"/>
      <c r="AN49" s="1686"/>
      <c r="AO49" s="1686"/>
      <c r="AP49" s="1686"/>
      <c r="AQ49" s="1686"/>
      <c r="AR49" s="1686"/>
      <c r="AS49" s="1686"/>
      <c r="AT49" s="1686"/>
      <c r="AU49" s="1686"/>
    </row>
    <row r="50">
      <c r="A50" s="1419"/>
      <c r="B50" s="1687"/>
      <c r="C50" s="1688"/>
      <c r="D50" s="1688"/>
      <c r="E50" s="1688"/>
      <c r="F50" s="1689"/>
      <c r="G50" s="1689"/>
      <c r="H50" s="1689"/>
      <c r="I50" s="1689"/>
      <c r="J50" s="1689"/>
      <c r="K50" s="1689"/>
      <c r="L50" s="1689"/>
      <c r="M50" s="1689"/>
      <c r="N50" s="1689"/>
      <c r="O50" s="1689"/>
      <c r="P50" s="1689"/>
      <c r="Q50" s="1689"/>
      <c r="R50" s="1689"/>
      <c r="S50" s="1689"/>
      <c r="T50" s="1689"/>
      <c r="U50" s="1689"/>
      <c r="V50" s="1689"/>
      <c r="W50" s="1689"/>
      <c r="X50" s="1689"/>
      <c r="Y50" s="1689"/>
      <c r="Z50" s="1689"/>
      <c r="AA50" s="1690"/>
      <c r="AB50" s="1690"/>
      <c r="AC50" s="1690"/>
      <c r="AD50" s="1690"/>
      <c r="AE50" s="1690"/>
      <c r="AF50" s="1690"/>
      <c r="AG50" s="1690"/>
      <c r="AH50" s="1690"/>
      <c r="AI50" s="1690"/>
      <c r="AJ50" s="1690"/>
      <c r="AK50" s="1690"/>
      <c r="AL50" s="1690"/>
      <c r="AM50" s="1690"/>
      <c r="AN50" s="1690"/>
      <c r="AO50" s="1690"/>
      <c r="AP50" s="1690"/>
      <c r="AQ50" s="1690"/>
      <c r="AR50" s="1690"/>
      <c r="AS50" s="1690"/>
      <c r="AT50" s="1690"/>
      <c r="AU50" s="1690"/>
    </row>
    <row r="51">
      <c r="A51" s="1419"/>
      <c r="B51" s="1684"/>
      <c r="C51" s="1685"/>
      <c r="D51" s="1685"/>
      <c r="E51" s="1685"/>
      <c r="F51" s="1691"/>
      <c r="G51" s="1691"/>
      <c r="H51" s="1691"/>
      <c r="I51" s="1691"/>
      <c r="J51" s="1691"/>
      <c r="K51" s="1691"/>
      <c r="L51" s="1691"/>
      <c r="M51" s="1691"/>
      <c r="N51" s="1691"/>
      <c r="O51" s="1691"/>
      <c r="P51" s="1691"/>
      <c r="Q51" s="1691"/>
      <c r="R51" s="1691"/>
      <c r="S51" s="1691"/>
      <c r="T51" s="1691"/>
      <c r="U51" s="1691"/>
      <c r="V51" s="1691"/>
      <c r="W51" s="1691"/>
      <c r="X51" s="1691"/>
      <c r="Y51" s="1691"/>
      <c r="Z51" s="1691"/>
      <c r="AA51" s="1686"/>
      <c r="AB51" s="1686"/>
      <c r="AC51" s="1686"/>
      <c r="AD51" s="1686"/>
      <c r="AE51" s="1686"/>
      <c r="AF51" s="1686"/>
      <c r="AG51" s="1686"/>
      <c r="AH51" s="1686"/>
      <c r="AI51" s="1686"/>
      <c r="AJ51" s="1686"/>
      <c r="AK51" s="1686"/>
      <c r="AL51" s="1686"/>
      <c r="AM51" s="1686"/>
      <c r="AN51" s="1686"/>
      <c r="AO51" s="1686"/>
      <c r="AP51" s="1686"/>
      <c r="AQ51" s="1686"/>
      <c r="AR51" s="1686"/>
      <c r="AS51" s="1686"/>
      <c r="AT51" s="1686"/>
      <c r="AU51" s="1686"/>
    </row>
    <row r="52">
      <c r="A52" s="1419"/>
      <c r="B52" s="1687"/>
      <c r="C52" s="1688"/>
      <c r="D52" s="1688"/>
      <c r="E52" s="1688"/>
      <c r="F52" s="1689"/>
      <c r="G52" s="1689"/>
      <c r="H52" s="1689"/>
      <c r="I52" s="1689"/>
      <c r="J52" s="1689"/>
      <c r="K52" s="1689"/>
      <c r="L52" s="1689"/>
      <c r="M52" s="1689"/>
      <c r="N52" s="1689"/>
      <c r="O52" s="1689"/>
      <c r="P52" s="1689"/>
      <c r="Q52" s="1689"/>
      <c r="R52" s="1689"/>
      <c r="S52" s="1689"/>
      <c r="T52" s="1689"/>
      <c r="U52" s="1689"/>
      <c r="V52" s="1689"/>
      <c r="W52" s="1689"/>
      <c r="X52" s="1689"/>
      <c r="Y52" s="1689"/>
      <c r="Z52" s="1689"/>
      <c r="AA52" s="1690"/>
      <c r="AB52" s="1690"/>
      <c r="AC52" s="1690"/>
      <c r="AD52" s="1690"/>
      <c r="AE52" s="1690"/>
      <c r="AF52" s="1690"/>
      <c r="AG52" s="1690"/>
      <c r="AH52" s="1690"/>
      <c r="AI52" s="1690"/>
      <c r="AJ52" s="1690"/>
      <c r="AK52" s="1690"/>
      <c r="AL52" s="1690"/>
      <c r="AM52" s="1690"/>
      <c r="AN52" s="1690"/>
      <c r="AO52" s="1690"/>
      <c r="AP52" s="1690"/>
      <c r="AQ52" s="1690"/>
      <c r="AR52" s="1690"/>
      <c r="AS52" s="1690"/>
      <c r="AT52" s="1690"/>
      <c r="AU52" s="1690"/>
    </row>
    <row r="53">
      <c r="A53" s="1419"/>
      <c r="B53" s="1684"/>
      <c r="C53" s="1685"/>
      <c r="D53" s="1685"/>
      <c r="E53" s="1685"/>
      <c r="F53" s="1691"/>
      <c r="G53" s="1691"/>
      <c r="H53" s="1691"/>
      <c r="I53" s="1691"/>
      <c r="J53" s="1691"/>
      <c r="K53" s="1691"/>
      <c r="L53" s="1691"/>
      <c r="M53" s="1691"/>
      <c r="N53" s="1691"/>
      <c r="O53" s="1691"/>
      <c r="P53" s="1691"/>
      <c r="Q53" s="1691"/>
      <c r="R53" s="1691"/>
      <c r="S53" s="1691"/>
      <c r="T53" s="1691"/>
      <c r="U53" s="1691"/>
      <c r="V53" s="1691"/>
      <c r="W53" s="1691"/>
      <c r="X53" s="1691"/>
      <c r="Y53" s="1691"/>
      <c r="Z53" s="1691"/>
      <c r="AA53" s="1686"/>
      <c r="AB53" s="1686"/>
      <c r="AC53" s="1686"/>
      <c r="AD53" s="1686"/>
      <c r="AE53" s="1686"/>
      <c r="AF53" s="1686"/>
      <c r="AG53" s="1686"/>
      <c r="AH53" s="1686"/>
      <c r="AI53" s="1686"/>
      <c r="AJ53" s="1686"/>
      <c r="AK53" s="1686"/>
      <c r="AL53" s="1686"/>
      <c r="AM53" s="1686"/>
      <c r="AN53" s="1686"/>
      <c r="AO53" s="1686"/>
      <c r="AP53" s="1686"/>
      <c r="AQ53" s="1686"/>
      <c r="AR53" s="1686"/>
      <c r="AS53" s="1686"/>
      <c r="AT53" s="1686"/>
      <c r="AU53" s="1686"/>
    </row>
    <row r="54">
      <c r="A54" s="1419"/>
      <c r="B54" s="1687"/>
      <c r="C54" s="1688"/>
      <c r="D54" s="1688"/>
      <c r="E54" s="1688"/>
      <c r="F54" s="1690"/>
      <c r="G54" s="1690"/>
      <c r="H54" s="1690"/>
      <c r="I54" s="1690"/>
      <c r="J54" s="1690"/>
      <c r="K54" s="1690"/>
      <c r="L54" s="1690"/>
      <c r="M54" s="1690"/>
      <c r="N54" s="1690"/>
      <c r="O54" s="1690"/>
      <c r="P54" s="1690"/>
      <c r="Q54" s="1690"/>
      <c r="R54" s="1690"/>
      <c r="S54" s="1690"/>
      <c r="T54" s="1690"/>
      <c r="U54" s="1690"/>
      <c r="V54" s="1690"/>
      <c r="W54" s="1690"/>
      <c r="X54" s="1690"/>
      <c r="Y54" s="1690"/>
      <c r="Z54" s="1690"/>
      <c r="AA54" s="1690"/>
      <c r="AB54" s="1690"/>
      <c r="AC54" s="1690"/>
      <c r="AD54" s="1690"/>
      <c r="AE54" s="1690"/>
      <c r="AF54" s="1690"/>
      <c r="AG54" s="1690"/>
      <c r="AH54" s="1690"/>
      <c r="AI54" s="1690"/>
      <c r="AJ54" s="1690"/>
      <c r="AK54" s="1690"/>
      <c r="AL54" s="1690"/>
      <c r="AM54" s="1690"/>
      <c r="AN54" s="1690"/>
      <c r="AO54" s="1690"/>
      <c r="AP54" s="1690"/>
      <c r="AQ54" s="1690"/>
      <c r="AR54" s="1690"/>
      <c r="AS54" s="1690"/>
      <c r="AT54" s="1690"/>
      <c r="AU54" s="1690"/>
    </row>
    <row r="55">
      <c r="A55" s="1419"/>
      <c r="B55" s="1684"/>
      <c r="C55" s="1685"/>
      <c r="D55" s="1685"/>
      <c r="E55" s="1685"/>
      <c r="F55" s="1691"/>
      <c r="G55" s="1691"/>
      <c r="H55" s="1691"/>
      <c r="I55" s="1691"/>
      <c r="J55" s="1691"/>
      <c r="K55" s="1691"/>
      <c r="L55" s="1691"/>
      <c r="M55" s="1691"/>
      <c r="N55" s="1691"/>
      <c r="O55" s="1691"/>
      <c r="P55" s="1691"/>
      <c r="Q55" s="1691"/>
      <c r="R55" s="1691"/>
      <c r="S55" s="1691"/>
      <c r="T55" s="1691"/>
      <c r="U55" s="1691"/>
      <c r="V55" s="1691"/>
      <c r="W55" s="1691"/>
      <c r="X55" s="1691"/>
      <c r="Y55" s="1691"/>
      <c r="Z55" s="1691"/>
      <c r="AA55" s="1686"/>
      <c r="AB55" s="1686"/>
      <c r="AC55" s="1686"/>
      <c r="AD55" s="1686"/>
      <c r="AE55" s="1686"/>
      <c r="AF55" s="1686"/>
      <c r="AG55" s="1686"/>
      <c r="AH55" s="1686"/>
      <c r="AI55" s="1686"/>
      <c r="AJ55" s="1686"/>
      <c r="AK55" s="1686"/>
      <c r="AL55" s="1686"/>
      <c r="AM55" s="1686"/>
      <c r="AN55" s="1686"/>
      <c r="AO55" s="1686"/>
      <c r="AP55" s="1686"/>
      <c r="AQ55" s="1686"/>
      <c r="AR55" s="1686"/>
      <c r="AS55" s="1686"/>
      <c r="AT55" s="1686"/>
      <c r="AU55" s="1686"/>
    </row>
    <row r="56">
      <c r="A56" s="1419"/>
      <c r="B56" s="1687"/>
      <c r="C56" s="1688"/>
      <c r="D56" s="1688"/>
      <c r="E56" s="1688"/>
      <c r="F56" s="1689"/>
      <c r="G56" s="1689"/>
      <c r="H56" s="1689"/>
      <c r="I56" s="1689"/>
      <c r="J56" s="1689"/>
      <c r="K56" s="1689"/>
      <c r="L56" s="1689"/>
      <c r="M56" s="1689"/>
      <c r="N56" s="1689"/>
      <c r="O56" s="1689"/>
      <c r="P56" s="1689"/>
      <c r="Q56" s="1689"/>
      <c r="R56" s="1689"/>
      <c r="S56" s="1689"/>
      <c r="T56" s="1689"/>
      <c r="U56" s="1689"/>
      <c r="V56" s="1689"/>
      <c r="W56" s="1689"/>
      <c r="X56" s="1689"/>
      <c r="Y56" s="1689"/>
      <c r="Z56" s="1689"/>
      <c r="AA56" s="1690"/>
      <c r="AB56" s="1690"/>
      <c r="AC56" s="1690"/>
      <c r="AD56" s="1690"/>
      <c r="AE56" s="1690"/>
      <c r="AF56" s="1690"/>
      <c r="AG56" s="1690"/>
      <c r="AH56" s="1690"/>
      <c r="AI56" s="1690"/>
      <c r="AJ56" s="1690"/>
      <c r="AK56" s="1690"/>
      <c r="AL56" s="1690"/>
      <c r="AM56" s="1690"/>
      <c r="AN56" s="1690"/>
      <c r="AO56" s="1690"/>
      <c r="AP56" s="1690"/>
      <c r="AQ56" s="1690"/>
      <c r="AR56" s="1690"/>
      <c r="AS56" s="1690"/>
      <c r="AT56" s="1690"/>
      <c r="AU56" s="1690"/>
    </row>
    <row r="57">
      <c r="A57" s="1419"/>
      <c r="B57" s="1684"/>
      <c r="C57" s="1685"/>
      <c r="D57" s="1685"/>
      <c r="E57" s="1685"/>
      <c r="F57" s="1686"/>
      <c r="G57" s="1686"/>
      <c r="H57" s="1686"/>
      <c r="I57" s="1686"/>
      <c r="J57" s="1686"/>
      <c r="K57" s="1686"/>
      <c r="L57" s="1686"/>
      <c r="M57" s="1686"/>
      <c r="N57" s="1686"/>
      <c r="O57" s="1686"/>
      <c r="P57" s="1686"/>
      <c r="Q57" s="1686"/>
      <c r="R57" s="1686"/>
      <c r="S57" s="1686"/>
      <c r="T57" s="1686"/>
      <c r="U57" s="1686"/>
      <c r="V57" s="1686"/>
      <c r="W57" s="1686"/>
      <c r="X57" s="1686"/>
      <c r="Y57" s="1686"/>
      <c r="Z57" s="1686"/>
      <c r="AA57" s="1686"/>
      <c r="AB57" s="1686"/>
      <c r="AC57" s="1686"/>
      <c r="AD57" s="1686"/>
      <c r="AE57" s="1686"/>
      <c r="AF57" s="1686"/>
      <c r="AG57" s="1686"/>
      <c r="AH57" s="1686"/>
      <c r="AI57" s="1686"/>
      <c r="AJ57" s="1686"/>
      <c r="AK57" s="1686"/>
      <c r="AL57" s="1686"/>
      <c r="AM57" s="1686"/>
      <c r="AN57" s="1686"/>
      <c r="AO57" s="1686"/>
      <c r="AP57" s="1686"/>
      <c r="AQ57" s="1686"/>
      <c r="AR57" s="1686"/>
      <c r="AS57" s="1686"/>
      <c r="AT57" s="1686"/>
      <c r="AU57" s="1686"/>
    </row>
    <row r="58">
      <c r="A58" s="1419"/>
      <c r="B58" s="1687"/>
      <c r="C58" s="1688"/>
      <c r="D58" s="1688"/>
      <c r="E58" s="1688"/>
      <c r="F58" s="1690"/>
      <c r="G58" s="1690"/>
      <c r="H58" s="1690"/>
      <c r="I58" s="1690"/>
      <c r="J58" s="1690"/>
      <c r="K58" s="1690"/>
      <c r="L58" s="1690"/>
      <c r="M58" s="1690"/>
      <c r="N58" s="1690"/>
      <c r="O58" s="1690"/>
      <c r="P58" s="1690"/>
      <c r="Q58" s="1690"/>
      <c r="R58" s="1690"/>
      <c r="S58" s="1690"/>
      <c r="T58" s="1690"/>
      <c r="U58" s="1690"/>
      <c r="V58" s="1690"/>
      <c r="W58" s="1690"/>
      <c r="X58" s="1690"/>
      <c r="Y58" s="1690"/>
      <c r="Z58" s="1690"/>
      <c r="AA58" s="1690"/>
      <c r="AB58" s="1690"/>
      <c r="AC58" s="1690"/>
      <c r="AD58" s="1690"/>
      <c r="AE58" s="1690"/>
      <c r="AF58" s="1690"/>
      <c r="AG58" s="1690"/>
      <c r="AH58" s="1690"/>
      <c r="AI58" s="1690"/>
      <c r="AJ58" s="1690"/>
      <c r="AK58" s="1690"/>
      <c r="AL58" s="1690"/>
      <c r="AM58" s="1690"/>
      <c r="AN58" s="1690"/>
      <c r="AO58" s="1690"/>
      <c r="AP58" s="1690"/>
      <c r="AQ58" s="1690"/>
      <c r="AR58" s="1690"/>
      <c r="AS58" s="1690"/>
      <c r="AT58" s="1690"/>
      <c r="AU58" s="1690"/>
    </row>
    <row r="59">
      <c r="A59" s="1419"/>
      <c r="B59" s="1684"/>
      <c r="C59" s="1685"/>
      <c r="D59" s="1685"/>
      <c r="E59" s="1685"/>
      <c r="F59" s="1686"/>
      <c r="G59" s="1686"/>
      <c r="H59" s="1686"/>
      <c r="I59" s="1686"/>
      <c r="J59" s="1686"/>
      <c r="K59" s="1686"/>
      <c r="L59" s="1686"/>
      <c r="M59" s="1686"/>
      <c r="N59" s="1686"/>
      <c r="O59" s="1686"/>
      <c r="P59" s="1686"/>
      <c r="Q59" s="1686"/>
      <c r="R59" s="1686"/>
      <c r="S59" s="1686"/>
      <c r="T59" s="1686"/>
      <c r="U59" s="1686"/>
      <c r="V59" s="1686"/>
      <c r="W59" s="1686"/>
      <c r="X59" s="1686"/>
      <c r="Y59" s="1686"/>
      <c r="Z59" s="1686"/>
      <c r="AA59" s="1686"/>
      <c r="AB59" s="1686"/>
      <c r="AC59" s="1686"/>
      <c r="AD59" s="1686"/>
      <c r="AE59" s="1686"/>
      <c r="AF59" s="1686"/>
      <c r="AG59" s="1686"/>
      <c r="AH59" s="1686"/>
      <c r="AI59" s="1686"/>
      <c r="AJ59" s="1686"/>
      <c r="AK59" s="1686"/>
      <c r="AL59" s="1686"/>
      <c r="AM59" s="1686"/>
      <c r="AN59" s="1686"/>
      <c r="AO59" s="1686"/>
      <c r="AP59" s="1686"/>
      <c r="AQ59" s="1686"/>
      <c r="AR59" s="1686"/>
      <c r="AS59" s="1686"/>
      <c r="AT59" s="1686"/>
      <c r="AU59" s="1686"/>
    </row>
    <row r="60">
      <c r="A60" s="1419"/>
      <c r="B60" s="1687"/>
      <c r="C60" s="1688"/>
      <c r="D60" s="1688"/>
      <c r="E60" s="1688"/>
      <c r="F60" s="1689"/>
      <c r="G60" s="1689"/>
      <c r="H60" s="1689"/>
      <c r="I60" s="1689"/>
      <c r="J60" s="1689"/>
      <c r="K60" s="1689"/>
      <c r="L60" s="1689"/>
      <c r="M60" s="1689"/>
      <c r="N60" s="1689"/>
      <c r="O60" s="1689"/>
      <c r="P60" s="1689"/>
      <c r="Q60" s="1689"/>
      <c r="R60" s="1689"/>
      <c r="S60" s="1689"/>
      <c r="T60" s="1689"/>
      <c r="U60" s="1689"/>
      <c r="V60" s="1689"/>
      <c r="W60" s="1689"/>
      <c r="X60" s="1689"/>
      <c r="Y60" s="1689"/>
      <c r="Z60" s="1689"/>
      <c r="AA60" s="1690"/>
      <c r="AB60" s="1690"/>
      <c r="AC60" s="1690"/>
      <c r="AD60" s="1690"/>
      <c r="AE60" s="1690"/>
      <c r="AF60" s="1690"/>
      <c r="AG60" s="1690"/>
      <c r="AH60" s="1690"/>
      <c r="AI60" s="1690"/>
      <c r="AJ60" s="1690"/>
      <c r="AK60" s="1690"/>
      <c r="AL60" s="1690"/>
      <c r="AM60" s="1690"/>
      <c r="AN60" s="1690"/>
      <c r="AO60" s="1690"/>
      <c r="AP60" s="1690"/>
      <c r="AQ60" s="1690"/>
      <c r="AR60" s="1690"/>
      <c r="AS60" s="1690"/>
      <c r="AT60" s="1690"/>
      <c r="AU60" s="1690"/>
    </row>
    <row r="61">
      <c r="A61" s="1419"/>
      <c r="B61" s="1684"/>
      <c r="C61" s="1685"/>
      <c r="D61" s="1685"/>
      <c r="E61" s="1685"/>
      <c r="F61" s="1691"/>
      <c r="G61" s="1691"/>
      <c r="H61" s="1691"/>
      <c r="I61" s="1691"/>
      <c r="J61" s="1691"/>
      <c r="K61" s="1691"/>
      <c r="L61" s="1691"/>
      <c r="M61" s="1691"/>
      <c r="N61" s="1691"/>
      <c r="O61" s="1691"/>
      <c r="P61" s="1691"/>
      <c r="Q61" s="1691"/>
      <c r="R61" s="1691"/>
      <c r="S61" s="1691"/>
      <c r="T61" s="1691"/>
      <c r="U61" s="1691"/>
      <c r="V61" s="1691"/>
      <c r="W61" s="1691"/>
      <c r="X61" s="1691"/>
      <c r="Y61" s="1691"/>
      <c r="Z61" s="1691"/>
      <c r="AA61" s="1686"/>
      <c r="AB61" s="1686"/>
      <c r="AC61" s="1686"/>
      <c r="AD61" s="1686"/>
      <c r="AE61" s="1686"/>
      <c r="AF61" s="1686"/>
      <c r="AG61" s="1686"/>
      <c r="AH61" s="1686"/>
      <c r="AI61" s="1686"/>
      <c r="AJ61" s="1686"/>
      <c r="AK61" s="1686"/>
      <c r="AL61" s="1686"/>
      <c r="AM61" s="1686"/>
      <c r="AN61" s="1686"/>
      <c r="AO61" s="1686"/>
      <c r="AP61" s="1686"/>
      <c r="AQ61" s="1686"/>
      <c r="AR61" s="1686"/>
      <c r="AS61" s="1686"/>
      <c r="AT61" s="1686"/>
      <c r="AU61" s="1686"/>
    </row>
    <row r="62">
      <c r="A62" s="1419"/>
      <c r="B62" s="1687"/>
      <c r="C62" s="1688"/>
      <c r="D62" s="1688"/>
      <c r="E62" s="1688"/>
      <c r="F62" s="1689"/>
      <c r="G62" s="1689"/>
      <c r="H62" s="1689"/>
      <c r="I62" s="1689"/>
      <c r="J62" s="1689"/>
      <c r="K62" s="1689"/>
      <c r="L62" s="1689"/>
      <c r="M62" s="1689"/>
      <c r="N62" s="1689"/>
      <c r="O62" s="1689"/>
      <c r="P62" s="1689"/>
      <c r="Q62" s="1689"/>
      <c r="R62" s="1689"/>
      <c r="S62" s="1689"/>
      <c r="T62" s="1689"/>
      <c r="U62" s="1689"/>
      <c r="V62" s="1689"/>
      <c r="W62" s="1689"/>
      <c r="X62" s="1689"/>
      <c r="Y62" s="1689"/>
      <c r="Z62" s="1689"/>
      <c r="AA62" s="1690"/>
      <c r="AB62" s="1690"/>
      <c r="AC62" s="1690"/>
      <c r="AD62" s="1690"/>
      <c r="AE62" s="1690"/>
      <c r="AF62" s="1690"/>
      <c r="AG62" s="1690"/>
      <c r="AH62" s="1690"/>
      <c r="AI62" s="1690"/>
      <c r="AJ62" s="1690"/>
      <c r="AK62" s="1690"/>
      <c r="AL62" s="1690"/>
      <c r="AM62" s="1690"/>
      <c r="AN62" s="1690"/>
      <c r="AO62" s="1690"/>
      <c r="AP62" s="1690"/>
      <c r="AQ62" s="1690"/>
      <c r="AR62" s="1690"/>
      <c r="AS62" s="1690"/>
      <c r="AT62" s="1690"/>
      <c r="AU62" s="1690"/>
    </row>
    <row r="63">
      <c r="A63" s="1419"/>
      <c r="B63" s="1684"/>
      <c r="C63" s="1685"/>
      <c r="D63" s="1685"/>
      <c r="E63" s="1685"/>
      <c r="F63" s="1686"/>
      <c r="G63" s="1686"/>
      <c r="H63" s="1686"/>
      <c r="I63" s="1686"/>
      <c r="J63" s="1686"/>
      <c r="K63" s="1686"/>
      <c r="L63" s="1686"/>
      <c r="M63" s="1686"/>
      <c r="N63" s="1686"/>
      <c r="O63" s="1686"/>
      <c r="P63" s="1686"/>
      <c r="Q63" s="1686"/>
      <c r="R63" s="1686"/>
      <c r="S63" s="1686"/>
      <c r="T63" s="1686"/>
      <c r="U63" s="1686"/>
      <c r="V63" s="1686"/>
      <c r="W63" s="1686"/>
      <c r="X63" s="1686"/>
      <c r="Y63" s="1686"/>
      <c r="Z63" s="1686"/>
      <c r="AA63" s="1686"/>
      <c r="AB63" s="1686"/>
      <c r="AC63" s="1686"/>
      <c r="AD63" s="1686"/>
      <c r="AE63" s="1686"/>
      <c r="AF63" s="1686"/>
      <c r="AG63" s="1686"/>
      <c r="AH63" s="1686"/>
      <c r="AI63" s="1686"/>
      <c r="AJ63" s="1686"/>
      <c r="AK63" s="1686"/>
      <c r="AL63" s="1686"/>
      <c r="AM63" s="1686"/>
      <c r="AN63" s="1686"/>
      <c r="AO63" s="1686"/>
      <c r="AP63" s="1686"/>
      <c r="AQ63" s="1686"/>
      <c r="AR63" s="1686"/>
      <c r="AS63" s="1686"/>
      <c r="AT63" s="1686"/>
      <c r="AU63" s="1686"/>
    </row>
    <row r="64">
      <c r="A64" s="1419"/>
      <c r="B64" s="1687"/>
      <c r="C64" s="1688"/>
      <c r="D64" s="1688"/>
      <c r="E64" s="1688"/>
      <c r="F64" s="1690"/>
      <c r="G64" s="1690"/>
      <c r="H64" s="1690"/>
      <c r="I64" s="1690"/>
      <c r="J64" s="1690"/>
      <c r="K64" s="1690"/>
      <c r="L64" s="1690"/>
      <c r="M64" s="1690"/>
      <c r="N64" s="1690"/>
      <c r="O64" s="1690"/>
      <c r="P64" s="1690"/>
      <c r="Q64" s="1690"/>
      <c r="R64" s="1690"/>
      <c r="S64" s="1690"/>
      <c r="T64" s="1690"/>
      <c r="U64" s="1690"/>
      <c r="V64" s="1690"/>
      <c r="W64" s="1690"/>
      <c r="X64" s="1690"/>
      <c r="Y64" s="1690"/>
      <c r="Z64" s="1690"/>
      <c r="AA64" s="1690"/>
      <c r="AB64" s="1690"/>
      <c r="AC64" s="1690"/>
      <c r="AD64" s="1690"/>
      <c r="AE64" s="1690"/>
      <c r="AF64" s="1690"/>
      <c r="AG64" s="1690"/>
      <c r="AH64" s="1690"/>
      <c r="AI64" s="1690"/>
      <c r="AJ64" s="1690"/>
      <c r="AK64" s="1690"/>
      <c r="AL64" s="1690"/>
      <c r="AM64" s="1690"/>
      <c r="AN64" s="1690"/>
      <c r="AO64" s="1690"/>
      <c r="AP64" s="1690"/>
      <c r="AQ64" s="1690"/>
      <c r="AR64" s="1690"/>
      <c r="AS64" s="1690"/>
      <c r="AT64" s="1690"/>
      <c r="AU64" s="1690"/>
    </row>
    <row r="65">
      <c r="A65" s="1419"/>
      <c r="B65" s="1684"/>
      <c r="C65" s="1685"/>
      <c r="D65" s="1685"/>
      <c r="E65" s="1685"/>
      <c r="F65" s="1691"/>
      <c r="G65" s="1691"/>
      <c r="H65" s="1691"/>
      <c r="I65" s="1691"/>
      <c r="J65" s="1691"/>
      <c r="K65" s="1691"/>
      <c r="L65" s="1691"/>
      <c r="M65" s="1691"/>
      <c r="N65" s="1691"/>
      <c r="O65" s="1691"/>
      <c r="P65" s="1691"/>
      <c r="Q65" s="1691"/>
      <c r="R65" s="1691"/>
      <c r="S65" s="1691"/>
      <c r="T65" s="1691"/>
      <c r="U65" s="1691"/>
      <c r="V65" s="1691"/>
      <c r="W65" s="1691"/>
      <c r="X65" s="1691"/>
      <c r="Y65" s="1691"/>
      <c r="Z65" s="1691"/>
      <c r="AA65" s="1686"/>
      <c r="AB65" s="1686"/>
      <c r="AC65" s="1686"/>
      <c r="AD65" s="1686"/>
      <c r="AE65" s="1686"/>
      <c r="AF65" s="1686"/>
      <c r="AG65" s="1686"/>
      <c r="AH65" s="1686"/>
      <c r="AI65" s="1686"/>
      <c r="AJ65" s="1686"/>
      <c r="AK65" s="1686"/>
      <c r="AL65" s="1686"/>
      <c r="AM65" s="1686"/>
      <c r="AN65" s="1686"/>
      <c r="AO65" s="1686"/>
      <c r="AP65" s="1686"/>
      <c r="AQ65" s="1686"/>
      <c r="AR65" s="1686"/>
      <c r="AS65" s="1686"/>
      <c r="AT65" s="1686"/>
      <c r="AU65" s="1686"/>
    </row>
    <row r="66">
      <c r="A66" s="1419"/>
      <c r="B66" s="1687"/>
      <c r="C66" s="1688"/>
      <c r="D66" s="1688"/>
      <c r="E66" s="1688"/>
      <c r="F66" s="1690"/>
      <c r="G66" s="1690"/>
      <c r="H66" s="1690"/>
      <c r="I66" s="1690"/>
      <c r="J66" s="1690"/>
      <c r="K66" s="1690"/>
      <c r="L66" s="1690"/>
      <c r="M66" s="1690"/>
      <c r="N66" s="1690"/>
      <c r="O66" s="1690"/>
      <c r="P66" s="1690"/>
      <c r="Q66" s="1690"/>
      <c r="R66" s="1690"/>
      <c r="S66" s="1690"/>
      <c r="T66" s="1690"/>
      <c r="U66" s="1690"/>
      <c r="V66" s="1690"/>
      <c r="W66" s="1690"/>
      <c r="X66" s="1690"/>
      <c r="Y66" s="1690"/>
      <c r="Z66" s="1690"/>
      <c r="AA66" s="1690"/>
      <c r="AB66" s="1690"/>
      <c r="AC66" s="1690"/>
      <c r="AD66" s="1690"/>
      <c r="AE66" s="1690"/>
      <c r="AF66" s="1690"/>
      <c r="AG66" s="1690"/>
      <c r="AH66" s="1690"/>
      <c r="AI66" s="1690"/>
      <c r="AJ66" s="1690"/>
      <c r="AK66" s="1690"/>
      <c r="AL66" s="1690"/>
      <c r="AM66" s="1690"/>
      <c r="AN66" s="1690"/>
      <c r="AO66" s="1690"/>
      <c r="AP66" s="1690"/>
      <c r="AQ66" s="1690"/>
      <c r="AR66" s="1690"/>
      <c r="AS66" s="1690"/>
      <c r="AT66" s="1690"/>
      <c r="AU66" s="1690"/>
    </row>
    <row r="67">
      <c r="A67" s="1419"/>
      <c r="B67" s="1684"/>
      <c r="C67" s="1685"/>
      <c r="D67" s="1685"/>
      <c r="E67" s="1685"/>
      <c r="F67" s="1691"/>
      <c r="G67" s="1691"/>
      <c r="H67" s="1691"/>
      <c r="I67" s="1691"/>
      <c r="J67" s="1691"/>
      <c r="K67" s="1691"/>
      <c r="L67" s="1691"/>
      <c r="M67" s="1691"/>
      <c r="N67" s="1691"/>
      <c r="O67" s="1691"/>
      <c r="P67" s="1691"/>
      <c r="Q67" s="1691"/>
      <c r="R67" s="1691"/>
      <c r="S67" s="1691"/>
      <c r="T67" s="1691"/>
      <c r="U67" s="1691"/>
      <c r="V67" s="1691"/>
      <c r="W67" s="1691"/>
      <c r="X67" s="1691"/>
      <c r="Y67" s="1691"/>
      <c r="Z67" s="1691"/>
      <c r="AA67" s="1686"/>
      <c r="AB67" s="1686"/>
      <c r="AC67" s="1686"/>
      <c r="AD67" s="1686"/>
      <c r="AE67" s="1686"/>
      <c r="AF67" s="1686"/>
      <c r="AG67" s="1686"/>
      <c r="AH67" s="1686"/>
      <c r="AI67" s="1686"/>
      <c r="AJ67" s="1686"/>
      <c r="AK67" s="1686"/>
      <c r="AL67" s="1686"/>
      <c r="AM67" s="1686"/>
      <c r="AN67" s="1686"/>
      <c r="AO67" s="1686"/>
      <c r="AP67" s="1686"/>
      <c r="AQ67" s="1686"/>
      <c r="AR67" s="1686"/>
      <c r="AS67" s="1686"/>
      <c r="AT67" s="1686"/>
      <c r="AU67" s="1686"/>
    </row>
    <row r="68">
      <c r="A68" s="1419"/>
      <c r="B68" s="1687"/>
      <c r="C68" s="1688"/>
      <c r="D68" s="1688"/>
      <c r="E68" s="1688"/>
      <c r="F68" s="1689"/>
      <c r="G68" s="1689"/>
      <c r="H68" s="1689"/>
      <c r="I68" s="1689"/>
      <c r="J68" s="1689"/>
      <c r="K68" s="1689"/>
      <c r="L68" s="1689"/>
      <c r="M68" s="1689"/>
      <c r="N68" s="1689"/>
      <c r="O68" s="1689"/>
      <c r="P68" s="1689"/>
      <c r="Q68" s="1689"/>
      <c r="R68" s="1689"/>
      <c r="S68" s="1689"/>
      <c r="T68" s="1689"/>
      <c r="U68" s="1689"/>
      <c r="V68" s="1689"/>
      <c r="W68" s="1689"/>
      <c r="X68" s="1689"/>
      <c r="Y68" s="1689"/>
      <c r="Z68" s="1689"/>
      <c r="AA68" s="1690"/>
      <c r="AB68" s="1690"/>
      <c r="AC68" s="1690"/>
      <c r="AD68" s="1690"/>
      <c r="AE68" s="1690"/>
      <c r="AF68" s="1690"/>
      <c r="AG68" s="1690"/>
      <c r="AH68" s="1690"/>
      <c r="AI68" s="1690"/>
      <c r="AJ68" s="1690"/>
      <c r="AK68" s="1690"/>
      <c r="AL68" s="1690"/>
      <c r="AM68" s="1690"/>
      <c r="AN68" s="1690"/>
      <c r="AO68" s="1690"/>
      <c r="AP68" s="1690"/>
      <c r="AQ68" s="1690"/>
      <c r="AR68" s="1690"/>
      <c r="AS68" s="1690"/>
      <c r="AT68" s="1690"/>
      <c r="AU68" s="1690"/>
    </row>
    <row r="69">
      <c r="A69" s="1419"/>
      <c r="B69" s="1684"/>
      <c r="C69" s="1685"/>
      <c r="D69" s="1685"/>
      <c r="E69" s="1685"/>
      <c r="F69" s="1691"/>
      <c r="G69" s="1691"/>
      <c r="H69" s="1691"/>
      <c r="I69" s="1691"/>
      <c r="J69" s="1691"/>
      <c r="K69" s="1691"/>
      <c r="L69" s="1691"/>
      <c r="M69" s="1691"/>
      <c r="N69" s="1691"/>
      <c r="O69" s="1691"/>
      <c r="P69" s="1691"/>
      <c r="Q69" s="1691"/>
      <c r="R69" s="1691"/>
      <c r="S69" s="1691"/>
      <c r="T69" s="1691"/>
      <c r="U69" s="1691"/>
      <c r="V69" s="1691"/>
      <c r="W69" s="1691"/>
      <c r="X69" s="1691"/>
      <c r="Y69" s="1691"/>
      <c r="Z69" s="1691"/>
      <c r="AA69" s="1686"/>
      <c r="AB69" s="1686"/>
      <c r="AC69" s="1686"/>
      <c r="AD69" s="1686"/>
      <c r="AE69" s="1686"/>
      <c r="AF69" s="1686"/>
      <c r="AG69" s="1686"/>
      <c r="AH69" s="1686"/>
      <c r="AI69" s="1686"/>
      <c r="AJ69" s="1686"/>
      <c r="AK69" s="1686"/>
      <c r="AL69" s="1686"/>
      <c r="AM69" s="1686"/>
      <c r="AN69" s="1686"/>
      <c r="AO69" s="1686"/>
      <c r="AP69" s="1686"/>
      <c r="AQ69" s="1686"/>
      <c r="AR69" s="1686"/>
      <c r="AS69" s="1686"/>
      <c r="AT69" s="1686"/>
      <c r="AU69" s="1686"/>
    </row>
    <row r="70">
      <c r="A70" s="1419"/>
      <c r="B70" s="1687"/>
      <c r="C70" s="1688"/>
      <c r="D70" s="1688"/>
      <c r="E70" s="1688"/>
      <c r="F70" s="1689"/>
      <c r="G70" s="1689"/>
      <c r="H70" s="1689"/>
      <c r="I70" s="1689"/>
      <c r="J70" s="1689"/>
      <c r="K70" s="1689"/>
      <c r="L70" s="1689"/>
      <c r="M70" s="1689"/>
      <c r="N70" s="1689"/>
      <c r="O70" s="1689"/>
      <c r="P70" s="1689"/>
      <c r="Q70" s="1689"/>
      <c r="R70" s="1689"/>
      <c r="S70" s="1689"/>
      <c r="T70" s="1689"/>
      <c r="U70" s="1689"/>
      <c r="V70" s="1689"/>
      <c r="W70" s="1689"/>
      <c r="X70" s="1689"/>
      <c r="Y70" s="1689"/>
      <c r="Z70" s="1689"/>
      <c r="AA70" s="1690"/>
      <c r="AB70" s="1690"/>
      <c r="AC70" s="1690"/>
      <c r="AD70" s="1690"/>
      <c r="AE70" s="1690"/>
      <c r="AF70" s="1690"/>
      <c r="AG70" s="1690"/>
      <c r="AH70" s="1690"/>
      <c r="AI70" s="1690"/>
      <c r="AJ70" s="1690"/>
      <c r="AK70" s="1690"/>
      <c r="AL70" s="1690"/>
      <c r="AM70" s="1690"/>
      <c r="AN70" s="1690"/>
      <c r="AO70" s="1690"/>
      <c r="AP70" s="1690"/>
      <c r="AQ70" s="1690"/>
      <c r="AR70" s="1690"/>
      <c r="AS70" s="1690"/>
      <c r="AT70" s="1690"/>
      <c r="AU70" s="1690"/>
    </row>
    <row r="71">
      <c r="A71" s="1419"/>
      <c r="B71" s="1684"/>
      <c r="C71" s="1685"/>
      <c r="D71" s="1685"/>
      <c r="E71" s="1685"/>
      <c r="F71" s="1691"/>
      <c r="G71" s="1691"/>
      <c r="H71" s="1691"/>
      <c r="I71" s="1691"/>
      <c r="J71" s="1691"/>
      <c r="K71" s="1691"/>
      <c r="L71" s="1691"/>
      <c r="M71" s="1691"/>
      <c r="N71" s="1691"/>
      <c r="O71" s="1691"/>
      <c r="P71" s="1691"/>
      <c r="Q71" s="1691"/>
      <c r="R71" s="1691"/>
      <c r="S71" s="1691"/>
      <c r="T71" s="1691"/>
      <c r="U71" s="1691"/>
      <c r="V71" s="1691"/>
      <c r="W71" s="1691"/>
      <c r="X71" s="1691"/>
      <c r="Y71" s="1691"/>
      <c r="Z71" s="1691"/>
      <c r="AA71" s="1686"/>
      <c r="AB71" s="1686"/>
      <c r="AC71" s="1686"/>
      <c r="AD71" s="1686"/>
      <c r="AE71" s="1686"/>
      <c r="AF71" s="1686"/>
      <c r="AG71" s="1686"/>
      <c r="AH71" s="1686"/>
      <c r="AI71" s="1686"/>
      <c r="AJ71" s="1686"/>
      <c r="AK71" s="1686"/>
      <c r="AL71" s="1686"/>
      <c r="AM71" s="1686"/>
      <c r="AN71" s="1686"/>
      <c r="AO71" s="1686"/>
      <c r="AP71" s="1686"/>
      <c r="AQ71" s="1686"/>
      <c r="AR71" s="1686"/>
      <c r="AS71" s="1686"/>
      <c r="AT71" s="1686"/>
      <c r="AU71" s="1686"/>
    </row>
    <row r="72">
      <c r="A72" s="1419"/>
      <c r="B72" s="1687"/>
      <c r="C72" s="1688"/>
      <c r="D72" s="1688"/>
      <c r="E72" s="1688"/>
      <c r="F72" s="1689"/>
      <c r="G72" s="1689"/>
      <c r="H72" s="1689"/>
      <c r="I72" s="1689"/>
      <c r="J72" s="1689"/>
      <c r="K72" s="1689"/>
      <c r="L72" s="1689"/>
      <c r="M72" s="1689"/>
      <c r="N72" s="1689"/>
      <c r="O72" s="1689"/>
      <c r="P72" s="1689"/>
      <c r="Q72" s="1689"/>
      <c r="R72" s="1689"/>
      <c r="S72" s="1689"/>
      <c r="T72" s="1689"/>
      <c r="U72" s="1689"/>
      <c r="V72" s="1689"/>
      <c r="W72" s="1689"/>
      <c r="X72" s="1689"/>
      <c r="Y72" s="1689"/>
      <c r="Z72" s="1689"/>
      <c r="AA72" s="1690"/>
      <c r="AB72" s="1690"/>
      <c r="AC72" s="1690"/>
      <c r="AD72" s="1690"/>
      <c r="AE72" s="1690"/>
      <c r="AF72" s="1690"/>
      <c r="AG72" s="1690"/>
      <c r="AH72" s="1690"/>
      <c r="AI72" s="1690"/>
      <c r="AJ72" s="1690"/>
      <c r="AK72" s="1690"/>
      <c r="AL72" s="1690"/>
      <c r="AM72" s="1690"/>
      <c r="AN72" s="1690"/>
      <c r="AO72" s="1690"/>
      <c r="AP72" s="1690"/>
      <c r="AQ72" s="1690"/>
      <c r="AR72" s="1690"/>
      <c r="AS72" s="1690"/>
      <c r="AT72" s="1690"/>
      <c r="AU72" s="1690"/>
    </row>
    <row r="73">
      <c r="A73" s="1419"/>
      <c r="B73" s="1684"/>
      <c r="C73" s="1685"/>
      <c r="D73" s="1685"/>
      <c r="E73" s="1685"/>
      <c r="F73" s="1691"/>
      <c r="G73" s="1691"/>
      <c r="H73" s="1691"/>
      <c r="I73" s="1691"/>
      <c r="J73" s="1691"/>
      <c r="K73" s="1691"/>
      <c r="L73" s="1691"/>
      <c r="M73" s="1691"/>
      <c r="N73" s="1691"/>
      <c r="O73" s="1691"/>
      <c r="P73" s="1691"/>
      <c r="Q73" s="1691"/>
      <c r="R73" s="1691"/>
      <c r="S73" s="1691"/>
      <c r="T73" s="1691"/>
      <c r="U73" s="1691"/>
      <c r="V73" s="1691"/>
      <c r="W73" s="1691"/>
      <c r="X73" s="1691"/>
      <c r="Y73" s="1691"/>
      <c r="Z73" s="1691"/>
      <c r="AA73" s="1686"/>
      <c r="AB73" s="1686"/>
      <c r="AC73" s="1686"/>
      <c r="AD73" s="1686"/>
      <c r="AE73" s="1686"/>
      <c r="AF73" s="1686"/>
      <c r="AG73" s="1686"/>
      <c r="AH73" s="1686"/>
      <c r="AI73" s="1686"/>
      <c r="AJ73" s="1686"/>
      <c r="AK73" s="1686"/>
      <c r="AL73" s="1686"/>
      <c r="AM73" s="1686"/>
      <c r="AN73" s="1686"/>
      <c r="AO73" s="1686"/>
      <c r="AP73" s="1686"/>
      <c r="AQ73" s="1686"/>
      <c r="AR73" s="1686"/>
      <c r="AS73" s="1686"/>
      <c r="AT73" s="1686"/>
      <c r="AU73" s="1686"/>
    </row>
    <row r="74">
      <c r="A74" s="1419"/>
      <c r="B74" s="1687"/>
      <c r="C74" s="1688"/>
      <c r="D74" s="1688"/>
      <c r="E74" s="1688"/>
      <c r="F74" s="1689"/>
      <c r="G74" s="1689"/>
      <c r="H74" s="1689"/>
      <c r="I74" s="1689"/>
      <c r="J74" s="1689"/>
      <c r="K74" s="1689"/>
      <c r="L74" s="1689"/>
      <c r="M74" s="1689"/>
      <c r="N74" s="1689"/>
      <c r="O74" s="1689"/>
      <c r="P74" s="1689"/>
      <c r="Q74" s="1689"/>
      <c r="R74" s="1689"/>
      <c r="S74" s="1689"/>
      <c r="T74" s="1689"/>
      <c r="U74" s="1689"/>
      <c r="V74" s="1689"/>
      <c r="W74" s="1689"/>
      <c r="X74" s="1689"/>
      <c r="Y74" s="1689"/>
      <c r="Z74" s="1689"/>
      <c r="AA74" s="1690"/>
      <c r="AB74" s="1690"/>
      <c r="AC74" s="1690"/>
      <c r="AD74" s="1690"/>
      <c r="AE74" s="1690"/>
      <c r="AF74" s="1690"/>
      <c r="AG74" s="1690"/>
      <c r="AH74" s="1690"/>
      <c r="AI74" s="1690"/>
      <c r="AJ74" s="1690"/>
      <c r="AK74" s="1690"/>
      <c r="AL74" s="1690"/>
      <c r="AM74" s="1690"/>
      <c r="AN74" s="1690"/>
      <c r="AO74" s="1690"/>
      <c r="AP74" s="1690"/>
      <c r="AQ74" s="1690"/>
      <c r="AR74" s="1690"/>
      <c r="AS74" s="1690"/>
      <c r="AT74" s="1690"/>
      <c r="AU74" s="1690"/>
    </row>
    <row r="75">
      <c r="A75" s="1419"/>
      <c r="B75" s="1684"/>
      <c r="C75" s="1685"/>
      <c r="D75" s="1685"/>
      <c r="E75" s="1685"/>
      <c r="F75" s="1691"/>
      <c r="G75" s="1691"/>
      <c r="H75" s="1691"/>
      <c r="I75" s="1691"/>
      <c r="J75" s="1691"/>
      <c r="K75" s="1691"/>
      <c r="L75" s="1691"/>
      <c r="M75" s="1691"/>
      <c r="N75" s="1691"/>
      <c r="O75" s="1691"/>
      <c r="P75" s="1691"/>
      <c r="Q75" s="1691"/>
      <c r="R75" s="1691"/>
      <c r="S75" s="1691"/>
      <c r="T75" s="1691"/>
      <c r="U75" s="1691"/>
      <c r="V75" s="1691"/>
      <c r="W75" s="1691"/>
      <c r="X75" s="1691"/>
      <c r="Y75" s="1691"/>
      <c r="Z75" s="1691"/>
      <c r="AA75" s="1686"/>
      <c r="AB75" s="1686"/>
      <c r="AC75" s="1686"/>
      <c r="AD75" s="1686"/>
      <c r="AE75" s="1686"/>
      <c r="AF75" s="1686"/>
      <c r="AG75" s="1686"/>
      <c r="AH75" s="1686"/>
      <c r="AI75" s="1686"/>
      <c r="AJ75" s="1686"/>
      <c r="AK75" s="1686"/>
      <c r="AL75" s="1686"/>
      <c r="AM75" s="1686"/>
      <c r="AN75" s="1686"/>
      <c r="AO75" s="1686"/>
      <c r="AP75" s="1686"/>
      <c r="AQ75" s="1686"/>
      <c r="AR75" s="1686"/>
      <c r="AS75" s="1686"/>
      <c r="AT75" s="1686"/>
      <c r="AU75" s="1686"/>
    </row>
    <row r="76">
      <c r="A76" s="1419"/>
      <c r="B76" s="1687"/>
      <c r="C76" s="1688"/>
      <c r="D76" s="1688"/>
      <c r="E76" s="1688"/>
      <c r="F76" s="1689"/>
      <c r="G76" s="1689"/>
      <c r="H76" s="1689"/>
      <c r="I76" s="1689"/>
      <c r="J76" s="1689"/>
      <c r="K76" s="1689"/>
      <c r="L76" s="1689"/>
      <c r="M76" s="1689"/>
      <c r="N76" s="1689"/>
      <c r="O76" s="1689"/>
      <c r="P76" s="1689"/>
      <c r="Q76" s="1689"/>
      <c r="R76" s="1689"/>
      <c r="S76" s="1689"/>
      <c r="T76" s="1689"/>
      <c r="U76" s="1689"/>
      <c r="V76" s="1689"/>
      <c r="W76" s="1689"/>
      <c r="X76" s="1689"/>
      <c r="Y76" s="1689"/>
      <c r="Z76" s="1689"/>
      <c r="AA76" s="1690"/>
      <c r="AB76" s="1690"/>
      <c r="AC76" s="1690"/>
      <c r="AD76" s="1690"/>
      <c r="AE76" s="1690"/>
      <c r="AF76" s="1690"/>
      <c r="AG76" s="1690"/>
      <c r="AH76" s="1690"/>
      <c r="AI76" s="1690"/>
      <c r="AJ76" s="1690"/>
      <c r="AK76" s="1690"/>
      <c r="AL76" s="1690"/>
      <c r="AM76" s="1690"/>
      <c r="AN76" s="1690"/>
      <c r="AO76" s="1690"/>
      <c r="AP76" s="1690"/>
      <c r="AQ76" s="1690"/>
      <c r="AR76" s="1690"/>
      <c r="AS76" s="1690"/>
      <c r="AT76" s="1690"/>
      <c r="AU76" s="1690"/>
    </row>
    <row r="77">
      <c r="A77" s="1419"/>
      <c r="B77" s="1684"/>
      <c r="C77" s="1685"/>
      <c r="D77" s="1685"/>
      <c r="E77" s="1685"/>
      <c r="F77" s="1691"/>
      <c r="G77" s="1691"/>
      <c r="H77" s="1691"/>
      <c r="I77" s="1691"/>
      <c r="J77" s="1691"/>
      <c r="K77" s="1691"/>
      <c r="L77" s="1691"/>
      <c r="M77" s="1691"/>
      <c r="N77" s="1691"/>
      <c r="O77" s="1691"/>
      <c r="P77" s="1691"/>
      <c r="Q77" s="1691"/>
      <c r="R77" s="1691"/>
      <c r="S77" s="1691"/>
      <c r="T77" s="1691"/>
      <c r="U77" s="1691"/>
      <c r="V77" s="1691"/>
      <c r="W77" s="1691"/>
      <c r="X77" s="1691"/>
      <c r="Y77" s="1691"/>
      <c r="Z77" s="1691"/>
      <c r="AA77" s="1686"/>
      <c r="AB77" s="1686"/>
      <c r="AC77" s="1686"/>
      <c r="AD77" s="1686"/>
      <c r="AE77" s="1686"/>
      <c r="AF77" s="1686"/>
      <c r="AG77" s="1686"/>
      <c r="AH77" s="1686"/>
      <c r="AI77" s="1686"/>
      <c r="AJ77" s="1686"/>
      <c r="AK77" s="1686"/>
      <c r="AL77" s="1686"/>
      <c r="AM77" s="1686"/>
      <c r="AN77" s="1686"/>
      <c r="AO77" s="1686"/>
      <c r="AP77" s="1686"/>
      <c r="AQ77" s="1686"/>
      <c r="AR77" s="1686"/>
      <c r="AS77" s="1686"/>
      <c r="AT77" s="1686"/>
      <c r="AU77" s="1686"/>
    </row>
    <row r="78">
      <c r="A78" s="1419"/>
      <c r="B78" s="1687"/>
      <c r="C78" s="1688"/>
      <c r="D78" s="1688"/>
      <c r="E78" s="1688"/>
      <c r="F78" s="1689"/>
      <c r="G78" s="1689"/>
      <c r="H78" s="1689"/>
      <c r="I78" s="1689"/>
      <c r="J78" s="1689"/>
      <c r="K78" s="1689"/>
      <c r="L78" s="1689"/>
      <c r="M78" s="1689"/>
      <c r="N78" s="1689"/>
      <c r="O78" s="1689"/>
      <c r="P78" s="1689"/>
      <c r="Q78" s="1689"/>
      <c r="R78" s="1689"/>
      <c r="S78" s="1689"/>
      <c r="T78" s="1689"/>
      <c r="U78" s="1689"/>
      <c r="V78" s="1689"/>
      <c r="W78" s="1689"/>
      <c r="X78" s="1689"/>
      <c r="Y78" s="1689"/>
      <c r="Z78" s="1689"/>
      <c r="AA78" s="1690"/>
      <c r="AB78" s="1690"/>
      <c r="AC78" s="1690"/>
      <c r="AD78" s="1690"/>
      <c r="AE78" s="1690"/>
      <c r="AF78" s="1690"/>
      <c r="AG78" s="1690"/>
      <c r="AH78" s="1690"/>
      <c r="AI78" s="1690"/>
      <c r="AJ78" s="1690"/>
      <c r="AK78" s="1690"/>
      <c r="AL78" s="1690"/>
      <c r="AM78" s="1690"/>
      <c r="AN78" s="1690"/>
      <c r="AO78" s="1690"/>
      <c r="AP78" s="1690"/>
      <c r="AQ78" s="1690"/>
      <c r="AR78" s="1690"/>
      <c r="AS78" s="1690"/>
      <c r="AT78" s="1690"/>
      <c r="AU78" s="1690"/>
    </row>
    <row r="79">
      <c r="A79" s="1440" t="s">
        <v>2461</v>
      </c>
      <c r="B79" s="1684"/>
      <c r="C79" s="1685"/>
      <c r="D79" s="1685"/>
      <c r="E79" s="1685"/>
      <c r="F79" s="1691"/>
      <c r="G79" s="1691"/>
      <c r="H79" s="1691"/>
      <c r="I79" s="1691"/>
      <c r="J79" s="1691"/>
      <c r="K79" s="1691"/>
      <c r="L79" s="1691"/>
      <c r="M79" s="1691"/>
      <c r="N79" s="1691"/>
      <c r="O79" s="1691"/>
      <c r="P79" s="1691"/>
      <c r="Q79" s="1691"/>
      <c r="R79" s="1691"/>
      <c r="S79" s="1691"/>
      <c r="T79" s="1691"/>
      <c r="U79" s="1691"/>
      <c r="V79" s="1691"/>
      <c r="W79" s="1691"/>
      <c r="X79" s="1691"/>
      <c r="Y79" s="1691"/>
      <c r="Z79" s="1691"/>
      <c r="AA79" s="1686"/>
      <c r="AB79" s="1686"/>
      <c r="AC79" s="1686"/>
      <c r="AD79" s="1686"/>
      <c r="AE79" s="1686"/>
      <c r="AF79" s="1686"/>
      <c r="AG79" s="1686"/>
      <c r="AH79" s="1686"/>
      <c r="AI79" s="1686"/>
      <c r="AJ79" s="1686"/>
      <c r="AK79" s="1686"/>
      <c r="AL79" s="1686"/>
      <c r="AM79" s="1686"/>
      <c r="AN79" s="1686"/>
      <c r="AO79" s="1686"/>
      <c r="AP79" s="1686"/>
      <c r="AQ79" s="1686"/>
      <c r="AR79" s="1686"/>
      <c r="AS79" s="1686"/>
      <c r="AT79" s="1686"/>
      <c r="AU79" s="1686"/>
    </row>
    <row r="80">
      <c r="A80" s="1419"/>
      <c r="B80" s="1687"/>
      <c r="C80" s="1688"/>
      <c r="D80" s="1688"/>
      <c r="E80" s="1688"/>
      <c r="F80" s="1689"/>
      <c r="G80" s="1689"/>
      <c r="H80" s="1689"/>
      <c r="I80" s="1689"/>
      <c r="J80" s="1689"/>
      <c r="K80" s="1689"/>
      <c r="L80" s="1689"/>
      <c r="M80" s="1689"/>
      <c r="N80" s="1689"/>
      <c r="O80" s="1689"/>
      <c r="P80" s="1689"/>
      <c r="Q80" s="1689"/>
      <c r="R80" s="1689"/>
      <c r="S80" s="1689"/>
      <c r="T80" s="1689"/>
      <c r="U80" s="1689"/>
      <c r="V80" s="1689"/>
      <c r="W80" s="1689"/>
      <c r="X80" s="1689"/>
      <c r="Y80" s="1689"/>
      <c r="Z80" s="1689"/>
      <c r="AA80" s="1690"/>
      <c r="AB80" s="1690"/>
      <c r="AC80" s="1690"/>
      <c r="AD80" s="1690"/>
      <c r="AE80" s="1690"/>
      <c r="AF80" s="1690"/>
      <c r="AG80" s="1690"/>
      <c r="AH80" s="1690"/>
      <c r="AI80" s="1690"/>
      <c r="AJ80" s="1690"/>
      <c r="AK80" s="1690"/>
      <c r="AL80" s="1690"/>
      <c r="AM80" s="1690"/>
      <c r="AN80" s="1690"/>
      <c r="AO80" s="1690"/>
      <c r="AP80" s="1690"/>
      <c r="AQ80" s="1690"/>
      <c r="AR80" s="1690"/>
      <c r="AS80" s="1690"/>
      <c r="AT80" s="1690"/>
      <c r="AU80" s="1690"/>
    </row>
    <row r="81">
      <c r="A81" s="1419"/>
      <c r="B81" s="1684"/>
      <c r="C81" s="1685"/>
      <c r="D81" s="1685"/>
      <c r="E81" s="1685"/>
      <c r="F81" s="1691"/>
      <c r="G81" s="1691"/>
      <c r="H81" s="1691"/>
      <c r="I81" s="1691"/>
      <c r="J81" s="1691"/>
      <c r="K81" s="1691"/>
      <c r="L81" s="1691"/>
      <c r="M81" s="1691"/>
      <c r="N81" s="1691"/>
      <c r="O81" s="1691"/>
      <c r="P81" s="1691"/>
      <c r="Q81" s="1691"/>
      <c r="R81" s="1691"/>
      <c r="S81" s="1691"/>
      <c r="T81" s="1691"/>
      <c r="U81" s="1691"/>
      <c r="V81" s="1691"/>
      <c r="W81" s="1691"/>
      <c r="X81" s="1691"/>
      <c r="Y81" s="1691"/>
      <c r="Z81" s="1691"/>
      <c r="AA81" s="1686"/>
      <c r="AB81" s="1686"/>
      <c r="AC81" s="1686"/>
      <c r="AD81" s="1686"/>
      <c r="AE81" s="1686"/>
      <c r="AF81" s="1686"/>
      <c r="AG81" s="1686"/>
      <c r="AH81" s="1686"/>
      <c r="AI81" s="1686"/>
      <c r="AJ81" s="1686"/>
      <c r="AK81" s="1686"/>
      <c r="AL81" s="1686"/>
      <c r="AM81" s="1686"/>
      <c r="AN81" s="1686"/>
      <c r="AO81" s="1686"/>
      <c r="AP81" s="1686"/>
      <c r="AQ81" s="1686"/>
      <c r="AR81" s="1686"/>
      <c r="AS81" s="1686"/>
      <c r="AT81" s="1686"/>
      <c r="AU81" s="1686"/>
    </row>
    <row r="82">
      <c r="A82" s="1419"/>
      <c r="B82" s="1687"/>
      <c r="C82" s="1688"/>
      <c r="D82" s="1688"/>
      <c r="E82" s="1688"/>
      <c r="F82" s="1689"/>
      <c r="G82" s="1689"/>
      <c r="H82" s="1689"/>
      <c r="I82" s="1689"/>
      <c r="J82" s="1689"/>
      <c r="K82" s="1689"/>
      <c r="L82" s="1689"/>
      <c r="M82" s="1689"/>
      <c r="N82" s="1689"/>
      <c r="O82" s="1689"/>
      <c r="P82" s="1689"/>
      <c r="Q82" s="1689"/>
      <c r="R82" s="1689"/>
      <c r="S82" s="1689"/>
      <c r="T82" s="1689"/>
      <c r="U82" s="1689"/>
      <c r="V82" s="1689"/>
      <c r="W82" s="1689"/>
      <c r="X82" s="1689"/>
      <c r="Y82" s="1689"/>
      <c r="Z82" s="1689"/>
      <c r="AA82" s="1690"/>
      <c r="AB82" s="1690"/>
      <c r="AC82" s="1690"/>
      <c r="AD82" s="1690"/>
      <c r="AE82" s="1690"/>
      <c r="AF82" s="1690"/>
      <c r="AG82" s="1690"/>
      <c r="AH82" s="1690"/>
      <c r="AI82" s="1690"/>
      <c r="AJ82" s="1690"/>
      <c r="AK82" s="1690"/>
      <c r="AL82" s="1690"/>
      <c r="AM82" s="1690"/>
      <c r="AN82" s="1690"/>
      <c r="AO82" s="1690"/>
      <c r="AP82" s="1690"/>
      <c r="AQ82" s="1690"/>
      <c r="AR82" s="1690"/>
      <c r="AS82" s="1690"/>
      <c r="AT82" s="1690"/>
      <c r="AU82" s="1690"/>
    </row>
    <row r="83">
      <c r="A83" s="1419"/>
      <c r="B83" s="1684"/>
      <c r="C83" s="1685"/>
      <c r="D83" s="1685"/>
      <c r="E83" s="1685"/>
      <c r="F83" s="1691"/>
      <c r="G83" s="1691"/>
      <c r="H83" s="1691"/>
      <c r="I83" s="1691"/>
      <c r="J83" s="1691"/>
      <c r="K83" s="1691"/>
      <c r="L83" s="1691"/>
      <c r="M83" s="1691"/>
      <c r="N83" s="1691"/>
      <c r="O83" s="1691"/>
      <c r="P83" s="1691"/>
      <c r="Q83" s="1691"/>
      <c r="R83" s="1691"/>
      <c r="S83" s="1691"/>
      <c r="T83" s="1691"/>
      <c r="U83" s="1691"/>
      <c r="V83" s="1691"/>
      <c r="W83" s="1691"/>
      <c r="X83" s="1691"/>
      <c r="Y83" s="1691"/>
      <c r="Z83" s="1691"/>
      <c r="AA83" s="1686"/>
      <c r="AB83" s="1686"/>
      <c r="AC83" s="1686"/>
      <c r="AD83" s="1686"/>
      <c r="AE83" s="1686"/>
      <c r="AF83" s="1686"/>
      <c r="AG83" s="1686"/>
      <c r="AH83" s="1686"/>
      <c r="AI83" s="1686"/>
      <c r="AJ83" s="1686"/>
      <c r="AK83" s="1686"/>
      <c r="AL83" s="1686"/>
      <c r="AM83" s="1686"/>
      <c r="AN83" s="1686"/>
      <c r="AO83" s="1686"/>
      <c r="AP83" s="1686"/>
      <c r="AQ83" s="1686"/>
      <c r="AR83" s="1686"/>
      <c r="AS83" s="1686"/>
      <c r="AT83" s="1686"/>
      <c r="AU83" s="1686"/>
    </row>
    <row r="84">
      <c r="A84" s="1419"/>
      <c r="B84" s="1687"/>
      <c r="C84" s="1688"/>
      <c r="D84" s="1688"/>
      <c r="E84" s="1688"/>
      <c r="F84" s="1690"/>
      <c r="G84" s="1690"/>
      <c r="H84" s="1690"/>
      <c r="I84" s="1690"/>
      <c r="J84" s="1690"/>
      <c r="K84" s="1690"/>
      <c r="L84" s="1690"/>
      <c r="M84" s="1690"/>
      <c r="N84" s="1690"/>
      <c r="O84" s="1690"/>
      <c r="P84" s="1690"/>
      <c r="Q84" s="1690"/>
      <c r="R84" s="1690"/>
      <c r="S84" s="1690"/>
      <c r="T84" s="1690"/>
      <c r="U84" s="1690"/>
      <c r="V84" s="1690"/>
      <c r="W84" s="1690"/>
      <c r="X84" s="1690"/>
      <c r="Y84" s="1690"/>
      <c r="Z84" s="1690"/>
      <c r="AA84" s="1690"/>
      <c r="AB84" s="1690"/>
      <c r="AC84" s="1690"/>
      <c r="AD84" s="1690"/>
      <c r="AE84" s="1690"/>
      <c r="AF84" s="1690"/>
      <c r="AG84" s="1690"/>
      <c r="AH84" s="1690"/>
      <c r="AI84" s="1690"/>
      <c r="AJ84" s="1690"/>
      <c r="AK84" s="1690"/>
      <c r="AL84" s="1690"/>
      <c r="AM84" s="1690"/>
      <c r="AN84" s="1690"/>
      <c r="AO84" s="1690"/>
      <c r="AP84" s="1690"/>
      <c r="AQ84" s="1690"/>
      <c r="AR84" s="1690"/>
      <c r="AS84" s="1690"/>
      <c r="AT84" s="1690"/>
      <c r="AU84" s="1690"/>
    </row>
    <row r="85">
      <c r="A85" s="1419"/>
      <c r="B85" s="1684"/>
      <c r="C85" s="1685"/>
      <c r="D85" s="1685"/>
      <c r="E85" s="1685"/>
      <c r="F85" s="1691"/>
      <c r="G85" s="1691"/>
      <c r="H85" s="1691"/>
      <c r="I85" s="1691"/>
      <c r="J85" s="1691"/>
      <c r="K85" s="1691"/>
      <c r="L85" s="1691"/>
      <c r="M85" s="1691"/>
      <c r="N85" s="1691"/>
      <c r="O85" s="1691"/>
      <c r="P85" s="1691"/>
      <c r="Q85" s="1691"/>
      <c r="R85" s="1691"/>
      <c r="S85" s="1691"/>
      <c r="T85" s="1691"/>
      <c r="U85" s="1691"/>
      <c r="V85" s="1691"/>
      <c r="W85" s="1691"/>
      <c r="X85" s="1691"/>
      <c r="Y85" s="1691"/>
      <c r="Z85" s="1691"/>
      <c r="AA85" s="1686"/>
      <c r="AB85" s="1686"/>
      <c r="AC85" s="1686"/>
      <c r="AD85" s="1686"/>
      <c r="AE85" s="1686"/>
      <c r="AF85" s="1686"/>
      <c r="AG85" s="1686"/>
      <c r="AH85" s="1686"/>
      <c r="AI85" s="1686"/>
      <c r="AJ85" s="1686"/>
      <c r="AK85" s="1686"/>
      <c r="AL85" s="1686"/>
      <c r="AM85" s="1686"/>
      <c r="AN85" s="1686"/>
      <c r="AO85" s="1686"/>
      <c r="AP85" s="1686"/>
      <c r="AQ85" s="1686"/>
      <c r="AR85" s="1686"/>
      <c r="AS85" s="1686"/>
      <c r="AT85" s="1686"/>
      <c r="AU85" s="1686"/>
    </row>
    <row r="86">
      <c r="A86" s="1419"/>
      <c r="B86" s="1687"/>
      <c r="C86" s="1688"/>
      <c r="D86" s="1688"/>
      <c r="E86" s="1688"/>
      <c r="F86" s="1689"/>
      <c r="G86" s="1689"/>
      <c r="H86" s="1689"/>
      <c r="I86" s="1689"/>
      <c r="J86" s="1689"/>
      <c r="K86" s="1689"/>
      <c r="L86" s="1689"/>
      <c r="M86" s="1689"/>
      <c r="N86" s="1689"/>
      <c r="O86" s="1689"/>
      <c r="P86" s="1689"/>
      <c r="Q86" s="1689"/>
      <c r="R86" s="1689"/>
      <c r="S86" s="1689"/>
      <c r="T86" s="1689"/>
      <c r="U86" s="1689"/>
      <c r="V86" s="1689"/>
      <c r="W86" s="1689"/>
      <c r="X86" s="1689"/>
      <c r="Y86" s="1689"/>
      <c r="Z86" s="1689"/>
      <c r="AA86" s="1690"/>
      <c r="AB86" s="1690"/>
      <c r="AC86" s="1690"/>
      <c r="AD86" s="1690"/>
      <c r="AE86" s="1690"/>
      <c r="AF86" s="1690"/>
      <c r="AG86" s="1690"/>
      <c r="AH86" s="1690"/>
      <c r="AI86" s="1690"/>
      <c r="AJ86" s="1690"/>
      <c r="AK86" s="1690"/>
      <c r="AL86" s="1690"/>
      <c r="AM86" s="1690"/>
      <c r="AN86" s="1690"/>
      <c r="AO86" s="1690"/>
      <c r="AP86" s="1690"/>
      <c r="AQ86" s="1690"/>
      <c r="AR86" s="1690"/>
      <c r="AS86" s="1690"/>
      <c r="AT86" s="1690"/>
      <c r="AU86" s="1690"/>
    </row>
    <row r="87">
      <c r="A87" s="1419"/>
      <c r="B87" s="1684"/>
      <c r="C87" s="1685"/>
      <c r="D87" s="1685"/>
      <c r="E87" s="1685"/>
      <c r="F87" s="1686"/>
      <c r="G87" s="1686"/>
      <c r="H87" s="1686"/>
      <c r="I87" s="1686"/>
      <c r="J87" s="1686"/>
      <c r="K87" s="1686"/>
      <c r="L87" s="1686"/>
      <c r="M87" s="1686"/>
      <c r="N87" s="1686"/>
      <c r="O87" s="1686"/>
      <c r="P87" s="1686"/>
      <c r="Q87" s="1686"/>
      <c r="R87" s="1686"/>
      <c r="S87" s="1686"/>
      <c r="T87" s="1686"/>
      <c r="U87" s="1686"/>
      <c r="V87" s="1686"/>
      <c r="W87" s="1686"/>
      <c r="X87" s="1686"/>
      <c r="Y87" s="1686"/>
      <c r="Z87" s="1686"/>
      <c r="AA87" s="1686"/>
      <c r="AB87" s="1686"/>
      <c r="AC87" s="1686"/>
      <c r="AD87" s="1686"/>
      <c r="AE87" s="1686"/>
      <c r="AF87" s="1686"/>
      <c r="AG87" s="1686"/>
      <c r="AH87" s="1686"/>
      <c r="AI87" s="1686"/>
      <c r="AJ87" s="1686"/>
      <c r="AK87" s="1686"/>
      <c r="AL87" s="1686"/>
      <c r="AM87" s="1686"/>
      <c r="AN87" s="1686"/>
      <c r="AO87" s="1686"/>
      <c r="AP87" s="1686"/>
      <c r="AQ87" s="1686"/>
      <c r="AR87" s="1686"/>
      <c r="AS87" s="1686"/>
      <c r="AT87" s="1686"/>
      <c r="AU87" s="1686"/>
    </row>
    <row r="88">
      <c r="A88" s="1419"/>
      <c r="B88" s="1687"/>
      <c r="C88" s="1688"/>
      <c r="D88" s="1688"/>
      <c r="E88" s="1688"/>
      <c r="F88" s="1689"/>
      <c r="G88" s="1689"/>
      <c r="H88" s="1689"/>
      <c r="I88" s="1689"/>
      <c r="J88" s="1689"/>
      <c r="K88" s="1689"/>
      <c r="L88" s="1689"/>
      <c r="M88" s="1689"/>
      <c r="N88" s="1689"/>
      <c r="O88" s="1689"/>
      <c r="P88" s="1689"/>
      <c r="Q88" s="1689"/>
      <c r="R88" s="1689"/>
      <c r="S88" s="1689"/>
      <c r="T88" s="1689"/>
      <c r="U88" s="1689"/>
      <c r="V88" s="1689"/>
      <c r="W88" s="1689"/>
      <c r="X88" s="1689"/>
      <c r="Y88" s="1689"/>
      <c r="Z88" s="1689"/>
      <c r="AA88" s="1690"/>
      <c r="AB88" s="1690"/>
      <c r="AC88" s="1690"/>
      <c r="AD88" s="1690"/>
      <c r="AE88" s="1690"/>
      <c r="AF88" s="1690"/>
      <c r="AG88" s="1690"/>
      <c r="AH88" s="1690"/>
      <c r="AI88" s="1690"/>
      <c r="AJ88" s="1690"/>
      <c r="AK88" s="1690"/>
      <c r="AL88" s="1690"/>
      <c r="AM88" s="1690"/>
      <c r="AN88" s="1690"/>
      <c r="AO88" s="1690"/>
      <c r="AP88" s="1690"/>
      <c r="AQ88" s="1690"/>
      <c r="AR88" s="1690"/>
      <c r="AS88" s="1690"/>
      <c r="AT88" s="1690"/>
      <c r="AU88" s="1690"/>
    </row>
    <row r="89">
      <c r="A89" s="1419"/>
      <c r="B89" s="1684"/>
      <c r="C89" s="1685"/>
      <c r="D89" s="1685"/>
      <c r="E89" s="1685"/>
      <c r="F89" s="1686"/>
      <c r="G89" s="1686"/>
      <c r="H89" s="1686"/>
      <c r="I89" s="1686"/>
      <c r="J89" s="1686"/>
      <c r="K89" s="1686"/>
      <c r="L89" s="1686"/>
      <c r="M89" s="1686"/>
      <c r="N89" s="1686"/>
      <c r="O89" s="1686"/>
      <c r="P89" s="1686"/>
      <c r="Q89" s="1686"/>
      <c r="R89" s="1686"/>
      <c r="S89" s="1686"/>
      <c r="T89" s="1686"/>
      <c r="U89" s="1686"/>
      <c r="V89" s="1686"/>
      <c r="W89" s="1686"/>
      <c r="X89" s="1686"/>
      <c r="Y89" s="1686"/>
      <c r="Z89" s="1686"/>
      <c r="AA89" s="1686"/>
      <c r="AB89" s="1686"/>
      <c r="AC89" s="1686"/>
      <c r="AD89" s="1686"/>
      <c r="AE89" s="1686"/>
      <c r="AF89" s="1686"/>
      <c r="AG89" s="1686"/>
      <c r="AH89" s="1686"/>
      <c r="AI89" s="1686"/>
      <c r="AJ89" s="1686"/>
      <c r="AK89" s="1686"/>
      <c r="AL89" s="1686"/>
      <c r="AM89" s="1686"/>
      <c r="AN89" s="1686"/>
      <c r="AO89" s="1686"/>
      <c r="AP89" s="1686"/>
      <c r="AQ89" s="1686"/>
      <c r="AR89" s="1686"/>
      <c r="AS89" s="1686"/>
      <c r="AT89" s="1686"/>
      <c r="AU89" s="1686"/>
    </row>
    <row r="90">
      <c r="A90" s="1419"/>
      <c r="B90" s="1687"/>
      <c r="C90" s="1688"/>
      <c r="D90" s="1688"/>
      <c r="E90" s="1688"/>
      <c r="F90" s="1690"/>
      <c r="G90" s="1690"/>
      <c r="H90" s="1690"/>
      <c r="I90" s="1690"/>
      <c r="J90" s="1690"/>
      <c r="K90" s="1690"/>
      <c r="L90" s="1690"/>
      <c r="M90" s="1690"/>
      <c r="N90" s="1690"/>
      <c r="O90" s="1690"/>
      <c r="P90" s="1690"/>
      <c r="Q90" s="1690"/>
      <c r="R90" s="1690"/>
      <c r="S90" s="1690"/>
      <c r="T90" s="1690"/>
      <c r="U90" s="1690"/>
      <c r="V90" s="1690"/>
      <c r="W90" s="1690"/>
      <c r="X90" s="1690"/>
      <c r="Y90" s="1690"/>
      <c r="Z90" s="1690"/>
      <c r="AA90" s="1690"/>
      <c r="AB90" s="1690"/>
      <c r="AC90" s="1690"/>
      <c r="AD90" s="1690"/>
      <c r="AE90" s="1690"/>
      <c r="AF90" s="1690"/>
      <c r="AG90" s="1690"/>
      <c r="AH90" s="1690"/>
      <c r="AI90" s="1690"/>
      <c r="AJ90" s="1690"/>
      <c r="AK90" s="1690"/>
      <c r="AL90" s="1690"/>
      <c r="AM90" s="1690"/>
      <c r="AN90" s="1690"/>
      <c r="AO90" s="1690"/>
      <c r="AP90" s="1690"/>
      <c r="AQ90" s="1690"/>
      <c r="AR90" s="1690"/>
      <c r="AS90" s="1690"/>
      <c r="AT90" s="1690"/>
      <c r="AU90" s="1690"/>
    </row>
    <row r="91">
      <c r="A91" s="1419"/>
      <c r="B91" s="1684"/>
      <c r="C91" s="1685"/>
      <c r="D91" s="1685"/>
      <c r="E91" s="1685"/>
      <c r="F91" s="1691"/>
      <c r="G91" s="1691"/>
      <c r="H91" s="1691"/>
      <c r="I91" s="1691"/>
      <c r="J91" s="1691"/>
      <c r="K91" s="1691"/>
      <c r="L91" s="1691"/>
      <c r="M91" s="1691"/>
      <c r="N91" s="1691"/>
      <c r="O91" s="1691"/>
      <c r="P91" s="1691"/>
      <c r="Q91" s="1691"/>
      <c r="R91" s="1691"/>
      <c r="S91" s="1691"/>
      <c r="T91" s="1691"/>
      <c r="U91" s="1691"/>
      <c r="V91" s="1691"/>
      <c r="W91" s="1691"/>
      <c r="X91" s="1691"/>
      <c r="Y91" s="1691"/>
      <c r="Z91" s="1691"/>
      <c r="AA91" s="1686"/>
      <c r="AB91" s="1686"/>
      <c r="AC91" s="1686"/>
      <c r="AD91" s="1686"/>
      <c r="AE91" s="1686"/>
      <c r="AF91" s="1686"/>
      <c r="AG91" s="1686"/>
      <c r="AH91" s="1686"/>
      <c r="AI91" s="1686"/>
      <c r="AJ91" s="1686"/>
      <c r="AK91" s="1686"/>
      <c r="AL91" s="1686"/>
      <c r="AM91" s="1686"/>
      <c r="AN91" s="1686"/>
      <c r="AO91" s="1686"/>
      <c r="AP91" s="1686"/>
      <c r="AQ91" s="1686"/>
      <c r="AR91" s="1686"/>
      <c r="AS91" s="1686"/>
      <c r="AT91" s="1686"/>
      <c r="AU91" s="1686"/>
    </row>
    <row r="92">
      <c r="A92" s="1419"/>
      <c r="B92" s="1687"/>
      <c r="C92" s="1688"/>
      <c r="D92" s="1688"/>
      <c r="E92" s="1688"/>
      <c r="F92" s="1689"/>
      <c r="G92" s="1689"/>
      <c r="H92" s="1689"/>
      <c r="I92" s="1689"/>
      <c r="J92" s="1689"/>
      <c r="K92" s="1689"/>
      <c r="L92" s="1689"/>
      <c r="M92" s="1689"/>
      <c r="N92" s="1689"/>
      <c r="O92" s="1689"/>
      <c r="P92" s="1689"/>
      <c r="Q92" s="1689"/>
      <c r="R92" s="1689"/>
      <c r="S92" s="1689"/>
      <c r="T92" s="1689"/>
      <c r="U92" s="1689"/>
      <c r="V92" s="1689"/>
      <c r="W92" s="1689"/>
      <c r="X92" s="1689"/>
      <c r="Y92" s="1689"/>
      <c r="Z92" s="1689"/>
      <c r="AA92" s="1690"/>
      <c r="AB92" s="1690"/>
      <c r="AC92" s="1690"/>
      <c r="AD92" s="1690"/>
      <c r="AE92" s="1690"/>
      <c r="AF92" s="1690"/>
      <c r="AG92" s="1690"/>
      <c r="AH92" s="1690"/>
      <c r="AI92" s="1690"/>
      <c r="AJ92" s="1690"/>
      <c r="AK92" s="1690"/>
      <c r="AL92" s="1690"/>
      <c r="AM92" s="1690"/>
      <c r="AN92" s="1690"/>
      <c r="AO92" s="1690"/>
      <c r="AP92" s="1690"/>
      <c r="AQ92" s="1690"/>
      <c r="AR92" s="1690"/>
      <c r="AS92" s="1690"/>
      <c r="AT92" s="1690"/>
      <c r="AU92" s="1690"/>
    </row>
    <row r="93">
      <c r="A93" s="1419"/>
      <c r="B93" s="1684"/>
      <c r="C93" s="1685"/>
      <c r="D93" s="1685"/>
      <c r="E93" s="1685"/>
      <c r="F93" s="1691"/>
      <c r="G93" s="1691"/>
      <c r="H93" s="1691"/>
      <c r="I93" s="1691"/>
      <c r="J93" s="1691"/>
      <c r="K93" s="1691"/>
      <c r="L93" s="1691"/>
      <c r="M93" s="1691"/>
      <c r="N93" s="1691"/>
      <c r="O93" s="1691"/>
      <c r="P93" s="1691"/>
      <c r="Q93" s="1691"/>
      <c r="R93" s="1691"/>
      <c r="S93" s="1691"/>
      <c r="T93" s="1691"/>
      <c r="U93" s="1691"/>
      <c r="V93" s="1691"/>
      <c r="W93" s="1691"/>
      <c r="X93" s="1691"/>
      <c r="Y93" s="1691"/>
      <c r="Z93" s="1691"/>
      <c r="AA93" s="1686"/>
      <c r="AB93" s="1686"/>
      <c r="AC93" s="1686"/>
      <c r="AD93" s="1686"/>
      <c r="AE93" s="1686"/>
      <c r="AF93" s="1686"/>
      <c r="AG93" s="1686"/>
      <c r="AH93" s="1686"/>
      <c r="AI93" s="1686"/>
      <c r="AJ93" s="1686"/>
      <c r="AK93" s="1686"/>
      <c r="AL93" s="1686"/>
      <c r="AM93" s="1686"/>
      <c r="AN93" s="1686"/>
      <c r="AO93" s="1686"/>
      <c r="AP93" s="1686"/>
      <c r="AQ93" s="1686"/>
      <c r="AR93" s="1686"/>
      <c r="AS93" s="1686"/>
      <c r="AT93" s="1686"/>
      <c r="AU93" s="1686"/>
    </row>
    <row r="94">
      <c r="A94" s="1419"/>
      <c r="B94" s="1687"/>
      <c r="C94" s="1688"/>
      <c r="D94" s="1688"/>
      <c r="E94" s="1688"/>
      <c r="F94" s="1689"/>
      <c r="G94" s="1689"/>
      <c r="H94" s="1689"/>
      <c r="I94" s="1689"/>
      <c r="J94" s="1689"/>
      <c r="K94" s="1689"/>
      <c r="L94" s="1689"/>
      <c r="M94" s="1689"/>
      <c r="N94" s="1689"/>
      <c r="O94" s="1689"/>
      <c r="P94" s="1689"/>
      <c r="Q94" s="1689"/>
      <c r="R94" s="1689"/>
      <c r="S94" s="1689"/>
      <c r="T94" s="1689"/>
      <c r="U94" s="1689"/>
      <c r="V94" s="1689"/>
      <c r="W94" s="1689"/>
      <c r="X94" s="1689"/>
      <c r="Y94" s="1689"/>
      <c r="Z94" s="1689"/>
      <c r="AA94" s="1690"/>
      <c r="AB94" s="1690"/>
      <c r="AC94" s="1690"/>
      <c r="AD94" s="1690"/>
      <c r="AE94" s="1690"/>
      <c r="AF94" s="1690"/>
      <c r="AG94" s="1690"/>
      <c r="AH94" s="1690"/>
      <c r="AI94" s="1690"/>
      <c r="AJ94" s="1690"/>
      <c r="AK94" s="1690"/>
      <c r="AL94" s="1690"/>
      <c r="AM94" s="1690"/>
      <c r="AN94" s="1690"/>
      <c r="AO94" s="1690"/>
      <c r="AP94" s="1690"/>
      <c r="AQ94" s="1690"/>
      <c r="AR94" s="1690"/>
      <c r="AS94" s="1690"/>
      <c r="AT94" s="1690"/>
      <c r="AU94" s="1690"/>
    </row>
    <row r="95">
      <c r="A95" s="1419"/>
      <c r="B95" s="1684"/>
      <c r="C95" s="1685"/>
      <c r="D95" s="1685"/>
      <c r="E95" s="1685"/>
      <c r="F95" s="1691"/>
      <c r="G95" s="1691"/>
      <c r="H95" s="1691"/>
      <c r="I95" s="1691"/>
      <c r="J95" s="1691"/>
      <c r="K95" s="1691"/>
      <c r="L95" s="1691"/>
      <c r="M95" s="1691"/>
      <c r="N95" s="1691"/>
      <c r="O95" s="1691"/>
      <c r="P95" s="1691"/>
      <c r="Q95" s="1691"/>
      <c r="R95" s="1691"/>
      <c r="S95" s="1691"/>
      <c r="T95" s="1691"/>
      <c r="U95" s="1691"/>
      <c r="V95" s="1691"/>
      <c r="W95" s="1691"/>
      <c r="X95" s="1691"/>
      <c r="Y95" s="1691"/>
      <c r="Z95" s="1691"/>
      <c r="AA95" s="1686"/>
      <c r="AB95" s="1686"/>
      <c r="AC95" s="1686"/>
      <c r="AD95" s="1686"/>
      <c r="AE95" s="1686"/>
      <c r="AF95" s="1686"/>
      <c r="AG95" s="1686"/>
      <c r="AH95" s="1686"/>
      <c r="AI95" s="1686"/>
      <c r="AJ95" s="1686"/>
      <c r="AK95" s="1686"/>
      <c r="AL95" s="1686"/>
      <c r="AM95" s="1686"/>
      <c r="AN95" s="1686"/>
      <c r="AO95" s="1686"/>
      <c r="AP95" s="1686"/>
      <c r="AQ95" s="1686"/>
      <c r="AR95" s="1686"/>
      <c r="AS95" s="1686"/>
      <c r="AT95" s="1686"/>
      <c r="AU95" s="1686"/>
    </row>
    <row r="96">
      <c r="A96" s="1419"/>
      <c r="B96" s="1687"/>
      <c r="C96" s="1688"/>
      <c r="D96" s="1688"/>
      <c r="E96" s="1688"/>
      <c r="F96" s="1689"/>
      <c r="G96" s="1689"/>
      <c r="H96" s="1689"/>
      <c r="I96" s="1689"/>
      <c r="J96" s="1689"/>
      <c r="K96" s="1689"/>
      <c r="L96" s="1689"/>
      <c r="M96" s="1689"/>
      <c r="N96" s="1689"/>
      <c r="O96" s="1689"/>
      <c r="P96" s="1689"/>
      <c r="Q96" s="1689"/>
      <c r="R96" s="1689"/>
      <c r="S96" s="1689"/>
      <c r="T96" s="1689"/>
      <c r="U96" s="1689"/>
      <c r="V96" s="1689"/>
      <c r="W96" s="1689"/>
      <c r="X96" s="1689"/>
      <c r="Y96" s="1689"/>
      <c r="Z96" s="1689"/>
      <c r="AA96" s="1690"/>
      <c r="AB96" s="1690"/>
      <c r="AC96" s="1690"/>
      <c r="AD96" s="1690"/>
      <c r="AE96" s="1690"/>
      <c r="AF96" s="1690"/>
      <c r="AG96" s="1690"/>
      <c r="AH96" s="1690"/>
      <c r="AI96" s="1690"/>
      <c r="AJ96" s="1690"/>
      <c r="AK96" s="1690"/>
      <c r="AL96" s="1690"/>
      <c r="AM96" s="1690"/>
      <c r="AN96" s="1690"/>
      <c r="AO96" s="1690"/>
      <c r="AP96" s="1690"/>
      <c r="AQ96" s="1690"/>
      <c r="AR96" s="1690"/>
      <c r="AS96" s="1690"/>
      <c r="AT96" s="1690"/>
      <c r="AU96" s="1690"/>
    </row>
    <row r="97">
      <c r="A97" s="1419"/>
      <c r="B97" s="1684"/>
      <c r="C97" s="1685"/>
      <c r="D97" s="1685"/>
      <c r="E97" s="1685"/>
      <c r="F97" s="1691"/>
      <c r="G97" s="1691"/>
      <c r="H97" s="1691"/>
      <c r="I97" s="1691"/>
      <c r="J97" s="1691"/>
      <c r="K97" s="1691"/>
      <c r="L97" s="1691"/>
      <c r="M97" s="1691"/>
      <c r="N97" s="1691"/>
      <c r="O97" s="1691"/>
      <c r="P97" s="1691"/>
      <c r="Q97" s="1691"/>
      <c r="R97" s="1691"/>
      <c r="S97" s="1691"/>
      <c r="T97" s="1691"/>
      <c r="U97" s="1691"/>
      <c r="V97" s="1691"/>
      <c r="W97" s="1691"/>
      <c r="X97" s="1691"/>
      <c r="Y97" s="1691"/>
      <c r="Z97" s="1691"/>
      <c r="AA97" s="1686"/>
      <c r="AB97" s="1686"/>
      <c r="AC97" s="1686"/>
      <c r="AD97" s="1686"/>
      <c r="AE97" s="1686"/>
      <c r="AF97" s="1686"/>
      <c r="AG97" s="1686"/>
      <c r="AH97" s="1686"/>
      <c r="AI97" s="1686"/>
      <c r="AJ97" s="1686"/>
      <c r="AK97" s="1686"/>
      <c r="AL97" s="1686"/>
      <c r="AM97" s="1686"/>
      <c r="AN97" s="1686"/>
      <c r="AO97" s="1686"/>
      <c r="AP97" s="1686"/>
      <c r="AQ97" s="1686"/>
      <c r="AR97" s="1686"/>
      <c r="AS97" s="1686"/>
      <c r="AT97" s="1686"/>
      <c r="AU97" s="1686"/>
    </row>
    <row r="98">
      <c r="A98" s="1419"/>
      <c r="B98" s="1687"/>
      <c r="C98" s="1688"/>
      <c r="D98" s="1688"/>
      <c r="E98" s="1688"/>
      <c r="F98" s="1689"/>
      <c r="G98" s="1689"/>
      <c r="H98" s="1689"/>
      <c r="I98" s="1689"/>
      <c r="J98" s="1689"/>
      <c r="K98" s="1689"/>
      <c r="L98" s="1689"/>
      <c r="M98" s="1689"/>
      <c r="N98" s="1689"/>
      <c r="O98" s="1689"/>
      <c r="P98" s="1689"/>
      <c r="Q98" s="1689"/>
      <c r="R98" s="1689"/>
      <c r="S98" s="1689"/>
      <c r="T98" s="1689"/>
      <c r="U98" s="1689"/>
      <c r="V98" s="1689"/>
      <c r="W98" s="1689"/>
      <c r="X98" s="1689"/>
      <c r="Y98" s="1689"/>
      <c r="Z98" s="1689"/>
      <c r="AA98" s="1690"/>
      <c r="AB98" s="1690"/>
      <c r="AC98" s="1690"/>
      <c r="AD98" s="1690"/>
      <c r="AE98" s="1690"/>
      <c r="AF98" s="1690"/>
      <c r="AG98" s="1690"/>
      <c r="AH98" s="1690"/>
      <c r="AI98" s="1690"/>
      <c r="AJ98" s="1690"/>
      <c r="AK98" s="1690"/>
      <c r="AL98" s="1690"/>
      <c r="AM98" s="1690"/>
      <c r="AN98" s="1690"/>
      <c r="AO98" s="1690"/>
      <c r="AP98" s="1690"/>
      <c r="AQ98" s="1690"/>
      <c r="AR98" s="1690"/>
      <c r="AS98" s="1690"/>
      <c r="AT98" s="1690"/>
      <c r="AU98" s="1690"/>
    </row>
    <row r="99">
      <c r="A99" s="1419"/>
      <c r="B99" s="1684"/>
      <c r="C99" s="1685"/>
      <c r="D99" s="1685"/>
      <c r="E99" s="1685"/>
      <c r="F99" s="1686"/>
      <c r="G99" s="1686"/>
      <c r="H99" s="1686"/>
      <c r="I99" s="1686"/>
      <c r="J99" s="1686"/>
      <c r="K99" s="1686"/>
      <c r="L99" s="1686"/>
      <c r="M99" s="1686"/>
      <c r="N99" s="1686"/>
      <c r="O99" s="1686"/>
      <c r="P99" s="1686"/>
      <c r="Q99" s="1686"/>
      <c r="R99" s="1686"/>
      <c r="S99" s="1686"/>
      <c r="T99" s="1686"/>
      <c r="U99" s="1686"/>
      <c r="V99" s="1686"/>
      <c r="W99" s="1686"/>
      <c r="X99" s="1686"/>
      <c r="Y99" s="1686"/>
      <c r="Z99" s="1686"/>
      <c r="AA99" s="1686"/>
      <c r="AB99" s="1686"/>
      <c r="AC99" s="1686"/>
      <c r="AD99" s="1686"/>
      <c r="AE99" s="1686"/>
      <c r="AF99" s="1686"/>
      <c r="AG99" s="1686"/>
      <c r="AH99" s="1686"/>
      <c r="AI99" s="1686"/>
      <c r="AJ99" s="1686"/>
      <c r="AK99" s="1686"/>
      <c r="AL99" s="1686"/>
      <c r="AM99" s="1686"/>
      <c r="AN99" s="1686"/>
      <c r="AO99" s="1686"/>
      <c r="AP99" s="1686"/>
      <c r="AQ99" s="1686"/>
      <c r="AR99" s="1686"/>
      <c r="AS99" s="1686"/>
      <c r="AT99" s="1686"/>
      <c r="AU99" s="1686"/>
    </row>
    <row r="100">
      <c r="A100" s="1440" t="s">
        <v>2461</v>
      </c>
      <c r="B100" s="1687"/>
      <c r="C100" s="1688"/>
      <c r="D100" s="1688"/>
      <c r="E100" s="1688"/>
      <c r="F100" s="1689"/>
      <c r="G100" s="1689"/>
      <c r="H100" s="1689"/>
      <c r="I100" s="1689"/>
      <c r="J100" s="1689"/>
      <c r="K100" s="1689"/>
      <c r="L100" s="1689"/>
      <c r="M100" s="1689"/>
      <c r="N100" s="1689"/>
      <c r="O100" s="1689"/>
      <c r="P100" s="1689"/>
      <c r="Q100" s="1689"/>
      <c r="R100" s="1689"/>
      <c r="S100" s="1689"/>
      <c r="T100" s="1689"/>
      <c r="U100" s="1689"/>
      <c r="V100" s="1689"/>
      <c r="W100" s="1689"/>
      <c r="X100" s="1689"/>
      <c r="Y100" s="1689"/>
      <c r="Z100" s="1689"/>
      <c r="AA100" s="1690"/>
      <c r="AB100" s="1690"/>
      <c r="AC100" s="1690"/>
      <c r="AD100" s="1690"/>
      <c r="AE100" s="1690"/>
      <c r="AF100" s="1690"/>
      <c r="AG100" s="1690"/>
      <c r="AH100" s="1690"/>
      <c r="AI100" s="1690"/>
      <c r="AJ100" s="1690"/>
      <c r="AK100" s="1690"/>
      <c r="AL100" s="1690"/>
      <c r="AM100" s="1690"/>
      <c r="AN100" s="1690"/>
      <c r="AO100" s="1690"/>
      <c r="AP100" s="1690"/>
      <c r="AQ100" s="1690"/>
      <c r="AR100" s="1690"/>
      <c r="AS100" s="1690"/>
      <c r="AT100" s="1690"/>
      <c r="AU100" s="1690"/>
    </row>
    <row r="101">
      <c r="A101" s="1419"/>
      <c r="B101" s="1684"/>
      <c r="C101" s="1685"/>
      <c r="D101" s="1685"/>
      <c r="E101" s="1685"/>
      <c r="F101" s="1686"/>
      <c r="G101" s="1686"/>
      <c r="H101" s="1686"/>
      <c r="I101" s="1686"/>
      <c r="J101" s="1686"/>
      <c r="K101" s="1686"/>
      <c r="L101" s="1686"/>
      <c r="M101" s="1686"/>
      <c r="N101" s="1686"/>
      <c r="O101" s="1686"/>
      <c r="P101" s="1686"/>
      <c r="Q101" s="1686"/>
      <c r="R101" s="1686"/>
      <c r="S101" s="1686"/>
      <c r="T101" s="1686"/>
      <c r="U101" s="1686"/>
      <c r="V101" s="1686"/>
      <c r="W101" s="1686"/>
      <c r="X101" s="1686"/>
      <c r="Y101" s="1686"/>
      <c r="Z101" s="1686"/>
      <c r="AA101" s="1686"/>
      <c r="AB101" s="1686"/>
      <c r="AC101" s="1686"/>
      <c r="AD101" s="1686"/>
      <c r="AE101" s="1686"/>
      <c r="AF101" s="1686"/>
      <c r="AG101" s="1686"/>
      <c r="AH101" s="1686"/>
      <c r="AI101" s="1686"/>
      <c r="AJ101" s="1686"/>
      <c r="AK101" s="1686"/>
      <c r="AL101" s="1686"/>
      <c r="AM101" s="1686"/>
      <c r="AN101" s="1686"/>
      <c r="AO101" s="1686"/>
      <c r="AP101" s="1686"/>
      <c r="AQ101" s="1686"/>
      <c r="AR101" s="1686"/>
      <c r="AS101" s="1686"/>
      <c r="AT101" s="1686"/>
      <c r="AU101" s="1686"/>
    </row>
    <row r="102">
      <c r="A102" s="1419"/>
      <c r="B102" s="1687"/>
      <c r="C102" s="1688"/>
      <c r="D102" s="1688"/>
      <c r="E102" s="1688"/>
      <c r="F102" s="1690"/>
      <c r="G102" s="1690"/>
      <c r="H102" s="1690"/>
      <c r="I102" s="1690"/>
      <c r="J102" s="1690"/>
      <c r="K102" s="1690"/>
      <c r="L102" s="1690"/>
      <c r="M102" s="1690"/>
      <c r="N102" s="1690"/>
      <c r="O102" s="1690"/>
      <c r="P102" s="1690"/>
      <c r="Q102" s="1690"/>
      <c r="R102" s="1690"/>
      <c r="S102" s="1690"/>
      <c r="T102" s="1690"/>
      <c r="U102" s="1690"/>
      <c r="V102" s="1690"/>
      <c r="W102" s="1690"/>
      <c r="X102" s="1690"/>
      <c r="Y102" s="1690"/>
      <c r="Z102" s="1690"/>
      <c r="AA102" s="1690"/>
      <c r="AB102" s="1690"/>
      <c r="AC102" s="1690"/>
      <c r="AD102" s="1690"/>
      <c r="AE102" s="1690"/>
      <c r="AF102" s="1690"/>
      <c r="AG102" s="1690"/>
      <c r="AH102" s="1690"/>
      <c r="AI102" s="1690"/>
      <c r="AJ102" s="1690"/>
      <c r="AK102" s="1690"/>
      <c r="AL102" s="1690"/>
      <c r="AM102" s="1690"/>
      <c r="AN102" s="1690"/>
      <c r="AO102" s="1690"/>
      <c r="AP102" s="1690"/>
      <c r="AQ102" s="1690"/>
      <c r="AR102" s="1690"/>
      <c r="AS102" s="1690"/>
      <c r="AT102" s="1690"/>
      <c r="AU102" s="1690"/>
    </row>
    <row r="103">
      <c r="A103" s="1419"/>
      <c r="B103" s="1684"/>
      <c r="C103" s="1685"/>
      <c r="D103" s="1685"/>
      <c r="E103" s="1685"/>
      <c r="F103" s="1686"/>
      <c r="G103" s="1686"/>
      <c r="H103" s="1686"/>
      <c r="I103" s="1686"/>
      <c r="J103" s="1686"/>
      <c r="K103" s="1686"/>
      <c r="L103" s="1686"/>
      <c r="M103" s="1686"/>
      <c r="N103" s="1686"/>
      <c r="O103" s="1686"/>
      <c r="P103" s="1686"/>
      <c r="Q103" s="1686"/>
      <c r="R103" s="1686"/>
      <c r="S103" s="1686"/>
      <c r="T103" s="1686"/>
      <c r="U103" s="1686"/>
      <c r="V103" s="1686"/>
      <c r="W103" s="1686"/>
      <c r="X103" s="1686"/>
      <c r="Y103" s="1686"/>
      <c r="Z103" s="1686"/>
      <c r="AA103" s="1686"/>
      <c r="AB103" s="1686"/>
      <c r="AC103" s="1686"/>
      <c r="AD103" s="1686"/>
      <c r="AE103" s="1686"/>
      <c r="AF103" s="1686"/>
      <c r="AG103" s="1686"/>
      <c r="AH103" s="1686"/>
      <c r="AI103" s="1686"/>
      <c r="AJ103" s="1686"/>
      <c r="AK103" s="1686"/>
      <c r="AL103" s="1686"/>
      <c r="AM103" s="1686"/>
      <c r="AN103" s="1686"/>
      <c r="AO103" s="1686"/>
      <c r="AP103" s="1686"/>
      <c r="AQ103" s="1686"/>
      <c r="AR103" s="1686"/>
      <c r="AS103" s="1686"/>
      <c r="AT103" s="1686"/>
      <c r="AU103" s="1686"/>
    </row>
    <row r="104">
      <c r="A104" s="1419"/>
      <c r="B104" s="1687"/>
      <c r="C104" s="1688"/>
      <c r="D104" s="1688"/>
      <c r="E104" s="1688"/>
      <c r="F104" s="1689"/>
      <c r="G104" s="1689"/>
      <c r="H104" s="1689"/>
      <c r="I104" s="1689"/>
      <c r="J104" s="1689"/>
      <c r="K104" s="1689"/>
      <c r="L104" s="1689"/>
      <c r="M104" s="1689"/>
      <c r="N104" s="1689"/>
      <c r="O104" s="1689"/>
      <c r="P104" s="1689"/>
      <c r="Q104" s="1689"/>
      <c r="R104" s="1689"/>
      <c r="S104" s="1689"/>
      <c r="T104" s="1689"/>
      <c r="U104" s="1689"/>
      <c r="V104" s="1689"/>
      <c r="W104" s="1689"/>
      <c r="X104" s="1689"/>
      <c r="Y104" s="1689"/>
      <c r="Z104" s="1689"/>
      <c r="AA104" s="1690"/>
      <c r="AB104" s="1690"/>
      <c r="AC104" s="1690"/>
      <c r="AD104" s="1690"/>
      <c r="AE104" s="1690"/>
      <c r="AF104" s="1690"/>
      <c r="AG104" s="1690"/>
      <c r="AH104" s="1690"/>
      <c r="AI104" s="1690"/>
      <c r="AJ104" s="1690"/>
      <c r="AK104" s="1690"/>
      <c r="AL104" s="1690"/>
      <c r="AM104" s="1690"/>
      <c r="AN104" s="1690"/>
      <c r="AO104" s="1690"/>
      <c r="AP104" s="1690"/>
      <c r="AQ104" s="1690"/>
      <c r="AR104" s="1690"/>
      <c r="AS104" s="1690"/>
      <c r="AT104" s="1690"/>
      <c r="AU104" s="1690"/>
    </row>
    <row r="105">
      <c r="A105" s="1419"/>
      <c r="B105" s="1684"/>
      <c r="C105" s="1685"/>
      <c r="D105" s="1685"/>
      <c r="E105" s="1685"/>
      <c r="F105" s="1686"/>
      <c r="G105" s="1686"/>
      <c r="H105" s="1686"/>
      <c r="I105" s="1686"/>
      <c r="J105" s="1686"/>
      <c r="K105" s="1686"/>
      <c r="L105" s="1686"/>
      <c r="M105" s="1686"/>
      <c r="N105" s="1686"/>
      <c r="O105" s="1686"/>
      <c r="P105" s="1686"/>
      <c r="Q105" s="1686"/>
      <c r="R105" s="1686"/>
      <c r="S105" s="1686"/>
      <c r="T105" s="1686"/>
      <c r="U105" s="1686"/>
      <c r="V105" s="1686"/>
      <c r="W105" s="1686"/>
      <c r="X105" s="1686"/>
      <c r="Y105" s="1686"/>
      <c r="Z105" s="1686"/>
      <c r="AA105" s="1686"/>
      <c r="AB105" s="1686"/>
      <c r="AC105" s="1686"/>
      <c r="AD105" s="1686"/>
      <c r="AE105" s="1686"/>
      <c r="AF105" s="1686"/>
      <c r="AG105" s="1686"/>
      <c r="AH105" s="1686"/>
      <c r="AI105" s="1686"/>
      <c r="AJ105" s="1686"/>
      <c r="AK105" s="1686"/>
      <c r="AL105" s="1686"/>
      <c r="AM105" s="1686"/>
      <c r="AN105" s="1686"/>
      <c r="AO105" s="1686"/>
      <c r="AP105" s="1686"/>
      <c r="AQ105" s="1686"/>
      <c r="AR105" s="1686"/>
      <c r="AS105" s="1686"/>
      <c r="AT105" s="1686"/>
      <c r="AU105" s="1686"/>
    </row>
    <row r="106">
      <c r="A106" s="1419"/>
      <c r="B106" s="1687"/>
      <c r="C106" s="1688"/>
      <c r="D106" s="1688"/>
      <c r="E106" s="1688"/>
      <c r="F106" s="1690"/>
      <c r="G106" s="1690"/>
      <c r="H106" s="1690"/>
      <c r="I106" s="1690"/>
      <c r="J106" s="1690"/>
      <c r="K106" s="1690"/>
      <c r="L106" s="1690"/>
      <c r="M106" s="1690"/>
      <c r="N106" s="1690"/>
      <c r="O106" s="1690"/>
      <c r="P106" s="1690"/>
      <c r="Q106" s="1690"/>
      <c r="R106" s="1690"/>
      <c r="S106" s="1690"/>
      <c r="T106" s="1690"/>
      <c r="U106" s="1690"/>
      <c r="V106" s="1690"/>
      <c r="W106" s="1690"/>
      <c r="X106" s="1690"/>
      <c r="Y106" s="1690"/>
      <c r="Z106" s="1690"/>
      <c r="AA106" s="1690"/>
      <c r="AB106" s="1690"/>
      <c r="AC106" s="1690"/>
      <c r="AD106" s="1690"/>
      <c r="AE106" s="1690"/>
      <c r="AF106" s="1690"/>
      <c r="AG106" s="1690"/>
      <c r="AH106" s="1690"/>
      <c r="AI106" s="1690"/>
      <c r="AJ106" s="1690"/>
      <c r="AK106" s="1690"/>
      <c r="AL106" s="1690"/>
      <c r="AM106" s="1690"/>
      <c r="AN106" s="1690"/>
      <c r="AO106" s="1690"/>
      <c r="AP106" s="1690"/>
      <c r="AQ106" s="1690"/>
      <c r="AR106" s="1690"/>
      <c r="AS106" s="1690"/>
      <c r="AT106" s="1690"/>
      <c r="AU106" s="1690"/>
    </row>
    <row r="107">
      <c r="A107" s="1419"/>
      <c r="B107" s="1687"/>
      <c r="C107" s="1688"/>
      <c r="D107" s="1688"/>
      <c r="E107" s="1688"/>
      <c r="F107" s="1690"/>
      <c r="G107" s="1690"/>
      <c r="H107" s="1690"/>
      <c r="I107" s="1690"/>
      <c r="J107" s="1690"/>
      <c r="K107" s="1690"/>
      <c r="L107" s="1690"/>
      <c r="M107" s="1690"/>
      <c r="N107" s="1690"/>
      <c r="O107" s="1690"/>
      <c r="P107" s="1690"/>
      <c r="Q107" s="1690"/>
      <c r="R107" s="1690"/>
      <c r="S107" s="1690"/>
      <c r="T107" s="1690"/>
      <c r="U107" s="1690"/>
      <c r="V107" s="1690"/>
      <c r="W107" s="1690"/>
      <c r="X107" s="1690"/>
      <c r="Y107" s="1690"/>
      <c r="Z107" s="1690"/>
      <c r="AA107" s="1690"/>
      <c r="AB107" s="1690"/>
      <c r="AC107" s="1690"/>
      <c r="AD107" s="1690"/>
      <c r="AE107" s="1690"/>
      <c r="AF107" s="1690"/>
      <c r="AG107" s="1690"/>
      <c r="AH107" s="1690"/>
      <c r="AI107" s="1690"/>
      <c r="AJ107" s="1690"/>
      <c r="AK107" s="1690"/>
      <c r="AL107" s="1690"/>
      <c r="AM107" s="1690"/>
      <c r="AN107" s="1690"/>
      <c r="AO107" s="1690"/>
      <c r="AP107" s="1690"/>
      <c r="AQ107" s="1690"/>
      <c r="AR107" s="1690"/>
      <c r="AS107" s="1690"/>
      <c r="AT107" s="1690"/>
      <c r="AU107" s="1690"/>
    </row>
    <row r="108">
      <c r="A108" s="1419"/>
      <c r="B108" s="1684"/>
      <c r="C108" s="1685"/>
      <c r="D108" s="1685"/>
      <c r="E108" s="1685"/>
      <c r="F108" s="1691"/>
      <c r="G108" s="1691"/>
      <c r="H108" s="1691"/>
      <c r="I108" s="1691"/>
      <c r="J108" s="1691"/>
      <c r="K108" s="1691"/>
      <c r="L108" s="1691"/>
      <c r="M108" s="1691"/>
      <c r="N108" s="1691"/>
      <c r="O108" s="1691"/>
      <c r="P108" s="1691"/>
      <c r="Q108" s="1691"/>
      <c r="R108" s="1691"/>
      <c r="S108" s="1691"/>
      <c r="T108" s="1691"/>
      <c r="U108" s="1691"/>
      <c r="V108" s="1691"/>
      <c r="W108" s="1691"/>
      <c r="X108" s="1691"/>
      <c r="Y108" s="1691"/>
      <c r="Z108" s="1691"/>
      <c r="AA108" s="1686"/>
      <c r="AB108" s="1686"/>
      <c r="AC108" s="1686"/>
      <c r="AD108" s="1686"/>
      <c r="AE108" s="1686"/>
      <c r="AF108" s="1686"/>
      <c r="AG108" s="1686"/>
      <c r="AH108" s="1686"/>
      <c r="AI108" s="1686"/>
      <c r="AJ108" s="1686"/>
      <c r="AK108" s="1686"/>
      <c r="AL108" s="1686"/>
      <c r="AM108" s="1686"/>
      <c r="AN108" s="1686"/>
      <c r="AO108" s="1686"/>
      <c r="AP108" s="1686"/>
      <c r="AQ108" s="1686"/>
      <c r="AR108" s="1686"/>
      <c r="AS108" s="1686"/>
      <c r="AT108" s="1686"/>
      <c r="AU108" s="1686"/>
    </row>
    <row r="109">
      <c r="A109" s="1419"/>
      <c r="B109" s="1684"/>
      <c r="C109" s="1685"/>
      <c r="D109" s="1685"/>
      <c r="E109" s="1685"/>
      <c r="F109" s="1691"/>
      <c r="G109" s="1691"/>
      <c r="H109" s="1691"/>
      <c r="I109" s="1691"/>
      <c r="J109" s="1691"/>
      <c r="K109" s="1691"/>
      <c r="L109" s="1691"/>
      <c r="M109" s="1691"/>
      <c r="N109" s="1691"/>
      <c r="O109" s="1691"/>
      <c r="P109" s="1691"/>
      <c r="Q109" s="1691"/>
      <c r="R109" s="1691"/>
      <c r="S109" s="1691"/>
      <c r="T109" s="1691"/>
      <c r="U109" s="1691"/>
      <c r="V109" s="1691"/>
      <c r="W109" s="1691"/>
      <c r="X109" s="1691"/>
      <c r="Y109" s="1691"/>
      <c r="Z109" s="1691"/>
      <c r="AA109" s="1686"/>
      <c r="AB109" s="1686"/>
      <c r="AC109" s="1686"/>
      <c r="AD109" s="1686"/>
      <c r="AE109" s="1686"/>
      <c r="AF109" s="1686"/>
      <c r="AG109" s="1686"/>
      <c r="AH109" s="1686"/>
      <c r="AI109" s="1686"/>
      <c r="AJ109" s="1686"/>
      <c r="AK109" s="1686"/>
      <c r="AL109" s="1686"/>
      <c r="AM109" s="1686"/>
      <c r="AN109" s="1686"/>
      <c r="AO109" s="1686"/>
      <c r="AP109" s="1686"/>
      <c r="AQ109" s="1686"/>
      <c r="AR109" s="1686"/>
      <c r="AS109" s="1686"/>
      <c r="AT109" s="1686"/>
      <c r="AU109" s="1686"/>
    </row>
    <row r="110">
      <c r="A110" s="1419"/>
      <c r="B110" s="1687"/>
      <c r="C110" s="1688"/>
      <c r="D110" s="1688"/>
      <c r="E110" s="1688"/>
      <c r="F110" s="1689"/>
      <c r="G110" s="1689"/>
      <c r="H110" s="1689"/>
      <c r="I110" s="1689"/>
      <c r="J110" s="1689"/>
      <c r="K110" s="1689"/>
      <c r="L110" s="1689"/>
      <c r="M110" s="1689"/>
      <c r="N110" s="1689"/>
      <c r="O110" s="1689"/>
      <c r="P110" s="1689"/>
      <c r="Q110" s="1689"/>
      <c r="R110" s="1689"/>
      <c r="S110" s="1689"/>
      <c r="T110" s="1689"/>
      <c r="U110" s="1689"/>
      <c r="V110" s="1689"/>
      <c r="W110" s="1689"/>
      <c r="X110" s="1689"/>
      <c r="Y110" s="1689"/>
      <c r="Z110" s="1689"/>
      <c r="AA110" s="1690"/>
      <c r="AB110" s="1690"/>
      <c r="AC110" s="1690"/>
      <c r="AD110" s="1690"/>
      <c r="AE110" s="1690"/>
      <c r="AF110" s="1690"/>
      <c r="AG110" s="1690"/>
      <c r="AH110" s="1690"/>
      <c r="AI110" s="1690"/>
      <c r="AJ110" s="1690"/>
      <c r="AK110" s="1690"/>
      <c r="AL110" s="1690"/>
      <c r="AM110" s="1690"/>
      <c r="AN110" s="1690"/>
      <c r="AO110" s="1690"/>
      <c r="AP110" s="1690"/>
      <c r="AQ110" s="1690"/>
      <c r="AR110" s="1690"/>
      <c r="AS110" s="1690"/>
      <c r="AT110" s="1690"/>
      <c r="AU110" s="1690"/>
    </row>
    <row r="111">
      <c r="A111" s="1419"/>
      <c r="B111" s="1684"/>
      <c r="C111" s="1685"/>
      <c r="D111" s="1685"/>
      <c r="E111" s="1685"/>
      <c r="F111" s="1691"/>
      <c r="G111" s="1691"/>
      <c r="H111" s="1691"/>
      <c r="I111" s="1691"/>
      <c r="J111" s="1691"/>
      <c r="K111" s="1691"/>
      <c r="L111" s="1691"/>
      <c r="M111" s="1691"/>
      <c r="N111" s="1691"/>
      <c r="O111" s="1691"/>
      <c r="P111" s="1691"/>
      <c r="Q111" s="1691"/>
      <c r="R111" s="1691"/>
      <c r="S111" s="1691"/>
      <c r="T111" s="1691"/>
      <c r="U111" s="1691"/>
      <c r="V111" s="1691"/>
      <c r="W111" s="1691"/>
      <c r="X111" s="1691"/>
      <c r="Y111" s="1691"/>
      <c r="Z111" s="1691"/>
      <c r="AA111" s="1686"/>
      <c r="AB111" s="1686"/>
      <c r="AC111" s="1686"/>
      <c r="AD111" s="1686"/>
      <c r="AE111" s="1686"/>
      <c r="AF111" s="1686"/>
      <c r="AG111" s="1686"/>
      <c r="AH111" s="1686"/>
      <c r="AI111" s="1686"/>
      <c r="AJ111" s="1686"/>
      <c r="AK111" s="1686"/>
      <c r="AL111" s="1686"/>
      <c r="AM111" s="1686"/>
      <c r="AN111" s="1686"/>
      <c r="AO111" s="1686"/>
      <c r="AP111" s="1686"/>
      <c r="AQ111" s="1686"/>
      <c r="AR111" s="1686"/>
      <c r="AS111" s="1686"/>
      <c r="AT111" s="1686"/>
      <c r="AU111" s="1686"/>
    </row>
    <row r="112">
      <c r="A112" s="1419"/>
      <c r="B112" s="1687"/>
      <c r="C112" s="1688"/>
      <c r="D112" s="1688"/>
      <c r="E112" s="1688"/>
      <c r="F112" s="1689"/>
      <c r="G112" s="1689"/>
      <c r="H112" s="1689"/>
      <c r="I112" s="1689"/>
      <c r="J112" s="1689"/>
      <c r="K112" s="1689"/>
      <c r="L112" s="1689"/>
      <c r="M112" s="1689"/>
      <c r="N112" s="1689"/>
      <c r="O112" s="1689"/>
      <c r="P112" s="1689"/>
      <c r="Q112" s="1689"/>
      <c r="R112" s="1689"/>
      <c r="S112" s="1689"/>
      <c r="T112" s="1689"/>
      <c r="U112" s="1689"/>
      <c r="V112" s="1689"/>
      <c r="W112" s="1689"/>
      <c r="X112" s="1689"/>
      <c r="Y112" s="1689"/>
      <c r="Z112" s="1689"/>
      <c r="AA112" s="1690"/>
      <c r="AB112" s="1690"/>
      <c r="AC112" s="1690"/>
      <c r="AD112" s="1690"/>
      <c r="AE112" s="1690"/>
      <c r="AF112" s="1690"/>
      <c r="AG112" s="1690"/>
      <c r="AH112" s="1690"/>
      <c r="AI112" s="1690"/>
      <c r="AJ112" s="1690"/>
      <c r="AK112" s="1690"/>
      <c r="AL112" s="1690"/>
      <c r="AM112" s="1690"/>
      <c r="AN112" s="1690"/>
      <c r="AO112" s="1690"/>
      <c r="AP112" s="1690"/>
      <c r="AQ112" s="1690"/>
      <c r="AR112" s="1690"/>
      <c r="AS112" s="1690"/>
      <c r="AT112" s="1690"/>
      <c r="AU112" s="1690"/>
    </row>
    <row r="113">
      <c r="A113" s="1419"/>
      <c r="B113" s="1684"/>
      <c r="C113" s="1685"/>
      <c r="D113" s="1685"/>
      <c r="E113" s="1685"/>
      <c r="F113" s="1686"/>
      <c r="G113" s="1686"/>
      <c r="H113" s="1686"/>
      <c r="I113" s="1686"/>
      <c r="J113" s="1686"/>
      <c r="K113" s="1686"/>
      <c r="L113" s="1686"/>
      <c r="M113" s="1686"/>
      <c r="N113" s="1686"/>
      <c r="O113" s="1686"/>
      <c r="P113" s="1686"/>
      <c r="Q113" s="1686"/>
      <c r="R113" s="1686"/>
      <c r="S113" s="1686"/>
      <c r="T113" s="1686"/>
      <c r="U113" s="1686"/>
      <c r="V113" s="1686"/>
      <c r="W113" s="1686"/>
      <c r="X113" s="1686"/>
      <c r="Y113" s="1686"/>
      <c r="Z113" s="1686"/>
      <c r="AA113" s="1686"/>
      <c r="AB113" s="1686"/>
      <c r="AC113" s="1686"/>
      <c r="AD113" s="1686"/>
      <c r="AE113" s="1686"/>
      <c r="AF113" s="1686"/>
      <c r="AG113" s="1686"/>
      <c r="AH113" s="1686"/>
      <c r="AI113" s="1686"/>
      <c r="AJ113" s="1686"/>
      <c r="AK113" s="1686"/>
      <c r="AL113" s="1686"/>
      <c r="AM113" s="1686"/>
      <c r="AN113" s="1686"/>
      <c r="AO113" s="1686"/>
      <c r="AP113" s="1686"/>
      <c r="AQ113" s="1686"/>
      <c r="AR113" s="1686"/>
      <c r="AS113" s="1686"/>
      <c r="AT113" s="1686"/>
      <c r="AU113" s="1686"/>
    </row>
    <row r="114">
      <c r="A114" s="1419"/>
      <c r="B114" s="1687"/>
      <c r="C114" s="1688"/>
      <c r="D114" s="1688"/>
      <c r="E114" s="1688"/>
      <c r="F114" s="1690"/>
      <c r="G114" s="1690"/>
      <c r="H114" s="1690"/>
      <c r="I114" s="1690"/>
      <c r="J114" s="1690"/>
      <c r="K114" s="1690"/>
      <c r="L114" s="1690"/>
      <c r="M114" s="1690"/>
      <c r="N114" s="1690"/>
      <c r="O114" s="1690"/>
      <c r="P114" s="1690"/>
      <c r="Q114" s="1690"/>
      <c r="R114" s="1690"/>
      <c r="S114" s="1690"/>
      <c r="T114" s="1690"/>
      <c r="U114" s="1690"/>
      <c r="V114" s="1690"/>
      <c r="W114" s="1690"/>
      <c r="X114" s="1690"/>
      <c r="Y114" s="1690"/>
      <c r="Z114" s="1690"/>
      <c r="AA114" s="1690"/>
      <c r="AB114" s="1690"/>
      <c r="AC114" s="1690"/>
      <c r="AD114" s="1690"/>
      <c r="AE114" s="1690"/>
      <c r="AF114" s="1690"/>
      <c r="AG114" s="1690"/>
      <c r="AH114" s="1690"/>
      <c r="AI114" s="1690"/>
      <c r="AJ114" s="1690"/>
      <c r="AK114" s="1690"/>
      <c r="AL114" s="1690"/>
      <c r="AM114" s="1690"/>
      <c r="AN114" s="1690"/>
      <c r="AO114" s="1690"/>
      <c r="AP114" s="1690"/>
      <c r="AQ114" s="1690"/>
      <c r="AR114" s="1690"/>
      <c r="AS114" s="1690"/>
      <c r="AT114" s="1690"/>
      <c r="AU114" s="1690"/>
    </row>
    <row r="115">
      <c r="A115" s="1419"/>
      <c r="B115" s="1684"/>
      <c r="C115" s="1685"/>
      <c r="D115" s="1685"/>
      <c r="E115" s="1685"/>
      <c r="F115" s="1691"/>
      <c r="G115" s="1691"/>
      <c r="H115" s="1691"/>
      <c r="I115" s="1691"/>
      <c r="J115" s="1691"/>
      <c r="K115" s="1691"/>
      <c r="L115" s="1691"/>
      <c r="M115" s="1691"/>
      <c r="N115" s="1691"/>
      <c r="O115" s="1691"/>
      <c r="P115" s="1691"/>
      <c r="Q115" s="1691"/>
      <c r="R115" s="1691"/>
      <c r="S115" s="1691"/>
      <c r="T115" s="1691"/>
      <c r="U115" s="1691"/>
      <c r="V115" s="1691"/>
      <c r="W115" s="1691"/>
      <c r="X115" s="1691"/>
      <c r="Y115" s="1691"/>
      <c r="Z115" s="1691"/>
      <c r="AA115" s="1686"/>
      <c r="AB115" s="1686"/>
      <c r="AC115" s="1686"/>
      <c r="AD115" s="1686"/>
      <c r="AE115" s="1686"/>
      <c r="AF115" s="1686"/>
      <c r="AG115" s="1686"/>
      <c r="AH115" s="1686"/>
      <c r="AI115" s="1686"/>
      <c r="AJ115" s="1686"/>
      <c r="AK115" s="1686"/>
      <c r="AL115" s="1686"/>
      <c r="AM115" s="1686"/>
      <c r="AN115" s="1686"/>
      <c r="AO115" s="1686"/>
      <c r="AP115" s="1686"/>
      <c r="AQ115" s="1686"/>
      <c r="AR115" s="1686"/>
      <c r="AS115" s="1686"/>
      <c r="AT115" s="1686"/>
      <c r="AU115" s="1686"/>
    </row>
    <row r="116">
      <c r="A116" s="1419"/>
      <c r="B116" s="1687"/>
      <c r="C116" s="1688"/>
      <c r="D116" s="1688"/>
      <c r="E116" s="1688"/>
      <c r="F116" s="1689"/>
      <c r="G116" s="1689"/>
      <c r="H116" s="1689"/>
      <c r="I116" s="1689"/>
      <c r="J116" s="1689"/>
      <c r="K116" s="1689"/>
      <c r="L116" s="1689"/>
      <c r="M116" s="1689"/>
      <c r="N116" s="1689"/>
      <c r="O116" s="1689"/>
      <c r="P116" s="1689"/>
      <c r="Q116" s="1689"/>
      <c r="R116" s="1689"/>
      <c r="S116" s="1689"/>
      <c r="T116" s="1689"/>
      <c r="U116" s="1689"/>
      <c r="V116" s="1689"/>
      <c r="W116" s="1689"/>
      <c r="X116" s="1689"/>
      <c r="Y116" s="1689"/>
      <c r="Z116" s="1689"/>
      <c r="AA116" s="1690"/>
      <c r="AB116" s="1690"/>
      <c r="AC116" s="1690"/>
      <c r="AD116" s="1690"/>
      <c r="AE116" s="1690"/>
      <c r="AF116" s="1690"/>
      <c r="AG116" s="1690"/>
      <c r="AH116" s="1690"/>
      <c r="AI116" s="1690"/>
      <c r="AJ116" s="1690"/>
      <c r="AK116" s="1690"/>
      <c r="AL116" s="1690"/>
      <c r="AM116" s="1690"/>
      <c r="AN116" s="1690"/>
      <c r="AO116" s="1690"/>
      <c r="AP116" s="1690"/>
      <c r="AQ116" s="1690"/>
      <c r="AR116" s="1690"/>
      <c r="AS116" s="1690"/>
      <c r="AT116" s="1690"/>
      <c r="AU116" s="1690"/>
    </row>
    <row r="117">
      <c r="A117" s="1419"/>
      <c r="B117" s="1684"/>
      <c r="C117" s="1685"/>
      <c r="D117" s="1685"/>
      <c r="E117" s="1685"/>
      <c r="F117" s="1686"/>
      <c r="G117" s="1686"/>
      <c r="H117" s="1686"/>
      <c r="I117" s="1686"/>
      <c r="J117" s="1686"/>
      <c r="K117" s="1686"/>
      <c r="L117" s="1686"/>
      <c r="M117" s="1686"/>
      <c r="N117" s="1686"/>
      <c r="O117" s="1686"/>
      <c r="P117" s="1686"/>
      <c r="Q117" s="1686"/>
      <c r="R117" s="1686"/>
      <c r="S117" s="1686"/>
      <c r="T117" s="1686"/>
      <c r="U117" s="1686"/>
      <c r="V117" s="1686"/>
      <c r="W117" s="1686"/>
      <c r="X117" s="1686"/>
      <c r="Y117" s="1686"/>
      <c r="Z117" s="1686"/>
      <c r="AA117" s="1686"/>
      <c r="AB117" s="1686"/>
      <c r="AC117" s="1686"/>
      <c r="AD117" s="1686"/>
      <c r="AE117" s="1686"/>
      <c r="AF117" s="1686"/>
      <c r="AG117" s="1686"/>
      <c r="AH117" s="1686"/>
      <c r="AI117" s="1686"/>
      <c r="AJ117" s="1686"/>
      <c r="AK117" s="1686"/>
      <c r="AL117" s="1686"/>
      <c r="AM117" s="1686"/>
      <c r="AN117" s="1686"/>
      <c r="AO117" s="1686"/>
      <c r="AP117" s="1686"/>
      <c r="AQ117" s="1686"/>
      <c r="AR117" s="1686"/>
      <c r="AS117" s="1686"/>
      <c r="AT117" s="1686"/>
      <c r="AU117" s="1686"/>
    </row>
    <row r="118">
      <c r="A118" s="1419"/>
      <c r="B118" s="1687"/>
      <c r="C118" s="1688"/>
      <c r="D118" s="1688"/>
      <c r="E118" s="1688"/>
      <c r="F118" s="1689"/>
      <c r="G118" s="1689"/>
      <c r="H118" s="1689"/>
      <c r="I118" s="1689"/>
      <c r="J118" s="1689"/>
      <c r="K118" s="1689"/>
      <c r="L118" s="1689"/>
      <c r="M118" s="1689"/>
      <c r="N118" s="1689"/>
      <c r="O118" s="1689"/>
      <c r="P118" s="1689"/>
      <c r="Q118" s="1689"/>
      <c r="R118" s="1689"/>
      <c r="S118" s="1689"/>
      <c r="T118" s="1689"/>
      <c r="U118" s="1689"/>
      <c r="V118" s="1689"/>
      <c r="W118" s="1689"/>
      <c r="X118" s="1689"/>
      <c r="Y118" s="1689"/>
      <c r="Z118" s="1689"/>
      <c r="AA118" s="1690"/>
      <c r="AB118" s="1690"/>
      <c r="AC118" s="1690"/>
      <c r="AD118" s="1690"/>
      <c r="AE118" s="1690"/>
      <c r="AF118" s="1690"/>
      <c r="AG118" s="1690"/>
      <c r="AH118" s="1690"/>
      <c r="AI118" s="1690"/>
      <c r="AJ118" s="1690"/>
      <c r="AK118" s="1690"/>
      <c r="AL118" s="1690"/>
      <c r="AM118" s="1690"/>
      <c r="AN118" s="1690"/>
      <c r="AO118" s="1690"/>
      <c r="AP118" s="1690"/>
      <c r="AQ118" s="1690"/>
      <c r="AR118" s="1690"/>
      <c r="AS118" s="1690"/>
      <c r="AT118" s="1690"/>
      <c r="AU118" s="1690"/>
    </row>
    <row r="119">
      <c r="A119" s="1419"/>
      <c r="B119" s="1684"/>
      <c r="C119" s="1685"/>
      <c r="D119" s="1685"/>
      <c r="E119" s="1685"/>
      <c r="F119" s="1691"/>
      <c r="G119" s="1691"/>
      <c r="H119" s="1691"/>
      <c r="I119" s="1691"/>
      <c r="J119" s="1691"/>
      <c r="K119" s="1691"/>
      <c r="L119" s="1691"/>
      <c r="M119" s="1691"/>
      <c r="N119" s="1691"/>
      <c r="O119" s="1691"/>
      <c r="P119" s="1691"/>
      <c r="Q119" s="1691"/>
      <c r="R119" s="1691"/>
      <c r="S119" s="1691"/>
      <c r="T119" s="1691"/>
      <c r="U119" s="1691"/>
      <c r="V119" s="1691"/>
      <c r="W119" s="1691"/>
      <c r="X119" s="1691"/>
      <c r="Y119" s="1691"/>
      <c r="Z119" s="1691"/>
      <c r="AA119" s="1686"/>
      <c r="AB119" s="1686"/>
      <c r="AC119" s="1686"/>
      <c r="AD119" s="1686"/>
      <c r="AE119" s="1686"/>
      <c r="AF119" s="1686"/>
      <c r="AG119" s="1686"/>
      <c r="AH119" s="1686"/>
      <c r="AI119" s="1686"/>
      <c r="AJ119" s="1686"/>
      <c r="AK119" s="1686"/>
      <c r="AL119" s="1686"/>
      <c r="AM119" s="1686"/>
      <c r="AN119" s="1686"/>
      <c r="AO119" s="1686"/>
      <c r="AP119" s="1686"/>
      <c r="AQ119" s="1686"/>
      <c r="AR119" s="1686"/>
      <c r="AS119" s="1686"/>
      <c r="AT119" s="1686"/>
      <c r="AU119" s="1686"/>
    </row>
    <row r="120">
      <c r="A120" s="1419"/>
      <c r="B120" s="1687"/>
      <c r="C120" s="1688"/>
      <c r="D120" s="1688"/>
      <c r="E120" s="1688"/>
      <c r="F120" s="1689"/>
      <c r="G120" s="1689"/>
      <c r="H120" s="1689"/>
      <c r="I120" s="1689"/>
      <c r="J120" s="1689"/>
      <c r="K120" s="1689"/>
      <c r="L120" s="1689"/>
      <c r="M120" s="1689"/>
      <c r="N120" s="1689"/>
      <c r="O120" s="1689"/>
      <c r="P120" s="1689"/>
      <c r="Q120" s="1689"/>
      <c r="R120" s="1689"/>
      <c r="S120" s="1689"/>
      <c r="T120" s="1689"/>
      <c r="U120" s="1689"/>
      <c r="V120" s="1689"/>
      <c r="W120" s="1689"/>
      <c r="X120" s="1689"/>
      <c r="Y120" s="1689"/>
      <c r="Z120" s="1689"/>
      <c r="AA120" s="1690"/>
      <c r="AB120" s="1690"/>
      <c r="AC120" s="1690"/>
      <c r="AD120" s="1690"/>
      <c r="AE120" s="1690"/>
      <c r="AF120" s="1690"/>
      <c r="AG120" s="1690"/>
      <c r="AH120" s="1690"/>
      <c r="AI120" s="1690"/>
      <c r="AJ120" s="1690"/>
      <c r="AK120" s="1690"/>
      <c r="AL120" s="1690"/>
      <c r="AM120" s="1690"/>
      <c r="AN120" s="1690"/>
      <c r="AO120" s="1690"/>
      <c r="AP120" s="1690"/>
      <c r="AQ120" s="1690"/>
      <c r="AR120" s="1690"/>
      <c r="AS120" s="1690"/>
      <c r="AT120" s="1690"/>
      <c r="AU120" s="1690"/>
    </row>
    <row r="121">
      <c r="A121" s="1419"/>
      <c r="B121" s="1684"/>
      <c r="C121" s="1685"/>
      <c r="D121" s="1685"/>
      <c r="E121" s="1685"/>
      <c r="F121" s="1691"/>
      <c r="G121" s="1691"/>
      <c r="H121" s="1691"/>
      <c r="I121" s="1691"/>
      <c r="J121" s="1691"/>
      <c r="K121" s="1691"/>
      <c r="L121" s="1691"/>
      <c r="M121" s="1691"/>
      <c r="N121" s="1691"/>
      <c r="O121" s="1691"/>
      <c r="P121" s="1691"/>
      <c r="Q121" s="1691"/>
      <c r="R121" s="1691"/>
      <c r="S121" s="1691"/>
      <c r="T121" s="1691"/>
      <c r="U121" s="1691"/>
      <c r="V121" s="1691"/>
      <c r="W121" s="1691"/>
      <c r="X121" s="1691"/>
      <c r="Y121" s="1691"/>
      <c r="Z121" s="1691"/>
      <c r="AA121" s="1686"/>
      <c r="AB121" s="1686"/>
      <c r="AC121" s="1686"/>
      <c r="AD121" s="1686"/>
      <c r="AE121" s="1686"/>
      <c r="AF121" s="1686"/>
      <c r="AG121" s="1686"/>
      <c r="AH121" s="1686"/>
      <c r="AI121" s="1686"/>
      <c r="AJ121" s="1686"/>
      <c r="AK121" s="1686"/>
      <c r="AL121" s="1686"/>
      <c r="AM121" s="1686"/>
      <c r="AN121" s="1686"/>
      <c r="AO121" s="1686"/>
      <c r="AP121" s="1686"/>
      <c r="AQ121" s="1686"/>
      <c r="AR121" s="1686"/>
      <c r="AS121" s="1686"/>
      <c r="AT121" s="1686"/>
      <c r="AU121" s="1686"/>
    </row>
    <row r="122">
      <c r="A122" s="1419"/>
      <c r="B122" s="1687"/>
      <c r="C122" s="1688"/>
      <c r="D122" s="1688"/>
      <c r="E122" s="1688"/>
      <c r="F122" s="1689"/>
      <c r="G122" s="1689"/>
      <c r="H122" s="1689"/>
      <c r="I122" s="1689"/>
      <c r="J122" s="1689"/>
      <c r="K122" s="1689"/>
      <c r="L122" s="1689"/>
      <c r="M122" s="1689"/>
      <c r="N122" s="1689"/>
      <c r="O122" s="1689"/>
      <c r="P122" s="1689"/>
      <c r="Q122" s="1689"/>
      <c r="R122" s="1689"/>
      <c r="S122" s="1689"/>
      <c r="T122" s="1689"/>
      <c r="U122" s="1689"/>
      <c r="V122" s="1689"/>
      <c r="W122" s="1689"/>
      <c r="X122" s="1689"/>
      <c r="Y122" s="1689"/>
      <c r="Z122" s="1689"/>
      <c r="AA122" s="1690"/>
      <c r="AB122" s="1690"/>
      <c r="AC122" s="1690"/>
      <c r="AD122" s="1690"/>
      <c r="AE122" s="1690"/>
      <c r="AF122" s="1690"/>
      <c r="AG122" s="1690"/>
      <c r="AH122" s="1690"/>
      <c r="AI122" s="1690"/>
      <c r="AJ122" s="1690"/>
      <c r="AK122" s="1690"/>
      <c r="AL122" s="1690"/>
      <c r="AM122" s="1690"/>
      <c r="AN122" s="1690"/>
      <c r="AO122" s="1690"/>
      <c r="AP122" s="1690"/>
      <c r="AQ122" s="1690"/>
      <c r="AR122" s="1690"/>
      <c r="AS122" s="1690"/>
      <c r="AT122" s="1690"/>
      <c r="AU122" s="1690"/>
    </row>
    <row r="123">
      <c r="A123" s="1419"/>
      <c r="B123" s="1684"/>
      <c r="C123" s="1685"/>
      <c r="D123" s="1685"/>
      <c r="E123" s="1685"/>
      <c r="F123" s="1686"/>
      <c r="G123" s="1686"/>
      <c r="H123" s="1686"/>
      <c r="I123" s="1686"/>
      <c r="J123" s="1686"/>
      <c r="K123" s="1686"/>
      <c r="L123" s="1686"/>
      <c r="M123" s="1686"/>
      <c r="N123" s="1686"/>
      <c r="O123" s="1686"/>
      <c r="P123" s="1686"/>
      <c r="Q123" s="1686"/>
      <c r="R123" s="1686"/>
      <c r="S123" s="1686"/>
      <c r="T123" s="1686"/>
      <c r="U123" s="1686"/>
      <c r="V123" s="1686"/>
      <c r="W123" s="1686"/>
      <c r="X123" s="1686"/>
      <c r="Y123" s="1686"/>
      <c r="Z123" s="1686"/>
      <c r="AA123" s="1686"/>
      <c r="AB123" s="1686"/>
      <c r="AC123" s="1686"/>
      <c r="AD123" s="1686"/>
      <c r="AE123" s="1686"/>
      <c r="AF123" s="1686"/>
      <c r="AG123" s="1686"/>
      <c r="AH123" s="1686"/>
      <c r="AI123" s="1686"/>
      <c r="AJ123" s="1686"/>
      <c r="AK123" s="1686"/>
      <c r="AL123" s="1686"/>
      <c r="AM123" s="1686"/>
      <c r="AN123" s="1686"/>
      <c r="AO123" s="1686"/>
      <c r="AP123" s="1686"/>
      <c r="AQ123" s="1686"/>
      <c r="AR123" s="1686"/>
      <c r="AS123" s="1686"/>
      <c r="AT123" s="1686"/>
      <c r="AU123" s="1686"/>
    </row>
    <row r="124">
      <c r="A124" s="1419"/>
      <c r="B124" s="1687"/>
      <c r="C124" s="1688"/>
      <c r="D124" s="1688"/>
      <c r="E124" s="1688"/>
      <c r="F124" s="1690"/>
      <c r="G124" s="1690"/>
      <c r="H124" s="1690"/>
      <c r="I124" s="1690"/>
      <c r="J124" s="1690"/>
      <c r="K124" s="1690"/>
      <c r="L124" s="1690"/>
      <c r="M124" s="1690"/>
      <c r="N124" s="1690"/>
      <c r="O124" s="1690"/>
      <c r="P124" s="1690"/>
      <c r="Q124" s="1690"/>
      <c r="R124" s="1690"/>
      <c r="S124" s="1690"/>
      <c r="T124" s="1690"/>
      <c r="U124" s="1690"/>
      <c r="V124" s="1690"/>
      <c r="W124" s="1690"/>
      <c r="X124" s="1690"/>
      <c r="Y124" s="1690"/>
      <c r="Z124" s="1690"/>
      <c r="AA124" s="1690"/>
      <c r="AB124" s="1690"/>
      <c r="AC124" s="1690"/>
      <c r="AD124" s="1690"/>
      <c r="AE124" s="1690"/>
      <c r="AF124" s="1690"/>
      <c r="AG124" s="1690"/>
      <c r="AH124" s="1690"/>
      <c r="AI124" s="1690"/>
      <c r="AJ124" s="1690"/>
      <c r="AK124" s="1690"/>
      <c r="AL124" s="1690"/>
      <c r="AM124" s="1690"/>
      <c r="AN124" s="1690"/>
      <c r="AO124" s="1690"/>
      <c r="AP124" s="1690"/>
      <c r="AQ124" s="1690"/>
      <c r="AR124" s="1690"/>
      <c r="AS124" s="1690"/>
      <c r="AT124" s="1690"/>
      <c r="AU124" s="1690"/>
    </row>
    <row r="125">
      <c r="A125" s="1419"/>
      <c r="B125" s="1684"/>
      <c r="C125" s="1685"/>
      <c r="D125" s="1685"/>
      <c r="E125" s="1685"/>
      <c r="F125" s="1691"/>
      <c r="G125" s="1691"/>
      <c r="H125" s="1691"/>
      <c r="I125" s="1691"/>
      <c r="J125" s="1691"/>
      <c r="K125" s="1691"/>
      <c r="L125" s="1691"/>
      <c r="M125" s="1691"/>
      <c r="N125" s="1691"/>
      <c r="O125" s="1691"/>
      <c r="P125" s="1691"/>
      <c r="Q125" s="1691"/>
      <c r="R125" s="1691"/>
      <c r="S125" s="1691"/>
      <c r="T125" s="1691"/>
      <c r="U125" s="1691"/>
      <c r="V125" s="1691"/>
      <c r="W125" s="1691"/>
      <c r="X125" s="1691"/>
      <c r="Y125" s="1691"/>
      <c r="Z125" s="1691"/>
      <c r="AA125" s="1686"/>
      <c r="AB125" s="1686"/>
      <c r="AC125" s="1686"/>
      <c r="AD125" s="1686"/>
      <c r="AE125" s="1686"/>
      <c r="AF125" s="1686"/>
      <c r="AG125" s="1686"/>
      <c r="AH125" s="1686"/>
      <c r="AI125" s="1686"/>
      <c r="AJ125" s="1686"/>
      <c r="AK125" s="1686"/>
      <c r="AL125" s="1686"/>
      <c r="AM125" s="1686"/>
      <c r="AN125" s="1686"/>
      <c r="AO125" s="1686"/>
      <c r="AP125" s="1686"/>
      <c r="AQ125" s="1686"/>
      <c r="AR125" s="1686"/>
      <c r="AS125" s="1686"/>
      <c r="AT125" s="1686"/>
      <c r="AU125" s="1686"/>
    </row>
    <row r="126">
      <c r="A126" s="1419"/>
      <c r="B126" s="1687"/>
      <c r="C126" s="1688"/>
      <c r="D126" s="1688"/>
      <c r="E126" s="1688"/>
      <c r="F126" s="1689"/>
      <c r="G126" s="1689"/>
      <c r="H126" s="1689"/>
      <c r="I126" s="1689"/>
      <c r="J126" s="1689"/>
      <c r="K126" s="1689"/>
      <c r="L126" s="1689"/>
      <c r="M126" s="1689"/>
      <c r="N126" s="1689"/>
      <c r="O126" s="1689"/>
      <c r="P126" s="1689"/>
      <c r="Q126" s="1689"/>
      <c r="R126" s="1689"/>
      <c r="S126" s="1689"/>
      <c r="T126" s="1689"/>
      <c r="U126" s="1689"/>
      <c r="V126" s="1689"/>
      <c r="W126" s="1689"/>
      <c r="X126" s="1689"/>
      <c r="Y126" s="1689"/>
      <c r="Z126" s="1689"/>
      <c r="AA126" s="1690"/>
      <c r="AB126" s="1690"/>
      <c r="AC126" s="1690"/>
      <c r="AD126" s="1690"/>
      <c r="AE126" s="1690"/>
      <c r="AF126" s="1690"/>
      <c r="AG126" s="1690"/>
      <c r="AH126" s="1690"/>
      <c r="AI126" s="1690"/>
      <c r="AJ126" s="1690"/>
      <c r="AK126" s="1690"/>
      <c r="AL126" s="1690"/>
      <c r="AM126" s="1690"/>
      <c r="AN126" s="1690"/>
      <c r="AO126" s="1690"/>
      <c r="AP126" s="1690"/>
      <c r="AQ126" s="1690"/>
      <c r="AR126" s="1690"/>
      <c r="AS126" s="1690"/>
      <c r="AT126" s="1690"/>
      <c r="AU126" s="1690"/>
    </row>
    <row r="127">
      <c r="A127" s="1419"/>
      <c r="B127" s="1684"/>
      <c r="C127" s="1685"/>
      <c r="D127" s="1685"/>
      <c r="E127" s="1685"/>
      <c r="F127" s="1686"/>
      <c r="G127" s="1686"/>
      <c r="H127" s="1686"/>
      <c r="I127" s="1686"/>
      <c r="J127" s="1686"/>
      <c r="K127" s="1686"/>
      <c r="L127" s="1686"/>
      <c r="M127" s="1686"/>
      <c r="N127" s="1686"/>
      <c r="O127" s="1686"/>
      <c r="P127" s="1686"/>
      <c r="Q127" s="1686"/>
      <c r="R127" s="1686"/>
      <c r="S127" s="1686"/>
      <c r="T127" s="1686"/>
      <c r="U127" s="1686"/>
      <c r="V127" s="1686"/>
      <c r="W127" s="1686"/>
      <c r="X127" s="1686"/>
      <c r="Y127" s="1686"/>
      <c r="Z127" s="1686"/>
      <c r="AA127" s="1686"/>
      <c r="AB127" s="1686"/>
      <c r="AC127" s="1686"/>
      <c r="AD127" s="1686"/>
      <c r="AE127" s="1686"/>
      <c r="AF127" s="1686"/>
      <c r="AG127" s="1686"/>
      <c r="AH127" s="1686"/>
      <c r="AI127" s="1686"/>
      <c r="AJ127" s="1686"/>
      <c r="AK127" s="1686"/>
      <c r="AL127" s="1686"/>
      <c r="AM127" s="1686"/>
      <c r="AN127" s="1686"/>
      <c r="AO127" s="1686"/>
      <c r="AP127" s="1686"/>
      <c r="AQ127" s="1686"/>
      <c r="AR127" s="1686"/>
      <c r="AS127" s="1686"/>
      <c r="AT127" s="1686"/>
      <c r="AU127" s="1686"/>
    </row>
    <row r="128">
      <c r="A128" s="1419"/>
      <c r="B128" s="1687"/>
      <c r="C128" s="1688"/>
      <c r="D128" s="1688"/>
      <c r="E128" s="1688"/>
      <c r="F128" s="1690"/>
      <c r="G128" s="1690"/>
      <c r="H128" s="1690"/>
      <c r="I128" s="1690"/>
      <c r="J128" s="1690"/>
      <c r="K128" s="1690"/>
      <c r="L128" s="1690"/>
      <c r="M128" s="1690"/>
      <c r="N128" s="1690"/>
      <c r="O128" s="1690"/>
      <c r="P128" s="1690"/>
      <c r="Q128" s="1690"/>
      <c r="R128" s="1690"/>
      <c r="S128" s="1690"/>
      <c r="T128" s="1690"/>
      <c r="U128" s="1690"/>
      <c r="V128" s="1690"/>
      <c r="W128" s="1690"/>
      <c r="X128" s="1690"/>
      <c r="Y128" s="1690"/>
      <c r="Z128" s="1690"/>
      <c r="AA128" s="1690"/>
      <c r="AB128" s="1690"/>
      <c r="AC128" s="1690"/>
      <c r="AD128" s="1690"/>
      <c r="AE128" s="1690"/>
      <c r="AF128" s="1690"/>
      <c r="AG128" s="1690"/>
      <c r="AH128" s="1690"/>
      <c r="AI128" s="1690"/>
      <c r="AJ128" s="1690"/>
      <c r="AK128" s="1690"/>
      <c r="AL128" s="1690"/>
      <c r="AM128" s="1690"/>
      <c r="AN128" s="1690"/>
      <c r="AO128" s="1690"/>
      <c r="AP128" s="1690"/>
      <c r="AQ128" s="1690"/>
      <c r="AR128" s="1690"/>
      <c r="AS128" s="1690"/>
      <c r="AT128" s="1690"/>
      <c r="AU128" s="1690"/>
    </row>
    <row r="129">
      <c r="A129" s="1419"/>
      <c r="B129" s="1684"/>
      <c r="C129" s="1685"/>
      <c r="D129" s="1685"/>
      <c r="E129" s="1685"/>
      <c r="F129" s="1691"/>
      <c r="G129" s="1691"/>
      <c r="H129" s="1691"/>
      <c r="I129" s="1691"/>
      <c r="J129" s="1691"/>
      <c r="K129" s="1691"/>
      <c r="L129" s="1691"/>
      <c r="M129" s="1691"/>
      <c r="N129" s="1691"/>
      <c r="O129" s="1691"/>
      <c r="P129" s="1691"/>
      <c r="Q129" s="1691"/>
      <c r="R129" s="1691"/>
      <c r="S129" s="1691"/>
      <c r="T129" s="1691"/>
      <c r="U129" s="1691"/>
      <c r="V129" s="1691"/>
      <c r="W129" s="1691"/>
      <c r="X129" s="1691"/>
      <c r="Y129" s="1691"/>
      <c r="Z129" s="1691"/>
      <c r="AA129" s="1686"/>
      <c r="AB129" s="1686"/>
      <c r="AC129" s="1686"/>
      <c r="AD129" s="1686"/>
      <c r="AE129" s="1686"/>
      <c r="AF129" s="1686"/>
      <c r="AG129" s="1686"/>
      <c r="AH129" s="1686"/>
      <c r="AI129" s="1686"/>
      <c r="AJ129" s="1686"/>
      <c r="AK129" s="1686"/>
      <c r="AL129" s="1686"/>
      <c r="AM129" s="1686"/>
      <c r="AN129" s="1686"/>
      <c r="AO129" s="1686"/>
      <c r="AP129" s="1686"/>
      <c r="AQ129" s="1686"/>
      <c r="AR129" s="1686"/>
      <c r="AS129" s="1686"/>
      <c r="AT129" s="1686"/>
      <c r="AU129" s="1686"/>
    </row>
    <row r="130">
      <c r="A130" s="1419"/>
      <c r="B130" s="1687"/>
      <c r="C130" s="1688"/>
      <c r="D130" s="1688"/>
      <c r="E130" s="1688"/>
      <c r="F130" s="1689"/>
      <c r="G130" s="1689"/>
      <c r="H130" s="1689"/>
      <c r="I130" s="1689"/>
      <c r="J130" s="1689"/>
      <c r="K130" s="1689"/>
      <c r="L130" s="1689"/>
      <c r="M130" s="1689"/>
      <c r="N130" s="1689"/>
      <c r="O130" s="1689"/>
      <c r="P130" s="1689"/>
      <c r="Q130" s="1689"/>
      <c r="R130" s="1689"/>
      <c r="S130" s="1689"/>
      <c r="T130" s="1689"/>
      <c r="U130" s="1689"/>
      <c r="V130" s="1689"/>
      <c r="W130" s="1689"/>
      <c r="X130" s="1689"/>
      <c r="Y130" s="1689"/>
      <c r="Z130" s="1689"/>
      <c r="AA130" s="1690"/>
      <c r="AB130" s="1690"/>
      <c r="AC130" s="1690"/>
      <c r="AD130" s="1690"/>
      <c r="AE130" s="1690"/>
      <c r="AF130" s="1690"/>
      <c r="AG130" s="1690"/>
      <c r="AH130" s="1690"/>
      <c r="AI130" s="1690"/>
      <c r="AJ130" s="1690"/>
      <c r="AK130" s="1690"/>
      <c r="AL130" s="1690"/>
      <c r="AM130" s="1690"/>
      <c r="AN130" s="1690"/>
      <c r="AO130" s="1690"/>
      <c r="AP130" s="1690"/>
      <c r="AQ130" s="1690"/>
      <c r="AR130" s="1690"/>
      <c r="AS130" s="1690"/>
      <c r="AT130" s="1690"/>
      <c r="AU130" s="1690"/>
    </row>
    <row r="131">
      <c r="A131" s="1419"/>
      <c r="B131" s="1684"/>
      <c r="C131" s="1685"/>
      <c r="D131" s="1685"/>
      <c r="E131" s="1685"/>
      <c r="F131" s="1686"/>
      <c r="G131" s="1686"/>
      <c r="H131" s="1686"/>
      <c r="I131" s="1686"/>
      <c r="J131" s="1686"/>
      <c r="K131" s="1686"/>
      <c r="L131" s="1686"/>
      <c r="M131" s="1686"/>
      <c r="N131" s="1686"/>
      <c r="O131" s="1686"/>
      <c r="P131" s="1686"/>
      <c r="Q131" s="1686"/>
      <c r="R131" s="1686"/>
      <c r="S131" s="1686"/>
      <c r="T131" s="1686"/>
      <c r="U131" s="1686"/>
      <c r="V131" s="1686"/>
      <c r="W131" s="1686"/>
      <c r="X131" s="1686"/>
      <c r="Y131" s="1686"/>
      <c r="Z131" s="1686"/>
      <c r="AA131" s="1686"/>
      <c r="AB131" s="1686"/>
      <c r="AC131" s="1686"/>
      <c r="AD131" s="1686"/>
      <c r="AE131" s="1686"/>
      <c r="AF131" s="1686"/>
      <c r="AG131" s="1686"/>
      <c r="AH131" s="1686"/>
      <c r="AI131" s="1686"/>
      <c r="AJ131" s="1686"/>
      <c r="AK131" s="1686"/>
      <c r="AL131" s="1686"/>
      <c r="AM131" s="1686"/>
      <c r="AN131" s="1686"/>
      <c r="AO131" s="1686"/>
      <c r="AP131" s="1686"/>
      <c r="AQ131" s="1686"/>
      <c r="AR131" s="1686"/>
      <c r="AS131" s="1686"/>
      <c r="AT131" s="1686"/>
      <c r="AU131" s="1686"/>
    </row>
    <row r="132">
      <c r="A132" s="1419"/>
      <c r="B132" s="1687"/>
      <c r="C132" s="1688"/>
      <c r="D132" s="1688"/>
      <c r="E132" s="1688"/>
      <c r="F132" s="1689"/>
      <c r="G132" s="1689"/>
      <c r="H132" s="1689"/>
      <c r="I132" s="1689"/>
      <c r="J132" s="1689"/>
      <c r="K132" s="1689"/>
      <c r="L132" s="1689"/>
      <c r="M132" s="1689"/>
      <c r="N132" s="1689"/>
      <c r="O132" s="1689"/>
      <c r="P132" s="1689"/>
      <c r="Q132" s="1689"/>
      <c r="R132" s="1689"/>
      <c r="S132" s="1689"/>
      <c r="T132" s="1689"/>
      <c r="U132" s="1689"/>
      <c r="V132" s="1689"/>
      <c r="W132" s="1689"/>
      <c r="X132" s="1689"/>
      <c r="Y132" s="1689"/>
      <c r="Z132" s="1689"/>
      <c r="AA132" s="1690"/>
      <c r="AB132" s="1690"/>
      <c r="AC132" s="1690"/>
      <c r="AD132" s="1690"/>
      <c r="AE132" s="1690"/>
      <c r="AF132" s="1690"/>
      <c r="AG132" s="1690"/>
      <c r="AH132" s="1690"/>
      <c r="AI132" s="1690"/>
      <c r="AJ132" s="1690"/>
      <c r="AK132" s="1690"/>
      <c r="AL132" s="1690"/>
      <c r="AM132" s="1690"/>
      <c r="AN132" s="1690"/>
      <c r="AO132" s="1690"/>
      <c r="AP132" s="1690"/>
      <c r="AQ132" s="1690"/>
      <c r="AR132" s="1690"/>
      <c r="AS132" s="1690"/>
      <c r="AT132" s="1690"/>
      <c r="AU132" s="1690"/>
    </row>
    <row r="133">
      <c r="A133" s="1419"/>
      <c r="B133" s="1684"/>
      <c r="C133" s="1685"/>
      <c r="D133" s="1685"/>
      <c r="E133" s="1685"/>
      <c r="F133" s="1686"/>
      <c r="G133" s="1686"/>
      <c r="H133" s="1686"/>
      <c r="I133" s="1686"/>
      <c r="J133" s="1686"/>
      <c r="K133" s="1686"/>
      <c r="L133" s="1686"/>
      <c r="M133" s="1686"/>
      <c r="N133" s="1686"/>
      <c r="O133" s="1686"/>
      <c r="P133" s="1686"/>
      <c r="Q133" s="1686"/>
      <c r="R133" s="1686"/>
      <c r="S133" s="1686"/>
      <c r="T133" s="1686"/>
      <c r="U133" s="1686"/>
      <c r="V133" s="1686"/>
      <c r="W133" s="1686"/>
      <c r="X133" s="1686"/>
      <c r="Y133" s="1686"/>
      <c r="Z133" s="1686"/>
      <c r="AA133" s="1686"/>
      <c r="AB133" s="1686"/>
      <c r="AC133" s="1686"/>
      <c r="AD133" s="1686"/>
      <c r="AE133" s="1686"/>
      <c r="AF133" s="1686"/>
      <c r="AG133" s="1686"/>
      <c r="AH133" s="1686"/>
      <c r="AI133" s="1686"/>
      <c r="AJ133" s="1686"/>
      <c r="AK133" s="1686"/>
      <c r="AL133" s="1686"/>
      <c r="AM133" s="1686"/>
      <c r="AN133" s="1686"/>
      <c r="AO133" s="1686"/>
      <c r="AP133" s="1686"/>
      <c r="AQ133" s="1686"/>
      <c r="AR133" s="1686"/>
      <c r="AS133" s="1686"/>
      <c r="AT133" s="1686"/>
      <c r="AU133" s="1686"/>
    </row>
    <row r="134">
      <c r="A134" s="1419"/>
      <c r="B134" s="1687"/>
      <c r="C134" s="1688"/>
      <c r="D134" s="1688"/>
      <c r="E134" s="1688"/>
      <c r="F134" s="1689"/>
      <c r="G134" s="1689"/>
      <c r="H134" s="1689"/>
      <c r="I134" s="1689"/>
      <c r="J134" s="1689"/>
      <c r="K134" s="1689"/>
      <c r="L134" s="1689"/>
      <c r="M134" s="1689"/>
      <c r="N134" s="1689"/>
      <c r="O134" s="1689"/>
      <c r="P134" s="1689"/>
      <c r="Q134" s="1689"/>
      <c r="R134" s="1689"/>
      <c r="S134" s="1689"/>
      <c r="T134" s="1689"/>
      <c r="U134" s="1689"/>
      <c r="V134" s="1689"/>
      <c r="W134" s="1689"/>
      <c r="X134" s="1689"/>
      <c r="Y134" s="1689"/>
      <c r="Z134" s="1689"/>
      <c r="AA134" s="1690"/>
      <c r="AB134" s="1690"/>
      <c r="AC134" s="1690"/>
      <c r="AD134" s="1690"/>
      <c r="AE134" s="1690"/>
      <c r="AF134" s="1690"/>
      <c r="AG134" s="1690"/>
      <c r="AH134" s="1690"/>
      <c r="AI134" s="1690"/>
      <c r="AJ134" s="1690"/>
      <c r="AK134" s="1690"/>
      <c r="AL134" s="1690"/>
      <c r="AM134" s="1690"/>
      <c r="AN134" s="1690"/>
      <c r="AO134" s="1690"/>
      <c r="AP134" s="1690"/>
      <c r="AQ134" s="1690"/>
      <c r="AR134" s="1690"/>
      <c r="AS134" s="1690"/>
      <c r="AT134" s="1690"/>
      <c r="AU134" s="1690"/>
    </row>
    <row r="135">
      <c r="A135" s="1419"/>
      <c r="B135" s="1684"/>
      <c r="C135" s="1685"/>
      <c r="D135" s="1685"/>
      <c r="E135" s="1685"/>
      <c r="F135" s="1686"/>
      <c r="G135" s="1686"/>
      <c r="H135" s="1686"/>
      <c r="I135" s="1686"/>
      <c r="J135" s="1686"/>
      <c r="K135" s="1686"/>
      <c r="L135" s="1686"/>
      <c r="M135" s="1686"/>
      <c r="N135" s="1686"/>
      <c r="O135" s="1686"/>
      <c r="P135" s="1686"/>
      <c r="Q135" s="1686"/>
      <c r="R135" s="1686"/>
      <c r="S135" s="1686"/>
      <c r="T135" s="1686"/>
      <c r="U135" s="1686"/>
      <c r="V135" s="1686"/>
      <c r="W135" s="1686"/>
      <c r="X135" s="1686"/>
      <c r="Y135" s="1686"/>
      <c r="Z135" s="1686"/>
      <c r="AA135" s="1686"/>
      <c r="AB135" s="1686"/>
      <c r="AC135" s="1686"/>
      <c r="AD135" s="1686"/>
      <c r="AE135" s="1686"/>
      <c r="AF135" s="1686"/>
      <c r="AG135" s="1686"/>
      <c r="AH135" s="1686"/>
      <c r="AI135" s="1686"/>
      <c r="AJ135" s="1686"/>
      <c r="AK135" s="1686"/>
      <c r="AL135" s="1686"/>
      <c r="AM135" s="1686"/>
      <c r="AN135" s="1686"/>
      <c r="AO135" s="1686"/>
      <c r="AP135" s="1686"/>
      <c r="AQ135" s="1686"/>
      <c r="AR135" s="1686"/>
      <c r="AS135" s="1686"/>
      <c r="AT135" s="1686"/>
      <c r="AU135" s="1686"/>
    </row>
    <row r="136">
      <c r="A136" s="1419"/>
      <c r="B136" s="1687"/>
      <c r="C136" s="1688"/>
      <c r="D136" s="1688"/>
      <c r="E136" s="1688"/>
      <c r="F136" s="1690"/>
      <c r="G136" s="1690"/>
      <c r="H136" s="1690"/>
      <c r="I136" s="1690"/>
      <c r="J136" s="1690"/>
      <c r="K136" s="1690"/>
      <c r="L136" s="1690"/>
      <c r="M136" s="1690"/>
      <c r="N136" s="1690"/>
      <c r="O136" s="1690"/>
      <c r="P136" s="1690"/>
      <c r="Q136" s="1690"/>
      <c r="R136" s="1690"/>
      <c r="S136" s="1690"/>
      <c r="T136" s="1690"/>
      <c r="U136" s="1690"/>
      <c r="V136" s="1690"/>
      <c r="W136" s="1690"/>
      <c r="X136" s="1690"/>
      <c r="Y136" s="1690"/>
      <c r="Z136" s="1690"/>
      <c r="AA136" s="1690"/>
      <c r="AB136" s="1690"/>
      <c r="AC136" s="1690"/>
      <c r="AD136" s="1690"/>
      <c r="AE136" s="1690"/>
      <c r="AF136" s="1690"/>
      <c r="AG136" s="1690"/>
      <c r="AH136" s="1690"/>
      <c r="AI136" s="1690"/>
      <c r="AJ136" s="1690"/>
      <c r="AK136" s="1690"/>
      <c r="AL136" s="1690"/>
      <c r="AM136" s="1690"/>
      <c r="AN136" s="1690"/>
      <c r="AO136" s="1690"/>
      <c r="AP136" s="1690"/>
      <c r="AQ136" s="1690"/>
      <c r="AR136" s="1690"/>
      <c r="AS136" s="1690"/>
      <c r="AT136" s="1690"/>
      <c r="AU136" s="1690"/>
    </row>
    <row r="137">
      <c r="A137" s="1419"/>
      <c r="B137" s="1684"/>
      <c r="C137" s="1685"/>
      <c r="D137" s="1685"/>
      <c r="E137" s="1685"/>
      <c r="F137" s="1686"/>
      <c r="G137" s="1686"/>
      <c r="H137" s="1686"/>
      <c r="I137" s="1686"/>
      <c r="J137" s="1686"/>
      <c r="K137" s="1686"/>
      <c r="L137" s="1686"/>
      <c r="M137" s="1686"/>
      <c r="N137" s="1686"/>
      <c r="O137" s="1686"/>
      <c r="P137" s="1686"/>
      <c r="Q137" s="1686"/>
      <c r="R137" s="1686"/>
      <c r="S137" s="1686"/>
      <c r="T137" s="1686"/>
      <c r="U137" s="1686"/>
      <c r="V137" s="1686"/>
      <c r="W137" s="1686"/>
      <c r="X137" s="1686"/>
      <c r="Y137" s="1686"/>
      <c r="Z137" s="1686"/>
      <c r="AA137" s="1686"/>
      <c r="AB137" s="1686"/>
      <c r="AC137" s="1686"/>
      <c r="AD137" s="1686"/>
      <c r="AE137" s="1686"/>
      <c r="AF137" s="1686"/>
      <c r="AG137" s="1686"/>
      <c r="AH137" s="1686"/>
      <c r="AI137" s="1686"/>
      <c r="AJ137" s="1686"/>
      <c r="AK137" s="1686"/>
      <c r="AL137" s="1686"/>
      <c r="AM137" s="1686"/>
      <c r="AN137" s="1686"/>
      <c r="AO137" s="1686"/>
      <c r="AP137" s="1686"/>
      <c r="AQ137" s="1686"/>
      <c r="AR137" s="1686"/>
      <c r="AS137" s="1686"/>
      <c r="AT137" s="1686"/>
      <c r="AU137" s="1686"/>
    </row>
    <row r="138">
      <c r="A138" s="1419"/>
      <c r="B138" s="1687"/>
      <c r="C138" s="1688"/>
      <c r="D138" s="1688"/>
      <c r="E138" s="1688"/>
      <c r="F138" s="1689"/>
      <c r="G138" s="1689"/>
      <c r="H138" s="1689"/>
      <c r="I138" s="1689"/>
      <c r="J138" s="1689"/>
      <c r="K138" s="1689"/>
      <c r="L138" s="1689"/>
      <c r="M138" s="1689"/>
      <c r="N138" s="1689"/>
      <c r="O138" s="1689"/>
      <c r="P138" s="1689"/>
      <c r="Q138" s="1689"/>
      <c r="R138" s="1689"/>
      <c r="S138" s="1689"/>
      <c r="T138" s="1689"/>
      <c r="U138" s="1689"/>
      <c r="V138" s="1689"/>
      <c r="W138" s="1689"/>
      <c r="X138" s="1689"/>
      <c r="Y138" s="1689"/>
      <c r="Z138" s="1689"/>
      <c r="AA138" s="1690"/>
      <c r="AB138" s="1690"/>
      <c r="AC138" s="1690"/>
      <c r="AD138" s="1690"/>
      <c r="AE138" s="1690"/>
      <c r="AF138" s="1690"/>
      <c r="AG138" s="1690"/>
      <c r="AH138" s="1690"/>
      <c r="AI138" s="1690"/>
      <c r="AJ138" s="1690"/>
      <c r="AK138" s="1690"/>
      <c r="AL138" s="1690"/>
      <c r="AM138" s="1690"/>
      <c r="AN138" s="1690"/>
      <c r="AO138" s="1690"/>
      <c r="AP138" s="1690"/>
      <c r="AQ138" s="1690"/>
      <c r="AR138" s="1690"/>
      <c r="AS138" s="1690"/>
      <c r="AT138" s="1690"/>
      <c r="AU138" s="1690"/>
    </row>
    <row r="139">
      <c r="A139" s="1419"/>
      <c r="B139" s="1684"/>
      <c r="C139" s="1685"/>
      <c r="D139" s="1685"/>
      <c r="E139" s="1685"/>
      <c r="F139" s="1691"/>
      <c r="G139" s="1691"/>
      <c r="H139" s="1691"/>
      <c r="I139" s="1691"/>
      <c r="J139" s="1691"/>
      <c r="K139" s="1691"/>
      <c r="L139" s="1691"/>
      <c r="M139" s="1691"/>
      <c r="N139" s="1691"/>
      <c r="O139" s="1691"/>
      <c r="P139" s="1691"/>
      <c r="Q139" s="1691"/>
      <c r="R139" s="1691"/>
      <c r="S139" s="1691"/>
      <c r="T139" s="1691"/>
      <c r="U139" s="1691"/>
      <c r="V139" s="1691"/>
      <c r="W139" s="1691"/>
      <c r="X139" s="1691"/>
      <c r="Y139" s="1691"/>
      <c r="Z139" s="1691"/>
      <c r="AA139" s="1686"/>
      <c r="AB139" s="1686"/>
      <c r="AC139" s="1686"/>
      <c r="AD139" s="1686"/>
      <c r="AE139" s="1686"/>
      <c r="AF139" s="1686"/>
      <c r="AG139" s="1686"/>
      <c r="AH139" s="1686"/>
      <c r="AI139" s="1686"/>
      <c r="AJ139" s="1686"/>
      <c r="AK139" s="1686"/>
      <c r="AL139" s="1686"/>
      <c r="AM139" s="1686"/>
      <c r="AN139" s="1686"/>
      <c r="AO139" s="1686"/>
      <c r="AP139" s="1686"/>
      <c r="AQ139" s="1686"/>
      <c r="AR139" s="1686"/>
      <c r="AS139" s="1686"/>
      <c r="AT139" s="1686"/>
      <c r="AU139" s="1686"/>
    </row>
    <row r="140">
      <c r="A140" s="1419"/>
      <c r="B140" s="1687"/>
      <c r="C140" s="1688"/>
      <c r="D140" s="1688"/>
      <c r="E140" s="1688"/>
      <c r="F140" s="1690"/>
      <c r="G140" s="1690"/>
      <c r="H140" s="1690"/>
      <c r="I140" s="1690"/>
      <c r="J140" s="1690"/>
      <c r="K140" s="1690"/>
      <c r="L140" s="1690"/>
      <c r="M140" s="1690"/>
      <c r="N140" s="1690"/>
      <c r="O140" s="1690"/>
      <c r="P140" s="1690"/>
      <c r="Q140" s="1690"/>
      <c r="R140" s="1690"/>
      <c r="S140" s="1690"/>
      <c r="T140" s="1690"/>
      <c r="U140" s="1690"/>
      <c r="V140" s="1690"/>
      <c r="W140" s="1690"/>
      <c r="X140" s="1690"/>
      <c r="Y140" s="1690"/>
      <c r="Z140" s="1690"/>
      <c r="AA140" s="1690"/>
      <c r="AB140" s="1690"/>
      <c r="AC140" s="1690"/>
      <c r="AD140" s="1690"/>
      <c r="AE140" s="1690"/>
      <c r="AF140" s="1690"/>
      <c r="AG140" s="1690"/>
      <c r="AH140" s="1690"/>
      <c r="AI140" s="1690"/>
      <c r="AJ140" s="1690"/>
      <c r="AK140" s="1690"/>
      <c r="AL140" s="1690"/>
      <c r="AM140" s="1690"/>
      <c r="AN140" s="1690"/>
      <c r="AO140" s="1690"/>
      <c r="AP140" s="1690"/>
      <c r="AQ140" s="1690"/>
      <c r="AR140" s="1690"/>
      <c r="AS140" s="1690"/>
      <c r="AT140" s="1690"/>
      <c r="AU140" s="1690"/>
    </row>
    <row r="141">
      <c r="A141" s="1419"/>
      <c r="B141" s="1684"/>
      <c r="C141" s="1685"/>
      <c r="D141" s="1685"/>
      <c r="E141" s="1685"/>
      <c r="F141" s="1691"/>
      <c r="G141" s="1691"/>
      <c r="H141" s="1691"/>
      <c r="I141" s="1691"/>
      <c r="J141" s="1691"/>
      <c r="K141" s="1691"/>
      <c r="L141" s="1691"/>
      <c r="M141" s="1691"/>
      <c r="N141" s="1691"/>
      <c r="O141" s="1691"/>
      <c r="P141" s="1691"/>
      <c r="Q141" s="1691"/>
      <c r="R141" s="1691"/>
      <c r="S141" s="1691"/>
      <c r="T141" s="1691"/>
      <c r="U141" s="1691"/>
      <c r="V141" s="1691"/>
      <c r="W141" s="1691"/>
      <c r="X141" s="1691"/>
      <c r="Y141" s="1691"/>
      <c r="Z141" s="1691"/>
      <c r="AA141" s="1686"/>
      <c r="AB141" s="1686"/>
      <c r="AC141" s="1686"/>
      <c r="AD141" s="1686"/>
      <c r="AE141" s="1686"/>
      <c r="AF141" s="1686"/>
      <c r="AG141" s="1686"/>
      <c r="AH141" s="1686"/>
      <c r="AI141" s="1686"/>
      <c r="AJ141" s="1686"/>
      <c r="AK141" s="1686"/>
      <c r="AL141" s="1686"/>
      <c r="AM141" s="1686"/>
      <c r="AN141" s="1686"/>
      <c r="AO141" s="1686"/>
      <c r="AP141" s="1686"/>
      <c r="AQ141" s="1686"/>
      <c r="AR141" s="1686"/>
      <c r="AS141" s="1686"/>
      <c r="AT141" s="1686"/>
      <c r="AU141" s="1686"/>
    </row>
    <row r="142">
      <c r="A142" s="1419"/>
      <c r="B142" s="1687"/>
      <c r="C142" s="1688"/>
      <c r="D142" s="1688"/>
      <c r="E142" s="1688"/>
      <c r="F142" s="1689"/>
      <c r="G142" s="1689"/>
      <c r="H142" s="1689"/>
      <c r="I142" s="1689"/>
      <c r="J142" s="1689"/>
      <c r="K142" s="1689"/>
      <c r="L142" s="1689"/>
      <c r="M142" s="1689"/>
      <c r="N142" s="1689"/>
      <c r="O142" s="1689"/>
      <c r="P142" s="1689"/>
      <c r="Q142" s="1689"/>
      <c r="R142" s="1689"/>
      <c r="S142" s="1689"/>
      <c r="T142" s="1689"/>
      <c r="U142" s="1689"/>
      <c r="V142" s="1689"/>
      <c r="W142" s="1689"/>
      <c r="X142" s="1689"/>
      <c r="Y142" s="1689"/>
      <c r="Z142" s="1689"/>
      <c r="AA142" s="1690"/>
      <c r="AB142" s="1690"/>
      <c r="AC142" s="1690"/>
      <c r="AD142" s="1690"/>
      <c r="AE142" s="1690"/>
      <c r="AF142" s="1690"/>
      <c r="AG142" s="1690"/>
      <c r="AH142" s="1690"/>
      <c r="AI142" s="1690"/>
      <c r="AJ142" s="1690"/>
      <c r="AK142" s="1690"/>
      <c r="AL142" s="1690"/>
      <c r="AM142" s="1690"/>
      <c r="AN142" s="1690"/>
      <c r="AO142" s="1690"/>
      <c r="AP142" s="1690"/>
      <c r="AQ142" s="1690"/>
      <c r="AR142" s="1690"/>
      <c r="AS142" s="1690"/>
      <c r="AT142" s="1690"/>
      <c r="AU142" s="1690"/>
    </row>
    <row r="143">
      <c r="A143" s="1419"/>
      <c r="B143" s="1684"/>
      <c r="C143" s="1685"/>
      <c r="D143" s="1685"/>
      <c r="E143" s="1685"/>
      <c r="F143" s="1691"/>
      <c r="G143" s="1691"/>
      <c r="H143" s="1691"/>
      <c r="I143" s="1691"/>
      <c r="J143" s="1691"/>
      <c r="K143" s="1691"/>
      <c r="L143" s="1691"/>
      <c r="M143" s="1691"/>
      <c r="N143" s="1691"/>
      <c r="O143" s="1691"/>
      <c r="P143" s="1691"/>
      <c r="Q143" s="1691"/>
      <c r="R143" s="1691"/>
      <c r="S143" s="1691"/>
      <c r="T143" s="1691"/>
      <c r="U143" s="1691"/>
      <c r="V143" s="1691"/>
      <c r="W143" s="1691"/>
      <c r="X143" s="1691"/>
      <c r="Y143" s="1691"/>
      <c r="Z143" s="1691"/>
      <c r="AA143" s="1686"/>
      <c r="AB143" s="1686"/>
      <c r="AC143" s="1686"/>
      <c r="AD143" s="1686"/>
      <c r="AE143" s="1686"/>
      <c r="AF143" s="1686"/>
      <c r="AG143" s="1686"/>
      <c r="AH143" s="1686"/>
      <c r="AI143" s="1686"/>
      <c r="AJ143" s="1686"/>
      <c r="AK143" s="1686"/>
      <c r="AL143" s="1686"/>
      <c r="AM143" s="1686"/>
      <c r="AN143" s="1686"/>
      <c r="AO143" s="1686"/>
      <c r="AP143" s="1686"/>
      <c r="AQ143" s="1686"/>
      <c r="AR143" s="1686"/>
      <c r="AS143" s="1686"/>
      <c r="AT143" s="1686"/>
      <c r="AU143" s="1686"/>
    </row>
    <row r="144">
      <c r="A144" s="1419"/>
      <c r="B144" s="1687"/>
      <c r="C144" s="1688"/>
      <c r="D144" s="1688"/>
      <c r="E144" s="1688"/>
      <c r="F144" s="1689"/>
      <c r="G144" s="1689"/>
      <c r="H144" s="1689"/>
      <c r="I144" s="1689"/>
      <c r="J144" s="1689"/>
      <c r="K144" s="1689"/>
      <c r="L144" s="1689"/>
      <c r="M144" s="1689"/>
      <c r="N144" s="1689"/>
      <c r="O144" s="1689"/>
      <c r="P144" s="1689"/>
      <c r="Q144" s="1689"/>
      <c r="R144" s="1689"/>
      <c r="S144" s="1689"/>
      <c r="T144" s="1689"/>
      <c r="U144" s="1689"/>
      <c r="V144" s="1689"/>
      <c r="W144" s="1689"/>
      <c r="X144" s="1689"/>
      <c r="Y144" s="1689"/>
      <c r="Z144" s="1689"/>
      <c r="AA144" s="1690"/>
      <c r="AB144" s="1690"/>
      <c r="AC144" s="1690"/>
      <c r="AD144" s="1690"/>
      <c r="AE144" s="1690"/>
      <c r="AF144" s="1690"/>
      <c r="AG144" s="1690"/>
      <c r="AH144" s="1690"/>
      <c r="AI144" s="1690"/>
      <c r="AJ144" s="1690"/>
      <c r="AK144" s="1690"/>
      <c r="AL144" s="1690"/>
      <c r="AM144" s="1690"/>
      <c r="AN144" s="1690"/>
      <c r="AO144" s="1690"/>
      <c r="AP144" s="1690"/>
      <c r="AQ144" s="1690"/>
      <c r="AR144" s="1690"/>
      <c r="AS144" s="1690"/>
      <c r="AT144" s="1690"/>
      <c r="AU144" s="1690"/>
    </row>
    <row r="145">
      <c r="A145" s="1419"/>
      <c r="B145" s="1684"/>
      <c r="C145" s="1685"/>
      <c r="D145" s="1685"/>
      <c r="E145" s="1685"/>
      <c r="F145" s="1691"/>
      <c r="G145" s="1691"/>
      <c r="H145" s="1691"/>
      <c r="I145" s="1691"/>
      <c r="J145" s="1691"/>
      <c r="K145" s="1691"/>
      <c r="L145" s="1691"/>
      <c r="M145" s="1691"/>
      <c r="N145" s="1691"/>
      <c r="O145" s="1691"/>
      <c r="P145" s="1691"/>
      <c r="Q145" s="1691"/>
      <c r="R145" s="1691"/>
      <c r="S145" s="1691"/>
      <c r="T145" s="1691"/>
      <c r="U145" s="1691"/>
      <c r="V145" s="1691"/>
      <c r="W145" s="1691"/>
      <c r="X145" s="1691"/>
      <c r="Y145" s="1691"/>
      <c r="Z145" s="1691"/>
      <c r="AA145" s="1686"/>
      <c r="AB145" s="1686"/>
      <c r="AC145" s="1686"/>
      <c r="AD145" s="1686"/>
      <c r="AE145" s="1686"/>
      <c r="AF145" s="1686"/>
      <c r="AG145" s="1686"/>
      <c r="AH145" s="1686"/>
      <c r="AI145" s="1686"/>
      <c r="AJ145" s="1686"/>
      <c r="AK145" s="1686"/>
      <c r="AL145" s="1686"/>
      <c r="AM145" s="1686"/>
      <c r="AN145" s="1686"/>
      <c r="AO145" s="1686"/>
      <c r="AP145" s="1686"/>
      <c r="AQ145" s="1686"/>
      <c r="AR145" s="1686"/>
      <c r="AS145" s="1686"/>
      <c r="AT145" s="1686"/>
      <c r="AU145" s="1686"/>
    </row>
    <row r="146">
      <c r="A146" s="1419"/>
      <c r="B146" s="1687"/>
      <c r="C146" s="1688"/>
      <c r="D146" s="1688"/>
      <c r="E146" s="1688"/>
      <c r="F146" s="1689"/>
      <c r="G146" s="1689"/>
      <c r="H146" s="1689"/>
      <c r="I146" s="1689"/>
      <c r="J146" s="1689"/>
      <c r="K146" s="1689"/>
      <c r="L146" s="1689"/>
      <c r="M146" s="1689"/>
      <c r="N146" s="1689"/>
      <c r="O146" s="1689"/>
      <c r="P146" s="1689"/>
      <c r="Q146" s="1689"/>
      <c r="R146" s="1689"/>
      <c r="S146" s="1689"/>
      <c r="T146" s="1689"/>
      <c r="U146" s="1689"/>
      <c r="V146" s="1689"/>
      <c r="W146" s="1689"/>
      <c r="X146" s="1689"/>
      <c r="Y146" s="1689"/>
      <c r="Z146" s="1689"/>
      <c r="AA146" s="1690"/>
      <c r="AB146" s="1690"/>
      <c r="AC146" s="1690"/>
      <c r="AD146" s="1690"/>
      <c r="AE146" s="1690"/>
      <c r="AF146" s="1690"/>
      <c r="AG146" s="1690"/>
      <c r="AH146" s="1690"/>
      <c r="AI146" s="1690"/>
      <c r="AJ146" s="1690"/>
      <c r="AK146" s="1690"/>
      <c r="AL146" s="1690"/>
      <c r="AM146" s="1690"/>
      <c r="AN146" s="1690"/>
      <c r="AO146" s="1690"/>
      <c r="AP146" s="1690"/>
      <c r="AQ146" s="1690"/>
      <c r="AR146" s="1690"/>
      <c r="AS146" s="1690"/>
      <c r="AT146" s="1690"/>
      <c r="AU146" s="1690"/>
    </row>
    <row r="147">
      <c r="A147" s="1419"/>
      <c r="B147" s="1684"/>
      <c r="C147" s="1685"/>
      <c r="D147" s="1685"/>
      <c r="E147" s="1685"/>
      <c r="F147" s="1691"/>
      <c r="G147" s="1691"/>
      <c r="H147" s="1691"/>
      <c r="I147" s="1691"/>
      <c r="J147" s="1691"/>
      <c r="K147" s="1691"/>
      <c r="L147" s="1691"/>
      <c r="M147" s="1691"/>
      <c r="N147" s="1691"/>
      <c r="O147" s="1691"/>
      <c r="P147" s="1691"/>
      <c r="Q147" s="1691"/>
      <c r="R147" s="1691"/>
      <c r="S147" s="1691"/>
      <c r="T147" s="1691"/>
      <c r="U147" s="1691"/>
      <c r="V147" s="1691"/>
      <c r="W147" s="1691"/>
      <c r="X147" s="1691"/>
      <c r="Y147" s="1691"/>
      <c r="Z147" s="1691"/>
      <c r="AA147" s="1686"/>
      <c r="AB147" s="1686"/>
      <c r="AC147" s="1686"/>
      <c r="AD147" s="1686"/>
      <c r="AE147" s="1686"/>
      <c r="AF147" s="1686"/>
      <c r="AG147" s="1686"/>
      <c r="AH147" s="1686"/>
      <c r="AI147" s="1686"/>
      <c r="AJ147" s="1686"/>
      <c r="AK147" s="1686"/>
      <c r="AL147" s="1686"/>
      <c r="AM147" s="1686"/>
      <c r="AN147" s="1686"/>
      <c r="AO147" s="1686"/>
      <c r="AP147" s="1686"/>
      <c r="AQ147" s="1686"/>
      <c r="AR147" s="1686"/>
      <c r="AS147" s="1686"/>
      <c r="AT147" s="1686"/>
      <c r="AU147" s="1686"/>
    </row>
    <row r="148">
      <c r="A148" s="1419"/>
      <c r="B148" s="1687"/>
      <c r="C148" s="1688"/>
      <c r="D148" s="1688"/>
      <c r="E148" s="1688"/>
      <c r="F148" s="1689"/>
      <c r="G148" s="1689"/>
      <c r="H148" s="1689"/>
      <c r="I148" s="1689"/>
      <c r="J148" s="1689"/>
      <c r="K148" s="1689"/>
      <c r="L148" s="1689"/>
      <c r="M148" s="1689"/>
      <c r="N148" s="1689"/>
      <c r="O148" s="1689"/>
      <c r="P148" s="1689"/>
      <c r="Q148" s="1689"/>
      <c r="R148" s="1689"/>
      <c r="S148" s="1689"/>
      <c r="T148" s="1689"/>
      <c r="U148" s="1689"/>
      <c r="V148" s="1689"/>
      <c r="W148" s="1689"/>
      <c r="X148" s="1689"/>
      <c r="Y148" s="1689"/>
      <c r="Z148" s="1689"/>
      <c r="AA148" s="1690"/>
      <c r="AB148" s="1690"/>
      <c r="AC148" s="1690"/>
      <c r="AD148" s="1690"/>
      <c r="AE148" s="1690"/>
      <c r="AF148" s="1690"/>
      <c r="AG148" s="1690"/>
      <c r="AH148" s="1690"/>
      <c r="AI148" s="1690"/>
      <c r="AJ148" s="1690"/>
      <c r="AK148" s="1690"/>
      <c r="AL148" s="1690"/>
      <c r="AM148" s="1690"/>
      <c r="AN148" s="1690"/>
      <c r="AO148" s="1690"/>
      <c r="AP148" s="1690"/>
      <c r="AQ148" s="1690"/>
      <c r="AR148" s="1690"/>
      <c r="AS148" s="1690"/>
      <c r="AT148" s="1690"/>
      <c r="AU148" s="1690"/>
    </row>
    <row r="149">
      <c r="A149" s="1419"/>
      <c r="B149" s="1684"/>
      <c r="C149" s="1685"/>
      <c r="D149" s="1685"/>
      <c r="E149" s="1685"/>
      <c r="F149" s="1691"/>
      <c r="G149" s="1691"/>
      <c r="H149" s="1691"/>
      <c r="I149" s="1691"/>
      <c r="J149" s="1691"/>
      <c r="K149" s="1691"/>
      <c r="L149" s="1691"/>
      <c r="M149" s="1691"/>
      <c r="N149" s="1691"/>
      <c r="O149" s="1691"/>
      <c r="P149" s="1691"/>
      <c r="Q149" s="1691"/>
      <c r="R149" s="1691"/>
      <c r="S149" s="1691"/>
      <c r="T149" s="1691"/>
      <c r="U149" s="1691"/>
      <c r="V149" s="1691"/>
      <c r="W149" s="1691"/>
      <c r="X149" s="1691"/>
      <c r="Y149" s="1691"/>
      <c r="Z149" s="1691"/>
      <c r="AA149" s="1686"/>
      <c r="AB149" s="1686"/>
      <c r="AC149" s="1686"/>
      <c r="AD149" s="1686"/>
      <c r="AE149" s="1686"/>
      <c r="AF149" s="1686"/>
      <c r="AG149" s="1686"/>
      <c r="AH149" s="1686"/>
      <c r="AI149" s="1686"/>
      <c r="AJ149" s="1686"/>
      <c r="AK149" s="1686"/>
      <c r="AL149" s="1686"/>
      <c r="AM149" s="1686"/>
      <c r="AN149" s="1686"/>
      <c r="AO149" s="1686"/>
      <c r="AP149" s="1686"/>
      <c r="AQ149" s="1686"/>
      <c r="AR149" s="1686"/>
      <c r="AS149" s="1686"/>
      <c r="AT149" s="1686"/>
      <c r="AU149" s="1686"/>
    </row>
    <row r="150">
      <c r="A150" s="1419"/>
      <c r="B150" s="1687"/>
      <c r="C150" s="1688"/>
      <c r="D150" s="1688"/>
      <c r="E150" s="1688"/>
      <c r="F150" s="1689"/>
      <c r="G150" s="1689"/>
      <c r="H150" s="1689"/>
      <c r="I150" s="1689"/>
      <c r="J150" s="1689"/>
      <c r="K150" s="1689"/>
      <c r="L150" s="1689"/>
      <c r="M150" s="1689"/>
      <c r="N150" s="1689"/>
      <c r="O150" s="1689"/>
      <c r="P150" s="1689"/>
      <c r="Q150" s="1689"/>
      <c r="R150" s="1689"/>
      <c r="S150" s="1689"/>
      <c r="T150" s="1689"/>
      <c r="U150" s="1689"/>
      <c r="V150" s="1689"/>
      <c r="W150" s="1689"/>
      <c r="X150" s="1689"/>
      <c r="Y150" s="1689"/>
      <c r="Z150" s="1689"/>
      <c r="AA150" s="1690"/>
      <c r="AB150" s="1690"/>
      <c r="AC150" s="1690"/>
      <c r="AD150" s="1690"/>
      <c r="AE150" s="1690"/>
      <c r="AF150" s="1690"/>
      <c r="AG150" s="1690"/>
      <c r="AH150" s="1690"/>
      <c r="AI150" s="1690"/>
      <c r="AJ150" s="1690"/>
      <c r="AK150" s="1690"/>
      <c r="AL150" s="1690"/>
      <c r="AM150" s="1690"/>
      <c r="AN150" s="1690"/>
      <c r="AO150" s="1690"/>
      <c r="AP150" s="1690"/>
      <c r="AQ150" s="1690"/>
      <c r="AR150" s="1690"/>
      <c r="AS150" s="1690"/>
      <c r="AT150" s="1690"/>
      <c r="AU150" s="1690"/>
    </row>
    <row r="151">
      <c r="A151" s="1419"/>
      <c r="B151" s="1684"/>
      <c r="C151" s="1685"/>
      <c r="D151" s="1685"/>
      <c r="E151" s="1685"/>
      <c r="F151" s="1691"/>
      <c r="G151" s="1691"/>
      <c r="H151" s="1691"/>
      <c r="I151" s="1691"/>
      <c r="J151" s="1691"/>
      <c r="K151" s="1691"/>
      <c r="L151" s="1691"/>
      <c r="M151" s="1691"/>
      <c r="N151" s="1691"/>
      <c r="O151" s="1691"/>
      <c r="P151" s="1691"/>
      <c r="Q151" s="1691"/>
      <c r="R151" s="1691"/>
      <c r="S151" s="1691"/>
      <c r="T151" s="1691"/>
      <c r="U151" s="1691"/>
      <c r="V151" s="1691"/>
      <c r="W151" s="1691"/>
      <c r="X151" s="1691"/>
      <c r="Y151" s="1691"/>
      <c r="Z151" s="1691"/>
      <c r="AA151" s="1686"/>
      <c r="AB151" s="1686"/>
      <c r="AC151" s="1686"/>
      <c r="AD151" s="1686"/>
      <c r="AE151" s="1686"/>
      <c r="AF151" s="1686"/>
      <c r="AG151" s="1686"/>
      <c r="AH151" s="1686"/>
      <c r="AI151" s="1686"/>
      <c r="AJ151" s="1686"/>
      <c r="AK151" s="1686"/>
      <c r="AL151" s="1686"/>
      <c r="AM151" s="1686"/>
      <c r="AN151" s="1686"/>
      <c r="AO151" s="1686"/>
      <c r="AP151" s="1686"/>
      <c r="AQ151" s="1686"/>
      <c r="AR151" s="1686"/>
      <c r="AS151" s="1686"/>
      <c r="AT151" s="1686"/>
      <c r="AU151" s="1686"/>
    </row>
    <row r="152">
      <c r="A152" s="1419"/>
      <c r="B152" s="1687"/>
      <c r="C152" s="1688"/>
      <c r="D152" s="1688"/>
      <c r="E152" s="1688"/>
      <c r="F152" s="1689"/>
      <c r="G152" s="1689"/>
      <c r="H152" s="1689"/>
      <c r="I152" s="1689"/>
      <c r="J152" s="1689"/>
      <c r="K152" s="1689"/>
      <c r="L152" s="1689"/>
      <c r="M152" s="1689"/>
      <c r="N152" s="1689"/>
      <c r="O152" s="1689"/>
      <c r="P152" s="1689"/>
      <c r="Q152" s="1689"/>
      <c r="R152" s="1689"/>
      <c r="S152" s="1689"/>
      <c r="T152" s="1689"/>
      <c r="U152" s="1689"/>
      <c r="V152" s="1689"/>
      <c r="W152" s="1689"/>
      <c r="X152" s="1689"/>
      <c r="Y152" s="1689"/>
      <c r="Z152" s="1689"/>
      <c r="AA152" s="1690"/>
      <c r="AB152" s="1690"/>
      <c r="AC152" s="1690"/>
      <c r="AD152" s="1690"/>
      <c r="AE152" s="1690"/>
      <c r="AF152" s="1690"/>
      <c r="AG152" s="1690"/>
      <c r="AH152" s="1690"/>
      <c r="AI152" s="1690"/>
      <c r="AJ152" s="1690"/>
      <c r="AK152" s="1690"/>
      <c r="AL152" s="1690"/>
      <c r="AM152" s="1690"/>
      <c r="AN152" s="1690"/>
      <c r="AO152" s="1690"/>
      <c r="AP152" s="1690"/>
      <c r="AQ152" s="1690"/>
      <c r="AR152" s="1690"/>
      <c r="AS152" s="1690"/>
      <c r="AT152" s="1690"/>
      <c r="AU152" s="1690"/>
    </row>
    <row r="153">
      <c r="A153" s="1419"/>
      <c r="B153" s="1684"/>
      <c r="C153" s="1685"/>
      <c r="D153" s="1685"/>
      <c r="E153" s="1685"/>
      <c r="F153" s="1691"/>
      <c r="G153" s="1691"/>
      <c r="H153" s="1691"/>
      <c r="I153" s="1691"/>
      <c r="J153" s="1691"/>
      <c r="K153" s="1691"/>
      <c r="L153" s="1691"/>
      <c r="M153" s="1691"/>
      <c r="N153" s="1691"/>
      <c r="O153" s="1691"/>
      <c r="P153" s="1691"/>
      <c r="Q153" s="1691"/>
      <c r="R153" s="1691"/>
      <c r="S153" s="1691"/>
      <c r="T153" s="1691"/>
      <c r="U153" s="1691"/>
      <c r="V153" s="1691"/>
      <c r="W153" s="1691"/>
      <c r="X153" s="1691"/>
      <c r="Y153" s="1691"/>
      <c r="Z153" s="1691"/>
      <c r="AA153" s="1686"/>
      <c r="AB153" s="1686"/>
      <c r="AC153" s="1686"/>
      <c r="AD153" s="1686"/>
      <c r="AE153" s="1686"/>
      <c r="AF153" s="1686"/>
      <c r="AG153" s="1686"/>
      <c r="AH153" s="1686"/>
      <c r="AI153" s="1686"/>
      <c r="AJ153" s="1686"/>
      <c r="AK153" s="1686"/>
      <c r="AL153" s="1686"/>
      <c r="AM153" s="1686"/>
      <c r="AN153" s="1686"/>
      <c r="AO153" s="1686"/>
      <c r="AP153" s="1686"/>
      <c r="AQ153" s="1686"/>
      <c r="AR153" s="1686"/>
      <c r="AS153" s="1686"/>
      <c r="AT153" s="1686"/>
      <c r="AU153" s="1686"/>
    </row>
    <row r="154">
      <c r="A154" s="1419"/>
      <c r="B154" s="1687"/>
      <c r="C154" s="1688"/>
      <c r="D154" s="1688"/>
      <c r="E154" s="1688"/>
      <c r="F154" s="1689"/>
      <c r="G154" s="1689"/>
      <c r="H154" s="1689"/>
      <c r="I154" s="1689"/>
      <c r="J154" s="1689"/>
      <c r="K154" s="1689"/>
      <c r="L154" s="1689"/>
      <c r="M154" s="1689"/>
      <c r="N154" s="1689"/>
      <c r="O154" s="1689"/>
      <c r="P154" s="1689"/>
      <c r="Q154" s="1689"/>
      <c r="R154" s="1689"/>
      <c r="S154" s="1689"/>
      <c r="T154" s="1689"/>
      <c r="U154" s="1689"/>
      <c r="V154" s="1689"/>
      <c r="W154" s="1689"/>
      <c r="X154" s="1689"/>
      <c r="Y154" s="1689"/>
      <c r="Z154" s="1689"/>
      <c r="AA154" s="1690"/>
      <c r="AB154" s="1690"/>
      <c r="AC154" s="1690"/>
      <c r="AD154" s="1690"/>
      <c r="AE154" s="1690"/>
      <c r="AF154" s="1690"/>
      <c r="AG154" s="1690"/>
      <c r="AH154" s="1690"/>
      <c r="AI154" s="1690"/>
      <c r="AJ154" s="1690"/>
      <c r="AK154" s="1690"/>
      <c r="AL154" s="1690"/>
      <c r="AM154" s="1690"/>
      <c r="AN154" s="1690"/>
      <c r="AO154" s="1690"/>
      <c r="AP154" s="1690"/>
      <c r="AQ154" s="1690"/>
      <c r="AR154" s="1690"/>
      <c r="AS154" s="1690"/>
      <c r="AT154" s="1690"/>
      <c r="AU154" s="1690"/>
    </row>
    <row r="155">
      <c r="A155" s="1419"/>
      <c r="B155" s="1684"/>
      <c r="C155" s="1685"/>
      <c r="D155" s="1685"/>
      <c r="E155" s="1685"/>
      <c r="F155" s="1686"/>
      <c r="G155" s="1686"/>
      <c r="H155" s="1686"/>
      <c r="I155" s="1686"/>
      <c r="J155" s="1686"/>
      <c r="K155" s="1686"/>
      <c r="L155" s="1686"/>
      <c r="M155" s="1686"/>
      <c r="N155" s="1686"/>
      <c r="O155" s="1686"/>
      <c r="P155" s="1686"/>
      <c r="Q155" s="1686"/>
      <c r="R155" s="1686"/>
      <c r="S155" s="1686"/>
      <c r="T155" s="1686"/>
      <c r="U155" s="1686"/>
      <c r="V155" s="1686"/>
      <c r="W155" s="1686"/>
      <c r="X155" s="1686"/>
      <c r="Y155" s="1686"/>
      <c r="Z155" s="1686"/>
      <c r="AA155" s="1686"/>
      <c r="AB155" s="1686"/>
      <c r="AC155" s="1686"/>
      <c r="AD155" s="1686"/>
      <c r="AE155" s="1686"/>
      <c r="AF155" s="1686"/>
      <c r="AG155" s="1686"/>
      <c r="AH155" s="1686"/>
      <c r="AI155" s="1686"/>
      <c r="AJ155" s="1686"/>
      <c r="AK155" s="1686"/>
      <c r="AL155" s="1686"/>
      <c r="AM155" s="1686"/>
      <c r="AN155" s="1686"/>
      <c r="AO155" s="1686"/>
      <c r="AP155" s="1686"/>
      <c r="AQ155" s="1686"/>
      <c r="AR155" s="1686"/>
      <c r="AS155" s="1686"/>
      <c r="AT155" s="1686"/>
      <c r="AU155" s="1686"/>
    </row>
    <row r="156">
      <c r="A156" s="1419"/>
      <c r="B156" s="1687"/>
      <c r="C156" s="1688"/>
      <c r="D156" s="1688"/>
      <c r="E156" s="1688"/>
      <c r="F156" s="1690"/>
      <c r="G156" s="1690"/>
      <c r="H156" s="1690"/>
      <c r="I156" s="1690"/>
      <c r="J156" s="1690"/>
      <c r="K156" s="1690"/>
      <c r="L156" s="1690"/>
      <c r="M156" s="1690"/>
      <c r="N156" s="1690"/>
      <c r="O156" s="1690"/>
      <c r="P156" s="1690"/>
      <c r="Q156" s="1690"/>
      <c r="R156" s="1690"/>
      <c r="S156" s="1690"/>
      <c r="T156" s="1690"/>
      <c r="U156" s="1690"/>
      <c r="V156" s="1690"/>
      <c r="W156" s="1690"/>
      <c r="X156" s="1690"/>
      <c r="Y156" s="1690"/>
      <c r="Z156" s="1690"/>
      <c r="AA156" s="1690"/>
      <c r="AB156" s="1690"/>
      <c r="AC156" s="1690"/>
      <c r="AD156" s="1690"/>
      <c r="AE156" s="1690"/>
      <c r="AF156" s="1690"/>
      <c r="AG156" s="1690"/>
      <c r="AH156" s="1690"/>
      <c r="AI156" s="1690"/>
      <c r="AJ156" s="1690"/>
      <c r="AK156" s="1690"/>
      <c r="AL156" s="1690"/>
      <c r="AM156" s="1690"/>
      <c r="AN156" s="1690"/>
      <c r="AO156" s="1690"/>
      <c r="AP156" s="1690"/>
      <c r="AQ156" s="1690"/>
      <c r="AR156" s="1690"/>
      <c r="AS156" s="1690"/>
      <c r="AT156" s="1690"/>
      <c r="AU156" s="1690"/>
    </row>
    <row r="157">
      <c r="A157" s="1440" t="s">
        <v>2461</v>
      </c>
      <c r="B157" s="1684"/>
      <c r="C157" s="1685"/>
      <c r="D157" s="1685"/>
      <c r="E157" s="1685"/>
      <c r="F157" s="1686"/>
      <c r="G157" s="1686"/>
      <c r="H157" s="1686"/>
      <c r="I157" s="1686"/>
      <c r="J157" s="1686"/>
      <c r="K157" s="1686"/>
      <c r="L157" s="1686"/>
      <c r="M157" s="1686"/>
      <c r="N157" s="1686"/>
      <c r="O157" s="1686"/>
      <c r="P157" s="1686"/>
      <c r="Q157" s="1686"/>
      <c r="R157" s="1686"/>
      <c r="S157" s="1686"/>
      <c r="T157" s="1686"/>
      <c r="U157" s="1686"/>
      <c r="V157" s="1686"/>
      <c r="W157" s="1686"/>
      <c r="X157" s="1686"/>
      <c r="Y157" s="1686"/>
      <c r="Z157" s="1686"/>
      <c r="AA157" s="1686"/>
      <c r="AB157" s="1686"/>
      <c r="AC157" s="1686"/>
      <c r="AD157" s="1686"/>
      <c r="AE157" s="1686"/>
      <c r="AF157" s="1686"/>
      <c r="AG157" s="1686"/>
      <c r="AH157" s="1686"/>
      <c r="AI157" s="1686"/>
      <c r="AJ157" s="1686"/>
      <c r="AK157" s="1686"/>
      <c r="AL157" s="1686"/>
      <c r="AM157" s="1686"/>
      <c r="AN157" s="1686"/>
      <c r="AO157" s="1686"/>
      <c r="AP157" s="1686"/>
      <c r="AQ157" s="1686"/>
      <c r="AR157" s="1686"/>
      <c r="AS157" s="1686"/>
      <c r="AT157" s="1686"/>
      <c r="AU157" s="1686"/>
    </row>
    <row r="158">
      <c r="A158" s="1419"/>
      <c r="B158" s="1687"/>
      <c r="C158" s="1688"/>
      <c r="D158" s="1688"/>
      <c r="E158" s="1688"/>
      <c r="F158" s="1690"/>
      <c r="G158" s="1690"/>
      <c r="H158" s="1690"/>
      <c r="I158" s="1690"/>
      <c r="J158" s="1690"/>
      <c r="K158" s="1690"/>
      <c r="L158" s="1690"/>
      <c r="M158" s="1690"/>
      <c r="N158" s="1690"/>
      <c r="O158" s="1690"/>
      <c r="P158" s="1690"/>
      <c r="Q158" s="1690"/>
      <c r="R158" s="1690"/>
      <c r="S158" s="1690"/>
      <c r="T158" s="1690"/>
      <c r="U158" s="1690"/>
      <c r="V158" s="1690"/>
      <c r="W158" s="1690"/>
      <c r="X158" s="1690"/>
      <c r="Y158" s="1690"/>
      <c r="Z158" s="1690"/>
      <c r="AA158" s="1690"/>
      <c r="AB158" s="1690"/>
      <c r="AC158" s="1690"/>
      <c r="AD158" s="1690"/>
      <c r="AE158" s="1690"/>
      <c r="AF158" s="1690"/>
      <c r="AG158" s="1690"/>
      <c r="AH158" s="1690"/>
      <c r="AI158" s="1690"/>
      <c r="AJ158" s="1690"/>
      <c r="AK158" s="1690"/>
      <c r="AL158" s="1690"/>
      <c r="AM158" s="1690"/>
      <c r="AN158" s="1690"/>
      <c r="AO158" s="1690"/>
      <c r="AP158" s="1690"/>
      <c r="AQ158" s="1690"/>
      <c r="AR158" s="1690"/>
      <c r="AS158" s="1690"/>
      <c r="AT158" s="1690"/>
      <c r="AU158" s="1690"/>
    </row>
    <row r="159">
      <c r="A159" s="1419"/>
      <c r="B159" s="1684"/>
      <c r="C159" s="1685"/>
      <c r="D159" s="1685"/>
      <c r="E159" s="1685"/>
      <c r="F159" s="1691"/>
      <c r="G159" s="1691"/>
      <c r="H159" s="1691"/>
      <c r="I159" s="1691"/>
      <c r="J159" s="1691"/>
      <c r="K159" s="1691"/>
      <c r="L159" s="1691"/>
      <c r="M159" s="1691"/>
      <c r="N159" s="1691"/>
      <c r="O159" s="1691"/>
      <c r="P159" s="1691"/>
      <c r="Q159" s="1691"/>
      <c r="R159" s="1691"/>
      <c r="S159" s="1691"/>
      <c r="T159" s="1691"/>
      <c r="U159" s="1691"/>
      <c r="V159" s="1691"/>
      <c r="W159" s="1691"/>
      <c r="X159" s="1691"/>
      <c r="Y159" s="1691"/>
      <c r="Z159" s="1691"/>
      <c r="AA159" s="1686"/>
      <c r="AB159" s="1686"/>
      <c r="AC159" s="1686"/>
      <c r="AD159" s="1686"/>
      <c r="AE159" s="1686"/>
      <c r="AF159" s="1686"/>
      <c r="AG159" s="1686"/>
      <c r="AH159" s="1686"/>
      <c r="AI159" s="1686"/>
      <c r="AJ159" s="1686"/>
      <c r="AK159" s="1686"/>
      <c r="AL159" s="1686"/>
      <c r="AM159" s="1686"/>
      <c r="AN159" s="1686"/>
      <c r="AO159" s="1686"/>
      <c r="AP159" s="1686"/>
      <c r="AQ159" s="1686"/>
      <c r="AR159" s="1686"/>
      <c r="AS159" s="1686"/>
      <c r="AT159" s="1686"/>
      <c r="AU159" s="1686"/>
    </row>
    <row r="160">
      <c r="A160" s="1419"/>
      <c r="B160" s="1687"/>
      <c r="C160" s="1688"/>
      <c r="D160" s="1688"/>
      <c r="E160" s="1688"/>
      <c r="F160" s="1689"/>
      <c r="G160" s="1689"/>
      <c r="H160" s="1689"/>
      <c r="I160" s="1689"/>
      <c r="J160" s="1689"/>
      <c r="K160" s="1689"/>
      <c r="L160" s="1689"/>
      <c r="M160" s="1689"/>
      <c r="N160" s="1689"/>
      <c r="O160" s="1689"/>
      <c r="P160" s="1689"/>
      <c r="Q160" s="1689"/>
      <c r="R160" s="1689"/>
      <c r="S160" s="1689"/>
      <c r="T160" s="1689"/>
      <c r="U160" s="1689"/>
      <c r="V160" s="1689"/>
      <c r="W160" s="1689"/>
      <c r="X160" s="1689"/>
      <c r="Y160" s="1689"/>
      <c r="Z160" s="1689"/>
      <c r="AA160" s="1690"/>
      <c r="AB160" s="1690"/>
      <c r="AC160" s="1690"/>
      <c r="AD160" s="1690"/>
      <c r="AE160" s="1690"/>
      <c r="AF160" s="1690"/>
      <c r="AG160" s="1690"/>
      <c r="AH160" s="1690"/>
      <c r="AI160" s="1690"/>
      <c r="AJ160" s="1690"/>
      <c r="AK160" s="1690"/>
      <c r="AL160" s="1690"/>
      <c r="AM160" s="1690"/>
      <c r="AN160" s="1690"/>
      <c r="AO160" s="1690"/>
      <c r="AP160" s="1690"/>
      <c r="AQ160" s="1690"/>
      <c r="AR160" s="1690"/>
      <c r="AS160" s="1690"/>
      <c r="AT160" s="1690"/>
      <c r="AU160" s="1690"/>
    </row>
    <row r="161">
      <c r="A161" s="1419"/>
      <c r="B161" s="1684"/>
      <c r="C161" s="1685"/>
      <c r="D161" s="1685"/>
      <c r="E161" s="1685"/>
      <c r="F161" s="1686"/>
      <c r="G161" s="1686"/>
      <c r="H161" s="1686"/>
      <c r="I161" s="1686"/>
      <c r="J161" s="1686"/>
      <c r="K161" s="1686"/>
      <c r="L161" s="1686"/>
      <c r="M161" s="1686"/>
      <c r="N161" s="1686"/>
      <c r="O161" s="1686"/>
      <c r="P161" s="1686"/>
      <c r="Q161" s="1686"/>
      <c r="R161" s="1686"/>
      <c r="S161" s="1686"/>
      <c r="T161" s="1686"/>
      <c r="U161" s="1686"/>
      <c r="V161" s="1686"/>
      <c r="W161" s="1686"/>
      <c r="X161" s="1686"/>
      <c r="Y161" s="1686"/>
      <c r="Z161" s="1686"/>
      <c r="AA161" s="1686"/>
      <c r="AB161" s="1686"/>
      <c r="AC161" s="1686"/>
      <c r="AD161" s="1686"/>
      <c r="AE161" s="1686"/>
      <c r="AF161" s="1686"/>
      <c r="AG161" s="1686"/>
      <c r="AH161" s="1686"/>
      <c r="AI161" s="1686"/>
      <c r="AJ161" s="1686"/>
      <c r="AK161" s="1686"/>
      <c r="AL161" s="1686"/>
      <c r="AM161" s="1686"/>
      <c r="AN161" s="1686"/>
      <c r="AO161" s="1686"/>
      <c r="AP161" s="1686"/>
      <c r="AQ161" s="1686"/>
      <c r="AR161" s="1686"/>
      <c r="AS161" s="1686"/>
      <c r="AT161" s="1686"/>
      <c r="AU161" s="1686"/>
    </row>
    <row r="162">
      <c r="A162" s="1419"/>
      <c r="B162" s="1687"/>
      <c r="C162" s="1688"/>
      <c r="D162" s="1688"/>
      <c r="E162" s="1688"/>
      <c r="F162" s="1689"/>
      <c r="G162" s="1689"/>
      <c r="H162" s="1689"/>
      <c r="I162" s="1689"/>
      <c r="J162" s="1689"/>
      <c r="K162" s="1689"/>
      <c r="L162" s="1689"/>
      <c r="M162" s="1689"/>
      <c r="N162" s="1689"/>
      <c r="O162" s="1689"/>
      <c r="P162" s="1689"/>
      <c r="Q162" s="1689"/>
      <c r="R162" s="1689"/>
      <c r="S162" s="1689"/>
      <c r="T162" s="1689"/>
      <c r="U162" s="1689"/>
      <c r="V162" s="1689"/>
      <c r="W162" s="1689"/>
      <c r="X162" s="1689"/>
      <c r="Y162" s="1689"/>
      <c r="Z162" s="1689"/>
      <c r="AA162" s="1690"/>
      <c r="AB162" s="1690"/>
      <c r="AC162" s="1690"/>
      <c r="AD162" s="1690"/>
      <c r="AE162" s="1690"/>
      <c r="AF162" s="1690"/>
      <c r="AG162" s="1690"/>
      <c r="AH162" s="1690"/>
      <c r="AI162" s="1690"/>
      <c r="AJ162" s="1690"/>
      <c r="AK162" s="1690"/>
      <c r="AL162" s="1690"/>
      <c r="AM162" s="1690"/>
      <c r="AN162" s="1690"/>
      <c r="AO162" s="1690"/>
      <c r="AP162" s="1690"/>
      <c r="AQ162" s="1690"/>
      <c r="AR162" s="1690"/>
      <c r="AS162" s="1690"/>
      <c r="AT162" s="1690"/>
      <c r="AU162" s="1690"/>
    </row>
    <row r="163">
      <c r="A163" s="1419"/>
      <c r="B163" s="1684"/>
      <c r="C163" s="1685"/>
      <c r="D163" s="1685"/>
      <c r="E163" s="1685"/>
      <c r="F163" s="1691"/>
      <c r="G163" s="1691"/>
      <c r="H163" s="1691"/>
      <c r="I163" s="1691"/>
      <c r="J163" s="1691"/>
      <c r="K163" s="1691"/>
      <c r="L163" s="1691"/>
      <c r="M163" s="1691"/>
      <c r="N163" s="1691"/>
      <c r="O163" s="1691"/>
      <c r="P163" s="1691"/>
      <c r="Q163" s="1691"/>
      <c r="R163" s="1691"/>
      <c r="S163" s="1691"/>
      <c r="T163" s="1691"/>
      <c r="U163" s="1691"/>
      <c r="V163" s="1691"/>
      <c r="W163" s="1691"/>
      <c r="X163" s="1691"/>
      <c r="Y163" s="1691"/>
      <c r="Z163" s="1691"/>
      <c r="AA163" s="1686"/>
      <c r="AB163" s="1686"/>
      <c r="AC163" s="1686"/>
      <c r="AD163" s="1686"/>
      <c r="AE163" s="1686"/>
      <c r="AF163" s="1686"/>
      <c r="AG163" s="1686"/>
      <c r="AH163" s="1686"/>
      <c r="AI163" s="1686"/>
      <c r="AJ163" s="1686"/>
      <c r="AK163" s="1686"/>
      <c r="AL163" s="1686"/>
      <c r="AM163" s="1686"/>
      <c r="AN163" s="1686"/>
      <c r="AO163" s="1686"/>
      <c r="AP163" s="1686"/>
      <c r="AQ163" s="1686"/>
      <c r="AR163" s="1686"/>
      <c r="AS163" s="1686"/>
      <c r="AT163" s="1686"/>
      <c r="AU163" s="1686"/>
    </row>
    <row r="164">
      <c r="A164" s="1419"/>
      <c r="B164" s="1687"/>
      <c r="C164" s="1688"/>
      <c r="D164" s="1688"/>
      <c r="E164" s="1688"/>
      <c r="F164" s="1690"/>
      <c r="G164" s="1690"/>
      <c r="H164" s="1690"/>
      <c r="I164" s="1690"/>
      <c r="J164" s="1690"/>
      <c r="K164" s="1690"/>
      <c r="L164" s="1690"/>
      <c r="M164" s="1690"/>
      <c r="N164" s="1690"/>
      <c r="O164" s="1690"/>
      <c r="P164" s="1690"/>
      <c r="Q164" s="1690"/>
      <c r="R164" s="1690"/>
      <c r="S164" s="1690"/>
      <c r="T164" s="1690"/>
      <c r="U164" s="1690"/>
      <c r="V164" s="1690"/>
      <c r="W164" s="1690"/>
      <c r="X164" s="1690"/>
      <c r="Y164" s="1690"/>
      <c r="Z164" s="1690"/>
      <c r="AA164" s="1690"/>
      <c r="AB164" s="1690"/>
      <c r="AC164" s="1690"/>
      <c r="AD164" s="1690"/>
      <c r="AE164" s="1690"/>
      <c r="AF164" s="1690"/>
      <c r="AG164" s="1690"/>
      <c r="AH164" s="1690"/>
      <c r="AI164" s="1690"/>
      <c r="AJ164" s="1690"/>
      <c r="AK164" s="1690"/>
      <c r="AL164" s="1690"/>
      <c r="AM164" s="1690"/>
      <c r="AN164" s="1690"/>
      <c r="AO164" s="1690"/>
      <c r="AP164" s="1690"/>
      <c r="AQ164" s="1690"/>
      <c r="AR164" s="1690"/>
      <c r="AS164" s="1690"/>
      <c r="AT164" s="1690"/>
      <c r="AU164" s="1690"/>
    </row>
    <row r="165">
      <c r="A165" s="1419"/>
      <c r="B165" s="1684"/>
      <c r="C165" s="1685"/>
      <c r="D165" s="1685"/>
      <c r="E165" s="1685"/>
      <c r="F165" s="1691"/>
      <c r="G165" s="1691"/>
      <c r="H165" s="1691"/>
      <c r="I165" s="1691"/>
      <c r="J165" s="1691"/>
      <c r="K165" s="1691"/>
      <c r="L165" s="1691"/>
      <c r="M165" s="1691"/>
      <c r="N165" s="1691"/>
      <c r="O165" s="1691"/>
      <c r="P165" s="1691"/>
      <c r="Q165" s="1691"/>
      <c r="R165" s="1691"/>
      <c r="S165" s="1691"/>
      <c r="T165" s="1691"/>
      <c r="U165" s="1691"/>
      <c r="V165" s="1691"/>
      <c r="W165" s="1691"/>
      <c r="X165" s="1691"/>
      <c r="Y165" s="1691"/>
      <c r="Z165" s="1691"/>
      <c r="AA165" s="1686"/>
      <c r="AB165" s="1686"/>
      <c r="AC165" s="1686"/>
      <c r="AD165" s="1686"/>
      <c r="AE165" s="1686"/>
      <c r="AF165" s="1686"/>
      <c r="AG165" s="1686"/>
      <c r="AH165" s="1686"/>
      <c r="AI165" s="1686"/>
      <c r="AJ165" s="1686"/>
      <c r="AK165" s="1686"/>
      <c r="AL165" s="1686"/>
      <c r="AM165" s="1686"/>
      <c r="AN165" s="1686"/>
      <c r="AO165" s="1686"/>
      <c r="AP165" s="1686"/>
      <c r="AQ165" s="1686"/>
      <c r="AR165" s="1686"/>
      <c r="AS165" s="1686"/>
      <c r="AT165" s="1686"/>
      <c r="AU165" s="1686"/>
    </row>
    <row r="166">
      <c r="A166" s="1419"/>
      <c r="B166" s="1687"/>
      <c r="C166" s="1688"/>
      <c r="D166" s="1688"/>
      <c r="E166" s="1688"/>
      <c r="F166" s="1690"/>
      <c r="G166" s="1690"/>
      <c r="H166" s="1690"/>
      <c r="I166" s="1690"/>
      <c r="J166" s="1690"/>
      <c r="K166" s="1690"/>
      <c r="L166" s="1690"/>
      <c r="M166" s="1690"/>
      <c r="N166" s="1690"/>
      <c r="O166" s="1690"/>
      <c r="P166" s="1690"/>
      <c r="Q166" s="1690"/>
      <c r="R166" s="1690"/>
      <c r="S166" s="1690"/>
      <c r="T166" s="1690"/>
      <c r="U166" s="1690"/>
      <c r="V166" s="1690"/>
      <c r="W166" s="1690"/>
      <c r="X166" s="1690"/>
      <c r="Y166" s="1690"/>
      <c r="Z166" s="1690"/>
      <c r="AA166" s="1690"/>
      <c r="AB166" s="1690"/>
      <c r="AC166" s="1690"/>
      <c r="AD166" s="1690"/>
      <c r="AE166" s="1690"/>
      <c r="AF166" s="1690"/>
      <c r="AG166" s="1690"/>
      <c r="AH166" s="1690"/>
      <c r="AI166" s="1690"/>
      <c r="AJ166" s="1690"/>
      <c r="AK166" s="1690"/>
      <c r="AL166" s="1690"/>
      <c r="AM166" s="1690"/>
      <c r="AN166" s="1690"/>
      <c r="AO166" s="1690"/>
      <c r="AP166" s="1690"/>
      <c r="AQ166" s="1690"/>
      <c r="AR166" s="1690"/>
      <c r="AS166" s="1690"/>
      <c r="AT166" s="1690"/>
      <c r="AU166" s="1690"/>
    </row>
    <row r="167">
      <c r="A167" s="1419"/>
      <c r="B167" s="1684"/>
      <c r="C167" s="1685"/>
      <c r="D167" s="1685"/>
      <c r="E167" s="1685"/>
      <c r="F167" s="1691"/>
      <c r="G167" s="1691"/>
      <c r="H167" s="1691"/>
      <c r="I167" s="1691"/>
      <c r="J167" s="1691"/>
      <c r="K167" s="1691"/>
      <c r="L167" s="1691"/>
      <c r="M167" s="1691"/>
      <c r="N167" s="1691"/>
      <c r="O167" s="1691"/>
      <c r="P167" s="1691"/>
      <c r="Q167" s="1691"/>
      <c r="R167" s="1691"/>
      <c r="S167" s="1691"/>
      <c r="T167" s="1691"/>
      <c r="U167" s="1691"/>
      <c r="V167" s="1691"/>
      <c r="W167" s="1691"/>
      <c r="X167" s="1691"/>
      <c r="Y167" s="1691"/>
      <c r="Z167" s="1691"/>
      <c r="AA167" s="1686"/>
      <c r="AB167" s="1686"/>
      <c r="AC167" s="1686"/>
      <c r="AD167" s="1686"/>
      <c r="AE167" s="1686"/>
      <c r="AF167" s="1686"/>
      <c r="AG167" s="1686"/>
      <c r="AH167" s="1686"/>
      <c r="AI167" s="1686"/>
      <c r="AJ167" s="1686"/>
      <c r="AK167" s="1686"/>
      <c r="AL167" s="1686"/>
      <c r="AM167" s="1686"/>
      <c r="AN167" s="1686"/>
      <c r="AO167" s="1686"/>
      <c r="AP167" s="1686"/>
      <c r="AQ167" s="1686"/>
      <c r="AR167" s="1686"/>
      <c r="AS167" s="1686"/>
      <c r="AT167" s="1686"/>
      <c r="AU167" s="1686"/>
    </row>
    <row r="168">
      <c r="A168" s="1419"/>
      <c r="B168" s="1687"/>
      <c r="C168" s="1688"/>
      <c r="D168" s="1688"/>
      <c r="E168" s="1688"/>
      <c r="F168" s="1689"/>
      <c r="G168" s="1689"/>
      <c r="H168" s="1689"/>
      <c r="I168" s="1689"/>
      <c r="J168" s="1689"/>
      <c r="K168" s="1689"/>
      <c r="L168" s="1689"/>
      <c r="M168" s="1689"/>
      <c r="N168" s="1689"/>
      <c r="O168" s="1689"/>
      <c r="P168" s="1689"/>
      <c r="Q168" s="1689"/>
      <c r="R168" s="1689"/>
      <c r="S168" s="1689"/>
      <c r="T168" s="1689"/>
      <c r="U168" s="1689"/>
      <c r="V168" s="1689"/>
      <c r="W168" s="1689"/>
      <c r="X168" s="1689"/>
      <c r="Y168" s="1689"/>
      <c r="Z168" s="1689"/>
      <c r="AA168" s="1690"/>
      <c r="AB168" s="1690"/>
      <c r="AC168" s="1690"/>
      <c r="AD168" s="1690"/>
      <c r="AE168" s="1690"/>
      <c r="AF168" s="1690"/>
      <c r="AG168" s="1690"/>
      <c r="AH168" s="1690"/>
      <c r="AI168" s="1690"/>
      <c r="AJ168" s="1690"/>
      <c r="AK168" s="1690"/>
      <c r="AL168" s="1690"/>
      <c r="AM168" s="1690"/>
      <c r="AN168" s="1690"/>
      <c r="AO168" s="1690"/>
      <c r="AP168" s="1690"/>
      <c r="AQ168" s="1690"/>
      <c r="AR168" s="1690"/>
      <c r="AS168" s="1690"/>
      <c r="AT168" s="1690"/>
      <c r="AU168" s="1690"/>
    </row>
    <row r="169">
      <c r="A169" s="1419"/>
      <c r="B169" s="1684"/>
      <c r="C169" s="1685"/>
      <c r="D169" s="1685"/>
      <c r="E169" s="1685"/>
      <c r="F169" s="1691"/>
      <c r="G169" s="1691"/>
      <c r="H169" s="1691"/>
      <c r="I169" s="1691"/>
      <c r="J169" s="1691"/>
      <c r="K169" s="1691"/>
      <c r="L169" s="1691"/>
      <c r="M169" s="1691"/>
      <c r="N169" s="1691"/>
      <c r="O169" s="1691"/>
      <c r="P169" s="1691"/>
      <c r="Q169" s="1691"/>
      <c r="R169" s="1691"/>
      <c r="S169" s="1691"/>
      <c r="T169" s="1691"/>
      <c r="U169" s="1691"/>
      <c r="V169" s="1691"/>
      <c r="W169" s="1691"/>
      <c r="X169" s="1691"/>
      <c r="Y169" s="1691"/>
      <c r="Z169" s="1691"/>
      <c r="AA169" s="1686"/>
      <c r="AB169" s="1686"/>
      <c r="AC169" s="1686"/>
      <c r="AD169" s="1686"/>
      <c r="AE169" s="1686"/>
      <c r="AF169" s="1686"/>
      <c r="AG169" s="1686"/>
      <c r="AH169" s="1686"/>
      <c r="AI169" s="1686"/>
      <c r="AJ169" s="1686"/>
      <c r="AK169" s="1686"/>
      <c r="AL169" s="1686"/>
      <c r="AM169" s="1686"/>
      <c r="AN169" s="1686"/>
      <c r="AO169" s="1686"/>
      <c r="AP169" s="1686"/>
      <c r="AQ169" s="1686"/>
      <c r="AR169" s="1686"/>
      <c r="AS169" s="1686"/>
      <c r="AT169" s="1686"/>
      <c r="AU169" s="1686"/>
    </row>
    <row r="170">
      <c r="A170" s="1419"/>
      <c r="B170" s="1687"/>
      <c r="C170" s="1688"/>
      <c r="D170" s="1688"/>
      <c r="E170" s="1688"/>
      <c r="F170" s="1690"/>
      <c r="G170" s="1690"/>
      <c r="H170" s="1690"/>
      <c r="I170" s="1690"/>
      <c r="J170" s="1690"/>
      <c r="K170" s="1690"/>
      <c r="L170" s="1690"/>
      <c r="M170" s="1690"/>
      <c r="N170" s="1690"/>
      <c r="O170" s="1690"/>
      <c r="P170" s="1690"/>
      <c r="Q170" s="1690"/>
      <c r="R170" s="1690"/>
      <c r="S170" s="1690"/>
      <c r="T170" s="1690"/>
      <c r="U170" s="1690"/>
      <c r="V170" s="1690"/>
      <c r="W170" s="1690"/>
      <c r="X170" s="1690"/>
      <c r="Y170" s="1690"/>
      <c r="Z170" s="1690"/>
      <c r="AA170" s="1690"/>
      <c r="AB170" s="1690"/>
      <c r="AC170" s="1690"/>
      <c r="AD170" s="1690"/>
      <c r="AE170" s="1690"/>
      <c r="AF170" s="1690"/>
      <c r="AG170" s="1690"/>
      <c r="AH170" s="1690"/>
      <c r="AI170" s="1690"/>
      <c r="AJ170" s="1690"/>
      <c r="AK170" s="1690"/>
      <c r="AL170" s="1690"/>
      <c r="AM170" s="1690"/>
      <c r="AN170" s="1690"/>
      <c r="AO170" s="1690"/>
      <c r="AP170" s="1690"/>
      <c r="AQ170" s="1690"/>
      <c r="AR170" s="1690"/>
      <c r="AS170" s="1690"/>
      <c r="AT170" s="1690"/>
      <c r="AU170" s="1690"/>
    </row>
    <row r="171">
      <c r="A171" s="1419"/>
      <c r="B171" s="1684"/>
      <c r="C171" s="1685"/>
      <c r="D171" s="1685"/>
      <c r="E171" s="1685"/>
      <c r="F171" s="1686"/>
      <c r="G171" s="1686"/>
      <c r="H171" s="1686"/>
      <c r="I171" s="1686"/>
      <c r="J171" s="1686"/>
      <c r="K171" s="1686"/>
      <c r="L171" s="1686"/>
      <c r="M171" s="1686"/>
      <c r="N171" s="1686"/>
      <c r="O171" s="1686"/>
      <c r="P171" s="1686"/>
      <c r="Q171" s="1686"/>
      <c r="R171" s="1686"/>
      <c r="S171" s="1686"/>
      <c r="T171" s="1686"/>
      <c r="U171" s="1686"/>
      <c r="V171" s="1686"/>
      <c r="W171" s="1686"/>
      <c r="X171" s="1686"/>
      <c r="Y171" s="1686"/>
      <c r="Z171" s="1686"/>
      <c r="AA171" s="1686"/>
      <c r="AB171" s="1686"/>
      <c r="AC171" s="1686"/>
      <c r="AD171" s="1686"/>
      <c r="AE171" s="1686"/>
      <c r="AF171" s="1686"/>
      <c r="AG171" s="1686"/>
      <c r="AH171" s="1686"/>
      <c r="AI171" s="1686"/>
      <c r="AJ171" s="1686"/>
      <c r="AK171" s="1686"/>
      <c r="AL171" s="1686"/>
      <c r="AM171" s="1686"/>
      <c r="AN171" s="1686"/>
      <c r="AO171" s="1686"/>
      <c r="AP171" s="1686"/>
      <c r="AQ171" s="1686"/>
      <c r="AR171" s="1686"/>
      <c r="AS171" s="1686"/>
      <c r="AT171" s="1686"/>
      <c r="AU171" s="1686"/>
    </row>
    <row r="172">
      <c r="A172" s="1419"/>
      <c r="B172" s="1687"/>
      <c r="C172" s="1688"/>
      <c r="D172" s="1688"/>
      <c r="E172" s="1688"/>
      <c r="F172" s="1689"/>
      <c r="G172" s="1689"/>
      <c r="H172" s="1689"/>
      <c r="I172" s="1689"/>
      <c r="J172" s="1689"/>
      <c r="K172" s="1689"/>
      <c r="L172" s="1689"/>
      <c r="M172" s="1689"/>
      <c r="N172" s="1689"/>
      <c r="O172" s="1689"/>
      <c r="P172" s="1689"/>
      <c r="Q172" s="1689"/>
      <c r="R172" s="1689"/>
      <c r="S172" s="1689"/>
      <c r="T172" s="1689"/>
      <c r="U172" s="1689"/>
      <c r="V172" s="1689"/>
      <c r="W172" s="1689"/>
      <c r="X172" s="1689"/>
      <c r="Y172" s="1689"/>
      <c r="Z172" s="1689"/>
      <c r="AA172" s="1690"/>
      <c r="AB172" s="1690"/>
      <c r="AC172" s="1690"/>
      <c r="AD172" s="1690"/>
      <c r="AE172" s="1690"/>
      <c r="AF172" s="1690"/>
      <c r="AG172" s="1690"/>
      <c r="AH172" s="1690"/>
      <c r="AI172" s="1690"/>
      <c r="AJ172" s="1690"/>
      <c r="AK172" s="1690"/>
      <c r="AL172" s="1690"/>
      <c r="AM172" s="1690"/>
      <c r="AN172" s="1690"/>
      <c r="AO172" s="1690"/>
      <c r="AP172" s="1690"/>
      <c r="AQ172" s="1690"/>
      <c r="AR172" s="1690"/>
      <c r="AS172" s="1690"/>
      <c r="AT172" s="1690"/>
      <c r="AU172" s="1690"/>
    </row>
    <row r="173">
      <c r="A173" s="1419"/>
      <c r="B173" s="1684"/>
      <c r="C173" s="1685"/>
      <c r="D173" s="1685"/>
      <c r="E173" s="1685"/>
      <c r="F173" s="1686"/>
      <c r="G173" s="1686"/>
      <c r="H173" s="1686"/>
      <c r="I173" s="1686"/>
      <c r="J173" s="1686"/>
      <c r="K173" s="1686"/>
      <c r="L173" s="1686"/>
      <c r="M173" s="1686"/>
      <c r="N173" s="1686"/>
      <c r="O173" s="1686"/>
      <c r="P173" s="1686"/>
      <c r="Q173" s="1686"/>
      <c r="R173" s="1686"/>
      <c r="S173" s="1686"/>
      <c r="T173" s="1686"/>
      <c r="U173" s="1686"/>
      <c r="V173" s="1686"/>
      <c r="W173" s="1686"/>
      <c r="X173" s="1686"/>
      <c r="Y173" s="1686"/>
      <c r="Z173" s="1686"/>
      <c r="AA173" s="1686"/>
      <c r="AB173" s="1686"/>
      <c r="AC173" s="1686"/>
      <c r="AD173" s="1686"/>
      <c r="AE173" s="1686"/>
      <c r="AF173" s="1686"/>
      <c r="AG173" s="1686"/>
      <c r="AH173" s="1686"/>
      <c r="AI173" s="1686"/>
      <c r="AJ173" s="1686"/>
      <c r="AK173" s="1686"/>
      <c r="AL173" s="1686"/>
      <c r="AM173" s="1686"/>
      <c r="AN173" s="1686"/>
      <c r="AO173" s="1686"/>
      <c r="AP173" s="1686"/>
      <c r="AQ173" s="1686"/>
      <c r="AR173" s="1686"/>
      <c r="AS173" s="1686"/>
      <c r="AT173" s="1686"/>
      <c r="AU173" s="1686"/>
    </row>
    <row r="174">
      <c r="A174" s="1419"/>
      <c r="B174" s="1687"/>
      <c r="C174" s="1688"/>
      <c r="D174" s="1688"/>
      <c r="E174" s="1688"/>
      <c r="F174" s="1689"/>
      <c r="G174" s="1689"/>
      <c r="H174" s="1689"/>
      <c r="I174" s="1689"/>
      <c r="J174" s="1689"/>
      <c r="K174" s="1689"/>
      <c r="L174" s="1689"/>
      <c r="M174" s="1689"/>
      <c r="N174" s="1689"/>
      <c r="O174" s="1689"/>
      <c r="P174" s="1689"/>
      <c r="Q174" s="1689"/>
      <c r="R174" s="1689"/>
      <c r="S174" s="1689"/>
      <c r="T174" s="1689"/>
      <c r="U174" s="1689"/>
      <c r="V174" s="1689"/>
      <c r="W174" s="1689"/>
      <c r="X174" s="1689"/>
      <c r="Y174" s="1689"/>
      <c r="Z174" s="1689"/>
      <c r="AA174" s="1690"/>
      <c r="AB174" s="1690"/>
      <c r="AC174" s="1690"/>
      <c r="AD174" s="1690"/>
      <c r="AE174" s="1690"/>
      <c r="AF174" s="1690"/>
      <c r="AG174" s="1690"/>
      <c r="AH174" s="1690"/>
      <c r="AI174" s="1690"/>
      <c r="AJ174" s="1690"/>
      <c r="AK174" s="1690"/>
      <c r="AL174" s="1690"/>
      <c r="AM174" s="1690"/>
      <c r="AN174" s="1690"/>
      <c r="AO174" s="1690"/>
      <c r="AP174" s="1690"/>
      <c r="AQ174" s="1690"/>
      <c r="AR174" s="1690"/>
      <c r="AS174" s="1690"/>
      <c r="AT174" s="1690"/>
      <c r="AU174" s="1690"/>
    </row>
    <row r="175">
      <c r="A175" s="1419"/>
      <c r="B175" s="1684"/>
      <c r="C175" s="1685"/>
      <c r="D175" s="1685"/>
      <c r="E175" s="1685"/>
      <c r="F175" s="1691"/>
      <c r="G175" s="1691"/>
      <c r="H175" s="1691"/>
      <c r="I175" s="1691"/>
      <c r="J175" s="1691"/>
      <c r="K175" s="1691"/>
      <c r="L175" s="1691"/>
      <c r="M175" s="1691"/>
      <c r="N175" s="1691"/>
      <c r="O175" s="1691"/>
      <c r="P175" s="1691"/>
      <c r="Q175" s="1691"/>
      <c r="R175" s="1691"/>
      <c r="S175" s="1691"/>
      <c r="T175" s="1691"/>
      <c r="U175" s="1691"/>
      <c r="V175" s="1691"/>
      <c r="W175" s="1691"/>
      <c r="X175" s="1691"/>
      <c r="Y175" s="1691"/>
      <c r="Z175" s="1691"/>
      <c r="AA175" s="1686"/>
      <c r="AB175" s="1686"/>
      <c r="AC175" s="1686"/>
      <c r="AD175" s="1686"/>
      <c r="AE175" s="1686"/>
      <c r="AF175" s="1686"/>
      <c r="AG175" s="1686"/>
      <c r="AH175" s="1686"/>
      <c r="AI175" s="1686"/>
      <c r="AJ175" s="1686"/>
      <c r="AK175" s="1686"/>
      <c r="AL175" s="1686"/>
      <c r="AM175" s="1686"/>
      <c r="AN175" s="1686"/>
      <c r="AO175" s="1686"/>
      <c r="AP175" s="1686"/>
      <c r="AQ175" s="1686"/>
      <c r="AR175" s="1686"/>
      <c r="AS175" s="1686"/>
      <c r="AT175" s="1686"/>
      <c r="AU175" s="1686"/>
    </row>
    <row r="176">
      <c r="A176" s="1419"/>
      <c r="B176" s="1687"/>
      <c r="C176" s="1688"/>
      <c r="D176" s="1688"/>
      <c r="E176" s="1688"/>
      <c r="F176" s="1689"/>
      <c r="G176" s="1689"/>
      <c r="H176" s="1689"/>
      <c r="I176" s="1689"/>
      <c r="J176" s="1689"/>
      <c r="K176" s="1689"/>
      <c r="L176" s="1689"/>
      <c r="M176" s="1689"/>
      <c r="N176" s="1689"/>
      <c r="O176" s="1689"/>
      <c r="P176" s="1689"/>
      <c r="Q176" s="1689"/>
      <c r="R176" s="1689"/>
      <c r="S176" s="1689"/>
      <c r="T176" s="1689"/>
      <c r="U176" s="1689"/>
      <c r="V176" s="1689"/>
      <c r="W176" s="1689"/>
      <c r="X176" s="1689"/>
      <c r="Y176" s="1689"/>
      <c r="Z176" s="1689"/>
      <c r="AA176" s="1690"/>
      <c r="AB176" s="1690"/>
      <c r="AC176" s="1690"/>
      <c r="AD176" s="1690"/>
      <c r="AE176" s="1690"/>
      <c r="AF176" s="1690"/>
      <c r="AG176" s="1690"/>
      <c r="AH176" s="1690"/>
      <c r="AI176" s="1690"/>
      <c r="AJ176" s="1690"/>
      <c r="AK176" s="1690"/>
      <c r="AL176" s="1690"/>
      <c r="AM176" s="1690"/>
      <c r="AN176" s="1690"/>
      <c r="AO176" s="1690"/>
      <c r="AP176" s="1690"/>
      <c r="AQ176" s="1690"/>
      <c r="AR176" s="1690"/>
      <c r="AS176" s="1690"/>
      <c r="AT176" s="1690"/>
      <c r="AU176" s="1690"/>
    </row>
    <row r="177">
      <c r="A177" s="1419"/>
      <c r="B177" s="1684"/>
      <c r="C177" s="1685"/>
      <c r="D177" s="1685"/>
      <c r="E177" s="1685"/>
      <c r="F177" s="1691"/>
      <c r="G177" s="1691"/>
      <c r="H177" s="1691"/>
      <c r="I177" s="1691"/>
      <c r="J177" s="1691"/>
      <c r="K177" s="1691"/>
      <c r="L177" s="1691"/>
      <c r="M177" s="1691"/>
      <c r="N177" s="1691"/>
      <c r="O177" s="1691"/>
      <c r="P177" s="1691"/>
      <c r="Q177" s="1691"/>
      <c r="R177" s="1691"/>
      <c r="S177" s="1691"/>
      <c r="T177" s="1691"/>
      <c r="U177" s="1691"/>
      <c r="V177" s="1691"/>
      <c r="W177" s="1691"/>
      <c r="X177" s="1691"/>
      <c r="Y177" s="1691"/>
      <c r="Z177" s="1691"/>
      <c r="AA177" s="1686"/>
      <c r="AB177" s="1686"/>
      <c r="AC177" s="1686"/>
      <c r="AD177" s="1686"/>
      <c r="AE177" s="1686"/>
      <c r="AF177" s="1686"/>
      <c r="AG177" s="1686"/>
      <c r="AH177" s="1686"/>
      <c r="AI177" s="1686"/>
      <c r="AJ177" s="1686"/>
      <c r="AK177" s="1686"/>
      <c r="AL177" s="1686"/>
      <c r="AM177" s="1686"/>
      <c r="AN177" s="1686"/>
      <c r="AO177" s="1686"/>
      <c r="AP177" s="1686"/>
      <c r="AQ177" s="1686"/>
      <c r="AR177" s="1686"/>
      <c r="AS177" s="1686"/>
      <c r="AT177" s="1686"/>
      <c r="AU177" s="1686"/>
    </row>
    <row r="178">
      <c r="A178" s="1419"/>
      <c r="B178" s="1687"/>
      <c r="C178" s="1688"/>
      <c r="D178" s="1688"/>
      <c r="E178" s="1688"/>
      <c r="F178" s="1689"/>
      <c r="G178" s="1689"/>
      <c r="H178" s="1689"/>
      <c r="I178" s="1689"/>
      <c r="J178" s="1689"/>
      <c r="K178" s="1689"/>
      <c r="L178" s="1689"/>
      <c r="M178" s="1689"/>
      <c r="N178" s="1689"/>
      <c r="O178" s="1689"/>
      <c r="P178" s="1689"/>
      <c r="Q178" s="1689"/>
      <c r="R178" s="1689"/>
      <c r="S178" s="1689"/>
      <c r="T178" s="1689"/>
      <c r="U178" s="1689"/>
      <c r="V178" s="1689"/>
      <c r="W178" s="1689"/>
      <c r="X178" s="1689"/>
      <c r="Y178" s="1689"/>
      <c r="Z178" s="1689"/>
      <c r="AA178" s="1690"/>
      <c r="AB178" s="1690"/>
      <c r="AC178" s="1690"/>
      <c r="AD178" s="1690"/>
      <c r="AE178" s="1690"/>
      <c r="AF178" s="1690"/>
      <c r="AG178" s="1690"/>
      <c r="AH178" s="1690"/>
      <c r="AI178" s="1690"/>
      <c r="AJ178" s="1690"/>
      <c r="AK178" s="1690"/>
      <c r="AL178" s="1690"/>
      <c r="AM178" s="1690"/>
      <c r="AN178" s="1690"/>
      <c r="AO178" s="1690"/>
      <c r="AP178" s="1690"/>
      <c r="AQ178" s="1690"/>
      <c r="AR178" s="1690"/>
      <c r="AS178" s="1690"/>
      <c r="AT178" s="1690"/>
      <c r="AU178" s="1690"/>
    </row>
    <row r="179">
      <c r="A179" s="1419"/>
      <c r="B179" s="1684"/>
      <c r="C179" s="1685"/>
      <c r="D179" s="1685"/>
      <c r="E179" s="1685"/>
      <c r="F179" s="1686"/>
      <c r="G179" s="1686"/>
      <c r="H179" s="1686"/>
      <c r="I179" s="1686"/>
      <c r="J179" s="1686"/>
      <c r="K179" s="1686"/>
      <c r="L179" s="1686"/>
      <c r="M179" s="1686"/>
      <c r="N179" s="1686"/>
      <c r="O179" s="1686"/>
      <c r="P179" s="1686"/>
      <c r="Q179" s="1686"/>
      <c r="R179" s="1686"/>
      <c r="S179" s="1686"/>
      <c r="T179" s="1686"/>
      <c r="U179" s="1686"/>
      <c r="V179" s="1686"/>
      <c r="W179" s="1686"/>
      <c r="X179" s="1686"/>
      <c r="Y179" s="1686"/>
      <c r="Z179" s="1686"/>
      <c r="AA179" s="1686"/>
      <c r="AB179" s="1686"/>
      <c r="AC179" s="1686"/>
      <c r="AD179" s="1686"/>
      <c r="AE179" s="1686"/>
      <c r="AF179" s="1686"/>
      <c r="AG179" s="1686"/>
      <c r="AH179" s="1686"/>
      <c r="AI179" s="1686"/>
      <c r="AJ179" s="1686"/>
      <c r="AK179" s="1686"/>
      <c r="AL179" s="1686"/>
      <c r="AM179" s="1686"/>
      <c r="AN179" s="1686"/>
      <c r="AO179" s="1686"/>
      <c r="AP179" s="1686"/>
      <c r="AQ179" s="1686"/>
      <c r="AR179" s="1686"/>
      <c r="AS179" s="1686"/>
      <c r="AT179" s="1686"/>
      <c r="AU179" s="1686"/>
    </row>
    <row r="180">
      <c r="A180" s="1419"/>
      <c r="B180" s="1687"/>
      <c r="C180" s="1688"/>
      <c r="D180" s="1688"/>
      <c r="E180" s="1688"/>
      <c r="F180" s="1689"/>
      <c r="G180" s="1689"/>
      <c r="H180" s="1689"/>
      <c r="I180" s="1689"/>
      <c r="J180" s="1689"/>
      <c r="K180" s="1689"/>
      <c r="L180" s="1689"/>
      <c r="M180" s="1689"/>
      <c r="N180" s="1689"/>
      <c r="O180" s="1689"/>
      <c r="P180" s="1689"/>
      <c r="Q180" s="1689"/>
      <c r="R180" s="1689"/>
      <c r="S180" s="1689"/>
      <c r="T180" s="1689"/>
      <c r="U180" s="1689"/>
      <c r="V180" s="1689"/>
      <c r="W180" s="1689"/>
      <c r="X180" s="1689"/>
      <c r="Y180" s="1689"/>
      <c r="Z180" s="1689"/>
      <c r="AA180" s="1690"/>
      <c r="AB180" s="1690"/>
      <c r="AC180" s="1690"/>
      <c r="AD180" s="1690"/>
      <c r="AE180" s="1690"/>
      <c r="AF180" s="1690"/>
      <c r="AG180" s="1690"/>
      <c r="AH180" s="1690"/>
      <c r="AI180" s="1690"/>
      <c r="AJ180" s="1690"/>
      <c r="AK180" s="1690"/>
      <c r="AL180" s="1690"/>
      <c r="AM180" s="1690"/>
      <c r="AN180" s="1690"/>
      <c r="AO180" s="1690"/>
      <c r="AP180" s="1690"/>
      <c r="AQ180" s="1690"/>
      <c r="AR180" s="1690"/>
      <c r="AS180" s="1690"/>
      <c r="AT180" s="1690"/>
      <c r="AU180" s="1690"/>
    </row>
    <row r="181">
      <c r="A181" s="1419"/>
      <c r="B181" s="1684"/>
      <c r="C181" s="1685"/>
      <c r="D181" s="1685"/>
      <c r="E181" s="1685"/>
      <c r="F181" s="1691"/>
      <c r="G181" s="1691"/>
      <c r="H181" s="1691"/>
      <c r="I181" s="1691"/>
      <c r="J181" s="1691"/>
      <c r="K181" s="1691"/>
      <c r="L181" s="1691"/>
      <c r="M181" s="1691"/>
      <c r="N181" s="1691"/>
      <c r="O181" s="1691"/>
      <c r="P181" s="1691"/>
      <c r="Q181" s="1691"/>
      <c r="R181" s="1691"/>
      <c r="S181" s="1691"/>
      <c r="T181" s="1691"/>
      <c r="U181" s="1691"/>
      <c r="V181" s="1691"/>
      <c r="W181" s="1691"/>
      <c r="X181" s="1691"/>
      <c r="Y181" s="1691"/>
      <c r="Z181" s="1691"/>
      <c r="AA181" s="1686"/>
      <c r="AB181" s="1686"/>
      <c r="AC181" s="1686"/>
      <c r="AD181" s="1686"/>
      <c r="AE181" s="1686"/>
      <c r="AF181" s="1686"/>
      <c r="AG181" s="1686"/>
      <c r="AH181" s="1686"/>
      <c r="AI181" s="1686"/>
      <c r="AJ181" s="1686"/>
      <c r="AK181" s="1686"/>
      <c r="AL181" s="1686"/>
      <c r="AM181" s="1686"/>
      <c r="AN181" s="1686"/>
      <c r="AO181" s="1686"/>
      <c r="AP181" s="1686"/>
      <c r="AQ181" s="1686"/>
      <c r="AR181" s="1686"/>
      <c r="AS181" s="1686"/>
      <c r="AT181" s="1686"/>
      <c r="AU181" s="1686"/>
    </row>
    <row r="182">
      <c r="A182" s="1419"/>
      <c r="B182" s="1687"/>
      <c r="C182" s="1688"/>
      <c r="D182" s="1688"/>
      <c r="E182" s="1688"/>
      <c r="F182" s="1689"/>
      <c r="G182" s="1689"/>
      <c r="H182" s="1689"/>
      <c r="I182" s="1689"/>
      <c r="J182" s="1689"/>
      <c r="K182" s="1689"/>
      <c r="L182" s="1689"/>
      <c r="M182" s="1689"/>
      <c r="N182" s="1689"/>
      <c r="O182" s="1689"/>
      <c r="P182" s="1689"/>
      <c r="Q182" s="1689"/>
      <c r="R182" s="1689"/>
      <c r="S182" s="1689"/>
      <c r="T182" s="1689"/>
      <c r="U182" s="1689"/>
      <c r="V182" s="1689"/>
      <c r="W182" s="1689"/>
      <c r="X182" s="1689"/>
      <c r="Y182" s="1689"/>
      <c r="Z182" s="1689"/>
      <c r="AA182" s="1690"/>
      <c r="AB182" s="1690"/>
      <c r="AC182" s="1690"/>
      <c r="AD182" s="1690"/>
      <c r="AE182" s="1690"/>
      <c r="AF182" s="1690"/>
      <c r="AG182" s="1690"/>
      <c r="AH182" s="1690"/>
      <c r="AI182" s="1690"/>
      <c r="AJ182" s="1690"/>
      <c r="AK182" s="1690"/>
      <c r="AL182" s="1690"/>
      <c r="AM182" s="1690"/>
      <c r="AN182" s="1690"/>
      <c r="AO182" s="1690"/>
      <c r="AP182" s="1690"/>
      <c r="AQ182" s="1690"/>
      <c r="AR182" s="1690"/>
      <c r="AS182" s="1690"/>
      <c r="AT182" s="1690"/>
      <c r="AU182" s="1690"/>
    </row>
    <row r="183">
      <c r="A183" s="1419"/>
      <c r="B183" s="1684"/>
      <c r="C183" s="1685"/>
      <c r="D183" s="1685"/>
      <c r="E183" s="1685"/>
      <c r="F183" s="1686"/>
      <c r="G183" s="1686"/>
      <c r="H183" s="1686"/>
      <c r="I183" s="1686"/>
      <c r="J183" s="1686"/>
      <c r="K183" s="1686"/>
      <c r="L183" s="1686"/>
      <c r="M183" s="1686"/>
      <c r="N183" s="1686"/>
      <c r="O183" s="1686"/>
      <c r="P183" s="1686"/>
      <c r="Q183" s="1686"/>
      <c r="R183" s="1686"/>
      <c r="S183" s="1686"/>
      <c r="T183" s="1686"/>
      <c r="U183" s="1686"/>
      <c r="V183" s="1686"/>
      <c r="W183" s="1686"/>
      <c r="X183" s="1686"/>
      <c r="Y183" s="1686"/>
      <c r="Z183" s="1686"/>
      <c r="AA183" s="1686"/>
      <c r="AB183" s="1686"/>
      <c r="AC183" s="1686"/>
      <c r="AD183" s="1686"/>
      <c r="AE183" s="1686"/>
      <c r="AF183" s="1686"/>
      <c r="AG183" s="1686"/>
      <c r="AH183" s="1686"/>
      <c r="AI183" s="1686"/>
      <c r="AJ183" s="1686"/>
      <c r="AK183" s="1686"/>
      <c r="AL183" s="1686"/>
      <c r="AM183" s="1686"/>
      <c r="AN183" s="1686"/>
      <c r="AO183" s="1686"/>
      <c r="AP183" s="1686"/>
      <c r="AQ183" s="1686"/>
      <c r="AR183" s="1686"/>
      <c r="AS183" s="1686"/>
      <c r="AT183" s="1686"/>
      <c r="AU183" s="1686"/>
    </row>
    <row r="184">
      <c r="A184" s="1419"/>
      <c r="B184" s="1687"/>
      <c r="C184" s="1688"/>
      <c r="D184" s="1688"/>
      <c r="E184" s="1688"/>
      <c r="F184" s="1690"/>
      <c r="G184" s="1690"/>
      <c r="H184" s="1690"/>
      <c r="I184" s="1690"/>
      <c r="J184" s="1690"/>
      <c r="K184" s="1690"/>
      <c r="L184" s="1690"/>
      <c r="M184" s="1690"/>
      <c r="N184" s="1690"/>
      <c r="O184" s="1690"/>
      <c r="P184" s="1690"/>
      <c r="Q184" s="1690"/>
      <c r="R184" s="1690"/>
      <c r="S184" s="1690"/>
      <c r="T184" s="1690"/>
      <c r="U184" s="1690"/>
      <c r="V184" s="1690"/>
      <c r="W184" s="1690"/>
      <c r="X184" s="1690"/>
      <c r="Y184" s="1690"/>
      <c r="Z184" s="1690"/>
      <c r="AA184" s="1690"/>
      <c r="AB184" s="1690"/>
      <c r="AC184" s="1690"/>
      <c r="AD184" s="1690"/>
      <c r="AE184" s="1690"/>
      <c r="AF184" s="1690"/>
      <c r="AG184" s="1690"/>
      <c r="AH184" s="1690"/>
      <c r="AI184" s="1690"/>
      <c r="AJ184" s="1690"/>
      <c r="AK184" s="1690"/>
      <c r="AL184" s="1690"/>
      <c r="AM184" s="1690"/>
      <c r="AN184" s="1690"/>
      <c r="AO184" s="1690"/>
      <c r="AP184" s="1690"/>
      <c r="AQ184" s="1690"/>
      <c r="AR184" s="1690"/>
      <c r="AS184" s="1690"/>
      <c r="AT184" s="1690"/>
      <c r="AU184" s="1690"/>
    </row>
    <row r="185">
      <c r="A185" s="1419"/>
      <c r="B185" s="1684"/>
      <c r="C185" s="1685"/>
      <c r="D185" s="1685"/>
      <c r="E185" s="1685"/>
      <c r="F185" s="1691"/>
      <c r="G185" s="1691"/>
      <c r="H185" s="1691"/>
      <c r="I185" s="1691"/>
      <c r="J185" s="1691"/>
      <c r="K185" s="1691"/>
      <c r="L185" s="1691"/>
      <c r="M185" s="1691"/>
      <c r="N185" s="1691"/>
      <c r="O185" s="1691"/>
      <c r="P185" s="1691"/>
      <c r="Q185" s="1691"/>
      <c r="R185" s="1691"/>
      <c r="S185" s="1691"/>
      <c r="T185" s="1691"/>
      <c r="U185" s="1691"/>
      <c r="V185" s="1691"/>
      <c r="W185" s="1691"/>
      <c r="X185" s="1691"/>
      <c r="Y185" s="1691"/>
      <c r="Z185" s="1691"/>
      <c r="AA185" s="1686"/>
      <c r="AB185" s="1686"/>
      <c r="AC185" s="1686"/>
      <c r="AD185" s="1686"/>
      <c r="AE185" s="1686"/>
      <c r="AF185" s="1686"/>
      <c r="AG185" s="1686"/>
      <c r="AH185" s="1686"/>
      <c r="AI185" s="1686"/>
      <c r="AJ185" s="1686"/>
      <c r="AK185" s="1686"/>
      <c r="AL185" s="1686"/>
      <c r="AM185" s="1686"/>
      <c r="AN185" s="1686"/>
      <c r="AO185" s="1686"/>
      <c r="AP185" s="1686"/>
      <c r="AQ185" s="1686"/>
      <c r="AR185" s="1686"/>
      <c r="AS185" s="1686"/>
      <c r="AT185" s="1686"/>
      <c r="AU185" s="1686"/>
    </row>
    <row r="186">
      <c r="A186" s="1419"/>
      <c r="B186" s="1687"/>
      <c r="C186" s="1688"/>
      <c r="D186" s="1688"/>
      <c r="E186" s="1688"/>
      <c r="F186" s="1690"/>
      <c r="G186" s="1690"/>
      <c r="H186" s="1690"/>
      <c r="I186" s="1690"/>
      <c r="J186" s="1690"/>
      <c r="K186" s="1690"/>
      <c r="L186" s="1690"/>
      <c r="M186" s="1690"/>
      <c r="N186" s="1690"/>
      <c r="O186" s="1690"/>
      <c r="P186" s="1690"/>
      <c r="Q186" s="1690"/>
      <c r="R186" s="1690"/>
      <c r="S186" s="1690"/>
      <c r="T186" s="1690"/>
      <c r="U186" s="1690"/>
      <c r="V186" s="1690"/>
      <c r="W186" s="1690"/>
      <c r="X186" s="1690"/>
      <c r="Y186" s="1690"/>
      <c r="Z186" s="1690"/>
      <c r="AA186" s="1690"/>
      <c r="AB186" s="1690"/>
      <c r="AC186" s="1690"/>
      <c r="AD186" s="1690"/>
      <c r="AE186" s="1690"/>
      <c r="AF186" s="1690"/>
      <c r="AG186" s="1690"/>
      <c r="AH186" s="1690"/>
      <c r="AI186" s="1690"/>
      <c r="AJ186" s="1690"/>
      <c r="AK186" s="1690"/>
      <c r="AL186" s="1690"/>
      <c r="AM186" s="1690"/>
      <c r="AN186" s="1690"/>
      <c r="AO186" s="1690"/>
      <c r="AP186" s="1690"/>
      <c r="AQ186" s="1690"/>
      <c r="AR186" s="1690"/>
      <c r="AS186" s="1690"/>
      <c r="AT186" s="1690"/>
      <c r="AU186" s="1690"/>
    </row>
    <row r="187">
      <c r="A187" s="1419"/>
      <c r="B187" s="1684"/>
      <c r="C187" s="1685"/>
      <c r="D187" s="1685"/>
      <c r="E187" s="1685"/>
      <c r="F187" s="1686"/>
      <c r="G187" s="1686"/>
      <c r="H187" s="1686"/>
      <c r="I187" s="1686"/>
      <c r="J187" s="1686"/>
      <c r="K187" s="1686"/>
      <c r="L187" s="1686"/>
      <c r="M187" s="1686"/>
      <c r="N187" s="1686"/>
      <c r="O187" s="1686"/>
      <c r="P187" s="1686"/>
      <c r="Q187" s="1686"/>
      <c r="R187" s="1686"/>
      <c r="S187" s="1686"/>
      <c r="T187" s="1686"/>
      <c r="U187" s="1686"/>
      <c r="V187" s="1686"/>
      <c r="W187" s="1686"/>
      <c r="X187" s="1686"/>
      <c r="Y187" s="1686"/>
      <c r="Z187" s="1686"/>
      <c r="AA187" s="1686"/>
      <c r="AB187" s="1686"/>
      <c r="AC187" s="1686"/>
      <c r="AD187" s="1686"/>
      <c r="AE187" s="1686"/>
      <c r="AF187" s="1686"/>
      <c r="AG187" s="1686"/>
      <c r="AH187" s="1686"/>
      <c r="AI187" s="1686"/>
      <c r="AJ187" s="1686"/>
      <c r="AK187" s="1686"/>
      <c r="AL187" s="1686"/>
      <c r="AM187" s="1686"/>
      <c r="AN187" s="1686"/>
      <c r="AO187" s="1686"/>
      <c r="AP187" s="1686"/>
      <c r="AQ187" s="1686"/>
      <c r="AR187" s="1686"/>
      <c r="AS187" s="1686"/>
      <c r="AT187" s="1686"/>
      <c r="AU187" s="1686"/>
    </row>
    <row r="188">
      <c r="A188" s="1419"/>
      <c r="B188" s="1687"/>
      <c r="C188" s="1688"/>
      <c r="D188" s="1688"/>
      <c r="E188" s="1688"/>
      <c r="F188" s="1689"/>
      <c r="G188" s="1689"/>
      <c r="H188" s="1689"/>
      <c r="I188" s="1689"/>
      <c r="J188" s="1689"/>
      <c r="K188" s="1689"/>
      <c r="L188" s="1689"/>
      <c r="M188" s="1689"/>
      <c r="N188" s="1689"/>
      <c r="O188" s="1689"/>
      <c r="P188" s="1689"/>
      <c r="Q188" s="1689"/>
      <c r="R188" s="1689"/>
      <c r="S188" s="1689"/>
      <c r="T188" s="1689"/>
      <c r="U188" s="1689"/>
      <c r="V188" s="1689"/>
      <c r="W188" s="1689"/>
      <c r="X188" s="1689"/>
      <c r="Y188" s="1689"/>
      <c r="Z188" s="1689"/>
      <c r="AA188" s="1690"/>
      <c r="AB188" s="1690"/>
      <c r="AC188" s="1690"/>
      <c r="AD188" s="1690"/>
      <c r="AE188" s="1690"/>
      <c r="AF188" s="1690"/>
      <c r="AG188" s="1690"/>
      <c r="AH188" s="1690"/>
      <c r="AI188" s="1690"/>
      <c r="AJ188" s="1690"/>
      <c r="AK188" s="1690"/>
      <c r="AL188" s="1690"/>
      <c r="AM188" s="1690"/>
      <c r="AN188" s="1690"/>
      <c r="AO188" s="1690"/>
      <c r="AP188" s="1690"/>
      <c r="AQ188" s="1690"/>
      <c r="AR188" s="1690"/>
      <c r="AS188" s="1690"/>
      <c r="AT188" s="1690"/>
      <c r="AU188" s="1690"/>
    </row>
    <row r="189">
      <c r="A189" s="1419"/>
      <c r="B189" s="1684"/>
      <c r="C189" s="1685"/>
      <c r="D189" s="1685"/>
      <c r="E189" s="1685"/>
      <c r="F189" s="1686"/>
      <c r="G189" s="1686"/>
      <c r="H189" s="1686"/>
      <c r="I189" s="1686"/>
      <c r="J189" s="1686"/>
      <c r="K189" s="1686"/>
      <c r="L189" s="1686"/>
      <c r="M189" s="1686"/>
      <c r="N189" s="1686"/>
      <c r="O189" s="1686"/>
      <c r="P189" s="1686"/>
      <c r="Q189" s="1686"/>
      <c r="R189" s="1686"/>
      <c r="S189" s="1686"/>
      <c r="T189" s="1686"/>
      <c r="U189" s="1686"/>
      <c r="V189" s="1686"/>
      <c r="W189" s="1686"/>
      <c r="X189" s="1686"/>
      <c r="Y189" s="1686"/>
      <c r="Z189" s="1686"/>
      <c r="AA189" s="1686"/>
      <c r="AB189" s="1686"/>
      <c r="AC189" s="1686"/>
      <c r="AD189" s="1686"/>
      <c r="AE189" s="1686"/>
      <c r="AF189" s="1686"/>
      <c r="AG189" s="1686"/>
      <c r="AH189" s="1686"/>
      <c r="AI189" s="1686"/>
      <c r="AJ189" s="1686"/>
      <c r="AK189" s="1686"/>
      <c r="AL189" s="1686"/>
      <c r="AM189" s="1686"/>
      <c r="AN189" s="1686"/>
      <c r="AO189" s="1686"/>
      <c r="AP189" s="1686"/>
      <c r="AQ189" s="1686"/>
      <c r="AR189" s="1686"/>
      <c r="AS189" s="1686"/>
      <c r="AT189" s="1686"/>
      <c r="AU189" s="1686"/>
    </row>
    <row r="190">
      <c r="A190" s="1419"/>
      <c r="B190" s="1687"/>
      <c r="C190" s="1688"/>
      <c r="D190" s="1688"/>
      <c r="E190" s="1688"/>
      <c r="F190" s="1690"/>
      <c r="G190" s="1690"/>
      <c r="H190" s="1690"/>
      <c r="I190" s="1690"/>
      <c r="J190" s="1690"/>
      <c r="K190" s="1690"/>
      <c r="L190" s="1690"/>
      <c r="M190" s="1690"/>
      <c r="N190" s="1690"/>
      <c r="O190" s="1690"/>
      <c r="P190" s="1690"/>
      <c r="Q190" s="1690"/>
      <c r="R190" s="1690"/>
      <c r="S190" s="1690"/>
      <c r="T190" s="1690"/>
      <c r="U190" s="1690"/>
      <c r="V190" s="1690"/>
      <c r="W190" s="1690"/>
      <c r="X190" s="1690"/>
      <c r="Y190" s="1690"/>
      <c r="Z190" s="1690"/>
      <c r="AA190" s="1690"/>
      <c r="AB190" s="1690"/>
      <c r="AC190" s="1690"/>
      <c r="AD190" s="1690"/>
      <c r="AE190" s="1690"/>
      <c r="AF190" s="1690"/>
      <c r="AG190" s="1690"/>
      <c r="AH190" s="1690"/>
      <c r="AI190" s="1690"/>
      <c r="AJ190" s="1690"/>
      <c r="AK190" s="1690"/>
      <c r="AL190" s="1690"/>
      <c r="AM190" s="1690"/>
      <c r="AN190" s="1690"/>
      <c r="AO190" s="1690"/>
      <c r="AP190" s="1690"/>
      <c r="AQ190" s="1690"/>
      <c r="AR190" s="1690"/>
      <c r="AS190" s="1690"/>
      <c r="AT190" s="1690"/>
      <c r="AU190" s="1690"/>
    </row>
    <row r="191">
      <c r="A191" s="1419"/>
      <c r="B191" s="1684"/>
      <c r="C191" s="1685"/>
      <c r="D191" s="1685"/>
      <c r="E191" s="1685"/>
      <c r="F191" s="1691"/>
      <c r="G191" s="1691"/>
      <c r="H191" s="1691"/>
      <c r="I191" s="1691"/>
      <c r="J191" s="1691"/>
      <c r="K191" s="1691"/>
      <c r="L191" s="1691"/>
      <c r="M191" s="1691"/>
      <c r="N191" s="1691"/>
      <c r="O191" s="1691"/>
      <c r="P191" s="1691"/>
      <c r="Q191" s="1691"/>
      <c r="R191" s="1691"/>
      <c r="S191" s="1691"/>
      <c r="T191" s="1691"/>
      <c r="U191" s="1691"/>
      <c r="V191" s="1691"/>
      <c r="W191" s="1691"/>
      <c r="X191" s="1691"/>
      <c r="Y191" s="1691"/>
      <c r="Z191" s="1691"/>
      <c r="AA191" s="1686"/>
      <c r="AB191" s="1686"/>
      <c r="AC191" s="1686"/>
      <c r="AD191" s="1686"/>
      <c r="AE191" s="1686"/>
      <c r="AF191" s="1686"/>
      <c r="AG191" s="1686"/>
      <c r="AH191" s="1686"/>
      <c r="AI191" s="1686"/>
      <c r="AJ191" s="1686"/>
      <c r="AK191" s="1686"/>
      <c r="AL191" s="1686"/>
      <c r="AM191" s="1686"/>
      <c r="AN191" s="1686"/>
      <c r="AO191" s="1686"/>
      <c r="AP191" s="1686"/>
      <c r="AQ191" s="1686"/>
      <c r="AR191" s="1686"/>
      <c r="AS191" s="1686"/>
      <c r="AT191" s="1686"/>
      <c r="AU191" s="1686"/>
    </row>
    <row r="192">
      <c r="A192" s="1419"/>
      <c r="B192" s="1687"/>
      <c r="C192" s="1688"/>
      <c r="D192" s="1688"/>
      <c r="E192" s="1688"/>
      <c r="F192" s="1689"/>
      <c r="G192" s="1689"/>
      <c r="H192" s="1689"/>
      <c r="I192" s="1689"/>
      <c r="J192" s="1689"/>
      <c r="K192" s="1689"/>
      <c r="L192" s="1689"/>
      <c r="M192" s="1689"/>
      <c r="N192" s="1689"/>
      <c r="O192" s="1689"/>
      <c r="P192" s="1689"/>
      <c r="Q192" s="1689"/>
      <c r="R192" s="1689"/>
      <c r="S192" s="1689"/>
      <c r="T192" s="1689"/>
      <c r="U192" s="1689"/>
      <c r="V192" s="1689"/>
      <c r="W192" s="1689"/>
      <c r="X192" s="1689"/>
      <c r="Y192" s="1689"/>
      <c r="Z192" s="1689"/>
      <c r="AA192" s="1690"/>
      <c r="AB192" s="1690"/>
      <c r="AC192" s="1690"/>
      <c r="AD192" s="1690"/>
      <c r="AE192" s="1690"/>
      <c r="AF192" s="1690"/>
      <c r="AG192" s="1690"/>
      <c r="AH192" s="1690"/>
      <c r="AI192" s="1690"/>
      <c r="AJ192" s="1690"/>
      <c r="AK192" s="1690"/>
      <c r="AL192" s="1690"/>
      <c r="AM192" s="1690"/>
      <c r="AN192" s="1690"/>
      <c r="AO192" s="1690"/>
      <c r="AP192" s="1690"/>
      <c r="AQ192" s="1690"/>
      <c r="AR192" s="1690"/>
      <c r="AS192" s="1690"/>
      <c r="AT192" s="1690"/>
      <c r="AU192" s="1690"/>
    </row>
    <row r="193">
      <c r="A193" s="1419"/>
      <c r="B193" s="1684"/>
      <c r="C193" s="1685"/>
      <c r="D193" s="1685"/>
      <c r="E193" s="1685"/>
      <c r="F193" s="1691"/>
      <c r="G193" s="1691"/>
      <c r="H193" s="1691"/>
      <c r="I193" s="1691"/>
      <c r="J193" s="1691"/>
      <c r="K193" s="1691"/>
      <c r="L193" s="1691"/>
      <c r="M193" s="1691"/>
      <c r="N193" s="1691"/>
      <c r="O193" s="1691"/>
      <c r="P193" s="1691"/>
      <c r="Q193" s="1691"/>
      <c r="R193" s="1691"/>
      <c r="S193" s="1691"/>
      <c r="T193" s="1691"/>
      <c r="U193" s="1691"/>
      <c r="V193" s="1691"/>
      <c r="W193" s="1691"/>
      <c r="X193" s="1691"/>
      <c r="Y193" s="1691"/>
      <c r="Z193" s="1691"/>
      <c r="AA193" s="1686"/>
      <c r="AB193" s="1686"/>
      <c r="AC193" s="1686"/>
      <c r="AD193" s="1686"/>
      <c r="AE193" s="1686"/>
      <c r="AF193" s="1686"/>
      <c r="AG193" s="1686"/>
      <c r="AH193" s="1686"/>
      <c r="AI193" s="1686"/>
      <c r="AJ193" s="1686"/>
      <c r="AK193" s="1686"/>
      <c r="AL193" s="1686"/>
      <c r="AM193" s="1686"/>
      <c r="AN193" s="1686"/>
      <c r="AO193" s="1686"/>
      <c r="AP193" s="1686"/>
      <c r="AQ193" s="1686"/>
      <c r="AR193" s="1686"/>
      <c r="AS193" s="1686"/>
      <c r="AT193" s="1686"/>
      <c r="AU193" s="1686"/>
    </row>
    <row r="194">
      <c r="A194" s="1419"/>
      <c r="B194" s="1687"/>
      <c r="C194" s="1688"/>
      <c r="D194" s="1688"/>
      <c r="E194" s="1688"/>
      <c r="F194" s="1690"/>
      <c r="G194" s="1690"/>
      <c r="H194" s="1690"/>
      <c r="I194" s="1690"/>
      <c r="J194" s="1690"/>
      <c r="K194" s="1690"/>
      <c r="L194" s="1690"/>
      <c r="M194" s="1690"/>
      <c r="N194" s="1690"/>
      <c r="O194" s="1690"/>
      <c r="P194" s="1690"/>
      <c r="Q194" s="1690"/>
      <c r="R194" s="1690"/>
      <c r="S194" s="1690"/>
      <c r="T194" s="1690"/>
      <c r="U194" s="1690"/>
      <c r="V194" s="1690"/>
      <c r="W194" s="1690"/>
      <c r="X194" s="1690"/>
      <c r="Y194" s="1690"/>
      <c r="Z194" s="1690"/>
      <c r="AA194" s="1690"/>
      <c r="AB194" s="1690"/>
      <c r="AC194" s="1690"/>
      <c r="AD194" s="1690"/>
      <c r="AE194" s="1690"/>
      <c r="AF194" s="1690"/>
      <c r="AG194" s="1690"/>
      <c r="AH194" s="1690"/>
      <c r="AI194" s="1690"/>
      <c r="AJ194" s="1690"/>
      <c r="AK194" s="1690"/>
      <c r="AL194" s="1690"/>
      <c r="AM194" s="1690"/>
      <c r="AN194" s="1690"/>
      <c r="AO194" s="1690"/>
      <c r="AP194" s="1690"/>
      <c r="AQ194" s="1690"/>
      <c r="AR194" s="1690"/>
      <c r="AS194" s="1690"/>
      <c r="AT194" s="1690"/>
      <c r="AU194" s="1690"/>
    </row>
    <row r="195">
      <c r="A195" s="1440" t="s">
        <v>2461</v>
      </c>
      <c r="B195" s="1684"/>
      <c r="C195" s="1685"/>
      <c r="D195" s="1685"/>
      <c r="E195" s="1685"/>
      <c r="F195" s="1691"/>
      <c r="G195" s="1691"/>
      <c r="H195" s="1691"/>
      <c r="I195" s="1691"/>
      <c r="J195" s="1691"/>
      <c r="K195" s="1691"/>
      <c r="L195" s="1691"/>
      <c r="M195" s="1691"/>
      <c r="N195" s="1691"/>
      <c r="O195" s="1691"/>
      <c r="P195" s="1691"/>
      <c r="Q195" s="1691"/>
      <c r="R195" s="1691"/>
      <c r="S195" s="1691"/>
      <c r="T195" s="1691"/>
      <c r="U195" s="1691"/>
      <c r="V195" s="1691"/>
      <c r="W195" s="1691"/>
      <c r="X195" s="1691"/>
      <c r="Y195" s="1691"/>
      <c r="Z195" s="1691"/>
      <c r="AA195" s="1686"/>
      <c r="AB195" s="1686"/>
      <c r="AC195" s="1686"/>
      <c r="AD195" s="1686"/>
      <c r="AE195" s="1686"/>
      <c r="AF195" s="1686"/>
      <c r="AG195" s="1686"/>
      <c r="AH195" s="1686"/>
      <c r="AI195" s="1686"/>
      <c r="AJ195" s="1686"/>
      <c r="AK195" s="1686"/>
      <c r="AL195" s="1686"/>
      <c r="AM195" s="1686"/>
      <c r="AN195" s="1686"/>
      <c r="AO195" s="1686"/>
      <c r="AP195" s="1686"/>
      <c r="AQ195" s="1686"/>
      <c r="AR195" s="1686"/>
      <c r="AS195" s="1686"/>
      <c r="AT195" s="1686"/>
      <c r="AU195" s="1686"/>
    </row>
    <row r="196">
      <c r="A196" s="1440" t="s">
        <v>2461</v>
      </c>
      <c r="B196" s="1687"/>
      <c r="C196" s="1688"/>
      <c r="D196" s="1688"/>
      <c r="E196" s="1688"/>
      <c r="F196" s="1689"/>
      <c r="G196" s="1689"/>
      <c r="H196" s="1689"/>
      <c r="I196" s="1689"/>
      <c r="J196" s="1689"/>
      <c r="K196" s="1689"/>
      <c r="L196" s="1689"/>
      <c r="M196" s="1689"/>
      <c r="N196" s="1689"/>
      <c r="O196" s="1689"/>
      <c r="P196" s="1689"/>
      <c r="Q196" s="1689"/>
      <c r="R196" s="1689"/>
      <c r="S196" s="1689"/>
      <c r="T196" s="1689"/>
      <c r="U196" s="1689"/>
      <c r="V196" s="1689"/>
      <c r="W196" s="1689"/>
      <c r="X196" s="1689"/>
      <c r="Y196" s="1689"/>
      <c r="Z196" s="1689"/>
      <c r="AA196" s="1690"/>
      <c r="AB196" s="1690"/>
      <c r="AC196" s="1690"/>
      <c r="AD196" s="1690"/>
      <c r="AE196" s="1690"/>
      <c r="AF196" s="1690"/>
      <c r="AG196" s="1690"/>
      <c r="AH196" s="1690"/>
      <c r="AI196" s="1690"/>
      <c r="AJ196" s="1690"/>
      <c r="AK196" s="1690"/>
      <c r="AL196" s="1690"/>
      <c r="AM196" s="1690"/>
      <c r="AN196" s="1690"/>
      <c r="AO196" s="1690"/>
      <c r="AP196" s="1690"/>
      <c r="AQ196" s="1690"/>
      <c r="AR196" s="1690"/>
      <c r="AS196" s="1690"/>
      <c r="AT196" s="1690"/>
      <c r="AU196" s="1690"/>
    </row>
    <row r="197">
      <c r="A197" s="1419"/>
      <c r="B197" s="1684"/>
      <c r="C197" s="1685"/>
      <c r="D197" s="1685"/>
      <c r="E197" s="1685"/>
      <c r="F197" s="1686"/>
      <c r="G197" s="1686"/>
      <c r="H197" s="1686"/>
      <c r="I197" s="1686"/>
      <c r="J197" s="1686"/>
      <c r="K197" s="1686"/>
      <c r="L197" s="1686"/>
      <c r="M197" s="1686"/>
      <c r="N197" s="1686"/>
      <c r="O197" s="1686"/>
      <c r="P197" s="1686"/>
      <c r="Q197" s="1686"/>
      <c r="R197" s="1686"/>
      <c r="S197" s="1686"/>
      <c r="T197" s="1686"/>
      <c r="U197" s="1686"/>
      <c r="V197" s="1686"/>
      <c r="W197" s="1686"/>
      <c r="X197" s="1686"/>
      <c r="Y197" s="1686"/>
      <c r="Z197" s="1686"/>
      <c r="AA197" s="1686"/>
      <c r="AB197" s="1686"/>
      <c r="AC197" s="1686"/>
      <c r="AD197" s="1686"/>
      <c r="AE197" s="1686"/>
      <c r="AF197" s="1686"/>
      <c r="AG197" s="1686"/>
      <c r="AH197" s="1686"/>
      <c r="AI197" s="1686"/>
      <c r="AJ197" s="1686"/>
      <c r="AK197" s="1686"/>
      <c r="AL197" s="1686"/>
      <c r="AM197" s="1686"/>
      <c r="AN197" s="1686"/>
      <c r="AO197" s="1686"/>
      <c r="AP197" s="1686"/>
      <c r="AQ197" s="1686"/>
      <c r="AR197" s="1686"/>
      <c r="AS197" s="1686"/>
      <c r="AT197" s="1686"/>
      <c r="AU197" s="1686"/>
    </row>
    <row r="198">
      <c r="A198" s="1419"/>
      <c r="B198" s="1687"/>
      <c r="C198" s="1688"/>
      <c r="D198" s="1688"/>
      <c r="E198" s="1688"/>
      <c r="F198" s="1690"/>
      <c r="G198" s="1690"/>
      <c r="H198" s="1690"/>
      <c r="I198" s="1690"/>
      <c r="J198" s="1690"/>
      <c r="K198" s="1690"/>
      <c r="L198" s="1690"/>
      <c r="M198" s="1690"/>
      <c r="N198" s="1690"/>
      <c r="O198" s="1690"/>
      <c r="P198" s="1690"/>
      <c r="Q198" s="1690"/>
      <c r="R198" s="1690"/>
      <c r="S198" s="1690"/>
      <c r="T198" s="1690"/>
      <c r="U198" s="1690"/>
      <c r="V198" s="1690"/>
      <c r="W198" s="1690"/>
      <c r="X198" s="1690"/>
      <c r="Y198" s="1690"/>
      <c r="Z198" s="1690"/>
      <c r="AA198" s="1690"/>
      <c r="AB198" s="1690"/>
      <c r="AC198" s="1690"/>
      <c r="AD198" s="1690"/>
      <c r="AE198" s="1690"/>
      <c r="AF198" s="1690"/>
      <c r="AG198" s="1690"/>
      <c r="AH198" s="1690"/>
      <c r="AI198" s="1690"/>
      <c r="AJ198" s="1690"/>
      <c r="AK198" s="1690"/>
      <c r="AL198" s="1690"/>
      <c r="AM198" s="1690"/>
      <c r="AN198" s="1690"/>
      <c r="AO198" s="1690"/>
      <c r="AP198" s="1690"/>
      <c r="AQ198" s="1690"/>
      <c r="AR198" s="1690"/>
      <c r="AS198" s="1690"/>
      <c r="AT198" s="1690"/>
      <c r="AU198" s="1690"/>
    </row>
    <row r="199">
      <c r="A199" s="1419"/>
      <c r="B199" s="1684"/>
      <c r="C199" s="1685"/>
      <c r="D199" s="1685"/>
      <c r="E199" s="1685"/>
      <c r="F199" s="1691"/>
      <c r="G199" s="1691"/>
      <c r="H199" s="1691"/>
      <c r="I199" s="1691"/>
      <c r="J199" s="1691"/>
      <c r="K199" s="1691"/>
      <c r="L199" s="1691"/>
      <c r="M199" s="1691"/>
      <c r="N199" s="1691"/>
      <c r="O199" s="1691"/>
      <c r="P199" s="1691"/>
      <c r="Q199" s="1691"/>
      <c r="R199" s="1691"/>
      <c r="S199" s="1691"/>
      <c r="T199" s="1691"/>
      <c r="U199" s="1691"/>
      <c r="V199" s="1691"/>
      <c r="W199" s="1691"/>
      <c r="X199" s="1691"/>
      <c r="Y199" s="1691"/>
      <c r="Z199" s="1691"/>
      <c r="AA199" s="1686"/>
      <c r="AB199" s="1686"/>
      <c r="AC199" s="1686"/>
      <c r="AD199" s="1686"/>
      <c r="AE199" s="1686"/>
      <c r="AF199" s="1686"/>
      <c r="AG199" s="1686"/>
      <c r="AH199" s="1686"/>
      <c r="AI199" s="1686"/>
      <c r="AJ199" s="1686"/>
      <c r="AK199" s="1686"/>
      <c r="AL199" s="1686"/>
      <c r="AM199" s="1686"/>
      <c r="AN199" s="1686"/>
      <c r="AO199" s="1686"/>
      <c r="AP199" s="1686"/>
      <c r="AQ199" s="1686"/>
      <c r="AR199" s="1686"/>
      <c r="AS199" s="1686"/>
      <c r="AT199" s="1686"/>
      <c r="AU199" s="1686"/>
    </row>
    <row r="200">
      <c r="A200" s="1419"/>
      <c r="B200" s="1687"/>
      <c r="C200" s="1688"/>
      <c r="D200" s="1688"/>
      <c r="E200" s="1688"/>
      <c r="F200" s="1689"/>
      <c r="G200" s="1689"/>
      <c r="H200" s="1689"/>
      <c r="I200" s="1689"/>
      <c r="J200" s="1689"/>
      <c r="K200" s="1689"/>
      <c r="L200" s="1689"/>
      <c r="M200" s="1689"/>
      <c r="N200" s="1689"/>
      <c r="O200" s="1689"/>
      <c r="P200" s="1689"/>
      <c r="Q200" s="1689"/>
      <c r="R200" s="1689"/>
      <c r="S200" s="1689"/>
      <c r="T200" s="1689"/>
      <c r="U200" s="1689"/>
      <c r="V200" s="1689"/>
      <c r="W200" s="1689"/>
      <c r="X200" s="1689"/>
      <c r="Y200" s="1689"/>
      <c r="Z200" s="1689"/>
      <c r="AA200" s="1690"/>
      <c r="AB200" s="1690"/>
      <c r="AC200" s="1690"/>
      <c r="AD200" s="1690"/>
      <c r="AE200" s="1690"/>
      <c r="AF200" s="1690"/>
      <c r="AG200" s="1690"/>
      <c r="AH200" s="1690"/>
      <c r="AI200" s="1690"/>
      <c r="AJ200" s="1690"/>
      <c r="AK200" s="1690"/>
      <c r="AL200" s="1690"/>
      <c r="AM200" s="1690"/>
      <c r="AN200" s="1690"/>
      <c r="AO200" s="1690"/>
      <c r="AP200" s="1690"/>
      <c r="AQ200" s="1690"/>
      <c r="AR200" s="1690"/>
      <c r="AS200" s="1690"/>
      <c r="AT200" s="1690"/>
      <c r="AU200" s="1690"/>
    </row>
    <row r="201">
      <c r="A201" s="1419"/>
      <c r="B201" s="1684"/>
      <c r="C201" s="1685"/>
      <c r="D201" s="1685"/>
      <c r="E201" s="1685"/>
      <c r="F201" s="1691"/>
      <c r="G201" s="1691"/>
      <c r="H201" s="1691"/>
      <c r="I201" s="1691"/>
      <c r="J201" s="1691"/>
      <c r="K201" s="1691"/>
      <c r="L201" s="1691"/>
      <c r="M201" s="1691"/>
      <c r="N201" s="1691"/>
      <c r="O201" s="1691"/>
      <c r="P201" s="1691"/>
      <c r="Q201" s="1691"/>
      <c r="R201" s="1691"/>
      <c r="S201" s="1691"/>
      <c r="T201" s="1691"/>
      <c r="U201" s="1691"/>
      <c r="V201" s="1691"/>
      <c r="W201" s="1691"/>
      <c r="X201" s="1691"/>
      <c r="Y201" s="1691"/>
      <c r="Z201" s="1691"/>
      <c r="AA201" s="1686"/>
      <c r="AB201" s="1686"/>
      <c r="AC201" s="1686"/>
      <c r="AD201" s="1686"/>
      <c r="AE201" s="1686"/>
      <c r="AF201" s="1686"/>
      <c r="AG201" s="1686"/>
      <c r="AH201" s="1686"/>
      <c r="AI201" s="1686"/>
      <c r="AJ201" s="1686"/>
      <c r="AK201" s="1686"/>
      <c r="AL201" s="1686"/>
      <c r="AM201" s="1686"/>
      <c r="AN201" s="1686"/>
      <c r="AO201" s="1686"/>
      <c r="AP201" s="1686"/>
      <c r="AQ201" s="1686"/>
      <c r="AR201" s="1686"/>
      <c r="AS201" s="1686"/>
      <c r="AT201" s="1686"/>
      <c r="AU201" s="1686"/>
    </row>
    <row r="202">
      <c r="A202" s="1419"/>
      <c r="B202" s="1687"/>
      <c r="C202" s="1688"/>
      <c r="D202" s="1688"/>
      <c r="E202" s="1688"/>
      <c r="F202" s="1689"/>
      <c r="G202" s="1689"/>
      <c r="H202" s="1689"/>
      <c r="I202" s="1689"/>
      <c r="J202" s="1689"/>
      <c r="K202" s="1689"/>
      <c r="L202" s="1689"/>
      <c r="M202" s="1689"/>
      <c r="N202" s="1689"/>
      <c r="O202" s="1689"/>
      <c r="P202" s="1689"/>
      <c r="Q202" s="1689"/>
      <c r="R202" s="1689"/>
      <c r="S202" s="1689"/>
      <c r="T202" s="1689"/>
      <c r="U202" s="1689"/>
      <c r="V202" s="1689"/>
      <c r="W202" s="1689"/>
      <c r="X202" s="1689"/>
      <c r="Y202" s="1689"/>
      <c r="Z202" s="1689"/>
      <c r="AA202" s="1690"/>
      <c r="AB202" s="1690"/>
      <c r="AC202" s="1690"/>
      <c r="AD202" s="1690"/>
      <c r="AE202" s="1690"/>
      <c r="AF202" s="1690"/>
      <c r="AG202" s="1690"/>
      <c r="AH202" s="1690"/>
      <c r="AI202" s="1690"/>
      <c r="AJ202" s="1690"/>
      <c r="AK202" s="1690"/>
      <c r="AL202" s="1690"/>
      <c r="AM202" s="1690"/>
      <c r="AN202" s="1690"/>
      <c r="AO202" s="1690"/>
      <c r="AP202" s="1690"/>
      <c r="AQ202" s="1690"/>
      <c r="AR202" s="1690"/>
      <c r="AS202" s="1690"/>
      <c r="AT202" s="1690"/>
      <c r="AU202" s="1690"/>
    </row>
    <row r="203">
      <c r="A203" s="1419"/>
      <c r="B203" s="1684"/>
      <c r="C203" s="1685"/>
      <c r="D203" s="1685"/>
      <c r="E203" s="1685"/>
      <c r="F203" s="1686"/>
      <c r="G203" s="1686"/>
      <c r="H203" s="1686"/>
      <c r="I203" s="1686"/>
      <c r="J203" s="1686"/>
      <c r="K203" s="1686"/>
      <c r="L203" s="1686"/>
      <c r="M203" s="1686"/>
      <c r="N203" s="1686"/>
      <c r="O203" s="1686"/>
      <c r="P203" s="1686"/>
      <c r="Q203" s="1686"/>
      <c r="R203" s="1686"/>
      <c r="S203" s="1686"/>
      <c r="T203" s="1686"/>
      <c r="U203" s="1686"/>
      <c r="V203" s="1686"/>
      <c r="W203" s="1686"/>
      <c r="X203" s="1686"/>
      <c r="Y203" s="1686"/>
      <c r="Z203" s="1686"/>
      <c r="AA203" s="1686"/>
      <c r="AB203" s="1686"/>
      <c r="AC203" s="1686"/>
      <c r="AD203" s="1686"/>
      <c r="AE203" s="1686"/>
      <c r="AF203" s="1686"/>
      <c r="AG203" s="1686"/>
      <c r="AH203" s="1686"/>
      <c r="AI203" s="1686"/>
      <c r="AJ203" s="1686"/>
      <c r="AK203" s="1686"/>
      <c r="AL203" s="1686"/>
      <c r="AM203" s="1686"/>
      <c r="AN203" s="1686"/>
      <c r="AO203" s="1686"/>
      <c r="AP203" s="1686"/>
      <c r="AQ203" s="1686"/>
      <c r="AR203" s="1686"/>
      <c r="AS203" s="1686"/>
      <c r="AT203" s="1686"/>
      <c r="AU203" s="1686"/>
    </row>
    <row r="204">
      <c r="A204" s="1419"/>
      <c r="B204" s="1687"/>
      <c r="C204" s="1688"/>
      <c r="D204" s="1688"/>
      <c r="E204" s="1688"/>
      <c r="F204" s="1689"/>
      <c r="G204" s="1689"/>
      <c r="H204" s="1689"/>
      <c r="I204" s="1689"/>
      <c r="J204" s="1689"/>
      <c r="K204" s="1689"/>
      <c r="L204" s="1689"/>
      <c r="M204" s="1689"/>
      <c r="N204" s="1689"/>
      <c r="O204" s="1689"/>
      <c r="P204" s="1689"/>
      <c r="Q204" s="1689"/>
      <c r="R204" s="1689"/>
      <c r="S204" s="1689"/>
      <c r="T204" s="1689"/>
      <c r="U204" s="1689"/>
      <c r="V204" s="1689"/>
      <c r="W204" s="1689"/>
      <c r="X204" s="1689"/>
      <c r="Y204" s="1689"/>
      <c r="Z204" s="1689"/>
      <c r="AA204" s="1690"/>
      <c r="AB204" s="1690"/>
      <c r="AC204" s="1690"/>
      <c r="AD204" s="1690"/>
      <c r="AE204" s="1690"/>
      <c r="AF204" s="1690"/>
      <c r="AG204" s="1690"/>
      <c r="AH204" s="1690"/>
      <c r="AI204" s="1690"/>
      <c r="AJ204" s="1690"/>
      <c r="AK204" s="1690"/>
      <c r="AL204" s="1690"/>
      <c r="AM204" s="1690"/>
      <c r="AN204" s="1690"/>
      <c r="AO204" s="1690"/>
      <c r="AP204" s="1690"/>
      <c r="AQ204" s="1690"/>
      <c r="AR204" s="1690"/>
      <c r="AS204" s="1690"/>
      <c r="AT204" s="1690"/>
      <c r="AU204" s="1690"/>
    </row>
    <row r="205">
      <c r="A205" s="1419"/>
      <c r="B205" s="1684"/>
      <c r="C205" s="1685"/>
      <c r="D205" s="1685"/>
      <c r="E205" s="1685"/>
      <c r="F205" s="1691"/>
      <c r="G205" s="1691"/>
      <c r="H205" s="1691"/>
      <c r="I205" s="1691"/>
      <c r="J205" s="1691"/>
      <c r="K205" s="1691"/>
      <c r="L205" s="1691"/>
      <c r="M205" s="1691"/>
      <c r="N205" s="1691"/>
      <c r="O205" s="1691"/>
      <c r="P205" s="1691"/>
      <c r="Q205" s="1691"/>
      <c r="R205" s="1691"/>
      <c r="S205" s="1691"/>
      <c r="T205" s="1691"/>
      <c r="U205" s="1691"/>
      <c r="V205" s="1691"/>
      <c r="W205" s="1691"/>
      <c r="X205" s="1691"/>
      <c r="Y205" s="1691"/>
      <c r="Z205" s="1691"/>
      <c r="AA205" s="1686"/>
      <c r="AB205" s="1686"/>
      <c r="AC205" s="1686"/>
      <c r="AD205" s="1686"/>
      <c r="AE205" s="1686"/>
      <c r="AF205" s="1686"/>
      <c r="AG205" s="1686"/>
      <c r="AH205" s="1686"/>
      <c r="AI205" s="1686"/>
      <c r="AJ205" s="1686"/>
      <c r="AK205" s="1686"/>
      <c r="AL205" s="1686"/>
      <c r="AM205" s="1686"/>
      <c r="AN205" s="1686"/>
      <c r="AO205" s="1686"/>
      <c r="AP205" s="1686"/>
      <c r="AQ205" s="1686"/>
      <c r="AR205" s="1686"/>
      <c r="AS205" s="1686"/>
      <c r="AT205" s="1686"/>
      <c r="AU205" s="1686"/>
    </row>
    <row r="206">
      <c r="A206" s="1419"/>
      <c r="B206" s="1687"/>
      <c r="C206" s="1688"/>
      <c r="D206" s="1688"/>
      <c r="E206" s="1688"/>
      <c r="F206" s="1690"/>
      <c r="G206" s="1690"/>
      <c r="H206" s="1690"/>
      <c r="I206" s="1690"/>
      <c r="J206" s="1690"/>
      <c r="K206" s="1690"/>
      <c r="L206" s="1690"/>
      <c r="M206" s="1690"/>
      <c r="N206" s="1690"/>
      <c r="O206" s="1690"/>
      <c r="P206" s="1690"/>
      <c r="Q206" s="1690"/>
      <c r="R206" s="1690"/>
      <c r="S206" s="1690"/>
      <c r="T206" s="1690"/>
      <c r="U206" s="1690"/>
      <c r="V206" s="1690"/>
      <c r="W206" s="1690"/>
      <c r="X206" s="1690"/>
      <c r="Y206" s="1690"/>
      <c r="Z206" s="1690"/>
      <c r="AA206" s="1690"/>
      <c r="AB206" s="1690"/>
      <c r="AC206" s="1690"/>
      <c r="AD206" s="1690"/>
      <c r="AE206" s="1690"/>
      <c r="AF206" s="1690"/>
      <c r="AG206" s="1690"/>
      <c r="AH206" s="1690"/>
      <c r="AI206" s="1690"/>
      <c r="AJ206" s="1690"/>
      <c r="AK206" s="1690"/>
      <c r="AL206" s="1690"/>
      <c r="AM206" s="1690"/>
      <c r="AN206" s="1690"/>
      <c r="AO206" s="1690"/>
      <c r="AP206" s="1690"/>
      <c r="AQ206" s="1690"/>
      <c r="AR206" s="1690"/>
      <c r="AS206" s="1690"/>
      <c r="AT206" s="1690"/>
      <c r="AU206" s="1690"/>
    </row>
    <row r="207">
      <c r="A207" s="1419"/>
      <c r="B207" s="1684"/>
      <c r="C207" s="1685"/>
      <c r="D207" s="1685"/>
      <c r="E207" s="1685"/>
      <c r="F207" s="1686"/>
      <c r="G207" s="1686"/>
      <c r="H207" s="1686"/>
      <c r="I207" s="1686"/>
      <c r="J207" s="1686"/>
      <c r="K207" s="1686"/>
      <c r="L207" s="1686"/>
      <c r="M207" s="1686"/>
      <c r="N207" s="1686"/>
      <c r="O207" s="1686"/>
      <c r="P207" s="1686"/>
      <c r="Q207" s="1686"/>
      <c r="R207" s="1686"/>
      <c r="S207" s="1686"/>
      <c r="T207" s="1686"/>
      <c r="U207" s="1686"/>
      <c r="V207" s="1686"/>
      <c r="W207" s="1686"/>
      <c r="X207" s="1686"/>
      <c r="Y207" s="1686"/>
      <c r="Z207" s="1686"/>
      <c r="AA207" s="1686"/>
      <c r="AB207" s="1686"/>
      <c r="AC207" s="1686"/>
      <c r="AD207" s="1686"/>
      <c r="AE207" s="1686"/>
      <c r="AF207" s="1686"/>
      <c r="AG207" s="1686"/>
      <c r="AH207" s="1686"/>
      <c r="AI207" s="1686"/>
      <c r="AJ207" s="1686"/>
      <c r="AK207" s="1686"/>
      <c r="AL207" s="1686"/>
      <c r="AM207" s="1686"/>
      <c r="AN207" s="1686"/>
      <c r="AO207" s="1686"/>
      <c r="AP207" s="1686"/>
      <c r="AQ207" s="1686"/>
      <c r="AR207" s="1686"/>
      <c r="AS207" s="1686"/>
      <c r="AT207" s="1686"/>
      <c r="AU207" s="1686"/>
    </row>
    <row r="208">
      <c r="A208" s="1419"/>
      <c r="B208" s="1687"/>
      <c r="C208" s="1688"/>
      <c r="D208" s="1688"/>
      <c r="E208" s="1688"/>
      <c r="F208" s="1689"/>
      <c r="G208" s="1689"/>
      <c r="H208" s="1689"/>
      <c r="I208" s="1689"/>
      <c r="J208" s="1689"/>
      <c r="K208" s="1689"/>
      <c r="L208" s="1689"/>
      <c r="M208" s="1689"/>
      <c r="N208" s="1689"/>
      <c r="O208" s="1689"/>
      <c r="P208" s="1689"/>
      <c r="Q208" s="1689"/>
      <c r="R208" s="1689"/>
      <c r="S208" s="1689"/>
      <c r="T208" s="1689"/>
      <c r="U208" s="1689"/>
      <c r="V208" s="1689"/>
      <c r="W208" s="1689"/>
      <c r="X208" s="1689"/>
      <c r="Y208" s="1689"/>
      <c r="Z208" s="1689"/>
      <c r="AA208" s="1690"/>
      <c r="AB208" s="1690"/>
      <c r="AC208" s="1690"/>
      <c r="AD208" s="1690"/>
      <c r="AE208" s="1690"/>
      <c r="AF208" s="1690"/>
      <c r="AG208" s="1690"/>
      <c r="AH208" s="1690"/>
      <c r="AI208" s="1690"/>
      <c r="AJ208" s="1690"/>
      <c r="AK208" s="1690"/>
      <c r="AL208" s="1690"/>
      <c r="AM208" s="1690"/>
      <c r="AN208" s="1690"/>
      <c r="AO208" s="1690"/>
      <c r="AP208" s="1690"/>
      <c r="AQ208" s="1690"/>
      <c r="AR208" s="1690"/>
      <c r="AS208" s="1690"/>
      <c r="AT208" s="1690"/>
      <c r="AU208" s="1690"/>
    </row>
    <row r="209">
      <c r="A209" s="1419"/>
      <c r="B209" s="1684"/>
      <c r="C209" s="1685"/>
      <c r="D209" s="1685"/>
      <c r="E209" s="1685"/>
      <c r="F209" s="1686"/>
      <c r="G209" s="1686"/>
      <c r="H209" s="1686"/>
      <c r="I209" s="1686"/>
      <c r="J209" s="1686"/>
      <c r="K209" s="1686"/>
      <c r="L209" s="1686"/>
      <c r="M209" s="1686"/>
      <c r="N209" s="1686"/>
      <c r="O209" s="1686"/>
      <c r="P209" s="1686"/>
      <c r="Q209" s="1686"/>
      <c r="R209" s="1686"/>
      <c r="S209" s="1686"/>
      <c r="T209" s="1686"/>
      <c r="U209" s="1686"/>
      <c r="V209" s="1686"/>
      <c r="W209" s="1686"/>
      <c r="X209" s="1686"/>
      <c r="Y209" s="1686"/>
      <c r="Z209" s="1686"/>
      <c r="AA209" s="1686"/>
      <c r="AB209" s="1686"/>
      <c r="AC209" s="1686"/>
      <c r="AD209" s="1686"/>
      <c r="AE209" s="1686"/>
      <c r="AF209" s="1686"/>
      <c r="AG209" s="1686"/>
      <c r="AH209" s="1686"/>
      <c r="AI209" s="1686"/>
      <c r="AJ209" s="1686"/>
      <c r="AK209" s="1686"/>
      <c r="AL209" s="1686"/>
      <c r="AM209" s="1686"/>
      <c r="AN209" s="1686"/>
      <c r="AO209" s="1686"/>
      <c r="AP209" s="1686"/>
      <c r="AQ209" s="1686"/>
      <c r="AR209" s="1686"/>
      <c r="AS209" s="1686"/>
      <c r="AT209" s="1686"/>
      <c r="AU209" s="1686"/>
    </row>
    <row r="210">
      <c r="A210" s="1419"/>
      <c r="B210" s="1687"/>
      <c r="C210" s="1688"/>
      <c r="D210" s="1688"/>
      <c r="E210" s="1688"/>
      <c r="F210" s="1690"/>
      <c r="G210" s="1690"/>
      <c r="H210" s="1690"/>
      <c r="I210" s="1690"/>
      <c r="J210" s="1690"/>
      <c r="K210" s="1690"/>
      <c r="L210" s="1690"/>
      <c r="M210" s="1690"/>
      <c r="N210" s="1690"/>
      <c r="O210" s="1690"/>
      <c r="P210" s="1690"/>
      <c r="Q210" s="1690"/>
      <c r="R210" s="1690"/>
      <c r="S210" s="1690"/>
      <c r="T210" s="1690"/>
      <c r="U210" s="1690"/>
      <c r="V210" s="1690"/>
      <c r="W210" s="1690"/>
      <c r="X210" s="1690"/>
      <c r="Y210" s="1690"/>
      <c r="Z210" s="1690"/>
      <c r="AA210" s="1690"/>
      <c r="AB210" s="1690"/>
      <c r="AC210" s="1690"/>
      <c r="AD210" s="1690"/>
      <c r="AE210" s="1690"/>
      <c r="AF210" s="1690"/>
      <c r="AG210" s="1690"/>
      <c r="AH210" s="1690"/>
      <c r="AI210" s="1690"/>
      <c r="AJ210" s="1690"/>
      <c r="AK210" s="1690"/>
      <c r="AL210" s="1690"/>
      <c r="AM210" s="1690"/>
      <c r="AN210" s="1690"/>
      <c r="AO210" s="1690"/>
      <c r="AP210" s="1690"/>
      <c r="AQ210" s="1690"/>
      <c r="AR210" s="1690"/>
      <c r="AS210" s="1690"/>
      <c r="AT210" s="1690"/>
      <c r="AU210" s="1690"/>
    </row>
    <row r="211">
      <c r="A211" s="1419"/>
      <c r="B211" s="1684"/>
      <c r="C211" s="1685"/>
      <c r="D211" s="1685"/>
      <c r="E211" s="1685"/>
      <c r="F211" s="1691"/>
      <c r="G211" s="1691"/>
      <c r="H211" s="1691"/>
      <c r="I211" s="1691"/>
      <c r="J211" s="1691"/>
      <c r="K211" s="1691"/>
      <c r="L211" s="1691"/>
      <c r="M211" s="1691"/>
      <c r="N211" s="1691"/>
      <c r="O211" s="1691"/>
      <c r="P211" s="1691"/>
      <c r="Q211" s="1691"/>
      <c r="R211" s="1691"/>
      <c r="S211" s="1691"/>
      <c r="T211" s="1691"/>
      <c r="U211" s="1691"/>
      <c r="V211" s="1691"/>
      <c r="W211" s="1691"/>
      <c r="X211" s="1691"/>
      <c r="Y211" s="1691"/>
      <c r="Z211" s="1691"/>
      <c r="AA211" s="1686"/>
      <c r="AB211" s="1686"/>
      <c r="AC211" s="1686"/>
      <c r="AD211" s="1686"/>
      <c r="AE211" s="1686"/>
      <c r="AF211" s="1686"/>
      <c r="AG211" s="1686"/>
      <c r="AH211" s="1686"/>
      <c r="AI211" s="1686"/>
      <c r="AJ211" s="1686"/>
      <c r="AK211" s="1686"/>
      <c r="AL211" s="1686"/>
      <c r="AM211" s="1686"/>
      <c r="AN211" s="1686"/>
      <c r="AO211" s="1686"/>
      <c r="AP211" s="1686"/>
      <c r="AQ211" s="1686"/>
      <c r="AR211" s="1686"/>
      <c r="AS211" s="1686"/>
      <c r="AT211" s="1686"/>
      <c r="AU211" s="1686"/>
    </row>
    <row r="212">
      <c r="A212" s="1419"/>
      <c r="B212" s="1687"/>
      <c r="C212" s="1688"/>
      <c r="D212" s="1688"/>
      <c r="E212" s="1688"/>
      <c r="F212" s="1690"/>
      <c r="G212" s="1690"/>
      <c r="H212" s="1690"/>
      <c r="I212" s="1690"/>
      <c r="J212" s="1690"/>
      <c r="K212" s="1690"/>
      <c r="L212" s="1690"/>
      <c r="M212" s="1690"/>
      <c r="N212" s="1690"/>
      <c r="O212" s="1690"/>
      <c r="P212" s="1690"/>
      <c r="Q212" s="1690"/>
      <c r="R212" s="1690"/>
      <c r="S212" s="1690"/>
      <c r="T212" s="1690"/>
      <c r="U212" s="1690"/>
      <c r="V212" s="1690"/>
      <c r="W212" s="1690"/>
      <c r="X212" s="1690"/>
      <c r="Y212" s="1690"/>
      <c r="Z212" s="1690"/>
      <c r="AA212" s="1690"/>
      <c r="AB212" s="1690"/>
      <c r="AC212" s="1690"/>
      <c r="AD212" s="1690"/>
      <c r="AE212" s="1690"/>
      <c r="AF212" s="1690"/>
      <c r="AG212" s="1690"/>
      <c r="AH212" s="1690"/>
      <c r="AI212" s="1690"/>
      <c r="AJ212" s="1690"/>
      <c r="AK212" s="1690"/>
      <c r="AL212" s="1690"/>
      <c r="AM212" s="1690"/>
      <c r="AN212" s="1690"/>
      <c r="AO212" s="1690"/>
      <c r="AP212" s="1690"/>
      <c r="AQ212" s="1690"/>
      <c r="AR212" s="1690"/>
      <c r="AS212" s="1690"/>
      <c r="AT212" s="1690"/>
      <c r="AU212" s="1690"/>
    </row>
    <row r="213">
      <c r="A213" s="1419"/>
      <c r="B213" s="1684"/>
      <c r="C213" s="1685"/>
      <c r="D213" s="1685"/>
      <c r="E213" s="1685"/>
      <c r="F213" s="1691"/>
      <c r="G213" s="1691"/>
      <c r="H213" s="1691"/>
      <c r="I213" s="1691"/>
      <c r="J213" s="1691"/>
      <c r="K213" s="1691"/>
      <c r="L213" s="1691"/>
      <c r="M213" s="1691"/>
      <c r="N213" s="1691"/>
      <c r="O213" s="1691"/>
      <c r="P213" s="1691"/>
      <c r="Q213" s="1691"/>
      <c r="R213" s="1691"/>
      <c r="S213" s="1691"/>
      <c r="T213" s="1691"/>
      <c r="U213" s="1691"/>
      <c r="V213" s="1691"/>
      <c r="W213" s="1691"/>
      <c r="X213" s="1691"/>
      <c r="Y213" s="1691"/>
      <c r="Z213" s="1691"/>
      <c r="AA213" s="1686"/>
      <c r="AB213" s="1686"/>
      <c r="AC213" s="1686"/>
      <c r="AD213" s="1686"/>
      <c r="AE213" s="1686"/>
      <c r="AF213" s="1686"/>
      <c r="AG213" s="1686"/>
      <c r="AH213" s="1686"/>
      <c r="AI213" s="1686"/>
      <c r="AJ213" s="1686"/>
      <c r="AK213" s="1686"/>
      <c r="AL213" s="1686"/>
      <c r="AM213" s="1686"/>
      <c r="AN213" s="1686"/>
      <c r="AO213" s="1686"/>
      <c r="AP213" s="1686"/>
      <c r="AQ213" s="1686"/>
      <c r="AR213" s="1686"/>
      <c r="AS213" s="1686"/>
      <c r="AT213" s="1686"/>
      <c r="AU213" s="1686"/>
    </row>
    <row r="214">
      <c r="A214" s="1419"/>
      <c r="B214" s="1687"/>
      <c r="C214" s="1688"/>
      <c r="D214" s="1688"/>
      <c r="E214" s="1688"/>
      <c r="F214" s="1689"/>
      <c r="G214" s="1689"/>
      <c r="H214" s="1689"/>
      <c r="I214" s="1689"/>
      <c r="J214" s="1689"/>
      <c r="K214" s="1689"/>
      <c r="L214" s="1689"/>
      <c r="M214" s="1689"/>
      <c r="N214" s="1689"/>
      <c r="O214" s="1689"/>
      <c r="P214" s="1689"/>
      <c r="Q214" s="1689"/>
      <c r="R214" s="1689"/>
      <c r="S214" s="1689"/>
      <c r="T214" s="1689"/>
      <c r="U214" s="1689"/>
      <c r="V214" s="1689"/>
      <c r="W214" s="1689"/>
      <c r="X214" s="1689"/>
      <c r="Y214" s="1689"/>
      <c r="Z214" s="1689"/>
      <c r="AA214" s="1690"/>
      <c r="AB214" s="1690"/>
      <c r="AC214" s="1690"/>
      <c r="AD214" s="1690"/>
      <c r="AE214" s="1690"/>
      <c r="AF214" s="1690"/>
      <c r="AG214" s="1690"/>
      <c r="AH214" s="1690"/>
      <c r="AI214" s="1690"/>
      <c r="AJ214" s="1690"/>
      <c r="AK214" s="1690"/>
      <c r="AL214" s="1690"/>
      <c r="AM214" s="1690"/>
      <c r="AN214" s="1690"/>
      <c r="AO214" s="1690"/>
      <c r="AP214" s="1690"/>
      <c r="AQ214" s="1690"/>
      <c r="AR214" s="1690"/>
      <c r="AS214" s="1690"/>
      <c r="AT214" s="1690"/>
      <c r="AU214" s="1690"/>
    </row>
    <row r="215">
      <c r="A215" s="1419"/>
      <c r="B215" s="1684"/>
      <c r="C215" s="1685"/>
      <c r="D215" s="1685"/>
      <c r="E215" s="1685"/>
      <c r="F215" s="1686"/>
      <c r="G215" s="1686"/>
      <c r="H215" s="1686"/>
      <c r="I215" s="1686"/>
      <c r="J215" s="1686"/>
      <c r="K215" s="1686"/>
      <c r="L215" s="1686"/>
      <c r="M215" s="1686"/>
      <c r="N215" s="1686"/>
      <c r="O215" s="1686"/>
      <c r="P215" s="1686"/>
      <c r="Q215" s="1686"/>
      <c r="R215" s="1686"/>
      <c r="S215" s="1686"/>
      <c r="T215" s="1686"/>
      <c r="U215" s="1686"/>
      <c r="V215" s="1686"/>
      <c r="W215" s="1686"/>
      <c r="X215" s="1686"/>
      <c r="Y215" s="1686"/>
      <c r="Z215" s="1686"/>
      <c r="AA215" s="1686"/>
      <c r="AB215" s="1686"/>
      <c r="AC215" s="1686"/>
      <c r="AD215" s="1686"/>
      <c r="AE215" s="1686"/>
      <c r="AF215" s="1686"/>
      <c r="AG215" s="1686"/>
      <c r="AH215" s="1686"/>
      <c r="AI215" s="1686"/>
      <c r="AJ215" s="1686"/>
      <c r="AK215" s="1686"/>
      <c r="AL215" s="1686"/>
      <c r="AM215" s="1686"/>
      <c r="AN215" s="1686"/>
      <c r="AO215" s="1686"/>
      <c r="AP215" s="1686"/>
      <c r="AQ215" s="1686"/>
      <c r="AR215" s="1686"/>
      <c r="AS215" s="1686"/>
      <c r="AT215" s="1686"/>
      <c r="AU215" s="1686"/>
    </row>
    <row r="216">
      <c r="A216" s="1419"/>
      <c r="B216" s="1687"/>
      <c r="C216" s="1688"/>
      <c r="D216" s="1688"/>
      <c r="E216" s="1688"/>
      <c r="F216" s="1690"/>
      <c r="G216" s="1690"/>
      <c r="H216" s="1690"/>
      <c r="I216" s="1690"/>
      <c r="J216" s="1690"/>
      <c r="K216" s="1690"/>
      <c r="L216" s="1690"/>
      <c r="M216" s="1690"/>
      <c r="N216" s="1690"/>
      <c r="O216" s="1690"/>
      <c r="P216" s="1690"/>
      <c r="Q216" s="1690"/>
      <c r="R216" s="1690"/>
      <c r="S216" s="1690"/>
      <c r="T216" s="1690"/>
      <c r="U216" s="1690"/>
      <c r="V216" s="1690"/>
      <c r="W216" s="1690"/>
      <c r="X216" s="1690"/>
      <c r="Y216" s="1690"/>
      <c r="Z216" s="1690"/>
      <c r="AA216" s="1690"/>
      <c r="AB216" s="1690"/>
      <c r="AC216" s="1690"/>
      <c r="AD216" s="1690"/>
      <c r="AE216" s="1690"/>
      <c r="AF216" s="1690"/>
      <c r="AG216" s="1690"/>
      <c r="AH216" s="1690"/>
      <c r="AI216" s="1690"/>
      <c r="AJ216" s="1690"/>
      <c r="AK216" s="1690"/>
      <c r="AL216" s="1690"/>
      <c r="AM216" s="1690"/>
      <c r="AN216" s="1690"/>
      <c r="AO216" s="1690"/>
      <c r="AP216" s="1690"/>
      <c r="AQ216" s="1690"/>
      <c r="AR216" s="1690"/>
      <c r="AS216" s="1690"/>
      <c r="AT216" s="1690"/>
      <c r="AU216" s="1690"/>
    </row>
    <row r="217">
      <c r="A217" s="1419"/>
      <c r="B217" s="1684"/>
      <c r="C217" s="1685"/>
      <c r="D217" s="1685"/>
      <c r="E217" s="1685"/>
      <c r="F217" s="1686"/>
      <c r="G217" s="1686"/>
      <c r="H217" s="1686"/>
      <c r="I217" s="1686"/>
      <c r="J217" s="1686"/>
      <c r="K217" s="1686"/>
      <c r="L217" s="1686"/>
      <c r="M217" s="1686"/>
      <c r="N217" s="1686"/>
      <c r="O217" s="1686"/>
      <c r="P217" s="1686"/>
      <c r="Q217" s="1686"/>
      <c r="R217" s="1686"/>
      <c r="S217" s="1686"/>
      <c r="T217" s="1686"/>
      <c r="U217" s="1686"/>
      <c r="V217" s="1686"/>
      <c r="W217" s="1686"/>
      <c r="X217" s="1686"/>
      <c r="Y217" s="1686"/>
      <c r="Z217" s="1686"/>
      <c r="AA217" s="1686"/>
      <c r="AB217" s="1686"/>
      <c r="AC217" s="1686"/>
      <c r="AD217" s="1686"/>
      <c r="AE217" s="1686"/>
      <c r="AF217" s="1686"/>
      <c r="AG217" s="1686"/>
      <c r="AH217" s="1686"/>
      <c r="AI217" s="1686"/>
      <c r="AJ217" s="1686"/>
      <c r="AK217" s="1686"/>
      <c r="AL217" s="1686"/>
      <c r="AM217" s="1686"/>
      <c r="AN217" s="1686"/>
      <c r="AO217" s="1686"/>
      <c r="AP217" s="1686"/>
      <c r="AQ217" s="1686"/>
      <c r="AR217" s="1686"/>
      <c r="AS217" s="1686"/>
      <c r="AT217" s="1686"/>
      <c r="AU217" s="1686"/>
    </row>
    <row r="218">
      <c r="A218" s="1419"/>
      <c r="B218" s="1687"/>
      <c r="C218" s="1688"/>
      <c r="D218" s="1688"/>
      <c r="E218" s="1688"/>
      <c r="F218" s="1690"/>
      <c r="G218" s="1690"/>
      <c r="H218" s="1690"/>
      <c r="I218" s="1690"/>
      <c r="J218" s="1690"/>
      <c r="K218" s="1690"/>
      <c r="L218" s="1690"/>
      <c r="M218" s="1690"/>
      <c r="N218" s="1690"/>
      <c r="O218" s="1690"/>
      <c r="P218" s="1690"/>
      <c r="Q218" s="1690"/>
      <c r="R218" s="1690"/>
      <c r="S218" s="1690"/>
      <c r="T218" s="1690"/>
      <c r="U218" s="1690"/>
      <c r="V218" s="1690"/>
      <c r="W218" s="1690"/>
      <c r="X218" s="1690"/>
      <c r="Y218" s="1690"/>
      <c r="Z218" s="1690"/>
      <c r="AA218" s="1690"/>
      <c r="AB218" s="1690"/>
      <c r="AC218" s="1690"/>
      <c r="AD218" s="1690"/>
      <c r="AE218" s="1690"/>
      <c r="AF218" s="1690"/>
      <c r="AG218" s="1690"/>
      <c r="AH218" s="1690"/>
      <c r="AI218" s="1690"/>
      <c r="AJ218" s="1690"/>
      <c r="AK218" s="1690"/>
      <c r="AL218" s="1690"/>
      <c r="AM218" s="1690"/>
      <c r="AN218" s="1690"/>
      <c r="AO218" s="1690"/>
      <c r="AP218" s="1690"/>
      <c r="AQ218" s="1690"/>
      <c r="AR218" s="1690"/>
      <c r="AS218" s="1690"/>
      <c r="AT218" s="1690"/>
      <c r="AU218" s="1690"/>
    </row>
    <row r="219">
      <c r="A219" s="1419"/>
      <c r="B219" s="1684"/>
      <c r="C219" s="1685"/>
      <c r="D219" s="1685"/>
      <c r="E219" s="1685"/>
      <c r="F219" s="1691"/>
      <c r="G219" s="1691"/>
      <c r="H219" s="1691"/>
      <c r="I219" s="1691"/>
      <c r="J219" s="1691"/>
      <c r="K219" s="1691"/>
      <c r="L219" s="1691"/>
      <c r="M219" s="1691"/>
      <c r="N219" s="1691"/>
      <c r="O219" s="1691"/>
      <c r="P219" s="1691"/>
      <c r="Q219" s="1691"/>
      <c r="R219" s="1691"/>
      <c r="S219" s="1691"/>
      <c r="T219" s="1691"/>
      <c r="U219" s="1691"/>
      <c r="V219" s="1691"/>
      <c r="W219" s="1691"/>
      <c r="X219" s="1691"/>
      <c r="Y219" s="1691"/>
      <c r="Z219" s="1691"/>
      <c r="AA219" s="1686"/>
      <c r="AB219" s="1686"/>
      <c r="AC219" s="1686"/>
      <c r="AD219" s="1686"/>
      <c r="AE219" s="1686"/>
      <c r="AF219" s="1686"/>
      <c r="AG219" s="1686"/>
      <c r="AH219" s="1686"/>
      <c r="AI219" s="1686"/>
      <c r="AJ219" s="1686"/>
      <c r="AK219" s="1686"/>
      <c r="AL219" s="1686"/>
      <c r="AM219" s="1686"/>
      <c r="AN219" s="1686"/>
      <c r="AO219" s="1686"/>
      <c r="AP219" s="1686"/>
      <c r="AQ219" s="1686"/>
      <c r="AR219" s="1686"/>
      <c r="AS219" s="1686"/>
      <c r="AT219" s="1686"/>
      <c r="AU219" s="1686"/>
    </row>
    <row r="220">
      <c r="A220" s="1419"/>
      <c r="B220" s="1687"/>
      <c r="C220" s="1688"/>
      <c r="D220" s="1688"/>
      <c r="E220" s="1688"/>
      <c r="F220" s="1690"/>
      <c r="G220" s="1690"/>
      <c r="H220" s="1690"/>
      <c r="I220" s="1690"/>
      <c r="J220" s="1690"/>
      <c r="K220" s="1690"/>
      <c r="L220" s="1690"/>
      <c r="M220" s="1690"/>
      <c r="N220" s="1690"/>
      <c r="O220" s="1690"/>
      <c r="P220" s="1690"/>
      <c r="Q220" s="1690"/>
      <c r="R220" s="1690"/>
      <c r="S220" s="1690"/>
      <c r="T220" s="1690"/>
      <c r="U220" s="1690"/>
      <c r="V220" s="1690"/>
      <c r="W220" s="1690"/>
      <c r="X220" s="1690"/>
      <c r="Y220" s="1690"/>
      <c r="Z220" s="1690"/>
      <c r="AA220" s="1690"/>
      <c r="AB220" s="1690"/>
      <c r="AC220" s="1690"/>
      <c r="AD220" s="1690"/>
      <c r="AE220" s="1690"/>
      <c r="AF220" s="1690"/>
      <c r="AG220" s="1690"/>
      <c r="AH220" s="1690"/>
      <c r="AI220" s="1690"/>
      <c r="AJ220" s="1690"/>
      <c r="AK220" s="1690"/>
      <c r="AL220" s="1690"/>
      <c r="AM220" s="1690"/>
      <c r="AN220" s="1690"/>
      <c r="AO220" s="1690"/>
      <c r="AP220" s="1690"/>
      <c r="AQ220" s="1690"/>
      <c r="AR220" s="1690"/>
      <c r="AS220" s="1690"/>
      <c r="AT220" s="1690"/>
      <c r="AU220" s="1690"/>
    </row>
    <row r="221">
      <c r="A221" s="1419"/>
      <c r="B221" s="1684"/>
      <c r="C221" s="1685"/>
      <c r="D221" s="1685"/>
      <c r="E221" s="1685"/>
      <c r="F221" s="1691"/>
      <c r="G221" s="1691"/>
      <c r="H221" s="1691"/>
      <c r="I221" s="1691"/>
      <c r="J221" s="1691"/>
      <c r="K221" s="1691"/>
      <c r="L221" s="1691"/>
      <c r="M221" s="1691"/>
      <c r="N221" s="1691"/>
      <c r="O221" s="1691"/>
      <c r="P221" s="1691"/>
      <c r="Q221" s="1691"/>
      <c r="R221" s="1691"/>
      <c r="S221" s="1691"/>
      <c r="T221" s="1691"/>
      <c r="U221" s="1691"/>
      <c r="V221" s="1691"/>
      <c r="W221" s="1691"/>
      <c r="X221" s="1691"/>
      <c r="Y221" s="1691"/>
      <c r="Z221" s="1691"/>
      <c r="AA221" s="1686"/>
      <c r="AB221" s="1686"/>
      <c r="AC221" s="1686"/>
      <c r="AD221" s="1686"/>
      <c r="AE221" s="1686"/>
      <c r="AF221" s="1686"/>
      <c r="AG221" s="1686"/>
      <c r="AH221" s="1686"/>
      <c r="AI221" s="1686"/>
      <c r="AJ221" s="1686"/>
      <c r="AK221" s="1686"/>
      <c r="AL221" s="1686"/>
      <c r="AM221" s="1686"/>
      <c r="AN221" s="1686"/>
      <c r="AO221" s="1686"/>
      <c r="AP221" s="1686"/>
      <c r="AQ221" s="1686"/>
      <c r="AR221" s="1686"/>
      <c r="AS221" s="1686"/>
      <c r="AT221" s="1686"/>
      <c r="AU221" s="1686"/>
    </row>
    <row r="222">
      <c r="A222" s="1419"/>
      <c r="B222" s="1687"/>
      <c r="C222" s="1688"/>
      <c r="D222" s="1688"/>
      <c r="E222" s="1688"/>
      <c r="F222" s="1689"/>
      <c r="G222" s="1689"/>
      <c r="H222" s="1689"/>
      <c r="I222" s="1689"/>
      <c r="J222" s="1689"/>
      <c r="K222" s="1689"/>
      <c r="L222" s="1689"/>
      <c r="M222" s="1689"/>
      <c r="N222" s="1689"/>
      <c r="O222" s="1689"/>
      <c r="P222" s="1689"/>
      <c r="Q222" s="1689"/>
      <c r="R222" s="1689"/>
      <c r="S222" s="1689"/>
      <c r="T222" s="1689"/>
      <c r="U222" s="1689"/>
      <c r="V222" s="1689"/>
      <c r="W222" s="1689"/>
      <c r="X222" s="1689"/>
      <c r="Y222" s="1689"/>
      <c r="Z222" s="1689"/>
      <c r="AA222" s="1690"/>
      <c r="AB222" s="1690"/>
      <c r="AC222" s="1690"/>
      <c r="AD222" s="1690"/>
      <c r="AE222" s="1690"/>
      <c r="AF222" s="1690"/>
      <c r="AG222" s="1690"/>
      <c r="AH222" s="1690"/>
      <c r="AI222" s="1690"/>
      <c r="AJ222" s="1690"/>
      <c r="AK222" s="1690"/>
      <c r="AL222" s="1690"/>
      <c r="AM222" s="1690"/>
      <c r="AN222" s="1690"/>
      <c r="AO222" s="1690"/>
      <c r="AP222" s="1690"/>
      <c r="AQ222" s="1690"/>
      <c r="AR222" s="1690"/>
      <c r="AS222" s="1690"/>
      <c r="AT222" s="1690"/>
      <c r="AU222" s="1690"/>
    </row>
    <row r="223">
      <c r="A223" s="1419"/>
      <c r="B223" s="1684"/>
      <c r="C223" s="1685"/>
      <c r="D223" s="1685"/>
      <c r="E223" s="1685"/>
      <c r="F223" s="1691"/>
      <c r="G223" s="1691"/>
      <c r="H223" s="1691"/>
      <c r="I223" s="1691"/>
      <c r="J223" s="1691"/>
      <c r="K223" s="1691"/>
      <c r="L223" s="1691"/>
      <c r="M223" s="1691"/>
      <c r="N223" s="1691"/>
      <c r="O223" s="1691"/>
      <c r="P223" s="1691"/>
      <c r="Q223" s="1691"/>
      <c r="R223" s="1691"/>
      <c r="S223" s="1691"/>
      <c r="T223" s="1691"/>
      <c r="U223" s="1691"/>
      <c r="V223" s="1691"/>
      <c r="W223" s="1691"/>
      <c r="X223" s="1691"/>
      <c r="Y223" s="1691"/>
      <c r="Z223" s="1691"/>
      <c r="AA223" s="1686"/>
      <c r="AB223" s="1686"/>
      <c r="AC223" s="1686"/>
      <c r="AD223" s="1686"/>
      <c r="AE223" s="1686"/>
      <c r="AF223" s="1686"/>
      <c r="AG223" s="1686"/>
      <c r="AH223" s="1686"/>
      <c r="AI223" s="1686"/>
      <c r="AJ223" s="1686"/>
      <c r="AK223" s="1686"/>
      <c r="AL223" s="1686"/>
      <c r="AM223" s="1686"/>
      <c r="AN223" s="1686"/>
      <c r="AO223" s="1686"/>
      <c r="AP223" s="1686"/>
      <c r="AQ223" s="1686"/>
      <c r="AR223" s="1686"/>
      <c r="AS223" s="1686"/>
      <c r="AT223" s="1686"/>
      <c r="AU223" s="1686"/>
    </row>
    <row r="224">
      <c r="A224" s="1419"/>
      <c r="B224" s="1687"/>
      <c r="C224" s="1688"/>
      <c r="D224" s="1688"/>
      <c r="E224" s="1688"/>
      <c r="F224" s="1690"/>
      <c r="G224" s="1690"/>
      <c r="H224" s="1690"/>
      <c r="I224" s="1690"/>
      <c r="J224" s="1690"/>
      <c r="K224" s="1690"/>
      <c r="L224" s="1690"/>
      <c r="M224" s="1690"/>
      <c r="N224" s="1690"/>
      <c r="O224" s="1690"/>
      <c r="P224" s="1690"/>
      <c r="Q224" s="1690"/>
      <c r="R224" s="1690"/>
      <c r="S224" s="1690"/>
      <c r="T224" s="1690"/>
      <c r="U224" s="1690"/>
      <c r="V224" s="1690"/>
      <c r="W224" s="1690"/>
      <c r="X224" s="1690"/>
      <c r="Y224" s="1690"/>
      <c r="Z224" s="1690"/>
      <c r="AA224" s="1690"/>
      <c r="AB224" s="1690"/>
      <c r="AC224" s="1690"/>
      <c r="AD224" s="1690"/>
      <c r="AE224" s="1690"/>
      <c r="AF224" s="1690"/>
      <c r="AG224" s="1690"/>
      <c r="AH224" s="1690"/>
      <c r="AI224" s="1690"/>
      <c r="AJ224" s="1690"/>
      <c r="AK224" s="1690"/>
      <c r="AL224" s="1690"/>
      <c r="AM224" s="1690"/>
      <c r="AN224" s="1690"/>
      <c r="AO224" s="1690"/>
      <c r="AP224" s="1690"/>
      <c r="AQ224" s="1690"/>
      <c r="AR224" s="1690"/>
      <c r="AS224" s="1690"/>
      <c r="AT224" s="1690"/>
      <c r="AU224" s="1690"/>
    </row>
    <row r="225">
      <c r="A225" s="1419"/>
      <c r="B225" s="1684"/>
      <c r="C225" s="1685"/>
      <c r="D225" s="1685"/>
      <c r="E225" s="1685"/>
      <c r="F225" s="1691"/>
      <c r="G225" s="1691"/>
      <c r="H225" s="1691"/>
      <c r="I225" s="1691"/>
      <c r="J225" s="1691"/>
      <c r="K225" s="1691"/>
      <c r="L225" s="1691"/>
      <c r="M225" s="1691"/>
      <c r="N225" s="1691"/>
      <c r="O225" s="1691"/>
      <c r="P225" s="1691"/>
      <c r="Q225" s="1691"/>
      <c r="R225" s="1691"/>
      <c r="S225" s="1691"/>
      <c r="T225" s="1691"/>
      <c r="U225" s="1691"/>
      <c r="V225" s="1691"/>
      <c r="W225" s="1691"/>
      <c r="X225" s="1691"/>
      <c r="Y225" s="1691"/>
      <c r="Z225" s="1691"/>
      <c r="AA225" s="1686"/>
      <c r="AB225" s="1686"/>
      <c r="AC225" s="1686"/>
      <c r="AD225" s="1686"/>
      <c r="AE225" s="1686"/>
      <c r="AF225" s="1686"/>
      <c r="AG225" s="1686"/>
      <c r="AH225" s="1686"/>
      <c r="AI225" s="1686"/>
      <c r="AJ225" s="1686"/>
      <c r="AK225" s="1686"/>
      <c r="AL225" s="1686"/>
      <c r="AM225" s="1686"/>
      <c r="AN225" s="1686"/>
      <c r="AO225" s="1686"/>
      <c r="AP225" s="1686"/>
      <c r="AQ225" s="1686"/>
      <c r="AR225" s="1686"/>
      <c r="AS225" s="1686"/>
      <c r="AT225" s="1686"/>
      <c r="AU225" s="1686"/>
    </row>
    <row r="226">
      <c r="A226" s="1419"/>
      <c r="B226" s="1687"/>
      <c r="C226" s="1688"/>
      <c r="D226" s="1688"/>
      <c r="E226" s="1688"/>
      <c r="F226" s="1690"/>
      <c r="G226" s="1690"/>
      <c r="H226" s="1690"/>
      <c r="I226" s="1690"/>
      <c r="J226" s="1690"/>
      <c r="K226" s="1690"/>
      <c r="L226" s="1690"/>
      <c r="M226" s="1690"/>
      <c r="N226" s="1690"/>
      <c r="O226" s="1690"/>
      <c r="P226" s="1690"/>
      <c r="Q226" s="1690"/>
      <c r="R226" s="1690"/>
      <c r="S226" s="1690"/>
      <c r="T226" s="1690"/>
      <c r="U226" s="1690"/>
      <c r="V226" s="1690"/>
      <c r="W226" s="1690"/>
      <c r="X226" s="1690"/>
      <c r="Y226" s="1690"/>
      <c r="Z226" s="1690"/>
      <c r="AA226" s="1690"/>
      <c r="AB226" s="1690"/>
      <c r="AC226" s="1690"/>
      <c r="AD226" s="1690"/>
      <c r="AE226" s="1690"/>
      <c r="AF226" s="1690"/>
      <c r="AG226" s="1690"/>
      <c r="AH226" s="1690"/>
      <c r="AI226" s="1690"/>
      <c r="AJ226" s="1690"/>
      <c r="AK226" s="1690"/>
      <c r="AL226" s="1690"/>
      <c r="AM226" s="1690"/>
      <c r="AN226" s="1690"/>
      <c r="AO226" s="1690"/>
      <c r="AP226" s="1690"/>
      <c r="AQ226" s="1690"/>
      <c r="AR226" s="1690"/>
      <c r="AS226" s="1690"/>
      <c r="AT226" s="1690"/>
      <c r="AU226" s="1690"/>
    </row>
    <row r="227">
      <c r="A227" s="1419"/>
      <c r="B227" s="1684"/>
      <c r="C227" s="1685"/>
      <c r="D227" s="1685"/>
      <c r="E227" s="1685"/>
      <c r="F227" s="1686"/>
      <c r="G227" s="1686"/>
      <c r="H227" s="1686"/>
      <c r="I227" s="1686"/>
      <c r="J227" s="1686"/>
      <c r="K227" s="1686"/>
      <c r="L227" s="1686"/>
      <c r="M227" s="1686"/>
      <c r="N227" s="1686"/>
      <c r="O227" s="1686"/>
      <c r="P227" s="1686"/>
      <c r="Q227" s="1686"/>
      <c r="R227" s="1686"/>
      <c r="S227" s="1686"/>
      <c r="T227" s="1686"/>
      <c r="U227" s="1686"/>
      <c r="V227" s="1686"/>
      <c r="W227" s="1686"/>
      <c r="X227" s="1686"/>
      <c r="Y227" s="1686"/>
      <c r="Z227" s="1686"/>
      <c r="AA227" s="1686"/>
      <c r="AB227" s="1686"/>
      <c r="AC227" s="1686"/>
      <c r="AD227" s="1686"/>
      <c r="AE227" s="1686"/>
      <c r="AF227" s="1686"/>
      <c r="AG227" s="1686"/>
      <c r="AH227" s="1686"/>
      <c r="AI227" s="1686"/>
      <c r="AJ227" s="1686"/>
      <c r="AK227" s="1686"/>
      <c r="AL227" s="1686"/>
      <c r="AM227" s="1686"/>
      <c r="AN227" s="1686"/>
      <c r="AO227" s="1686"/>
      <c r="AP227" s="1686"/>
      <c r="AQ227" s="1686"/>
      <c r="AR227" s="1686"/>
      <c r="AS227" s="1686"/>
      <c r="AT227" s="1686"/>
      <c r="AU227" s="1686"/>
    </row>
    <row r="228">
      <c r="A228" s="1419"/>
      <c r="B228" s="1687"/>
      <c r="C228" s="1688"/>
      <c r="D228" s="1688"/>
      <c r="E228" s="1688"/>
      <c r="F228" s="1689"/>
      <c r="G228" s="1689"/>
      <c r="H228" s="1689"/>
      <c r="I228" s="1689"/>
      <c r="J228" s="1689"/>
      <c r="K228" s="1689"/>
      <c r="L228" s="1689"/>
      <c r="M228" s="1689"/>
      <c r="N228" s="1689"/>
      <c r="O228" s="1689"/>
      <c r="P228" s="1689"/>
      <c r="Q228" s="1689"/>
      <c r="R228" s="1689"/>
      <c r="S228" s="1689"/>
      <c r="T228" s="1689"/>
      <c r="U228" s="1689"/>
      <c r="V228" s="1689"/>
      <c r="W228" s="1689"/>
      <c r="X228" s="1689"/>
      <c r="Y228" s="1689"/>
      <c r="Z228" s="1689"/>
      <c r="AA228" s="1690"/>
      <c r="AB228" s="1690"/>
      <c r="AC228" s="1690"/>
      <c r="AD228" s="1690"/>
      <c r="AE228" s="1690"/>
      <c r="AF228" s="1690"/>
      <c r="AG228" s="1690"/>
      <c r="AH228" s="1690"/>
      <c r="AI228" s="1690"/>
      <c r="AJ228" s="1690"/>
      <c r="AK228" s="1690"/>
      <c r="AL228" s="1690"/>
      <c r="AM228" s="1690"/>
      <c r="AN228" s="1690"/>
      <c r="AO228" s="1690"/>
      <c r="AP228" s="1690"/>
      <c r="AQ228" s="1690"/>
      <c r="AR228" s="1690"/>
      <c r="AS228" s="1690"/>
      <c r="AT228" s="1690"/>
      <c r="AU228" s="1690"/>
    </row>
    <row r="229">
      <c r="A229" s="1419"/>
      <c r="B229" s="1684"/>
      <c r="C229" s="1685"/>
      <c r="D229" s="1685"/>
      <c r="E229" s="1685"/>
      <c r="F229" s="1686"/>
      <c r="G229" s="1686"/>
      <c r="H229" s="1686"/>
      <c r="I229" s="1686"/>
      <c r="J229" s="1686"/>
      <c r="K229" s="1686"/>
      <c r="L229" s="1686"/>
      <c r="M229" s="1686"/>
      <c r="N229" s="1686"/>
      <c r="O229" s="1686"/>
      <c r="P229" s="1686"/>
      <c r="Q229" s="1686"/>
      <c r="R229" s="1686"/>
      <c r="S229" s="1686"/>
      <c r="T229" s="1686"/>
      <c r="U229" s="1686"/>
      <c r="V229" s="1686"/>
      <c r="W229" s="1686"/>
      <c r="X229" s="1686"/>
      <c r="Y229" s="1686"/>
      <c r="Z229" s="1686"/>
      <c r="AA229" s="1686"/>
      <c r="AB229" s="1686"/>
      <c r="AC229" s="1686"/>
      <c r="AD229" s="1686"/>
      <c r="AE229" s="1686"/>
      <c r="AF229" s="1686"/>
      <c r="AG229" s="1686"/>
      <c r="AH229" s="1686"/>
      <c r="AI229" s="1686"/>
      <c r="AJ229" s="1686"/>
      <c r="AK229" s="1686"/>
      <c r="AL229" s="1686"/>
      <c r="AM229" s="1686"/>
      <c r="AN229" s="1686"/>
      <c r="AO229" s="1686"/>
      <c r="AP229" s="1686"/>
      <c r="AQ229" s="1686"/>
      <c r="AR229" s="1686"/>
      <c r="AS229" s="1686"/>
      <c r="AT229" s="1686"/>
      <c r="AU229" s="1686"/>
    </row>
    <row r="230">
      <c r="A230" s="1419"/>
      <c r="B230" s="1687"/>
      <c r="C230" s="1688"/>
      <c r="D230" s="1688"/>
      <c r="E230" s="1688"/>
      <c r="F230" s="1690"/>
      <c r="G230" s="1690"/>
      <c r="H230" s="1690"/>
      <c r="I230" s="1690"/>
      <c r="J230" s="1690"/>
      <c r="K230" s="1690"/>
      <c r="L230" s="1690"/>
      <c r="M230" s="1690"/>
      <c r="N230" s="1690"/>
      <c r="O230" s="1690"/>
      <c r="P230" s="1690"/>
      <c r="Q230" s="1690"/>
      <c r="R230" s="1690"/>
      <c r="S230" s="1690"/>
      <c r="T230" s="1690"/>
      <c r="U230" s="1690"/>
      <c r="V230" s="1690"/>
      <c r="W230" s="1690"/>
      <c r="X230" s="1690"/>
      <c r="Y230" s="1690"/>
      <c r="Z230" s="1690"/>
      <c r="AA230" s="1690"/>
      <c r="AB230" s="1690"/>
      <c r="AC230" s="1690"/>
      <c r="AD230" s="1690"/>
      <c r="AE230" s="1690"/>
      <c r="AF230" s="1690"/>
      <c r="AG230" s="1690"/>
      <c r="AH230" s="1690"/>
      <c r="AI230" s="1690"/>
      <c r="AJ230" s="1690"/>
      <c r="AK230" s="1690"/>
      <c r="AL230" s="1690"/>
      <c r="AM230" s="1690"/>
      <c r="AN230" s="1690"/>
      <c r="AO230" s="1690"/>
      <c r="AP230" s="1690"/>
      <c r="AQ230" s="1690"/>
      <c r="AR230" s="1690"/>
      <c r="AS230" s="1690"/>
      <c r="AT230" s="1690"/>
      <c r="AU230" s="1690"/>
    </row>
    <row r="231">
      <c r="A231" s="1419"/>
      <c r="B231" s="1684"/>
      <c r="C231" s="1685"/>
      <c r="D231" s="1685"/>
      <c r="E231" s="1685"/>
      <c r="F231" s="1691"/>
      <c r="G231" s="1691"/>
      <c r="H231" s="1691"/>
      <c r="I231" s="1691"/>
      <c r="J231" s="1691"/>
      <c r="K231" s="1691"/>
      <c r="L231" s="1691"/>
      <c r="M231" s="1691"/>
      <c r="N231" s="1691"/>
      <c r="O231" s="1691"/>
      <c r="P231" s="1691"/>
      <c r="Q231" s="1691"/>
      <c r="R231" s="1691"/>
      <c r="S231" s="1691"/>
      <c r="T231" s="1691"/>
      <c r="U231" s="1691"/>
      <c r="V231" s="1691"/>
      <c r="W231" s="1691"/>
      <c r="X231" s="1691"/>
      <c r="Y231" s="1691"/>
      <c r="Z231" s="1691"/>
      <c r="AA231" s="1686"/>
      <c r="AB231" s="1686"/>
      <c r="AC231" s="1686"/>
      <c r="AD231" s="1686"/>
      <c r="AE231" s="1686"/>
      <c r="AF231" s="1686"/>
      <c r="AG231" s="1686"/>
      <c r="AH231" s="1686"/>
      <c r="AI231" s="1686"/>
      <c r="AJ231" s="1686"/>
      <c r="AK231" s="1686"/>
      <c r="AL231" s="1686"/>
      <c r="AM231" s="1686"/>
      <c r="AN231" s="1686"/>
      <c r="AO231" s="1686"/>
      <c r="AP231" s="1686"/>
      <c r="AQ231" s="1686"/>
      <c r="AR231" s="1686"/>
      <c r="AS231" s="1686"/>
      <c r="AT231" s="1686"/>
      <c r="AU231" s="1686"/>
    </row>
    <row r="232">
      <c r="A232" s="1419"/>
      <c r="B232" s="1687"/>
      <c r="C232" s="1688"/>
      <c r="D232" s="1688"/>
      <c r="E232" s="1688"/>
      <c r="F232" s="1689"/>
      <c r="G232" s="1689"/>
      <c r="H232" s="1689"/>
      <c r="I232" s="1689"/>
      <c r="J232" s="1689"/>
      <c r="K232" s="1689"/>
      <c r="L232" s="1689"/>
      <c r="M232" s="1689"/>
      <c r="N232" s="1689"/>
      <c r="O232" s="1689"/>
      <c r="P232" s="1689"/>
      <c r="Q232" s="1689"/>
      <c r="R232" s="1689"/>
      <c r="S232" s="1689"/>
      <c r="T232" s="1689"/>
      <c r="U232" s="1689"/>
      <c r="V232" s="1689"/>
      <c r="W232" s="1689"/>
      <c r="X232" s="1689"/>
      <c r="Y232" s="1689"/>
      <c r="Z232" s="1689"/>
      <c r="AA232" s="1690"/>
      <c r="AB232" s="1690"/>
      <c r="AC232" s="1690"/>
      <c r="AD232" s="1690"/>
      <c r="AE232" s="1690"/>
      <c r="AF232" s="1690"/>
      <c r="AG232" s="1690"/>
      <c r="AH232" s="1690"/>
      <c r="AI232" s="1690"/>
      <c r="AJ232" s="1690"/>
      <c r="AK232" s="1690"/>
      <c r="AL232" s="1690"/>
      <c r="AM232" s="1690"/>
      <c r="AN232" s="1690"/>
      <c r="AO232" s="1690"/>
      <c r="AP232" s="1690"/>
      <c r="AQ232" s="1690"/>
      <c r="AR232" s="1690"/>
      <c r="AS232" s="1690"/>
      <c r="AT232" s="1690"/>
      <c r="AU232" s="1690"/>
    </row>
    <row r="233">
      <c r="A233" s="1419"/>
      <c r="B233" s="1684"/>
      <c r="C233" s="1685"/>
      <c r="D233" s="1685"/>
      <c r="E233" s="1685"/>
      <c r="F233" s="1686"/>
      <c r="G233" s="1686"/>
      <c r="H233" s="1686"/>
      <c r="I233" s="1686"/>
      <c r="J233" s="1686"/>
      <c r="K233" s="1686"/>
      <c r="L233" s="1686"/>
      <c r="M233" s="1686"/>
      <c r="N233" s="1686"/>
      <c r="O233" s="1686"/>
      <c r="P233" s="1686"/>
      <c r="Q233" s="1686"/>
      <c r="R233" s="1686"/>
      <c r="S233" s="1686"/>
      <c r="T233" s="1686"/>
      <c r="U233" s="1686"/>
      <c r="V233" s="1686"/>
      <c r="W233" s="1686"/>
      <c r="X233" s="1686"/>
      <c r="Y233" s="1686"/>
      <c r="Z233" s="1686"/>
      <c r="AA233" s="1686"/>
      <c r="AB233" s="1686"/>
      <c r="AC233" s="1686"/>
      <c r="AD233" s="1686"/>
      <c r="AE233" s="1686"/>
      <c r="AF233" s="1686"/>
      <c r="AG233" s="1686"/>
      <c r="AH233" s="1686"/>
      <c r="AI233" s="1686"/>
      <c r="AJ233" s="1686"/>
      <c r="AK233" s="1686"/>
      <c r="AL233" s="1686"/>
      <c r="AM233" s="1686"/>
      <c r="AN233" s="1686"/>
      <c r="AO233" s="1686"/>
      <c r="AP233" s="1686"/>
      <c r="AQ233" s="1686"/>
      <c r="AR233" s="1686"/>
      <c r="AS233" s="1686"/>
      <c r="AT233" s="1686"/>
      <c r="AU233" s="1686"/>
    </row>
    <row r="234">
      <c r="A234" s="1419"/>
      <c r="B234" s="1687"/>
      <c r="C234" s="1688"/>
      <c r="D234" s="1688"/>
      <c r="E234" s="1688"/>
      <c r="F234" s="1690"/>
      <c r="G234" s="1690"/>
      <c r="H234" s="1690"/>
      <c r="I234" s="1690"/>
      <c r="J234" s="1690"/>
      <c r="K234" s="1690"/>
      <c r="L234" s="1690"/>
      <c r="M234" s="1690"/>
      <c r="N234" s="1690"/>
      <c r="O234" s="1690"/>
      <c r="P234" s="1690"/>
      <c r="Q234" s="1690"/>
      <c r="R234" s="1690"/>
      <c r="S234" s="1690"/>
      <c r="T234" s="1690"/>
      <c r="U234" s="1690"/>
      <c r="V234" s="1690"/>
      <c r="W234" s="1690"/>
      <c r="X234" s="1690"/>
      <c r="Y234" s="1690"/>
      <c r="Z234" s="1690"/>
      <c r="AA234" s="1690"/>
      <c r="AB234" s="1690"/>
      <c r="AC234" s="1690"/>
      <c r="AD234" s="1690"/>
      <c r="AE234" s="1690"/>
      <c r="AF234" s="1690"/>
      <c r="AG234" s="1690"/>
      <c r="AH234" s="1690"/>
      <c r="AI234" s="1690"/>
      <c r="AJ234" s="1690"/>
      <c r="AK234" s="1690"/>
      <c r="AL234" s="1690"/>
      <c r="AM234" s="1690"/>
      <c r="AN234" s="1690"/>
      <c r="AO234" s="1690"/>
      <c r="AP234" s="1690"/>
      <c r="AQ234" s="1690"/>
      <c r="AR234" s="1690"/>
      <c r="AS234" s="1690"/>
      <c r="AT234" s="1690"/>
      <c r="AU234" s="1690"/>
    </row>
    <row r="235">
      <c r="A235" s="1419"/>
      <c r="B235" s="1684"/>
      <c r="C235" s="1685"/>
      <c r="D235" s="1685"/>
      <c r="E235" s="1685"/>
      <c r="F235" s="1686"/>
      <c r="G235" s="1686"/>
      <c r="H235" s="1686"/>
      <c r="I235" s="1686"/>
      <c r="J235" s="1686"/>
      <c r="K235" s="1686"/>
      <c r="L235" s="1686"/>
      <c r="M235" s="1686"/>
      <c r="N235" s="1686"/>
      <c r="O235" s="1686"/>
      <c r="P235" s="1686"/>
      <c r="Q235" s="1686"/>
      <c r="R235" s="1686"/>
      <c r="S235" s="1686"/>
      <c r="T235" s="1686"/>
      <c r="U235" s="1686"/>
      <c r="V235" s="1686"/>
      <c r="W235" s="1686"/>
      <c r="X235" s="1686"/>
      <c r="Y235" s="1686"/>
      <c r="Z235" s="1686"/>
      <c r="AA235" s="1686"/>
      <c r="AB235" s="1686"/>
      <c r="AC235" s="1686"/>
      <c r="AD235" s="1686"/>
      <c r="AE235" s="1686"/>
      <c r="AF235" s="1686"/>
      <c r="AG235" s="1686"/>
      <c r="AH235" s="1686"/>
      <c r="AI235" s="1686"/>
      <c r="AJ235" s="1686"/>
      <c r="AK235" s="1686"/>
      <c r="AL235" s="1686"/>
      <c r="AM235" s="1686"/>
      <c r="AN235" s="1686"/>
      <c r="AO235" s="1686"/>
      <c r="AP235" s="1686"/>
      <c r="AQ235" s="1686"/>
      <c r="AR235" s="1686"/>
      <c r="AS235" s="1686"/>
      <c r="AT235" s="1686"/>
      <c r="AU235" s="1686"/>
    </row>
    <row r="236">
      <c r="A236" s="1419"/>
      <c r="B236" s="1687"/>
      <c r="C236" s="1688"/>
      <c r="D236" s="1688"/>
      <c r="E236" s="1688"/>
      <c r="F236" s="1689"/>
      <c r="G236" s="1689"/>
      <c r="H236" s="1689"/>
      <c r="I236" s="1689"/>
      <c r="J236" s="1689"/>
      <c r="K236" s="1689"/>
      <c r="L236" s="1689"/>
      <c r="M236" s="1689"/>
      <c r="N236" s="1689"/>
      <c r="O236" s="1689"/>
      <c r="P236" s="1689"/>
      <c r="Q236" s="1689"/>
      <c r="R236" s="1689"/>
      <c r="S236" s="1689"/>
      <c r="T236" s="1689"/>
      <c r="U236" s="1689"/>
      <c r="V236" s="1689"/>
      <c r="W236" s="1689"/>
      <c r="X236" s="1689"/>
      <c r="Y236" s="1689"/>
      <c r="Z236" s="1689"/>
      <c r="AA236" s="1690"/>
      <c r="AB236" s="1690"/>
      <c r="AC236" s="1690"/>
      <c r="AD236" s="1690"/>
      <c r="AE236" s="1690"/>
      <c r="AF236" s="1690"/>
      <c r="AG236" s="1690"/>
      <c r="AH236" s="1690"/>
      <c r="AI236" s="1690"/>
      <c r="AJ236" s="1690"/>
      <c r="AK236" s="1690"/>
      <c r="AL236" s="1690"/>
      <c r="AM236" s="1690"/>
      <c r="AN236" s="1690"/>
      <c r="AO236" s="1690"/>
      <c r="AP236" s="1690"/>
      <c r="AQ236" s="1690"/>
      <c r="AR236" s="1690"/>
      <c r="AS236" s="1690"/>
      <c r="AT236" s="1690"/>
      <c r="AU236" s="1690"/>
    </row>
    <row r="237">
      <c r="A237" s="1419"/>
      <c r="B237" s="1684"/>
      <c r="C237" s="1685"/>
      <c r="D237" s="1685"/>
      <c r="E237" s="1685"/>
      <c r="F237" s="1686"/>
      <c r="G237" s="1686"/>
      <c r="H237" s="1686"/>
      <c r="I237" s="1686"/>
      <c r="J237" s="1686"/>
      <c r="K237" s="1686"/>
      <c r="L237" s="1686"/>
      <c r="M237" s="1686"/>
      <c r="N237" s="1686"/>
      <c r="O237" s="1686"/>
      <c r="P237" s="1686"/>
      <c r="Q237" s="1686"/>
      <c r="R237" s="1686"/>
      <c r="S237" s="1686"/>
      <c r="T237" s="1686"/>
      <c r="U237" s="1686"/>
      <c r="V237" s="1686"/>
      <c r="W237" s="1686"/>
      <c r="X237" s="1686"/>
      <c r="Y237" s="1686"/>
      <c r="Z237" s="1686"/>
      <c r="AA237" s="1686"/>
      <c r="AB237" s="1686"/>
      <c r="AC237" s="1686"/>
      <c r="AD237" s="1686"/>
      <c r="AE237" s="1686"/>
      <c r="AF237" s="1686"/>
      <c r="AG237" s="1686"/>
      <c r="AH237" s="1686"/>
      <c r="AI237" s="1686"/>
      <c r="AJ237" s="1686"/>
      <c r="AK237" s="1686"/>
      <c r="AL237" s="1686"/>
      <c r="AM237" s="1686"/>
      <c r="AN237" s="1686"/>
      <c r="AO237" s="1686"/>
      <c r="AP237" s="1686"/>
      <c r="AQ237" s="1686"/>
      <c r="AR237" s="1686"/>
      <c r="AS237" s="1686"/>
      <c r="AT237" s="1686"/>
      <c r="AU237" s="1686"/>
    </row>
    <row r="238">
      <c r="A238" s="1419"/>
      <c r="B238" s="1687"/>
      <c r="C238" s="1688"/>
      <c r="D238" s="1688"/>
      <c r="E238" s="1688"/>
      <c r="F238" s="1690"/>
      <c r="G238" s="1690"/>
      <c r="H238" s="1690"/>
      <c r="I238" s="1690"/>
      <c r="J238" s="1690"/>
      <c r="K238" s="1690"/>
      <c r="L238" s="1690"/>
      <c r="M238" s="1690"/>
      <c r="N238" s="1690"/>
      <c r="O238" s="1690"/>
      <c r="P238" s="1690"/>
      <c r="Q238" s="1690"/>
      <c r="R238" s="1690"/>
      <c r="S238" s="1690"/>
      <c r="T238" s="1690"/>
      <c r="U238" s="1690"/>
      <c r="V238" s="1690"/>
      <c r="W238" s="1690"/>
      <c r="X238" s="1690"/>
      <c r="Y238" s="1690"/>
      <c r="Z238" s="1690"/>
      <c r="AA238" s="1690"/>
      <c r="AB238" s="1690"/>
      <c r="AC238" s="1690"/>
      <c r="AD238" s="1690"/>
      <c r="AE238" s="1690"/>
      <c r="AF238" s="1690"/>
      <c r="AG238" s="1690"/>
      <c r="AH238" s="1690"/>
      <c r="AI238" s="1690"/>
      <c r="AJ238" s="1690"/>
      <c r="AK238" s="1690"/>
      <c r="AL238" s="1690"/>
      <c r="AM238" s="1690"/>
      <c r="AN238" s="1690"/>
      <c r="AO238" s="1690"/>
      <c r="AP238" s="1690"/>
      <c r="AQ238" s="1690"/>
      <c r="AR238" s="1690"/>
      <c r="AS238" s="1690"/>
      <c r="AT238" s="1690"/>
      <c r="AU238" s="1690"/>
    </row>
    <row r="239">
      <c r="A239" s="1419"/>
      <c r="B239" s="1684"/>
      <c r="C239" s="1685"/>
      <c r="D239" s="1685"/>
      <c r="E239" s="1685"/>
      <c r="F239" s="1691"/>
      <c r="G239" s="1691"/>
      <c r="H239" s="1691"/>
      <c r="I239" s="1691"/>
      <c r="J239" s="1691"/>
      <c r="K239" s="1691"/>
      <c r="L239" s="1691"/>
      <c r="M239" s="1691"/>
      <c r="N239" s="1691"/>
      <c r="O239" s="1691"/>
      <c r="P239" s="1691"/>
      <c r="Q239" s="1691"/>
      <c r="R239" s="1691"/>
      <c r="S239" s="1691"/>
      <c r="T239" s="1691"/>
      <c r="U239" s="1691"/>
      <c r="V239" s="1691"/>
      <c r="W239" s="1691"/>
      <c r="X239" s="1691"/>
      <c r="Y239" s="1691"/>
      <c r="Z239" s="1691"/>
      <c r="AA239" s="1686"/>
      <c r="AB239" s="1686"/>
      <c r="AC239" s="1686"/>
      <c r="AD239" s="1686"/>
      <c r="AE239" s="1686"/>
      <c r="AF239" s="1686"/>
      <c r="AG239" s="1686"/>
      <c r="AH239" s="1686"/>
      <c r="AI239" s="1686"/>
      <c r="AJ239" s="1686"/>
      <c r="AK239" s="1686"/>
      <c r="AL239" s="1686"/>
      <c r="AM239" s="1686"/>
      <c r="AN239" s="1686"/>
      <c r="AO239" s="1686"/>
      <c r="AP239" s="1686"/>
      <c r="AQ239" s="1686"/>
      <c r="AR239" s="1686"/>
      <c r="AS239" s="1686"/>
      <c r="AT239" s="1686"/>
      <c r="AU239" s="1686"/>
    </row>
    <row r="240">
      <c r="A240" s="1419"/>
      <c r="B240" s="1687"/>
      <c r="C240" s="1688"/>
      <c r="D240" s="1688"/>
      <c r="E240" s="1688"/>
      <c r="F240" s="1690"/>
      <c r="G240" s="1690"/>
      <c r="H240" s="1690"/>
      <c r="I240" s="1690"/>
      <c r="J240" s="1690"/>
      <c r="K240" s="1690"/>
      <c r="L240" s="1690"/>
      <c r="M240" s="1690"/>
      <c r="N240" s="1690"/>
      <c r="O240" s="1690"/>
      <c r="P240" s="1690"/>
      <c r="Q240" s="1690"/>
      <c r="R240" s="1690"/>
      <c r="S240" s="1690"/>
      <c r="T240" s="1690"/>
      <c r="U240" s="1690"/>
      <c r="V240" s="1690"/>
      <c r="W240" s="1690"/>
      <c r="X240" s="1690"/>
      <c r="Y240" s="1690"/>
      <c r="Z240" s="1690"/>
      <c r="AA240" s="1690"/>
      <c r="AB240" s="1690"/>
      <c r="AC240" s="1690"/>
      <c r="AD240" s="1690"/>
      <c r="AE240" s="1690"/>
      <c r="AF240" s="1690"/>
      <c r="AG240" s="1690"/>
      <c r="AH240" s="1690"/>
      <c r="AI240" s="1690"/>
      <c r="AJ240" s="1690"/>
      <c r="AK240" s="1690"/>
      <c r="AL240" s="1690"/>
      <c r="AM240" s="1690"/>
      <c r="AN240" s="1690"/>
      <c r="AO240" s="1690"/>
      <c r="AP240" s="1690"/>
      <c r="AQ240" s="1690"/>
      <c r="AR240" s="1690"/>
      <c r="AS240" s="1690"/>
      <c r="AT240" s="1690"/>
      <c r="AU240" s="1690"/>
    </row>
    <row r="241">
      <c r="A241" s="1419"/>
      <c r="B241" s="1684"/>
      <c r="C241" s="1685"/>
      <c r="D241" s="1685"/>
      <c r="E241" s="1685"/>
      <c r="F241" s="1686"/>
      <c r="G241" s="1686"/>
      <c r="H241" s="1686"/>
      <c r="I241" s="1686"/>
      <c r="J241" s="1686"/>
      <c r="K241" s="1686"/>
      <c r="L241" s="1686"/>
      <c r="M241" s="1686"/>
      <c r="N241" s="1686"/>
      <c r="O241" s="1686"/>
      <c r="P241" s="1686"/>
      <c r="Q241" s="1686"/>
      <c r="R241" s="1686"/>
      <c r="S241" s="1686"/>
      <c r="T241" s="1686"/>
      <c r="U241" s="1686"/>
      <c r="V241" s="1686"/>
      <c r="W241" s="1686"/>
      <c r="X241" s="1686"/>
      <c r="Y241" s="1686"/>
      <c r="Z241" s="1686"/>
      <c r="AA241" s="1686"/>
      <c r="AB241" s="1686"/>
      <c r="AC241" s="1686"/>
      <c r="AD241" s="1686"/>
      <c r="AE241" s="1686"/>
      <c r="AF241" s="1686"/>
      <c r="AG241" s="1686"/>
      <c r="AH241" s="1686"/>
      <c r="AI241" s="1686"/>
      <c r="AJ241" s="1686"/>
      <c r="AK241" s="1686"/>
      <c r="AL241" s="1686"/>
      <c r="AM241" s="1686"/>
      <c r="AN241" s="1686"/>
      <c r="AO241" s="1686"/>
      <c r="AP241" s="1686"/>
      <c r="AQ241" s="1686"/>
      <c r="AR241" s="1686"/>
      <c r="AS241" s="1686"/>
      <c r="AT241" s="1686"/>
      <c r="AU241" s="1686"/>
    </row>
    <row r="242">
      <c r="A242" s="1419"/>
      <c r="B242" s="1687"/>
      <c r="C242" s="1688"/>
      <c r="D242" s="1688"/>
      <c r="E242" s="1688"/>
      <c r="F242" s="1690"/>
      <c r="G242" s="1690"/>
      <c r="H242" s="1690"/>
      <c r="I242" s="1690"/>
      <c r="J242" s="1690"/>
      <c r="K242" s="1690"/>
      <c r="L242" s="1690"/>
      <c r="M242" s="1690"/>
      <c r="N242" s="1690"/>
      <c r="O242" s="1690"/>
      <c r="P242" s="1690"/>
      <c r="Q242" s="1690"/>
      <c r="R242" s="1690"/>
      <c r="S242" s="1690"/>
      <c r="T242" s="1690"/>
      <c r="U242" s="1690"/>
      <c r="V242" s="1690"/>
      <c r="W242" s="1690"/>
      <c r="X242" s="1690"/>
      <c r="Y242" s="1690"/>
      <c r="Z242" s="1690"/>
      <c r="AA242" s="1690"/>
      <c r="AB242" s="1690"/>
      <c r="AC242" s="1690"/>
      <c r="AD242" s="1690"/>
      <c r="AE242" s="1690"/>
      <c r="AF242" s="1690"/>
      <c r="AG242" s="1690"/>
      <c r="AH242" s="1690"/>
      <c r="AI242" s="1690"/>
      <c r="AJ242" s="1690"/>
      <c r="AK242" s="1690"/>
      <c r="AL242" s="1690"/>
      <c r="AM242" s="1690"/>
      <c r="AN242" s="1690"/>
      <c r="AO242" s="1690"/>
      <c r="AP242" s="1690"/>
      <c r="AQ242" s="1690"/>
      <c r="AR242" s="1690"/>
      <c r="AS242" s="1690"/>
      <c r="AT242" s="1690"/>
      <c r="AU242" s="1690"/>
    </row>
    <row r="243">
      <c r="A243" s="1419"/>
      <c r="B243" s="1684"/>
      <c r="C243" s="1685"/>
      <c r="D243" s="1685"/>
      <c r="E243" s="1685"/>
      <c r="F243" s="1686"/>
      <c r="G243" s="1686"/>
      <c r="H243" s="1686"/>
      <c r="I243" s="1686"/>
      <c r="J243" s="1686"/>
      <c r="K243" s="1686"/>
      <c r="L243" s="1686"/>
      <c r="M243" s="1686"/>
      <c r="N243" s="1686"/>
      <c r="O243" s="1686"/>
      <c r="P243" s="1686"/>
      <c r="Q243" s="1686"/>
      <c r="R243" s="1686"/>
      <c r="S243" s="1686"/>
      <c r="T243" s="1686"/>
      <c r="U243" s="1686"/>
      <c r="V243" s="1686"/>
      <c r="W243" s="1686"/>
      <c r="X243" s="1686"/>
      <c r="Y243" s="1686"/>
      <c r="Z243" s="1686"/>
      <c r="AA243" s="1686"/>
      <c r="AB243" s="1686"/>
      <c r="AC243" s="1686"/>
      <c r="AD243" s="1686"/>
      <c r="AE243" s="1686"/>
      <c r="AF243" s="1686"/>
      <c r="AG243" s="1686"/>
      <c r="AH243" s="1686"/>
      <c r="AI243" s="1686"/>
      <c r="AJ243" s="1686"/>
      <c r="AK243" s="1686"/>
      <c r="AL243" s="1686"/>
      <c r="AM243" s="1686"/>
      <c r="AN243" s="1686"/>
      <c r="AO243" s="1686"/>
      <c r="AP243" s="1686"/>
      <c r="AQ243" s="1686"/>
      <c r="AR243" s="1686"/>
      <c r="AS243" s="1686"/>
      <c r="AT243" s="1686"/>
      <c r="AU243" s="1686"/>
    </row>
    <row r="244">
      <c r="A244" s="1419"/>
      <c r="B244" s="1687"/>
      <c r="C244" s="1688"/>
      <c r="D244" s="1688"/>
      <c r="E244" s="1688"/>
      <c r="F244" s="1689"/>
      <c r="G244" s="1689"/>
      <c r="H244" s="1689"/>
      <c r="I244" s="1689"/>
      <c r="J244" s="1689"/>
      <c r="K244" s="1689"/>
      <c r="L244" s="1689"/>
      <c r="M244" s="1689"/>
      <c r="N244" s="1689"/>
      <c r="O244" s="1689"/>
      <c r="P244" s="1689"/>
      <c r="Q244" s="1689"/>
      <c r="R244" s="1689"/>
      <c r="S244" s="1689"/>
      <c r="T244" s="1689"/>
      <c r="U244" s="1689"/>
      <c r="V244" s="1689"/>
      <c r="W244" s="1689"/>
      <c r="X244" s="1689"/>
      <c r="Y244" s="1689"/>
      <c r="Z244" s="1689"/>
      <c r="AA244" s="1690"/>
      <c r="AB244" s="1690"/>
      <c r="AC244" s="1690"/>
      <c r="AD244" s="1690"/>
      <c r="AE244" s="1690"/>
      <c r="AF244" s="1690"/>
      <c r="AG244" s="1690"/>
      <c r="AH244" s="1690"/>
      <c r="AI244" s="1690"/>
      <c r="AJ244" s="1690"/>
      <c r="AK244" s="1690"/>
      <c r="AL244" s="1690"/>
      <c r="AM244" s="1690"/>
      <c r="AN244" s="1690"/>
      <c r="AO244" s="1690"/>
      <c r="AP244" s="1690"/>
      <c r="AQ244" s="1690"/>
      <c r="AR244" s="1690"/>
      <c r="AS244" s="1690"/>
      <c r="AT244" s="1690"/>
      <c r="AU244" s="1690"/>
    </row>
    <row r="245">
      <c r="A245" s="1419"/>
      <c r="B245" s="1684"/>
      <c r="C245" s="1685"/>
      <c r="D245" s="1685"/>
      <c r="E245" s="1685"/>
      <c r="F245" s="1686"/>
      <c r="G245" s="1686"/>
      <c r="H245" s="1686"/>
      <c r="I245" s="1686"/>
      <c r="J245" s="1686"/>
      <c r="K245" s="1686"/>
      <c r="L245" s="1686"/>
      <c r="M245" s="1686"/>
      <c r="N245" s="1686"/>
      <c r="O245" s="1686"/>
      <c r="P245" s="1686"/>
      <c r="Q245" s="1686"/>
      <c r="R245" s="1686"/>
      <c r="S245" s="1686"/>
      <c r="T245" s="1686"/>
      <c r="U245" s="1686"/>
      <c r="V245" s="1686"/>
      <c r="W245" s="1686"/>
      <c r="X245" s="1686"/>
      <c r="Y245" s="1686"/>
      <c r="Z245" s="1686"/>
      <c r="AA245" s="1686"/>
      <c r="AB245" s="1686"/>
      <c r="AC245" s="1686"/>
      <c r="AD245" s="1686"/>
      <c r="AE245" s="1686"/>
      <c r="AF245" s="1686"/>
      <c r="AG245" s="1686"/>
      <c r="AH245" s="1686"/>
      <c r="AI245" s="1686"/>
      <c r="AJ245" s="1686"/>
      <c r="AK245" s="1686"/>
      <c r="AL245" s="1686"/>
      <c r="AM245" s="1686"/>
      <c r="AN245" s="1686"/>
      <c r="AO245" s="1686"/>
      <c r="AP245" s="1686"/>
      <c r="AQ245" s="1686"/>
      <c r="AR245" s="1686"/>
      <c r="AS245" s="1686"/>
      <c r="AT245" s="1686"/>
      <c r="AU245" s="1686"/>
    </row>
    <row r="246">
      <c r="A246" s="1419"/>
      <c r="B246" s="1687"/>
      <c r="C246" s="1688"/>
      <c r="D246" s="1688"/>
      <c r="E246" s="1688"/>
      <c r="F246" s="1689"/>
      <c r="G246" s="1689"/>
      <c r="H246" s="1689"/>
      <c r="I246" s="1689"/>
      <c r="J246" s="1689"/>
      <c r="K246" s="1689"/>
      <c r="L246" s="1689"/>
      <c r="M246" s="1689"/>
      <c r="N246" s="1689"/>
      <c r="O246" s="1689"/>
      <c r="P246" s="1689"/>
      <c r="Q246" s="1689"/>
      <c r="R246" s="1689"/>
      <c r="S246" s="1689"/>
      <c r="T246" s="1689"/>
      <c r="U246" s="1689"/>
      <c r="V246" s="1689"/>
      <c r="W246" s="1689"/>
      <c r="X246" s="1689"/>
      <c r="Y246" s="1689"/>
      <c r="Z246" s="1689"/>
      <c r="AA246" s="1690"/>
      <c r="AB246" s="1690"/>
      <c r="AC246" s="1690"/>
      <c r="AD246" s="1690"/>
      <c r="AE246" s="1690"/>
      <c r="AF246" s="1690"/>
      <c r="AG246" s="1690"/>
      <c r="AH246" s="1690"/>
      <c r="AI246" s="1690"/>
      <c r="AJ246" s="1690"/>
      <c r="AK246" s="1690"/>
      <c r="AL246" s="1690"/>
      <c r="AM246" s="1690"/>
      <c r="AN246" s="1690"/>
      <c r="AO246" s="1690"/>
      <c r="AP246" s="1690"/>
      <c r="AQ246" s="1690"/>
      <c r="AR246" s="1690"/>
      <c r="AS246" s="1690"/>
      <c r="AT246" s="1690"/>
      <c r="AU246" s="1690"/>
    </row>
    <row r="247">
      <c r="A247" s="1419"/>
      <c r="B247" s="1684"/>
      <c r="C247" s="1685"/>
      <c r="D247" s="1685"/>
      <c r="E247" s="1685"/>
      <c r="F247" s="1691"/>
      <c r="G247" s="1691"/>
      <c r="H247" s="1691"/>
      <c r="I247" s="1691"/>
      <c r="J247" s="1691"/>
      <c r="K247" s="1691"/>
      <c r="L247" s="1691"/>
      <c r="M247" s="1691"/>
      <c r="N247" s="1691"/>
      <c r="O247" s="1691"/>
      <c r="P247" s="1691"/>
      <c r="Q247" s="1691"/>
      <c r="R247" s="1691"/>
      <c r="S247" s="1691"/>
      <c r="T247" s="1691"/>
      <c r="U247" s="1691"/>
      <c r="V247" s="1691"/>
      <c r="W247" s="1691"/>
      <c r="X247" s="1691"/>
      <c r="Y247" s="1691"/>
      <c r="Z247" s="1691"/>
      <c r="AA247" s="1686"/>
      <c r="AB247" s="1686"/>
      <c r="AC247" s="1686"/>
      <c r="AD247" s="1686"/>
      <c r="AE247" s="1686"/>
      <c r="AF247" s="1686"/>
      <c r="AG247" s="1686"/>
      <c r="AH247" s="1686"/>
      <c r="AI247" s="1686"/>
      <c r="AJ247" s="1686"/>
      <c r="AK247" s="1686"/>
      <c r="AL247" s="1686"/>
      <c r="AM247" s="1686"/>
      <c r="AN247" s="1686"/>
      <c r="AO247" s="1686"/>
      <c r="AP247" s="1686"/>
      <c r="AQ247" s="1686"/>
      <c r="AR247" s="1686"/>
      <c r="AS247" s="1686"/>
      <c r="AT247" s="1686"/>
      <c r="AU247" s="1686"/>
    </row>
    <row r="248">
      <c r="A248" s="1419"/>
      <c r="B248" s="1687"/>
      <c r="C248" s="1688"/>
      <c r="D248" s="1688"/>
      <c r="E248" s="1688"/>
      <c r="F248" s="1690"/>
      <c r="G248" s="1690"/>
      <c r="H248" s="1690"/>
      <c r="I248" s="1690"/>
      <c r="J248" s="1690"/>
      <c r="K248" s="1690"/>
      <c r="L248" s="1690"/>
      <c r="M248" s="1690"/>
      <c r="N248" s="1690"/>
      <c r="O248" s="1690"/>
      <c r="P248" s="1690"/>
      <c r="Q248" s="1690"/>
      <c r="R248" s="1690"/>
      <c r="S248" s="1690"/>
      <c r="T248" s="1690"/>
      <c r="U248" s="1690"/>
      <c r="V248" s="1690"/>
      <c r="W248" s="1690"/>
      <c r="X248" s="1690"/>
      <c r="Y248" s="1690"/>
      <c r="Z248" s="1690"/>
      <c r="AA248" s="1690"/>
      <c r="AB248" s="1690"/>
      <c r="AC248" s="1690"/>
      <c r="AD248" s="1690"/>
      <c r="AE248" s="1690"/>
      <c r="AF248" s="1690"/>
      <c r="AG248" s="1690"/>
      <c r="AH248" s="1690"/>
      <c r="AI248" s="1690"/>
      <c r="AJ248" s="1690"/>
      <c r="AK248" s="1690"/>
      <c r="AL248" s="1690"/>
      <c r="AM248" s="1690"/>
      <c r="AN248" s="1690"/>
      <c r="AO248" s="1690"/>
      <c r="AP248" s="1690"/>
      <c r="AQ248" s="1690"/>
      <c r="AR248" s="1690"/>
      <c r="AS248" s="1690"/>
      <c r="AT248" s="1690"/>
      <c r="AU248" s="1690"/>
    </row>
    <row r="249">
      <c r="A249" s="1419"/>
      <c r="B249" s="1684"/>
      <c r="C249" s="1685"/>
      <c r="D249" s="1685"/>
      <c r="E249" s="1685"/>
      <c r="F249" s="1691"/>
      <c r="G249" s="1691"/>
      <c r="H249" s="1691"/>
      <c r="I249" s="1691"/>
      <c r="J249" s="1691"/>
      <c r="K249" s="1691"/>
      <c r="L249" s="1691"/>
      <c r="M249" s="1691"/>
      <c r="N249" s="1691"/>
      <c r="O249" s="1691"/>
      <c r="P249" s="1691"/>
      <c r="Q249" s="1691"/>
      <c r="R249" s="1691"/>
      <c r="S249" s="1691"/>
      <c r="T249" s="1691"/>
      <c r="U249" s="1691"/>
      <c r="V249" s="1691"/>
      <c r="W249" s="1691"/>
      <c r="X249" s="1691"/>
      <c r="Y249" s="1691"/>
      <c r="Z249" s="1691"/>
      <c r="AA249" s="1686"/>
      <c r="AB249" s="1686"/>
      <c r="AC249" s="1686"/>
      <c r="AD249" s="1686"/>
      <c r="AE249" s="1686"/>
      <c r="AF249" s="1686"/>
      <c r="AG249" s="1686"/>
      <c r="AH249" s="1686"/>
      <c r="AI249" s="1686"/>
      <c r="AJ249" s="1686"/>
      <c r="AK249" s="1686"/>
      <c r="AL249" s="1686"/>
      <c r="AM249" s="1686"/>
      <c r="AN249" s="1686"/>
      <c r="AO249" s="1686"/>
      <c r="AP249" s="1686"/>
      <c r="AQ249" s="1686"/>
      <c r="AR249" s="1686"/>
      <c r="AS249" s="1686"/>
      <c r="AT249" s="1686"/>
      <c r="AU249" s="1686"/>
    </row>
    <row r="250">
      <c r="A250" s="1419"/>
      <c r="B250" s="1687"/>
      <c r="C250" s="1688"/>
      <c r="D250" s="1688"/>
      <c r="E250" s="1688"/>
      <c r="F250" s="1690"/>
      <c r="G250" s="1690"/>
      <c r="H250" s="1690"/>
      <c r="I250" s="1690"/>
      <c r="J250" s="1690"/>
      <c r="K250" s="1690"/>
      <c r="L250" s="1690"/>
      <c r="M250" s="1690"/>
      <c r="N250" s="1690"/>
      <c r="O250" s="1690"/>
      <c r="P250" s="1690"/>
      <c r="Q250" s="1690"/>
      <c r="R250" s="1690"/>
      <c r="S250" s="1690"/>
      <c r="T250" s="1690"/>
      <c r="U250" s="1690"/>
      <c r="V250" s="1690"/>
      <c r="W250" s="1690"/>
      <c r="X250" s="1690"/>
      <c r="Y250" s="1690"/>
      <c r="Z250" s="1690"/>
      <c r="AA250" s="1690"/>
      <c r="AB250" s="1690"/>
      <c r="AC250" s="1690"/>
      <c r="AD250" s="1690"/>
      <c r="AE250" s="1690"/>
      <c r="AF250" s="1690"/>
      <c r="AG250" s="1690"/>
      <c r="AH250" s="1690"/>
      <c r="AI250" s="1690"/>
      <c r="AJ250" s="1690"/>
      <c r="AK250" s="1690"/>
      <c r="AL250" s="1690"/>
      <c r="AM250" s="1690"/>
      <c r="AN250" s="1690"/>
      <c r="AO250" s="1690"/>
      <c r="AP250" s="1690"/>
      <c r="AQ250" s="1690"/>
      <c r="AR250" s="1690"/>
      <c r="AS250" s="1690"/>
      <c r="AT250" s="1690"/>
      <c r="AU250" s="1690"/>
    </row>
    <row r="251">
      <c r="A251" s="1419"/>
      <c r="B251" s="1684"/>
      <c r="C251" s="1685"/>
      <c r="D251" s="1685"/>
      <c r="E251" s="1685"/>
      <c r="F251" s="1691"/>
      <c r="G251" s="1691"/>
      <c r="H251" s="1691"/>
      <c r="I251" s="1691"/>
      <c r="J251" s="1691"/>
      <c r="K251" s="1691"/>
      <c r="L251" s="1691"/>
      <c r="M251" s="1691"/>
      <c r="N251" s="1691"/>
      <c r="O251" s="1691"/>
      <c r="P251" s="1691"/>
      <c r="Q251" s="1691"/>
      <c r="R251" s="1691"/>
      <c r="S251" s="1691"/>
      <c r="T251" s="1691"/>
      <c r="U251" s="1691"/>
      <c r="V251" s="1691"/>
      <c r="W251" s="1691"/>
      <c r="X251" s="1691"/>
      <c r="Y251" s="1691"/>
      <c r="Z251" s="1691"/>
      <c r="AA251" s="1686"/>
      <c r="AB251" s="1686"/>
      <c r="AC251" s="1686"/>
      <c r="AD251" s="1686"/>
      <c r="AE251" s="1686"/>
      <c r="AF251" s="1686"/>
      <c r="AG251" s="1686"/>
      <c r="AH251" s="1686"/>
      <c r="AI251" s="1686"/>
      <c r="AJ251" s="1686"/>
      <c r="AK251" s="1686"/>
      <c r="AL251" s="1686"/>
      <c r="AM251" s="1686"/>
      <c r="AN251" s="1686"/>
      <c r="AO251" s="1686"/>
      <c r="AP251" s="1686"/>
      <c r="AQ251" s="1686"/>
      <c r="AR251" s="1686"/>
      <c r="AS251" s="1686"/>
      <c r="AT251" s="1686"/>
      <c r="AU251" s="1686"/>
    </row>
    <row r="252">
      <c r="A252" s="1419"/>
      <c r="B252" s="1687"/>
      <c r="C252" s="1688"/>
      <c r="D252" s="1688"/>
      <c r="E252" s="1688"/>
      <c r="F252" s="1690"/>
      <c r="G252" s="1690"/>
      <c r="H252" s="1690"/>
      <c r="I252" s="1690"/>
      <c r="J252" s="1690"/>
      <c r="K252" s="1690"/>
      <c r="L252" s="1690"/>
      <c r="M252" s="1690"/>
      <c r="N252" s="1690"/>
      <c r="O252" s="1690"/>
      <c r="P252" s="1690"/>
      <c r="Q252" s="1690"/>
      <c r="R252" s="1690"/>
      <c r="S252" s="1690"/>
      <c r="T252" s="1690"/>
      <c r="U252" s="1690"/>
      <c r="V252" s="1690"/>
      <c r="W252" s="1690"/>
      <c r="X252" s="1690"/>
      <c r="Y252" s="1690"/>
      <c r="Z252" s="1690"/>
      <c r="AA252" s="1690"/>
      <c r="AB252" s="1690"/>
      <c r="AC252" s="1690"/>
      <c r="AD252" s="1690"/>
      <c r="AE252" s="1690"/>
      <c r="AF252" s="1690"/>
      <c r="AG252" s="1690"/>
      <c r="AH252" s="1690"/>
      <c r="AI252" s="1690"/>
      <c r="AJ252" s="1690"/>
      <c r="AK252" s="1690"/>
      <c r="AL252" s="1690"/>
      <c r="AM252" s="1690"/>
      <c r="AN252" s="1690"/>
      <c r="AO252" s="1690"/>
      <c r="AP252" s="1690"/>
      <c r="AQ252" s="1690"/>
      <c r="AR252" s="1690"/>
      <c r="AS252" s="1690"/>
      <c r="AT252" s="1690"/>
      <c r="AU252" s="1690"/>
    </row>
    <row r="253">
      <c r="A253" s="1440" t="s">
        <v>2461</v>
      </c>
      <c r="B253" s="1684"/>
      <c r="C253" s="1685"/>
      <c r="D253" s="1685"/>
      <c r="E253" s="1685"/>
      <c r="F253" s="1691"/>
      <c r="G253" s="1691"/>
      <c r="H253" s="1691"/>
      <c r="I253" s="1691"/>
      <c r="J253" s="1691"/>
      <c r="K253" s="1691"/>
      <c r="L253" s="1691"/>
      <c r="M253" s="1691"/>
      <c r="N253" s="1691"/>
      <c r="O253" s="1691"/>
      <c r="P253" s="1691"/>
      <c r="Q253" s="1691"/>
      <c r="R253" s="1691"/>
      <c r="S253" s="1691"/>
      <c r="T253" s="1691"/>
      <c r="U253" s="1691"/>
      <c r="V253" s="1691"/>
      <c r="W253" s="1691"/>
      <c r="X253" s="1691"/>
      <c r="Y253" s="1691"/>
      <c r="Z253" s="1691"/>
      <c r="AA253" s="1686"/>
      <c r="AB253" s="1686"/>
      <c r="AC253" s="1686"/>
      <c r="AD253" s="1686"/>
      <c r="AE253" s="1686"/>
      <c r="AF253" s="1686"/>
      <c r="AG253" s="1686"/>
      <c r="AH253" s="1686"/>
      <c r="AI253" s="1686"/>
      <c r="AJ253" s="1686"/>
      <c r="AK253" s="1686"/>
      <c r="AL253" s="1686"/>
      <c r="AM253" s="1686"/>
      <c r="AN253" s="1686"/>
      <c r="AO253" s="1686"/>
      <c r="AP253" s="1686"/>
      <c r="AQ253" s="1686"/>
      <c r="AR253" s="1686"/>
      <c r="AS253" s="1686"/>
      <c r="AT253" s="1686"/>
      <c r="AU253" s="1686"/>
    </row>
    <row r="254">
      <c r="A254" s="1440" t="s">
        <v>2461</v>
      </c>
      <c r="B254" s="1687"/>
      <c r="C254" s="1688"/>
      <c r="D254" s="1688"/>
      <c r="E254" s="1688"/>
      <c r="F254" s="1689"/>
      <c r="G254" s="1689"/>
      <c r="H254" s="1689"/>
      <c r="I254" s="1689"/>
      <c r="J254" s="1689"/>
      <c r="K254" s="1689"/>
      <c r="L254" s="1689"/>
      <c r="M254" s="1689"/>
      <c r="N254" s="1689"/>
      <c r="O254" s="1689"/>
      <c r="P254" s="1689"/>
      <c r="Q254" s="1689"/>
      <c r="R254" s="1689"/>
      <c r="S254" s="1689"/>
      <c r="T254" s="1689"/>
      <c r="U254" s="1689"/>
      <c r="V254" s="1689"/>
      <c r="W254" s="1689"/>
      <c r="X254" s="1689"/>
      <c r="Y254" s="1689"/>
      <c r="Z254" s="1689"/>
      <c r="AA254" s="1690"/>
      <c r="AB254" s="1690"/>
      <c r="AC254" s="1690"/>
      <c r="AD254" s="1690"/>
      <c r="AE254" s="1690"/>
      <c r="AF254" s="1690"/>
      <c r="AG254" s="1690"/>
      <c r="AH254" s="1690"/>
      <c r="AI254" s="1690"/>
      <c r="AJ254" s="1690"/>
      <c r="AK254" s="1690"/>
      <c r="AL254" s="1690"/>
      <c r="AM254" s="1690"/>
      <c r="AN254" s="1690"/>
      <c r="AO254" s="1690"/>
      <c r="AP254" s="1690"/>
      <c r="AQ254" s="1690"/>
      <c r="AR254" s="1690"/>
      <c r="AS254" s="1690"/>
      <c r="AT254" s="1690"/>
      <c r="AU254" s="1690"/>
    </row>
    <row r="255">
      <c r="A255" s="1419"/>
      <c r="B255" s="1684"/>
      <c r="C255" s="1685"/>
      <c r="D255" s="1685"/>
      <c r="E255" s="1685"/>
      <c r="F255" s="1691"/>
      <c r="G255" s="1691"/>
      <c r="H255" s="1691"/>
      <c r="I255" s="1691"/>
      <c r="J255" s="1691"/>
      <c r="K255" s="1691"/>
      <c r="L255" s="1691"/>
      <c r="M255" s="1691"/>
      <c r="N255" s="1691"/>
      <c r="O255" s="1691"/>
      <c r="P255" s="1691"/>
      <c r="Q255" s="1691"/>
      <c r="R255" s="1691"/>
      <c r="S255" s="1691"/>
      <c r="T255" s="1691"/>
      <c r="U255" s="1691"/>
      <c r="V255" s="1691"/>
      <c r="W255" s="1691"/>
      <c r="X255" s="1691"/>
      <c r="Y255" s="1691"/>
      <c r="Z255" s="1691"/>
      <c r="AA255" s="1686"/>
      <c r="AB255" s="1686"/>
      <c r="AC255" s="1686"/>
      <c r="AD255" s="1686"/>
      <c r="AE255" s="1686"/>
      <c r="AF255" s="1686"/>
      <c r="AG255" s="1686"/>
      <c r="AH255" s="1686"/>
      <c r="AI255" s="1686"/>
      <c r="AJ255" s="1686"/>
      <c r="AK255" s="1686"/>
      <c r="AL255" s="1686"/>
      <c r="AM255" s="1686"/>
      <c r="AN255" s="1686"/>
      <c r="AO255" s="1686"/>
      <c r="AP255" s="1686"/>
      <c r="AQ255" s="1686"/>
      <c r="AR255" s="1686"/>
      <c r="AS255" s="1686"/>
      <c r="AT255" s="1686"/>
      <c r="AU255" s="1686"/>
    </row>
    <row r="256">
      <c r="A256" s="1419"/>
      <c r="B256" s="1687"/>
      <c r="C256" s="1688"/>
      <c r="D256" s="1688"/>
      <c r="E256" s="1688"/>
      <c r="F256" s="1690"/>
      <c r="G256" s="1690"/>
      <c r="H256" s="1690"/>
      <c r="I256" s="1690"/>
      <c r="J256" s="1690"/>
      <c r="K256" s="1690"/>
      <c r="L256" s="1690"/>
      <c r="M256" s="1690"/>
      <c r="N256" s="1690"/>
      <c r="O256" s="1690"/>
      <c r="P256" s="1690"/>
      <c r="Q256" s="1690"/>
      <c r="R256" s="1690"/>
      <c r="S256" s="1690"/>
      <c r="T256" s="1690"/>
      <c r="U256" s="1690"/>
      <c r="V256" s="1690"/>
      <c r="W256" s="1690"/>
      <c r="X256" s="1690"/>
      <c r="Y256" s="1690"/>
      <c r="Z256" s="1690"/>
      <c r="AA256" s="1690"/>
      <c r="AB256" s="1690"/>
      <c r="AC256" s="1690"/>
      <c r="AD256" s="1690"/>
      <c r="AE256" s="1690"/>
      <c r="AF256" s="1690"/>
      <c r="AG256" s="1690"/>
      <c r="AH256" s="1690"/>
      <c r="AI256" s="1690"/>
      <c r="AJ256" s="1690"/>
      <c r="AK256" s="1690"/>
      <c r="AL256" s="1690"/>
      <c r="AM256" s="1690"/>
      <c r="AN256" s="1690"/>
      <c r="AO256" s="1690"/>
      <c r="AP256" s="1690"/>
      <c r="AQ256" s="1690"/>
      <c r="AR256" s="1690"/>
      <c r="AS256" s="1690"/>
      <c r="AT256" s="1690"/>
      <c r="AU256" s="1690"/>
    </row>
    <row r="257">
      <c r="A257" s="1419"/>
      <c r="B257" s="1684"/>
      <c r="C257" s="1685"/>
      <c r="D257" s="1685"/>
      <c r="E257" s="1685"/>
      <c r="F257" s="1691"/>
      <c r="G257" s="1691"/>
      <c r="H257" s="1691"/>
      <c r="I257" s="1691"/>
      <c r="J257" s="1691"/>
      <c r="K257" s="1691"/>
      <c r="L257" s="1691"/>
      <c r="M257" s="1691"/>
      <c r="N257" s="1691"/>
      <c r="O257" s="1691"/>
      <c r="P257" s="1691"/>
      <c r="Q257" s="1691"/>
      <c r="R257" s="1691"/>
      <c r="S257" s="1691"/>
      <c r="T257" s="1691"/>
      <c r="U257" s="1691"/>
      <c r="V257" s="1691"/>
      <c r="W257" s="1691"/>
      <c r="X257" s="1691"/>
      <c r="Y257" s="1691"/>
      <c r="Z257" s="1691"/>
      <c r="AA257" s="1686"/>
      <c r="AB257" s="1686"/>
      <c r="AC257" s="1686"/>
      <c r="AD257" s="1686"/>
      <c r="AE257" s="1686"/>
      <c r="AF257" s="1686"/>
      <c r="AG257" s="1686"/>
      <c r="AH257" s="1686"/>
      <c r="AI257" s="1686"/>
      <c r="AJ257" s="1686"/>
      <c r="AK257" s="1686"/>
      <c r="AL257" s="1686"/>
      <c r="AM257" s="1686"/>
      <c r="AN257" s="1686"/>
      <c r="AO257" s="1686"/>
      <c r="AP257" s="1686"/>
      <c r="AQ257" s="1686"/>
      <c r="AR257" s="1686"/>
      <c r="AS257" s="1686"/>
      <c r="AT257" s="1686"/>
      <c r="AU257" s="1686"/>
    </row>
    <row r="258">
      <c r="A258" s="1419"/>
      <c r="B258" s="1687"/>
      <c r="C258" s="1688"/>
      <c r="D258" s="1688"/>
      <c r="E258" s="1688"/>
      <c r="F258" s="1689"/>
      <c r="G258" s="1689"/>
      <c r="H258" s="1689"/>
      <c r="I258" s="1689"/>
      <c r="J258" s="1689"/>
      <c r="K258" s="1689"/>
      <c r="L258" s="1689"/>
      <c r="M258" s="1689"/>
      <c r="N258" s="1689"/>
      <c r="O258" s="1689"/>
      <c r="P258" s="1689"/>
      <c r="Q258" s="1689"/>
      <c r="R258" s="1689"/>
      <c r="S258" s="1689"/>
      <c r="T258" s="1689"/>
      <c r="U258" s="1689"/>
      <c r="V258" s="1689"/>
      <c r="W258" s="1689"/>
      <c r="X258" s="1689"/>
      <c r="Y258" s="1689"/>
      <c r="Z258" s="1689"/>
      <c r="AA258" s="1690"/>
      <c r="AB258" s="1690"/>
      <c r="AC258" s="1690"/>
      <c r="AD258" s="1690"/>
      <c r="AE258" s="1690"/>
      <c r="AF258" s="1690"/>
      <c r="AG258" s="1690"/>
      <c r="AH258" s="1690"/>
      <c r="AI258" s="1690"/>
      <c r="AJ258" s="1690"/>
      <c r="AK258" s="1690"/>
      <c r="AL258" s="1690"/>
      <c r="AM258" s="1690"/>
      <c r="AN258" s="1690"/>
      <c r="AO258" s="1690"/>
      <c r="AP258" s="1690"/>
      <c r="AQ258" s="1690"/>
      <c r="AR258" s="1690"/>
      <c r="AS258" s="1690"/>
      <c r="AT258" s="1690"/>
      <c r="AU258" s="1690"/>
    </row>
    <row r="259">
      <c r="A259" s="1419"/>
      <c r="B259" s="1684"/>
      <c r="C259" s="1685"/>
      <c r="D259" s="1685"/>
      <c r="E259" s="1685"/>
      <c r="F259" s="1686"/>
      <c r="G259" s="1686"/>
      <c r="H259" s="1686"/>
      <c r="I259" s="1686"/>
      <c r="J259" s="1686"/>
      <c r="K259" s="1686"/>
      <c r="L259" s="1686"/>
      <c r="M259" s="1686"/>
      <c r="N259" s="1686"/>
      <c r="O259" s="1686"/>
      <c r="P259" s="1686"/>
      <c r="Q259" s="1686"/>
      <c r="R259" s="1686"/>
      <c r="S259" s="1686"/>
      <c r="T259" s="1686"/>
      <c r="U259" s="1686"/>
      <c r="V259" s="1686"/>
      <c r="W259" s="1686"/>
      <c r="X259" s="1686"/>
      <c r="Y259" s="1686"/>
      <c r="Z259" s="1686"/>
      <c r="AA259" s="1686"/>
      <c r="AB259" s="1686"/>
      <c r="AC259" s="1686"/>
      <c r="AD259" s="1686"/>
      <c r="AE259" s="1686"/>
      <c r="AF259" s="1686"/>
      <c r="AG259" s="1686"/>
      <c r="AH259" s="1686"/>
      <c r="AI259" s="1686"/>
      <c r="AJ259" s="1686"/>
      <c r="AK259" s="1686"/>
      <c r="AL259" s="1686"/>
      <c r="AM259" s="1686"/>
      <c r="AN259" s="1686"/>
      <c r="AO259" s="1686"/>
      <c r="AP259" s="1686"/>
      <c r="AQ259" s="1686"/>
      <c r="AR259" s="1686"/>
      <c r="AS259" s="1686"/>
      <c r="AT259" s="1686"/>
      <c r="AU259" s="1686"/>
    </row>
    <row r="260">
      <c r="A260" s="1419"/>
      <c r="B260" s="1687"/>
      <c r="C260" s="1688"/>
      <c r="D260" s="1688"/>
      <c r="E260" s="1688"/>
      <c r="F260" s="1690"/>
      <c r="G260" s="1690"/>
      <c r="H260" s="1690"/>
      <c r="I260" s="1690"/>
      <c r="J260" s="1690"/>
      <c r="K260" s="1690"/>
      <c r="L260" s="1690"/>
      <c r="M260" s="1690"/>
      <c r="N260" s="1690"/>
      <c r="O260" s="1690"/>
      <c r="P260" s="1690"/>
      <c r="Q260" s="1690"/>
      <c r="R260" s="1690"/>
      <c r="S260" s="1690"/>
      <c r="T260" s="1690"/>
      <c r="U260" s="1690"/>
      <c r="V260" s="1690"/>
      <c r="W260" s="1690"/>
      <c r="X260" s="1690"/>
      <c r="Y260" s="1690"/>
      <c r="Z260" s="1690"/>
      <c r="AA260" s="1690"/>
      <c r="AB260" s="1690"/>
      <c r="AC260" s="1690"/>
      <c r="AD260" s="1690"/>
      <c r="AE260" s="1690"/>
      <c r="AF260" s="1690"/>
      <c r="AG260" s="1690"/>
      <c r="AH260" s="1690"/>
      <c r="AI260" s="1690"/>
      <c r="AJ260" s="1690"/>
      <c r="AK260" s="1690"/>
      <c r="AL260" s="1690"/>
      <c r="AM260" s="1690"/>
      <c r="AN260" s="1690"/>
      <c r="AO260" s="1690"/>
      <c r="AP260" s="1690"/>
      <c r="AQ260" s="1690"/>
      <c r="AR260" s="1690"/>
      <c r="AS260" s="1690"/>
      <c r="AT260" s="1690"/>
      <c r="AU260" s="1690"/>
    </row>
    <row r="261">
      <c r="A261" s="1419"/>
      <c r="B261" s="1684"/>
      <c r="C261" s="1685"/>
      <c r="D261" s="1685"/>
      <c r="E261" s="1685"/>
      <c r="F261" s="1691"/>
      <c r="G261" s="1691"/>
      <c r="H261" s="1691"/>
      <c r="I261" s="1691"/>
      <c r="J261" s="1691"/>
      <c r="K261" s="1691"/>
      <c r="L261" s="1691"/>
      <c r="M261" s="1691"/>
      <c r="N261" s="1691"/>
      <c r="O261" s="1691"/>
      <c r="P261" s="1691"/>
      <c r="Q261" s="1691"/>
      <c r="R261" s="1691"/>
      <c r="S261" s="1691"/>
      <c r="T261" s="1691"/>
      <c r="U261" s="1691"/>
      <c r="V261" s="1691"/>
      <c r="W261" s="1691"/>
      <c r="X261" s="1691"/>
      <c r="Y261" s="1691"/>
      <c r="Z261" s="1691"/>
      <c r="AA261" s="1686"/>
      <c r="AB261" s="1686"/>
      <c r="AC261" s="1686"/>
      <c r="AD261" s="1686"/>
      <c r="AE261" s="1686"/>
      <c r="AF261" s="1686"/>
      <c r="AG261" s="1686"/>
      <c r="AH261" s="1686"/>
      <c r="AI261" s="1686"/>
      <c r="AJ261" s="1686"/>
      <c r="AK261" s="1686"/>
      <c r="AL261" s="1686"/>
      <c r="AM261" s="1686"/>
      <c r="AN261" s="1686"/>
      <c r="AO261" s="1686"/>
      <c r="AP261" s="1686"/>
      <c r="AQ261" s="1686"/>
      <c r="AR261" s="1686"/>
      <c r="AS261" s="1686"/>
      <c r="AT261" s="1686"/>
      <c r="AU261" s="1686"/>
    </row>
    <row r="262">
      <c r="A262" s="1419"/>
      <c r="B262" s="1687"/>
      <c r="C262" s="1688"/>
      <c r="D262" s="1688"/>
      <c r="E262" s="1688"/>
      <c r="F262" s="1689"/>
      <c r="G262" s="1689"/>
      <c r="H262" s="1689"/>
      <c r="I262" s="1689"/>
      <c r="J262" s="1689"/>
      <c r="K262" s="1689"/>
      <c r="L262" s="1689"/>
      <c r="M262" s="1689"/>
      <c r="N262" s="1689"/>
      <c r="O262" s="1689"/>
      <c r="P262" s="1689"/>
      <c r="Q262" s="1689"/>
      <c r="R262" s="1689"/>
      <c r="S262" s="1689"/>
      <c r="T262" s="1689"/>
      <c r="U262" s="1689"/>
      <c r="V262" s="1689"/>
      <c r="W262" s="1689"/>
      <c r="X262" s="1689"/>
      <c r="Y262" s="1689"/>
      <c r="Z262" s="1689"/>
      <c r="AA262" s="1690"/>
      <c r="AB262" s="1690"/>
      <c r="AC262" s="1690"/>
      <c r="AD262" s="1690"/>
      <c r="AE262" s="1690"/>
      <c r="AF262" s="1690"/>
      <c r="AG262" s="1690"/>
      <c r="AH262" s="1690"/>
      <c r="AI262" s="1690"/>
      <c r="AJ262" s="1690"/>
      <c r="AK262" s="1690"/>
      <c r="AL262" s="1690"/>
      <c r="AM262" s="1690"/>
      <c r="AN262" s="1690"/>
      <c r="AO262" s="1690"/>
      <c r="AP262" s="1690"/>
      <c r="AQ262" s="1690"/>
      <c r="AR262" s="1690"/>
      <c r="AS262" s="1690"/>
      <c r="AT262" s="1690"/>
      <c r="AU262" s="1690"/>
    </row>
    <row r="263">
      <c r="A263" s="1419"/>
      <c r="B263" s="1684"/>
      <c r="C263" s="1685"/>
      <c r="D263" s="1685"/>
      <c r="E263" s="1685"/>
      <c r="F263" s="1691"/>
      <c r="G263" s="1691"/>
      <c r="H263" s="1691"/>
      <c r="I263" s="1691"/>
      <c r="J263" s="1691"/>
      <c r="K263" s="1691"/>
      <c r="L263" s="1691"/>
      <c r="M263" s="1691"/>
      <c r="N263" s="1691"/>
      <c r="O263" s="1691"/>
      <c r="P263" s="1691"/>
      <c r="Q263" s="1691"/>
      <c r="R263" s="1691"/>
      <c r="S263" s="1691"/>
      <c r="T263" s="1691"/>
      <c r="U263" s="1691"/>
      <c r="V263" s="1691"/>
      <c r="W263" s="1691"/>
      <c r="X263" s="1691"/>
      <c r="Y263" s="1691"/>
      <c r="Z263" s="1691"/>
      <c r="AA263" s="1686"/>
      <c r="AB263" s="1686"/>
      <c r="AC263" s="1686"/>
      <c r="AD263" s="1686"/>
      <c r="AE263" s="1686"/>
      <c r="AF263" s="1686"/>
      <c r="AG263" s="1686"/>
      <c r="AH263" s="1686"/>
      <c r="AI263" s="1686"/>
      <c r="AJ263" s="1686"/>
      <c r="AK263" s="1686"/>
      <c r="AL263" s="1686"/>
      <c r="AM263" s="1686"/>
      <c r="AN263" s="1686"/>
      <c r="AO263" s="1686"/>
      <c r="AP263" s="1686"/>
      <c r="AQ263" s="1686"/>
      <c r="AR263" s="1686"/>
      <c r="AS263" s="1686"/>
      <c r="AT263" s="1686"/>
      <c r="AU263" s="1686"/>
    </row>
    <row r="264">
      <c r="A264" s="1419"/>
      <c r="B264" s="1687"/>
      <c r="C264" s="1688"/>
      <c r="D264" s="1688"/>
      <c r="E264" s="1688"/>
      <c r="F264" s="1689"/>
      <c r="G264" s="1689"/>
      <c r="H264" s="1689"/>
      <c r="I264" s="1689"/>
      <c r="J264" s="1689"/>
      <c r="K264" s="1689"/>
      <c r="L264" s="1689"/>
      <c r="M264" s="1689"/>
      <c r="N264" s="1689"/>
      <c r="O264" s="1689"/>
      <c r="P264" s="1689"/>
      <c r="Q264" s="1689"/>
      <c r="R264" s="1689"/>
      <c r="S264" s="1689"/>
      <c r="T264" s="1689"/>
      <c r="U264" s="1689"/>
      <c r="V264" s="1689"/>
      <c r="W264" s="1689"/>
      <c r="X264" s="1689"/>
      <c r="Y264" s="1689"/>
      <c r="Z264" s="1689"/>
      <c r="AA264" s="1690"/>
      <c r="AB264" s="1690"/>
      <c r="AC264" s="1690"/>
      <c r="AD264" s="1690"/>
      <c r="AE264" s="1690"/>
      <c r="AF264" s="1690"/>
      <c r="AG264" s="1690"/>
      <c r="AH264" s="1690"/>
      <c r="AI264" s="1690"/>
      <c r="AJ264" s="1690"/>
      <c r="AK264" s="1690"/>
      <c r="AL264" s="1690"/>
      <c r="AM264" s="1690"/>
      <c r="AN264" s="1690"/>
      <c r="AO264" s="1690"/>
      <c r="AP264" s="1690"/>
      <c r="AQ264" s="1690"/>
      <c r="AR264" s="1690"/>
      <c r="AS264" s="1690"/>
      <c r="AT264" s="1690"/>
      <c r="AU264" s="1690"/>
    </row>
    <row r="265">
      <c r="A265" s="1419"/>
      <c r="B265" s="1684"/>
      <c r="C265" s="1685"/>
      <c r="D265" s="1685"/>
      <c r="E265" s="1685"/>
      <c r="F265" s="1686"/>
      <c r="G265" s="1686"/>
      <c r="H265" s="1686"/>
      <c r="I265" s="1686"/>
      <c r="J265" s="1686"/>
      <c r="K265" s="1686"/>
      <c r="L265" s="1686"/>
      <c r="M265" s="1686"/>
      <c r="N265" s="1686"/>
      <c r="O265" s="1686"/>
      <c r="P265" s="1686"/>
      <c r="Q265" s="1686"/>
      <c r="R265" s="1686"/>
      <c r="S265" s="1686"/>
      <c r="T265" s="1686"/>
      <c r="U265" s="1686"/>
      <c r="V265" s="1686"/>
      <c r="W265" s="1686"/>
      <c r="X265" s="1686"/>
      <c r="Y265" s="1686"/>
      <c r="Z265" s="1686"/>
      <c r="AA265" s="1686"/>
      <c r="AB265" s="1686"/>
      <c r="AC265" s="1686"/>
      <c r="AD265" s="1686"/>
      <c r="AE265" s="1686"/>
      <c r="AF265" s="1686"/>
      <c r="AG265" s="1686"/>
      <c r="AH265" s="1686"/>
      <c r="AI265" s="1686"/>
      <c r="AJ265" s="1686"/>
      <c r="AK265" s="1686"/>
      <c r="AL265" s="1686"/>
      <c r="AM265" s="1686"/>
      <c r="AN265" s="1686"/>
      <c r="AO265" s="1686"/>
      <c r="AP265" s="1686"/>
      <c r="AQ265" s="1686"/>
      <c r="AR265" s="1686"/>
      <c r="AS265" s="1686"/>
      <c r="AT265" s="1686"/>
      <c r="AU265" s="1686"/>
    </row>
    <row r="266">
      <c r="A266" s="1419"/>
      <c r="B266" s="1687"/>
      <c r="C266" s="1688"/>
      <c r="D266" s="1688"/>
      <c r="E266" s="1688"/>
      <c r="F266" s="1689"/>
      <c r="G266" s="1689"/>
      <c r="H266" s="1689"/>
      <c r="I266" s="1689"/>
      <c r="J266" s="1689"/>
      <c r="K266" s="1689"/>
      <c r="L266" s="1689"/>
      <c r="M266" s="1689"/>
      <c r="N266" s="1689"/>
      <c r="O266" s="1689"/>
      <c r="P266" s="1689"/>
      <c r="Q266" s="1689"/>
      <c r="R266" s="1689"/>
      <c r="S266" s="1689"/>
      <c r="T266" s="1689"/>
      <c r="U266" s="1689"/>
      <c r="V266" s="1689"/>
      <c r="W266" s="1689"/>
      <c r="X266" s="1689"/>
      <c r="Y266" s="1689"/>
      <c r="Z266" s="1689"/>
      <c r="AA266" s="1690"/>
      <c r="AB266" s="1690"/>
      <c r="AC266" s="1690"/>
      <c r="AD266" s="1690"/>
      <c r="AE266" s="1690"/>
      <c r="AF266" s="1690"/>
      <c r="AG266" s="1690"/>
      <c r="AH266" s="1690"/>
      <c r="AI266" s="1690"/>
      <c r="AJ266" s="1690"/>
      <c r="AK266" s="1690"/>
      <c r="AL266" s="1690"/>
      <c r="AM266" s="1690"/>
      <c r="AN266" s="1690"/>
      <c r="AO266" s="1690"/>
      <c r="AP266" s="1690"/>
      <c r="AQ266" s="1690"/>
      <c r="AR266" s="1690"/>
      <c r="AS266" s="1690"/>
      <c r="AT266" s="1690"/>
      <c r="AU266" s="1690"/>
    </row>
    <row r="267">
      <c r="A267" s="1419"/>
      <c r="B267" s="1684"/>
      <c r="C267" s="1685"/>
      <c r="D267" s="1685"/>
      <c r="E267" s="1685"/>
      <c r="F267" s="1686"/>
      <c r="G267" s="1686"/>
      <c r="H267" s="1686"/>
      <c r="I267" s="1686"/>
      <c r="J267" s="1686"/>
      <c r="K267" s="1686"/>
      <c r="L267" s="1686"/>
      <c r="M267" s="1686"/>
      <c r="N267" s="1686"/>
      <c r="O267" s="1686"/>
      <c r="P267" s="1686"/>
      <c r="Q267" s="1686"/>
      <c r="R267" s="1686"/>
      <c r="S267" s="1686"/>
      <c r="T267" s="1686"/>
      <c r="U267" s="1686"/>
      <c r="V267" s="1686"/>
      <c r="W267" s="1686"/>
      <c r="X267" s="1686"/>
      <c r="Y267" s="1686"/>
      <c r="Z267" s="1686"/>
      <c r="AA267" s="1686"/>
      <c r="AB267" s="1686"/>
      <c r="AC267" s="1686"/>
      <c r="AD267" s="1686"/>
      <c r="AE267" s="1686"/>
      <c r="AF267" s="1686"/>
      <c r="AG267" s="1686"/>
      <c r="AH267" s="1686"/>
      <c r="AI267" s="1686"/>
      <c r="AJ267" s="1686"/>
      <c r="AK267" s="1686"/>
      <c r="AL267" s="1686"/>
      <c r="AM267" s="1686"/>
      <c r="AN267" s="1686"/>
      <c r="AO267" s="1686"/>
      <c r="AP267" s="1686"/>
      <c r="AQ267" s="1686"/>
      <c r="AR267" s="1686"/>
      <c r="AS267" s="1686"/>
      <c r="AT267" s="1686"/>
      <c r="AU267" s="1686"/>
    </row>
    <row r="268">
      <c r="A268" s="1419"/>
      <c r="B268" s="1687"/>
      <c r="C268" s="1688"/>
      <c r="D268" s="1688"/>
      <c r="E268" s="1688"/>
      <c r="F268" s="1690"/>
      <c r="G268" s="1690"/>
      <c r="H268" s="1690"/>
      <c r="I268" s="1690"/>
      <c r="J268" s="1690"/>
      <c r="K268" s="1690"/>
      <c r="L268" s="1690"/>
      <c r="M268" s="1690"/>
      <c r="N268" s="1690"/>
      <c r="O268" s="1690"/>
      <c r="P268" s="1690"/>
      <c r="Q268" s="1690"/>
      <c r="R268" s="1690"/>
      <c r="S268" s="1690"/>
      <c r="T268" s="1690"/>
      <c r="U268" s="1690"/>
      <c r="V268" s="1690"/>
      <c r="W268" s="1690"/>
      <c r="X268" s="1690"/>
      <c r="Y268" s="1690"/>
      <c r="Z268" s="1690"/>
      <c r="AA268" s="1690"/>
      <c r="AB268" s="1690"/>
      <c r="AC268" s="1690"/>
      <c r="AD268" s="1690"/>
      <c r="AE268" s="1690"/>
      <c r="AF268" s="1690"/>
      <c r="AG268" s="1690"/>
      <c r="AH268" s="1690"/>
      <c r="AI268" s="1690"/>
      <c r="AJ268" s="1690"/>
      <c r="AK268" s="1690"/>
      <c r="AL268" s="1690"/>
      <c r="AM268" s="1690"/>
      <c r="AN268" s="1690"/>
      <c r="AO268" s="1690"/>
      <c r="AP268" s="1690"/>
      <c r="AQ268" s="1690"/>
      <c r="AR268" s="1690"/>
      <c r="AS268" s="1690"/>
      <c r="AT268" s="1690"/>
      <c r="AU268" s="1690"/>
    </row>
    <row r="269">
      <c r="A269" s="1419"/>
      <c r="B269" s="1684"/>
      <c r="C269" s="1685"/>
      <c r="D269" s="1685"/>
      <c r="E269" s="1685"/>
      <c r="F269" s="1686"/>
      <c r="G269" s="1686"/>
      <c r="H269" s="1686"/>
      <c r="I269" s="1686"/>
      <c r="J269" s="1686"/>
      <c r="K269" s="1686"/>
      <c r="L269" s="1686"/>
      <c r="M269" s="1686"/>
      <c r="N269" s="1686"/>
      <c r="O269" s="1686"/>
      <c r="P269" s="1686"/>
      <c r="Q269" s="1686"/>
      <c r="R269" s="1686"/>
      <c r="S269" s="1686"/>
      <c r="T269" s="1686"/>
      <c r="U269" s="1686"/>
      <c r="V269" s="1686"/>
      <c r="W269" s="1686"/>
      <c r="X269" s="1686"/>
      <c r="Y269" s="1686"/>
      <c r="Z269" s="1686"/>
      <c r="AA269" s="1686"/>
      <c r="AB269" s="1686"/>
      <c r="AC269" s="1686"/>
      <c r="AD269" s="1686"/>
      <c r="AE269" s="1686"/>
      <c r="AF269" s="1686"/>
      <c r="AG269" s="1686"/>
      <c r="AH269" s="1686"/>
      <c r="AI269" s="1686"/>
      <c r="AJ269" s="1686"/>
      <c r="AK269" s="1686"/>
      <c r="AL269" s="1686"/>
      <c r="AM269" s="1686"/>
      <c r="AN269" s="1686"/>
      <c r="AO269" s="1686"/>
      <c r="AP269" s="1686"/>
      <c r="AQ269" s="1686"/>
      <c r="AR269" s="1686"/>
      <c r="AS269" s="1686"/>
      <c r="AT269" s="1686"/>
      <c r="AU269" s="1686"/>
    </row>
    <row r="270">
      <c r="A270" s="1419"/>
      <c r="B270" s="1687"/>
      <c r="C270" s="1688"/>
      <c r="D270" s="1688"/>
      <c r="E270" s="1688"/>
      <c r="F270" s="1690"/>
      <c r="G270" s="1690"/>
      <c r="H270" s="1690"/>
      <c r="I270" s="1690"/>
      <c r="J270" s="1690"/>
      <c r="K270" s="1690"/>
      <c r="L270" s="1690"/>
      <c r="M270" s="1690"/>
      <c r="N270" s="1690"/>
      <c r="O270" s="1690"/>
      <c r="P270" s="1690"/>
      <c r="Q270" s="1690"/>
      <c r="R270" s="1690"/>
      <c r="S270" s="1690"/>
      <c r="T270" s="1690"/>
      <c r="U270" s="1690"/>
      <c r="V270" s="1690"/>
      <c r="W270" s="1690"/>
      <c r="X270" s="1690"/>
      <c r="Y270" s="1690"/>
      <c r="Z270" s="1690"/>
      <c r="AA270" s="1690"/>
      <c r="AB270" s="1690"/>
      <c r="AC270" s="1690"/>
      <c r="AD270" s="1690"/>
      <c r="AE270" s="1690"/>
      <c r="AF270" s="1690"/>
      <c r="AG270" s="1690"/>
      <c r="AH270" s="1690"/>
      <c r="AI270" s="1690"/>
      <c r="AJ270" s="1690"/>
      <c r="AK270" s="1690"/>
      <c r="AL270" s="1690"/>
      <c r="AM270" s="1690"/>
      <c r="AN270" s="1690"/>
      <c r="AO270" s="1690"/>
      <c r="AP270" s="1690"/>
      <c r="AQ270" s="1690"/>
      <c r="AR270" s="1690"/>
      <c r="AS270" s="1690"/>
      <c r="AT270" s="1690"/>
      <c r="AU270" s="1690"/>
    </row>
    <row r="271">
      <c r="A271" s="1419"/>
      <c r="B271" s="1684"/>
      <c r="C271" s="1685"/>
      <c r="D271" s="1685"/>
      <c r="E271" s="1685"/>
      <c r="F271" s="1686"/>
      <c r="G271" s="1686"/>
      <c r="H271" s="1686"/>
      <c r="I271" s="1686"/>
      <c r="J271" s="1686"/>
      <c r="K271" s="1686"/>
      <c r="L271" s="1686"/>
      <c r="M271" s="1686"/>
      <c r="N271" s="1686"/>
      <c r="O271" s="1686"/>
      <c r="P271" s="1686"/>
      <c r="Q271" s="1686"/>
      <c r="R271" s="1686"/>
      <c r="S271" s="1686"/>
      <c r="T271" s="1686"/>
      <c r="U271" s="1686"/>
      <c r="V271" s="1686"/>
      <c r="W271" s="1686"/>
      <c r="X271" s="1686"/>
      <c r="Y271" s="1686"/>
      <c r="Z271" s="1686"/>
      <c r="AA271" s="1686"/>
      <c r="AB271" s="1686"/>
      <c r="AC271" s="1686"/>
      <c r="AD271" s="1686"/>
      <c r="AE271" s="1686"/>
      <c r="AF271" s="1686"/>
      <c r="AG271" s="1686"/>
      <c r="AH271" s="1686"/>
      <c r="AI271" s="1686"/>
      <c r="AJ271" s="1686"/>
      <c r="AK271" s="1686"/>
      <c r="AL271" s="1686"/>
      <c r="AM271" s="1686"/>
      <c r="AN271" s="1686"/>
      <c r="AO271" s="1686"/>
      <c r="AP271" s="1686"/>
      <c r="AQ271" s="1686"/>
      <c r="AR271" s="1686"/>
      <c r="AS271" s="1686"/>
      <c r="AT271" s="1686"/>
      <c r="AU271" s="1686"/>
    </row>
    <row r="272">
      <c r="A272" s="1419"/>
      <c r="B272" s="1687"/>
      <c r="C272" s="1688"/>
      <c r="D272" s="1688"/>
      <c r="E272" s="1688"/>
      <c r="F272" s="1689"/>
      <c r="G272" s="1689"/>
      <c r="H272" s="1689"/>
      <c r="I272" s="1689"/>
      <c r="J272" s="1689"/>
      <c r="K272" s="1689"/>
      <c r="L272" s="1689"/>
      <c r="M272" s="1689"/>
      <c r="N272" s="1689"/>
      <c r="O272" s="1689"/>
      <c r="P272" s="1689"/>
      <c r="Q272" s="1689"/>
      <c r="R272" s="1689"/>
      <c r="S272" s="1689"/>
      <c r="T272" s="1689"/>
      <c r="U272" s="1689"/>
      <c r="V272" s="1689"/>
      <c r="W272" s="1689"/>
      <c r="X272" s="1689"/>
      <c r="Y272" s="1689"/>
      <c r="Z272" s="1689"/>
      <c r="AA272" s="1690"/>
      <c r="AB272" s="1690"/>
      <c r="AC272" s="1690"/>
      <c r="AD272" s="1690"/>
      <c r="AE272" s="1690"/>
      <c r="AF272" s="1690"/>
      <c r="AG272" s="1690"/>
      <c r="AH272" s="1690"/>
      <c r="AI272" s="1690"/>
      <c r="AJ272" s="1690"/>
      <c r="AK272" s="1690"/>
      <c r="AL272" s="1690"/>
      <c r="AM272" s="1690"/>
      <c r="AN272" s="1690"/>
      <c r="AO272" s="1690"/>
      <c r="AP272" s="1690"/>
      <c r="AQ272" s="1690"/>
      <c r="AR272" s="1690"/>
      <c r="AS272" s="1690"/>
      <c r="AT272" s="1690"/>
      <c r="AU272" s="1690"/>
    </row>
    <row r="273">
      <c r="A273" s="1419"/>
      <c r="B273" s="1684"/>
      <c r="C273" s="1685"/>
      <c r="D273" s="1685"/>
      <c r="E273" s="1685"/>
      <c r="F273" s="1686"/>
      <c r="G273" s="1686"/>
      <c r="H273" s="1686"/>
      <c r="I273" s="1686"/>
      <c r="J273" s="1686"/>
      <c r="K273" s="1686"/>
      <c r="L273" s="1686"/>
      <c r="M273" s="1686"/>
      <c r="N273" s="1686"/>
      <c r="O273" s="1686"/>
      <c r="P273" s="1686"/>
      <c r="Q273" s="1686"/>
      <c r="R273" s="1686"/>
      <c r="S273" s="1686"/>
      <c r="T273" s="1686"/>
      <c r="U273" s="1686"/>
      <c r="V273" s="1686"/>
      <c r="W273" s="1686"/>
      <c r="X273" s="1686"/>
      <c r="Y273" s="1686"/>
      <c r="Z273" s="1686"/>
      <c r="AA273" s="1686"/>
      <c r="AB273" s="1686"/>
      <c r="AC273" s="1686"/>
      <c r="AD273" s="1686"/>
      <c r="AE273" s="1686"/>
      <c r="AF273" s="1686"/>
      <c r="AG273" s="1686"/>
      <c r="AH273" s="1686"/>
      <c r="AI273" s="1686"/>
      <c r="AJ273" s="1686"/>
      <c r="AK273" s="1686"/>
      <c r="AL273" s="1686"/>
      <c r="AM273" s="1686"/>
      <c r="AN273" s="1686"/>
      <c r="AO273" s="1686"/>
      <c r="AP273" s="1686"/>
      <c r="AQ273" s="1686"/>
      <c r="AR273" s="1686"/>
      <c r="AS273" s="1686"/>
      <c r="AT273" s="1686"/>
      <c r="AU273" s="1686"/>
    </row>
    <row r="274">
      <c r="A274" s="1419"/>
      <c r="B274" s="1687"/>
      <c r="C274" s="1688"/>
      <c r="D274" s="1688"/>
      <c r="E274" s="1688"/>
      <c r="F274" s="1690"/>
      <c r="G274" s="1690"/>
      <c r="H274" s="1690"/>
      <c r="I274" s="1690"/>
      <c r="J274" s="1690"/>
      <c r="K274" s="1690"/>
      <c r="L274" s="1690"/>
      <c r="M274" s="1690"/>
      <c r="N274" s="1690"/>
      <c r="O274" s="1690"/>
      <c r="P274" s="1690"/>
      <c r="Q274" s="1690"/>
      <c r="R274" s="1690"/>
      <c r="S274" s="1690"/>
      <c r="T274" s="1690"/>
      <c r="U274" s="1690"/>
      <c r="V274" s="1690"/>
      <c r="W274" s="1690"/>
      <c r="X274" s="1690"/>
      <c r="Y274" s="1690"/>
      <c r="Z274" s="1690"/>
      <c r="AA274" s="1690"/>
      <c r="AB274" s="1690"/>
      <c r="AC274" s="1690"/>
      <c r="AD274" s="1690"/>
      <c r="AE274" s="1690"/>
      <c r="AF274" s="1690"/>
      <c r="AG274" s="1690"/>
      <c r="AH274" s="1690"/>
      <c r="AI274" s="1690"/>
      <c r="AJ274" s="1690"/>
      <c r="AK274" s="1690"/>
      <c r="AL274" s="1690"/>
      <c r="AM274" s="1690"/>
      <c r="AN274" s="1690"/>
      <c r="AO274" s="1690"/>
      <c r="AP274" s="1690"/>
      <c r="AQ274" s="1690"/>
      <c r="AR274" s="1690"/>
      <c r="AS274" s="1690"/>
      <c r="AT274" s="1690"/>
      <c r="AU274" s="1690"/>
    </row>
    <row r="275">
      <c r="A275" s="1419"/>
      <c r="B275" s="1684"/>
      <c r="C275" s="1685"/>
      <c r="D275" s="1685"/>
      <c r="E275" s="1685"/>
      <c r="F275" s="1686"/>
      <c r="G275" s="1686"/>
      <c r="H275" s="1686"/>
      <c r="I275" s="1686"/>
      <c r="J275" s="1686"/>
      <c r="K275" s="1686"/>
      <c r="L275" s="1686"/>
      <c r="M275" s="1686"/>
      <c r="N275" s="1686"/>
      <c r="O275" s="1686"/>
      <c r="P275" s="1686"/>
      <c r="Q275" s="1686"/>
      <c r="R275" s="1686"/>
      <c r="S275" s="1686"/>
      <c r="T275" s="1686"/>
      <c r="U275" s="1686"/>
      <c r="V275" s="1686"/>
      <c r="W275" s="1686"/>
      <c r="X275" s="1686"/>
      <c r="Y275" s="1686"/>
      <c r="Z275" s="1686"/>
      <c r="AA275" s="1686"/>
      <c r="AB275" s="1686"/>
      <c r="AC275" s="1686"/>
      <c r="AD275" s="1686"/>
      <c r="AE275" s="1686"/>
      <c r="AF275" s="1686"/>
      <c r="AG275" s="1686"/>
      <c r="AH275" s="1686"/>
      <c r="AI275" s="1686"/>
      <c r="AJ275" s="1686"/>
      <c r="AK275" s="1686"/>
      <c r="AL275" s="1686"/>
      <c r="AM275" s="1686"/>
      <c r="AN275" s="1686"/>
      <c r="AO275" s="1686"/>
      <c r="AP275" s="1686"/>
      <c r="AQ275" s="1686"/>
      <c r="AR275" s="1686"/>
      <c r="AS275" s="1686"/>
      <c r="AT275" s="1686"/>
      <c r="AU275" s="1686"/>
    </row>
    <row r="276">
      <c r="A276" s="1419"/>
      <c r="B276" s="1687"/>
      <c r="C276" s="1688"/>
      <c r="D276" s="1688"/>
      <c r="E276" s="1688"/>
      <c r="F276" s="1689"/>
      <c r="G276" s="1689"/>
      <c r="H276" s="1689"/>
      <c r="I276" s="1689"/>
      <c r="J276" s="1689"/>
      <c r="K276" s="1689"/>
      <c r="L276" s="1689"/>
      <c r="M276" s="1689"/>
      <c r="N276" s="1689"/>
      <c r="O276" s="1689"/>
      <c r="P276" s="1689"/>
      <c r="Q276" s="1689"/>
      <c r="R276" s="1689"/>
      <c r="S276" s="1689"/>
      <c r="T276" s="1689"/>
      <c r="U276" s="1689"/>
      <c r="V276" s="1689"/>
      <c r="W276" s="1689"/>
      <c r="X276" s="1689"/>
      <c r="Y276" s="1689"/>
      <c r="Z276" s="1689"/>
      <c r="AA276" s="1690"/>
      <c r="AB276" s="1690"/>
      <c r="AC276" s="1690"/>
      <c r="AD276" s="1690"/>
      <c r="AE276" s="1690"/>
      <c r="AF276" s="1690"/>
      <c r="AG276" s="1690"/>
      <c r="AH276" s="1690"/>
      <c r="AI276" s="1690"/>
      <c r="AJ276" s="1690"/>
      <c r="AK276" s="1690"/>
      <c r="AL276" s="1690"/>
      <c r="AM276" s="1690"/>
      <c r="AN276" s="1690"/>
      <c r="AO276" s="1690"/>
      <c r="AP276" s="1690"/>
      <c r="AQ276" s="1690"/>
      <c r="AR276" s="1690"/>
      <c r="AS276" s="1690"/>
      <c r="AT276" s="1690"/>
      <c r="AU276" s="1690"/>
    </row>
    <row r="277">
      <c r="A277" s="1419"/>
      <c r="B277" s="1684"/>
      <c r="C277" s="1685"/>
      <c r="D277" s="1685"/>
      <c r="E277" s="1685"/>
      <c r="F277" s="1686"/>
      <c r="G277" s="1686"/>
      <c r="H277" s="1686"/>
      <c r="I277" s="1686"/>
      <c r="J277" s="1686"/>
      <c r="K277" s="1686"/>
      <c r="L277" s="1686"/>
      <c r="M277" s="1686"/>
      <c r="N277" s="1686"/>
      <c r="O277" s="1686"/>
      <c r="P277" s="1686"/>
      <c r="Q277" s="1686"/>
      <c r="R277" s="1686"/>
      <c r="S277" s="1686"/>
      <c r="T277" s="1686"/>
      <c r="U277" s="1686"/>
      <c r="V277" s="1686"/>
      <c r="W277" s="1686"/>
      <c r="X277" s="1686"/>
      <c r="Y277" s="1686"/>
      <c r="Z277" s="1686"/>
      <c r="AA277" s="1686"/>
      <c r="AB277" s="1686"/>
      <c r="AC277" s="1686"/>
      <c r="AD277" s="1686"/>
      <c r="AE277" s="1686"/>
      <c r="AF277" s="1686"/>
      <c r="AG277" s="1686"/>
      <c r="AH277" s="1686"/>
      <c r="AI277" s="1686"/>
      <c r="AJ277" s="1686"/>
      <c r="AK277" s="1686"/>
      <c r="AL277" s="1686"/>
      <c r="AM277" s="1686"/>
      <c r="AN277" s="1686"/>
      <c r="AO277" s="1686"/>
      <c r="AP277" s="1686"/>
      <c r="AQ277" s="1686"/>
      <c r="AR277" s="1686"/>
      <c r="AS277" s="1686"/>
      <c r="AT277" s="1686"/>
      <c r="AU277" s="1686"/>
    </row>
    <row r="278">
      <c r="A278" s="1419"/>
      <c r="B278" s="1687"/>
      <c r="C278" s="1688"/>
      <c r="D278" s="1688"/>
      <c r="E278" s="1688"/>
      <c r="F278" s="1690"/>
      <c r="G278" s="1690"/>
      <c r="H278" s="1690"/>
      <c r="I278" s="1690"/>
      <c r="J278" s="1690"/>
      <c r="K278" s="1690"/>
      <c r="L278" s="1690"/>
      <c r="M278" s="1690"/>
      <c r="N278" s="1690"/>
      <c r="O278" s="1690"/>
      <c r="P278" s="1690"/>
      <c r="Q278" s="1690"/>
      <c r="R278" s="1690"/>
      <c r="S278" s="1690"/>
      <c r="T278" s="1690"/>
      <c r="U278" s="1690"/>
      <c r="V278" s="1690"/>
      <c r="W278" s="1690"/>
      <c r="X278" s="1690"/>
      <c r="Y278" s="1690"/>
      <c r="Z278" s="1690"/>
      <c r="AA278" s="1690"/>
      <c r="AB278" s="1690"/>
      <c r="AC278" s="1690"/>
      <c r="AD278" s="1690"/>
      <c r="AE278" s="1690"/>
      <c r="AF278" s="1690"/>
      <c r="AG278" s="1690"/>
      <c r="AH278" s="1690"/>
      <c r="AI278" s="1690"/>
      <c r="AJ278" s="1690"/>
      <c r="AK278" s="1690"/>
      <c r="AL278" s="1690"/>
      <c r="AM278" s="1690"/>
      <c r="AN278" s="1690"/>
      <c r="AO278" s="1690"/>
      <c r="AP278" s="1690"/>
      <c r="AQ278" s="1690"/>
      <c r="AR278" s="1690"/>
      <c r="AS278" s="1690"/>
      <c r="AT278" s="1690"/>
      <c r="AU278" s="1690"/>
    </row>
    <row r="279">
      <c r="A279" s="1419"/>
      <c r="B279" s="1684"/>
      <c r="C279" s="1685"/>
      <c r="D279" s="1685"/>
      <c r="E279" s="1685"/>
      <c r="F279" s="1691"/>
      <c r="G279" s="1691"/>
      <c r="H279" s="1691"/>
      <c r="I279" s="1691"/>
      <c r="J279" s="1691"/>
      <c r="K279" s="1691"/>
      <c r="L279" s="1691"/>
      <c r="M279" s="1691"/>
      <c r="N279" s="1691"/>
      <c r="O279" s="1691"/>
      <c r="P279" s="1691"/>
      <c r="Q279" s="1691"/>
      <c r="R279" s="1691"/>
      <c r="S279" s="1691"/>
      <c r="T279" s="1691"/>
      <c r="U279" s="1691"/>
      <c r="V279" s="1691"/>
      <c r="W279" s="1691"/>
      <c r="X279" s="1691"/>
      <c r="Y279" s="1691"/>
      <c r="Z279" s="1691"/>
      <c r="AA279" s="1686"/>
      <c r="AB279" s="1686"/>
      <c r="AC279" s="1686"/>
      <c r="AD279" s="1686"/>
      <c r="AE279" s="1686"/>
      <c r="AF279" s="1686"/>
      <c r="AG279" s="1686"/>
      <c r="AH279" s="1686"/>
      <c r="AI279" s="1686"/>
      <c r="AJ279" s="1686"/>
      <c r="AK279" s="1686"/>
      <c r="AL279" s="1686"/>
      <c r="AM279" s="1686"/>
      <c r="AN279" s="1686"/>
      <c r="AO279" s="1686"/>
      <c r="AP279" s="1686"/>
      <c r="AQ279" s="1686"/>
      <c r="AR279" s="1686"/>
      <c r="AS279" s="1686"/>
      <c r="AT279" s="1686"/>
      <c r="AU279" s="1686"/>
    </row>
    <row r="280">
      <c r="A280" s="1419"/>
      <c r="B280" s="1687"/>
      <c r="C280" s="1688"/>
      <c r="D280" s="1688"/>
      <c r="E280" s="1688"/>
      <c r="F280" s="1689"/>
      <c r="G280" s="1689"/>
      <c r="H280" s="1689"/>
      <c r="I280" s="1689"/>
      <c r="J280" s="1689"/>
      <c r="K280" s="1689"/>
      <c r="L280" s="1689"/>
      <c r="M280" s="1689"/>
      <c r="N280" s="1689"/>
      <c r="O280" s="1689"/>
      <c r="P280" s="1689"/>
      <c r="Q280" s="1689"/>
      <c r="R280" s="1689"/>
      <c r="S280" s="1689"/>
      <c r="T280" s="1689"/>
      <c r="U280" s="1689"/>
      <c r="V280" s="1689"/>
      <c r="W280" s="1689"/>
      <c r="X280" s="1689"/>
      <c r="Y280" s="1689"/>
      <c r="Z280" s="1689"/>
      <c r="AA280" s="1690"/>
      <c r="AB280" s="1690"/>
      <c r="AC280" s="1690"/>
      <c r="AD280" s="1690"/>
      <c r="AE280" s="1690"/>
      <c r="AF280" s="1690"/>
      <c r="AG280" s="1690"/>
      <c r="AH280" s="1690"/>
      <c r="AI280" s="1690"/>
      <c r="AJ280" s="1690"/>
      <c r="AK280" s="1690"/>
      <c r="AL280" s="1690"/>
      <c r="AM280" s="1690"/>
      <c r="AN280" s="1690"/>
      <c r="AO280" s="1690"/>
      <c r="AP280" s="1690"/>
      <c r="AQ280" s="1690"/>
      <c r="AR280" s="1690"/>
      <c r="AS280" s="1690"/>
      <c r="AT280" s="1690"/>
      <c r="AU280" s="1690"/>
    </row>
    <row r="281">
      <c r="A281" s="1440" t="s">
        <v>2461</v>
      </c>
      <c r="B281" s="1684"/>
      <c r="C281" s="1685"/>
      <c r="D281" s="1685"/>
      <c r="E281" s="1685"/>
      <c r="F281" s="1691"/>
      <c r="G281" s="1691"/>
      <c r="H281" s="1691"/>
      <c r="I281" s="1691"/>
      <c r="J281" s="1691"/>
      <c r="K281" s="1691"/>
      <c r="L281" s="1691"/>
      <c r="M281" s="1691"/>
      <c r="N281" s="1691"/>
      <c r="O281" s="1691"/>
      <c r="P281" s="1691"/>
      <c r="Q281" s="1691"/>
      <c r="R281" s="1691"/>
      <c r="S281" s="1691"/>
      <c r="T281" s="1691"/>
      <c r="U281" s="1691"/>
      <c r="V281" s="1691"/>
      <c r="W281" s="1691"/>
      <c r="X281" s="1691"/>
      <c r="Y281" s="1691"/>
      <c r="Z281" s="1691"/>
      <c r="AA281" s="1686"/>
      <c r="AB281" s="1686"/>
      <c r="AC281" s="1686"/>
      <c r="AD281" s="1686"/>
      <c r="AE281" s="1686"/>
      <c r="AF281" s="1686"/>
      <c r="AG281" s="1686"/>
      <c r="AH281" s="1686"/>
      <c r="AI281" s="1686"/>
      <c r="AJ281" s="1686"/>
      <c r="AK281" s="1686"/>
      <c r="AL281" s="1686"/>
      <c r="AM281" s="1686"/>
      <c r="AN281" s="1686"/>
      <c r="AO281" s="1686"/>
      <c r="AP281" s="1686"/>
      <c r="AQ281" s="1686"/>
      <c r="AR281" s="1686"/>
      <c r="AS281" s="1686"/>
      <c r="AT281" s="1686"/>
      <c r="AU281" s="1686"/>
    </row>
    <row r="282">
      <c r="A282" s="1440" t="s">
        <v>2461</v>
      </c>
      <c r="B282" s="1687"/>
      <c r="C282" s="1688"/>
      <c r="D282" s="1688"/>
      <c r="E282" s="1688"/>
      <c r="F282" s="1689"/>
      <c r="G282" s="1689"/>
      <c r="H282" s="1689"/>
      <c r="I282" s="1689"/>
      <c r="J282" s="1689"/>
      <c r="K282" s="1689"/>
      <c r="L282" s="1689"/>
      <c r="M282" s="1689"/>
      <c r="N282" s="1689"/>
      <c r="O282" s="1689"/>
      <c r="P282" s="1689"/>
      <c r="Q282" s="1689"/>
      <c r="R282" s="1689"/>
      <c r="S282" s="1689"/>
      <c r="T282" s="1689"/>
      <c r="U282" s="1689"/>
      <c r="V282" s="1689"/>
      <c r="W282" s="1689"/>
      <c r="X282" s="1689"/>
      <c r="Y282" s="1689"/>
      <c r="Z282" s="1689"/>
      <c r="AA282" s="1690"/>
      <c r="AB282" s="1690"/>
      <c r="AC282" s="1690"/>
      <c r="AD282" s="1690"/>
      <c r="AE282" s="1690"/>
      <c r="AF282" s="1690"/>
      <c r="AG282" s="1690"/>
      <c r="AH282" s="1690"/>
      <c r="AI282" s="1690"/>
      <c r="AJ282" s="1690"/>
      <c r="AK282" s="1690"/>
      <c r="AL282" s="1690"/>
      <c r="AM282" s="1690"/>
      <c r="AN282" s="1690"/>
      <c r="AO282" s="1690"/>
      <c r="AP282" s="1690"/>
      <c r="AQ282" s="1690"/>
      <c r="AR282" s="1690"/>
      <c r="AS282" s="1690"/>
      <c r="AT282" s="1690"/>
      <c r="AU282" s="1690"/>
    </row>
    <row r="283">
      <c r="A283" s="1440" t="s">
        <v>2461</v>
      </c>
      <c r="B283" s="1684"/>
      <c r="C283" s="1685"/>
      <c r="D283" s="1685"/>
      <c r="E283" s="1685"/>
      <c r="F283" s="1686"/>
      <c r="G283" s="1686"/>
      <c r="H283" s="1686"/>
      <c r="I283" s="1686"/>
      <c r="J283" s="1686"/>
      <c r="K283" s="1686"/>
      <c r="L283" s="1686"/>
      <c r="M283" s="1686"/>
      <c r="N283" s="1686"/>
      <c r="O283" s="1686"/>
      <c r="P283" s="1686"/>
      <c r="Q283" s="1686"/>
      <c r="R283" s="1686"/>
      <c r="S283" s="1686"/>
      <c r="T283" s="1686"/>
      <c r="U283" s="1686"/>
      <c r="V283" s="1686"/>
      <c r="W283" s="1686"/>
      <c r="X283" s="1686"/>
      <c r="Y283" s="1686"/>
      <c r="Z283" s="1686"/>
      <c r="AA283" s="1686"/>
      <c r="AB283" s="1686"/>
      <c r="AC283" s="1686"/>
      <c r="AD283" s="1686"/>
      <c r="AE283" s="1686"/>
      <c r="AF283" s="1686"/>
      <c r="AG283" s="1686"/>
      <c r="AH283" s="1686"/>
      <c r="AI283" s="1686"/>
      <c r="AJ283" s="1686"/>
      <c r="AK283" s="1686"/>
      <c r="AL283" s="1686"/>
      <c r="AM283" s="1686"/>
      <c r="AN283" s="1686"/>
      <c r="AO283" s="1686"/>
      <c r="AP283" s="1686"/>
      <c r="AQ283" s="1686"/>
      <c r="AR283" s="1686"/>
      <c r="AS283" s="1686"/>
      <c r="AT283" s="1686"/>
      <c r="AU283" s="1686"/>
    </row>
    <row r="284">
      <c r="A284" s="1440" t="s">
        <v>2461</v>
      </c>
      <c r="B284" s="1687"/>
      <c r="C284" s="1688"/>
      <c r="D284" s="1688"/>
      <c r="E284" s="1688"/>
      <c r="F284" s="1690"/>
      <c r="G284" s="1690"/>
      <c r="H284" s="1690"/>
      <c r="I284" s="1690"/>
      <c r="J284" s="1690"/>
      <c r="K284" s="1690"/>
      <c r="L284" s="1690"/>
      <c r="M284" s="1690"/>
      <c r="N284" s="1690"/>
      <c r="O284" s="1690"/>
      <c r="P284" s="1690"/>
      <c r="Q284" s="1690"/>
      <c r="R284" s="1690"/>
      <c r="S284" s="1690"/>
      <c r="T284" s="1690"/>
      <c r="U284" s="1690"/>
      <c r="V284" s="1690"/>
      <c r="W284" s="1690"/>
      <c r="X284" s="1690"/>
      <c r="Y284" s="1690"/>
      <c r="Z284" s="1690"/>
      <c r="AA284" s="1690"/>
      <c r="AB284" s="1690"/>
      <c r="AC284" s="1690"/>
      <c r="AD284" s="1690"/>
      <c r="AE284" s="1690"/>
      <c r="AF284" s="1690"/>
      <c r="AG284" s="1690"/>
      <c r="AH284" s="1690"/>
      <c r="AI284" s="1690"/>
      <c r="AJ284" s="1690"/>
      <c r="AK284" s="1690"/>
      <c r="AL284" s="1690"/>
      <c r="AM284" s="1690"/>
      <c r="AN284" s="1690"/>
      <c r="AO284" s="1690"/>
      <c r="AP284" s="1690"/>
      <c r="AQ284" s="1690"/>
      <c r="AR284" s="1690"/>
      <c r="AS284" s="1690"/>
      <c r="AT284" s="1690"/>
      <c r="AU284" s="1690"/>
    </row>
    <row r="285">
      <c r="A285" s="1419"/>
      <c r="B285" s="1684"/>
      <c r="C285" s="1685"/>
      <c r="D285" s="1685"/>
      <c r="E285" s="1685"/>
      <c r="F285" s="1691"/>
      <c r="G285" s="1691"/>
      <c r="H285" s="1691"/>
      <c r="I285" s="1691"/>
      <c r="J285" s="1691"/>
      <c r="K285" s="1691"/>
      <c r="L285" s="1691"/>
      <c r="M285" s="1691"/>
      <c r="N285" s="1691"/>
      <c r="O285" s="1691"/>
      <c r="P285" s="1691"/>
      <c r="Q285" s="1691"/>
      <c r="R285" s="1691"/>
      <c r="S285" s="1691"/>
      <c r="T285" s="1691"/>
      <c r="U285" s="1691"/>
      <c r="V285" s="1691"/>
      <c r="W285" s="1691"/>
      <c r="X285" s="1691"/>
      <c r="Y285" s="1691"/>
      <c r="Z285" s="1691"/>
      <c r="AA285" s="1686"/>
      <c r="AB285" s="1686"/>
      <c r="AC285" s="1686"/>
      <c r="AD285" s="1686"/>
      <c r="AE285" s="1686"/>
      <c r="AF285" s="1686"/>
      <c r="AG285" s="1686"/>
      <c r="AH285" s="1686"/>
      <c r="AI285" s="1686"/>
      <c r="AJ285" s="1686"/>
      <c r="AK285" s="1686"/>
      <c r="AL285" s="1686"/>
      <c r="AM285" s="1686"/>
      <c r="AN285" s="1686"/>
      <c r="AO285" s="1686"/>
      <c r="AP285" s="1686"/>
      <c r="AQ285" s="1686"/>
      <c r="AR285" s="1686"/>
      <c r="AS285" s="1686"/>
      <c r="AT285" s="1686"/>
      <c r="AU285" s="1686"/>
    </row>
    <row r="286">
      <c r="A286" s="1419"/>
      <c r="B286" s="1687"/>
      <c r="C286" s="1688"/>
      <c r="D286" s="1688"/>
      <c r="E286" s="1688"/>
      <c r="F286" s="1689"/>
      <c r="G286" s="1689"/>
      <c r="H286" s="1689"/>
      <c r="I286" s="1689"/>
      <c r="J286" s="1689"/>
      <c r="K286" s="1689"/>
      <c r="L286" s="1689"/>
      <c r="M286" s="1689"/>
      <c r="N286" s="1689"/>
      <c r="O286" s="1689"/>
      <c r="P286" s="1689"/>
      <c r="Q286" s="1689"/>
      <c r="R286" s="1689"/>
      <c r="S286" s="1689"/>
      <c r="T286" s="1689"/>
      <c r="U286" s="1689"/>
      <c r="V286" s="1689"/>
      <c r="W286" s="1689"/>
      <c r="X286" s="1689"/>
      <c r="Y286" s="1689"/>
      <c r="Z286" s="1689"/>
      <c r="AA286" s="1690"/>
      <c r="AB286" s="1690"/>
      <c r="AC286" s="1690"/>
      <c r="AD286" s="1690"/>
      <c r="AE286" s="1690"/>
      <c r="AF286" s="1690"/>
      <c r="AG286" s="1690"/>
      <c r="AH286" s="1690"/>
      <c r="AI286" s="1690"/>
      <c r="AJ286" s="1690"/>
      <c r="AK286" s="1690"/>
      <c r="AL286" s="1690"/>
      <c r="AM286" s="1690"/>
      <c r="AN286" s="1690"/>
      <c r="AO286" s="1690"/>
      <c r="AP286" s="1690"/>
      <c r="AQ286" s="1690"/>
      <c r="AR286" s="1690"/>
      <c r="AS286" s="1690"/>
      <c r="AT286" s="1690"/>
      <c r="AU286" s="1690"/>
    </row>
    <row r="287">
      <c r="A287" s="1419"/>
      <c r="B287" s="1684"/>
      <c r="C287" s="1685"/>
      <c r="D287" s="1685"/>
      <c r="E287" s="1685"/>
      <c r="F287" s="1691"/>
      <c r="G287" s="1691"/>
      <c r="H287" s="1691"/>
      <c r="I287" s="1691"/>
      <c r="J287" s="1691"/>
      <c r="K287" s="1691"/>
      <c r="L287" s="1691"/>
      <c r="M287" s="1691"/>
      <c r="N287" s="1691"/>
      <c r="O287" s="1691"/>
      <c r="P287" s="1691"/>
      <c r="Q287" s="1691"/>
      <c r="R287" s="1691"/>
      <c r="S287" s="1691"/>
      <c r="T287" s="1691"/>
      <c r="U287" s="1691"/>
      <c r="V287" s="1691"/>
      <c r="W287" s="1691"/>
      <c r="X287" s="1691"/>
      <c r="Y287" s="1691"/>
      <c r="Z287" s="1691"/>
      <c r="AA287" s="1686"/>
      <c r="AB287" s="1686"/>
      <c r="AC287" s="1686"/>
      <c r="AD287" s="1686"/>
      <c r="AE287" s="1686"/>
      <c r="AF287" s="1686"/>
      <c r="AG287" s="1686"/>
      <c r="AH287" s="1686"/>
      <c r="AI287" s="1686"/>
      <c r="AJ287" s="1686"/>
      <c r="AK287" s="1686"/>
      <c r="AL287" s="1686"/>
      <c r="AM287" s="1686"/>
      <c r="AN287" s="1686"/>
      <c r="AO287" s="1686"/>
      <c r="AP287" s="1686"/>
      <c r="AQ287" s="1686"/>
      <c r="AR287" s="1686"/>
      <c r="AS287" s="1686"/>
      <c r="AT287" s="1686"/>
      <c r="AU287" s="1686"/>
    </row>
    <row r="288">
      <c r="A288" s="1419"/>
      <c r="B288" s="1687"/>
      <c r="C288" s="1688"/>
      <c r="D288" s="1688"/>
      <c r="E288" s="1688"/>
      <c r="F288" s="1690"/>
      <c r="G288" s="1690"/>
      <c r="H288" s="1690"/>
      <c r="I288" s="1690"/>
      <c r="J288" s="1690"/>
      <c r="K288" s="1690"/>
      <c r="L288" s="1690"/>
      <c r="M288" s="1690"/>
      <c r="N288" s="1690"/>
      <c r="O288" s="1690"/>
      <c r="P288" s="1690"/>
      <c r="Q288" s="1690"/>
      <c r="R288" s="1690"/>
      <c r="S288" s="1690"/>
      <c r="T288" s="1690"/>
      <c r="U288" s="1690"/>
      <c r="V288" s="1690"/>
      <c r="W288" s="1690"/>
      <c r="X288" s="1690"/>
      <c r="Y288" s="1690"/>
      <c r="Z288" s="1690"/>
      <c r="AA288" s="1690"/>
      <c r="AB288" s="1690"/>
      <c r="AC288" s="1690"/>
      <c r="AD288" s="1690"/>
      <c r="AE288" s="1690"/>
      <c r="AF288" s="1690"/>
      <c r="AG288" s="1690"/>
      <c r="AH288" s="1690"/>
      <c r="AI288" s="1690"/>
      <c r="AJ288" s="1690"/>
      <c r="AK288" s="1690"/>
      <c r="AL288" s="1690"/>
      <c r="AM288" s="1690"/>
      <c r="AN288" s="1690"/>
      <c r="AO288" s="1690"/>
      <c r="AP288" s="1690"/>
      <c r="AQ288" s="1690"/>
      <c r="AR288" s="1690"/>
      <c r="AS288" s="1690"/>
      <c r="AT288" s="1690"/>
      <c r="AU288" s="1690"/>
    </row>
    <row r="289">
      <c r="A289" s="1419"/>
      <c r="B289" s="1684"/>
      <c r="C289" s="1685"/>
      <c r="D289" s="1685"/>
      <c r="E289" s="1685"/>
      <c r="F289" s="1691"/>
      <c r="G289" s="1691"/>
      <c r="H289" s="1691"/>
      <c r="I289" s="1691"/>
      <c r="J289" s="1691"/>
      <c r="K289" s="1691"/>
      <c r="L289" s="1691"/>
      <c r="M289" s="1691"/>
      <c r="N289" s="1691"/>
      <c r="O289" s="1691"/>
      <c r="P289" s="1691"/>
      <c r="Q289" s="1691"/>
      <c r="R289" s="1691"/>
      <c r="S289" s="1691"/>
      <c r="T289" s="1691"/>
      <c r="U289" s="1691"/>
      <c r="V289" s="1691"/>
      <c r="W289" s="1691"/>
      <c r="X289" s="1691"/>
      <c r="Y289" s="1691"/>
      <c r="Z289" s="1691"/>
      <c r="AA289" s="1686"/>
      <c r="AB289" s="1686"/>
      <c r="AC289" s="1686"/>
      <c r="AD289" s="1686"/>
      <c r="AE289" s="1686"/>
      <c r="AF289" s="1686"/>
      <c r="AG289" s="1686"/>
      <c r="AH289" s="1686"/>
      <c r="AI289" s="1686"/>
      <c r="AJ289" s="1686"/>
      <c r="AK289" s="1686"/>
      <c r="AL289" s="1686"/>
      <c r="AM289" s="1686"/>
      <c r="AN289" s="1686"/>
      <c r="AO289" s="1686"/>
      <c r="AP289" s="1686"/>
      <c r="AQ289" s="1686"/>
      <c r="AR289" s="1686"/>
      <c r="AS289" s="1686"/>
      <c r="AT289" s="1686"/>
      <c r="AU289" s="1686"/>
    </row>
    <row r="290">
      <c r="A290" s="1419"/>
      <c r="B290" s="1687"/>
      <c r="C290" s="1688"/>
      <c r="D290" s="1688"/>
      <c r="E290" s="1688"/>
      <c r="F290" s="1689"/>
      <c r="G290" s="1689"/>
      <c r="H290" s="1689"/>
      <c r="I290" s="1689"/>
      <c r="J290" s="1689"/>
      <c r="K290" s="1689"/>
      <c r="L290" s="1689"/>
      <c r="M290" s="1689"/>
      <c r="N290" s="1689"/>
      <c r="O290" s="1689"/>
      <c r="P290" s="1689"/>
      <c r="Q290" s="1689"/>
      <c r="R290" s="1689"/>
      <c r="S290" s="1689"/>
      <c r="T290" s="1689"/>
      <c r="U290" s="1689"/>
      <c r="V290" s="1689"/>
      <c r="W290" s="1689"/>
      <c r="X290" s="1689"/>
      <c r="Y290" s="1689"/>
      <c r="Z290" s="1689"/>
      <c r="AA290" s="1690"/>
      <c r="AB290" s="1690"/>
      <c r="AC290" s="1690"/>
      <c r="AD290" s="1690"/>
      <c r="AE290" s="1690"/>
      <c r="AF290" s="1690"/>
      <c r="AG290" s="1690"/>
      <c r="AH290" s="1690"/>
      <c r="AI290" s="1690"/>
      <c r="AJ290" s="1690"/>
      <c r="AK290" s="1690"/>
      <c r="AL290" s="1690"/>
      <c r="AM290" s="1690"/>
      <c r="AN290" s="1690"/>
      <c r="AO290" s="1690"/>
      <c r="AP290" s="1690"/>
      <c r="AQ290" s="1690"/>
      <c r="AR290" s="1690"/>
      <c r="AS290" s="1690"/>
      <c r="AT290" s="1690"/>
      <c r="AU290" s="1690"/>
    </row>
    <row r="291">
      <c r="A291" s="1419"/>
      <c r="B291" s="1684"/>
      <c r="C291" s="1685"/>
      <c r="D291" s="1685"/>
      <c r="E291" s="1685"/>
      <c r="F291" s="1691"/>
      <c r="G291" s="1691"/>
      <c r="H291" s="1691"/>
      <c r="I291" s="1691"/>
      <c r="J291" s="1691"/>
      <c r="K291" s="1691"/>
      <c r="L291" s="1691"/>
      <c r="M291" s="1691"/>
      <c r="N291" s="1691"/>
      <c r="O291" s="1691"/>
      <c r="P291" s="1691"/>
      <c r="Q291" s="1691"/>
      <c r="R291" s="1691"/>
      <c r="S291" s="1691"/>
      <c r="T291" s="1691"/>
      <c r="U291" s="1691"/>
      <c r="V291" s="1691"/>
      <c r="W291" s="1691"/>
      <c r="X291" s="1691"/>
      <c r="Y291" s="1691"/>
      <c r="Z291" s="1691"/>
      <c r="AA291" s="1686"/>
      <c r="AB291" s="1686"/>
      <c r="AC291" s="1686"/>
      <c r="AD291" s="1686"/>
      <c r="AE291" s="1686"/>
      <c r="AF291" s="1686"/>
      <c r="AG291" s="1686"/>
      <c r="AH291" s="1686"/>
      <c r="AI291" s="1686"/>
      <c r="AJ291" s="1686"/>
      <c r="AK291" s="1686"/>
      <c r="AL291" s="1686"/>
      <c r="AM291" s="1686"/>
      <c r="AN291" s="1686"/>
      <c r="AO291" s="1686"/>
      <c r="AP291" s="1686"/>
      <c r="AQ291" s="1686"/>
      <c r="AR291" s="1686"/>
      <c r="AS291" s="1686"/>
      <c r="AT291" s="1686"/>
      <c r="AU291" s="1686"/>
    </row>
    <row r="292">
      <c r="A292" s="1419"/>
      <c r="B292" s="1687"/>
      <c r="C292" s="1688"/>
      <c r="D292" s="1688"/>
      <c r="E292" s="1688"/>
      <c r="F292" s="1690"/>
      <c r="G292" s="1690"/>
      <c r="H292" s="1690"/>
      <c r="I292" s="1690"/>
      <c r="J292" s="1690"/>
      <c r="K292" s="1690"/>
      <c r="L292" s="1690"/>
      <c r="M292" s="1690"/>
      <c r="N292" s="1690"/>
      <c r="O292" s="1690"/>
      <c r="P292" s="1690"/>
      <c r="Q292" s="1690"/>
      <c r="R292" s="1690"/>
      <c r="S292" s="1690"/>
      <c r="T292" s="1690"/>
      <c r="U292" s="1690"/>
      <c r="V292" s="1690"/>
      <c r="W292" s="1690"/>
      <c r="X292" s="1690"/>
      <c r="Y292" s="1690"/>
      <c r="Z292" s="1690"/>
      <c r="AA292" s="1690"/>
      <c r="AB292" s="1690"/>
      <c r="AC292" s="1690"/>
      <c r="AD292" s="1690"/>
      <c r="AE292" s="1690"/>
      <c r="AF292" s="1690"/>
      <c r="AG292" s="1690"/>
      <c r="AH292" s="1690"/>
      <c r="AI292" s="1690"/>
      <c r="AJ292" s="1690"/>
      <c r="AK292" s="1690"/>
      <c r="AL292" s="1690"/>
      <c r="AM292" s="1690"/>
      <c r="AN292" s="1690"/>
      <c r="AO292" s="1690"/>
      <c r="AP292" s="1690"/>
      <c r="AQ292" s="1690"/>
      <c r="AR292" s="1690"/>
      <c r="AS292" s="1690"/>
      <c r="AT292" s="1690"/>
      <c r="AU292" s="1690"/>
    </row>
    <row r="293">
      <c r="A293" s="1419"/>
      <c r="B293" s="1684"/>
      <c r="C293" s="1685"/>
      <c r="D293" s="1685"/>
      <c r="E293" s="1685"/>
      <c r="F293" s="1691"/>
      <c r="G293" s="1691"/>
      <c r="H293" s="1691"/>
      <c r="I293" s="1691"/>
      <c r="J293" s="1691"/>
      <c r="K293" s="1691"/>
      <c r="L293" s="1691"/>
      <c r="M293" s="1691"/>
      <c r="N293" s="1691"/>
      <c r="O293" s="1691"/>
      <c r="P293" s="1691"/>
      <c r="Q293" s="1691"/>
      <c r="R293" s="1691"/>
      <c r="S293" s="1691"/>
      <c r="T293" s="1691"/>
      <c r="U293" s="1691"/>
      <c r="V293" s="1691"/>
      <c r="W293" s="1691"/>
      <c r="X293" s="1691"/>
      <c r="Y293" s="1691"/>
      <c r="Z293" s="1691"/>
      <c r="AA293" s="1686"/>
      <c r="AB293" s="1686"/>
      <c r="AC293" s="1686"/>
      <c r="AD293" s="1686"/>
      <c r="AE293" s="1686"/>
      <c r="AF293" s="1686"/>
      <c r="AG293" s="1686"/>
      <c r="AH293" s="1686"/>
      <c r="AI293" s="1686"/>
      <c r="AJ293" s="1686"/>
      <c r="AK293" s="1686"/>
      <c r="AL293" s="1686"/>
      <c r="AM293" s="1686"/>
      <c r="AN293" s="1686"/>
      <c r="AO293" s="1686"/>
      <c r="AP293" s="1686"/>
      <c r="AQ293" s="1686"/>
      <c r="AR293" s="1686"/>
      <c r="AS293" s="1686"/>
      <c r="AT293" s="1686"/>
      <c r="AU293" s="1686"/>
    </row>
    <row r="294">
      <c r="A294" s="1419"/>
      <c r="B294" s="1687"/>
      <c r="C294" s="1688"/>
      <c r="D294" s="1688"/>
      <c r="E294" s="1688"/>
      <c r="F294" s="1689"/>
      <c r="G294" s="1689"/>
      <c r="H294" s="1689"/>
      <c r="I294" s="1689"/>
      <c r="J294" s="1689"/>
      <c r="K294" s="1689"/>
      <c r="L294" s="1689"/>
      <c r="M294" s="1689"/>
      <c r="N294" s="1689"/>
      <c r="O294" s="1689"/>
      <c r="P294" s="1689"/>
      <c r="Q294" s="1689"/>
      <c r="R294" s="1689"/>
      <c r="S294" s="1689"/>
      <c r="T294" s="1689"/>
      <c r="U294" s="1689"/>
      <c r="V294" s="1689"/>
      <c r="W294" s="1689"/>
      <c r="X294" s="1689"/>
      <c r="Y294" s="1689"/>
      <c r="Z294" s="1689"/>
      <c r="AA294" s="1690"/>
      <c r="AB294" s="1690"/>
      <c r="AC294" s="1690"/>
      <c r="AD294" s="1690"/>
      <c r="AE294" s="1690"/>
      <c r="AF294" s="1690"/>
      <c r="AG294" s="1690"/>
      <c r="AH294" s="1690"/>
      <c r="AI294" s="1690"/>
      <c r="AJ294" s="1690"/>
      <c r="AK294" s="1690"/>
      <c r="AL294" s="1690"/>
      <c r="AM294" s="1690"/>
      <c r="AN294" s="1690"/>
      <c r="AO294" s="1690"/>
      <c r="AP294" s="1690"/>
      <c r="AQ294" s="1690"/>
      <c r="AR294" s="1690"/>
      <c r="AS294" s="1690"/>
      <c r="AT294" s="1690"/>
      <c r="AU294" s="1690"/>
    </row>
    <row r="295">
      <c r="A295" s="1419"/>
      <c r="B295" s="1684"/>
      <c r="C295" s="1685"/>
      <c r="D295" s="1685"/>
      <c r="E295" s="1685"/>
      <c r="F295" s="1691"/>
      <c r="G295" s="1691"/>
      <c r="H295" s="1691"/>
      <c r="I295" s="1691"/>
      <c r="J295" s="1691"/>
      <c r="K295" s="1691"/>
      <c r="L295" s="1691"/>
      <c r="M295" s="1691"/>
      <c r="N295" s="1691"/>
      <c r="O295" s="1691"/>
      <c r="P295" s="1691"/>
      <c r="Q295" s="1691"/>
      <c r="R295" s="1691"/>
      <c r="S295" s="1691"/>
      <c r="T295" s="1691"/>
      <c r="U295" s="1691"/>
      <c r="V295" s="1691"/>
      <c r="W295" s="1691"/>
      <c r="X295" s="1691"/>
      <c r="Y295" s="1691"/>
      <c r="Z295" s="1691"/>
      <c r="AA295" s="1686"/>
      <c r="AB295" s="1686"/>
      <c r="AC295" s="1686"/>
      <c r="AD295" s="1686"/>
      <c r="AE295" s="1686"/>
      <c r="AF295" s="1686"/>
      <c r="AG295" s="1686"/>
      <c r="AH295" s="1686"/>
      <c r="AI295" s="1686"/>
      <c r="AJ295" s="1686"/>
      <c r="AK295" s="1686"/>
      <c r="AL295" s="1686"/>
      <c r="AM295" s="1686"/>
      <c r="AN295" s="1686"/>
      <c r="AO295" s="1686"/>
      <c r="AP295" s="1686"/>
      <c r="AQ295" s="1686"/>
      <c r="AR295" s="1686"/>
      <c r="AS295" s="1686"/>
      <c r="AT295" s="1686"/>
      <c r="AU295" s="1686"/>
    </row>
    <row r="296">
      <c r="A296" s="1419"/>
      <c r="B296" s="1697"/>
      <c r="C296" s="1698"/>
      <c r="D296" s="1698"/>
      <c r="E296" s="1698"/>
      <c r="F296" s="1689"/>
      <c r="G296" s="1689"/>
      <c r="H296" s="1689"/>
      <c r="I296" s="1689"/>
      <c r="J296" s="1689"/>
      <c r="K296" s="1689"/>
      <c r="L296" s="1689"/>
      <c r="M296" s="1689"/>
      <c r="N296" s="1689"/>
      <c r="O296" s="1689"/>
      <c r="P296" s="1689"/>
      <c r="Q296" s="1689"/>
      <c r="R296" s="1689"/>
      <c r="S296" s="1689"/>
      <c r="T296" s="1689"/>
      <c r="U296" s="1689"/>
      <c r="V296" s="1689"/>
      <c r="W296" s="1689"/>
      <c r="X296" s="1689"/>
      <c r="Y296" s="1689"/>
      <c r="Z296" s="1689"/>
      <c r="AA296" s="1689"/>
      <c r="AB296" s="1689"/>
      <c r="AC296" s="1689"/>
      <c r="AD296" s="1689"/>
      <c r="AE296" s="1689"/>
      <c r="AF296" s="1689"/>
      <c r="AG296" s="1689"/>
      <c r="AH296" s="1689"/>
      <c r="AI296" s="1689"/>
      <c r="AJ296" s="1689"/>
      <c r="AK296" s="1689"/>
      <c r="AL296" s="1689"/>
      <c r="AM296" s="1689"/>
      <c r="AN296" s="1689"/>
      <c r="AO296" s="1689"/>
      <c r="AP296" s="1689"/>
      <c r="AQ296" s="1689"/>
      <c r="AR296" s="1689"/>
      <c r="AS296" s="1689"/>
      <c r="AT296" s="1689"/>
      <c r="AU296" s="1689"/>
    </row>
    <row r="297">
      <c r="A297" s="1419"/>
      <c r="B297" s="1699"/>
      <c r="C297" s="1700"/>
      <c r="D297" s="1700"/>
      <c r="E297" s="1700"/>
      <c r="F297" s="1691"/>
      <c r="G297" s="1691"/>
      <c r="H297" s="1691"/>
      <c r="I297" s="1691"/>
      <c r="J297" s="1691"/>
      <c r="K297" s="1691"/>
      <c r="L297" s="1691"/>
      <c r="M297" s="1691"/>
      <c r="N297" s="1691"/>
      <c r="O297" s="1691"/>
      <c r="P297" s="1691"/>
      <c r="Q297" s="1691"/>
      <c r="R297" s="1691"/>
      <c r="S297" s="1691"/>
      <c r="T297" s="1691"/>
      <c r="U297" s="1691"/>
      <c r="V297" s="1691"/>
      <c r="W297" s="1691"/>
      <c r="X297" s="1691"/>
      <c r="Y297" s="1691"/>
      <c r="Z297" s="1691"/>
      <c r="AA297" s="1691"/>
      <c r="AB297" s="1691"/>
      <c r="AC297" s="1691"/>
      <c r="AD297" s="1691"/>
      <c r="AE297" s="1691"/>
      <c r="AF297" s="1691"/>
      <c r="AG297" s="1691"/>
      <c r="AH297" s="1691"/>
      <c r="AI297" s="1691"/>
      <c r="AJ297" s="1691"/>
      <c r="AK297" s="1691"/>
      <c r="AL297" s="1691"/>
      <c r="AM297" s="1691"/>
      <c r="AN297" s="1691"/>
      <c r="AO297" s="1691"/>
      <c r="AP297" s="1691"/>
      <c r="AQ297" s="1691"/>
      <c r="AR297" s="1691"/>
      <c r="AS297" s="1691"/>
      <c r="AT297" s="1691"/>
      <c r="AU297" s="1691"/>
    </row>
    <row r="298">
      <c r="A298" s="1419"/>
      <c r="B298" s="1697"/>
      <c r="C298" s="1698"/>
      <c r="D298" s="1698"/>
      <c r="E298" s="1698"/>
      <c r="F298" s="1689"/>
      <c r="G298" s="1689"/>
      <c r="H298" s="1689"/>
      <c r="I298" s="1689"/>
      <c r="J298" s="1689"/>
      <c r="K298" s="1689"/>
      <c r="L298" s="1689"/>
      <c r="M298" s="1689"/>
      <c r="N298" s="1689"/>
      <c r="O298" s="1689"/>
      <c r="P298" s="1689"/>
      <c r="Q298" s="1689"/>
      <c r="R298" s="1689"/>
      <c r="S298" s="1689"/>
      <c r="T298" s="1689"/>
      <c r="U298" s="1689"/>
      <c r="V298" s="1689"/>
      <c r="W298" s="1689"/>
      <c r="X298" s="1689"/>
      <c r="Y298" s="1689"/>
      <c r="Z298" s="1689"/>
      <c r="AA298" s="1689"/>
      <c r="AB298" s="1689"/>
      <c r="AC298" s="1689"/>
      <c r="AD298" s="1689"/>
      <c r="AE298" s="1689"/>
      <c r="AF298" s="1689"/>
      <c r="AG298" s="1689"/>
      <c r="AH298" s="1689"/>
      <c r="AI298" s="1689"/>
      <c r="AJ298" s="1689"/>
      <c r="AK298" s="1689"/>
      <c r="AL298" s="1689"/>
      <c r="AM298" s="1689"/>
      <c r="AN298" s="1689"/>
      <c r="AO298" s="1689"/>
      <c r="AP298" s="1689"/>
      <c r="AQ298" s="1689"/>
      <c r="AR298" s="1689"/>
      <c r="AS298" s="1689"/>
      <c r="AT298" s="1689"/>
      <c r="AU298" s="1689"/>
    </row>
    <row r="299">
      <c r="A299" s="1419"/>
      <c r="B299" s="1699"/>
      <c r="C299" s="1700"/>
      <c r="D299" s="1700"/>
      <c r="E299" s="1700"/>
      <c r="F299" s="1691"/>
      <c r="G299" s="1691"/>
      <c r="H299" s="1691"/>
      <c r="I299" s="1691"/>
      <c r="J299" s="1691"/>
      <c r="K299" s="1691"/>
      <c r="L299" s="1691"/>
      <c r="M299" s="1691"/>
      <c r="N299" s="1691"/>
      <c r="O299" s="1691"/>
      <c r="P299" s="1691"/>
      <c r="Q299" s="1691"/>
      <c r="R299" s="1691"/>
      <c r="S299" s="1691"/>
      <c r="T299" s="1691"/>
      <c r="U299" s="1691"/>
      <c r="V299" s="1691"/>
      <c r="W299" s="1691"/>
      <c r="X299" s="1691"/>
      <c r="Y299" s="1691"/>
      <c r="Z299" s="1691"/>
      <c r="AA299" s="1691"/>
      <c r="AB299" s="1691"/>
      <c r="AC299" s="1691"/>
      <c r="AD299" s="1691"/>
      <c r="AE299" s="1691"/>
      <c r="AF299" s="1691"/>
      <c r="AG299" s="1691"/>
      <c r="AH299" s="1691"/>
      <c r="AI299" s="1691"/>
      <c r="AJ299" s="1691"/>
      <c r="AK299" s="1691"/>
      <c r="AL299" s="1691"/>
      <c r="AM299" s="1691"/>
      <c r="AN299" s="1691"/>
      <c r="AO299" s="1691"/>
      <c r="AP299" s="1691"/>
      <c r="AQ299" s="1691"/>
      <c r="AR299" s="1691"/>
      <c r="AS299" s="1691"/>
      <c r="AT299" s="1691"/>
      <c r="AU299" s="1691"/>
    </row>
    <row r="300">
      <c r="A300" s="1419"/>
      <c r="B300" s="1697"/>
      <c r="C300" s="1698"/>
      <c r="D300" s="1698"/>
      <c r="E300" s="1698"/>
      <c r="F300" s="1689"/>
      <c r="G300" s="1689"/>
      <c r="H300" s="1689"/>
      <c r="I300" s="1689"/>
      <c r="J300" s="1689"/>
      <c r="K300" s="1689"/>
      <c r="L300" s="1689"/>
      <c r="M300" s="1689"/>
      <c r="N300" s="1689"/>
      <c r="O300" s="1689"/>
      <c r="P300" s="1689"/>
      <c r="Q300" s="1689"/>
      <c r="R300" s="1689"/>
      <c r="S300" s="1689"/>
      <c r="T300" s="1689"/>
      <c r="U300" s="1689"/>
      <c r="V300" s="1689"/>
      <c r="W300" s="1689"/>
      <c r="X300" s="1689"/>
      <c r="Y300" s="1689"/>
      <c r="Z300" s="1689"/>
      <c r="AA300" s="1689"/>
      <c r="AB300" s="1689"/>
      <c r="AC300" s="1689"/>
      <c r="AD300" s="1689"/>
      <c r="AE300" s="1689"/>
      <c r="AF300" s="1689"/>
      <c r="AG300" s="1689"/>
      <c r="AH300" s="1689"/>
      <c r="AI300" s="1689"/>
      <c r="AJ300" s="1689"/>
      <c r="AK300" s="1689"/>
      <c r="AL300" s="1689"/>
      <c r="AM300" s="1689"/>
      <c r="AN300" s="1689"/>
      <c r="AO300" s="1689"/>
      <c r="AP300" s="1689"/>
      <c r="AQ300" s="1689"/>
      <c r="AR300" s="1689"/>
      <c r="AS300" s="1689"/>
      <c r="AT300" s="1689"/>
      <c r="AU300" s="1689"/>
    </row>
    <row r="301">
      <c r="A301" s="1419"/>
      <c r="B301" s="1699"/>
      <c r="C301" s="1700"/>
      <c r="D301" s="1700"/>
      <c r="E301" s="1700"/>
      <c r="F301" s="1691"/>
      <c r="G301" s="1691"/>
      <c r="H301" s="1691"/>
      <c r="I301" s="1691"/>
      <c r="J301" s="1691"/>
      <c r="K301" s="1691"/>
      <c r="L301" s="1691"/>
      <c r="M301" s="1691"/>
      <c r="N301" s="1691"/>
      <c r="O301" s="1691"/>
      <c r="P301" s="1691"/>
      <c r="Q301" s="1691"/>
      <c r="R301" s="1691"/>
      <c r="S301" s="1691"/>
      <c r="T301" s="1691"/>
      <c r="U301" s="1691"/>
      <c r="V301" s="1691"/>
      <c r="W301" s="1691"/>
      <c r="X301" s="1691"/>
      <c r="Y301" s="1691"/>
      <c r="Z301" s="1691"/>
      <c r="AA301" s="1691"/>
      <c r="AB301" s="1691"/>
      <c r="AC301" s="1691"/>
      <c r="AD301" s="1691"/>
      <c r="AE301" s="1691"/>
      <c r="AF301" s="1691"/>
      <c r="AG301" s="1691"/>
      <c r="AH301" s="1691"/>
      <c r="AI301" s="1691"/>
      <c r="AJ301" s="1691"/>
      <c r="AK301" s="1691"/>
      <c r="AL301" s="1691"/>
      <c r="AM301" s="1691"/>
      <c r="AN301" s="1691"/>
      <c r="AO301" s="1691"/>
      <c r="AP301" s="1691"/>
      <c r="AQ301" s="1691"/>
      <c r="AR301" s="1691"/>
      <c r="AS301" s="1691"/>
      <c r="AT301" s="1691"/>
      <c r="AU301" s="1691"/>
    </row>
    <row r="302">
      <c r="A302" s="1419"/>
      <c r="B302" s="1697"/>
      <c r="C302" s="1698"/>
      <c r="D302" s="1698"/>
      <c r="E302" s="1698"/>
      <c r="F302" s="1689"/>
      <c r="G302" s="1689"/>
      <c r="H302" s="1689"/>
      <c r="I302" s="1689"/>
      <c r="J302" s="1689"/>
      <c r="K302" s="1689"/>
      <c r="L302" s="1689"/>
      <c r="M302" s="1689"/>
      <c r="N302" s="1689"/>
      <c r="O302" s="1689"/>
      <c r="P302" s="1689"/>
      <c r="Q302" s="1689"/>
      <c r="R302" s="1689"/>
      <c r="S302" s="1689"/>
      <c r="T302" s="1689"/>
      <c r="U302" s="1689"/>
      <c r="V302" s="1689"/>
      <c r="W302" s="1689"/>
      <c r="X302" s="1689"/>
      <c r="Y302" s="1689"/>
      <c r="Z302" s="1689"/>
      <c r="AA302" s="1689"/>
      <c r="AB302" s="1689"/>
      <c r="AC302" s="1689"/>
      <c r="AD302" s="1689"/>
      <c r="AE302" s="1689"/>
      <c r="AF302" s="1689"/>
      <c r="AG302" s="1689"/>
      <c r="AH302" s="1689"/>
      <c r="AI302" s="1689"/>
      <c r="AJ302" s="1689"/>
      <c r="AK302" s="1689"/>
      <c r="AL302" s="1689"/>
      <c r="AM302" s="1689"/>
      <c r="AN302" s="1689"/>
      <c r="AO302" s="1689"/>
      <c r="AP302" s="1689"/>
      <c r="AQ302" s="1689"/>
      <c r="AR302" s="1689"/>
      <c r="AS302" s="1689"/>
      <c r="AT302" s="1689"/>
      <c r="AU302" s="1689"/>
    </row>
    <row r="303">
      <c r="A303" s="1419"/>
      <c r="B303" s="1699"/>
      <c r="C303" s="1700"/>
      <c r="D303" s="1700"/>
      <c r="E303" s="1700"/>
      <c r="F303" s="1691"/>
      <c r="G303" s="1691"/>
      <c r="H303" s="1691"/>
      <c r="I303" s="1691"/>
      <c r="J303" s="1691"/>
      <c r="K303" s="1691"/>
      <c r="L303" s="1691"/>
      <c r="M303" s="1691"/>
      <c r="N303" s="1691"/>
      <c r="O303" s="1691"/>
      <c r="P303" s="1691"/>
      <c r="Q303" s="1691"/>
      <c r="R303" s="1691"/>
      <c r="S303" s="1691"/>
      <c r="T303" s="1691"/>
      <c r="U303" s="1691"/>
      <c r="V303" s="1691"/>
      <c r="W303" s="1691"/>
      <c r="X303" s="1691"/>
      <c r="Y303" s="1691"/>
      <c r="Z303" s="1691"/>
      <c r="AA303" s="1691"/>
      <c r="AB303" s="1691"/>
      <c r="AC303" s="1691"/>
      <c r="AD303" s="1691"/>
      <c r="AE303" s="1691"/>
      <c r="AF303" s="1691"/>
      <c r="AG303" s="1691"/>
      <c r="AH303" s="1691"/>
      <c r="AI303" s="1691"/>
      <c r="AJ303" s="1691"/>
      <c r="AK303" s="1691"/>
      <c r="AL303" s="1691"/>
      <c r="AM303" s="1691"/>
      <c r="AN303" s="1691"/>
      <c r="AO303" s="1691"/>
      <c r="AP303" s="1691"/>
      <c r="AQ303" s="1691"/>
      <c r="AR303" s="1691"/>
      <c r="AS303" s="1691"/>
      <c r="AT303" s="1691"/>
      <c r="AU303" s="1691"/>
    </row>
    <row r="304">
      <c r="A304" s="1419"/>
      <c r="B304" s="1697"/>
      <c r="C304" s="1698"/>
      <c r="D304" s="1698"/>
      <c r="E304" s="1698"/>
      <c r="F304" s="1689"/>
      <c r="G304" s="1689"/>
      <c r="H304" s="1689"/>
      <c r="I304" s="1689"/>
      <c r="J304" s="1689"/>
      <c r="K304" s="1689"/>
      <c r="L304" s="1689"/>
      <c r="M304" s="1689"/>
      <c r="N304" s="1689"/>
      <c r="O304" s="1689"/>
      <c r="P304" s="1689"/>
      <c r="Q304" s="1689"/>
      <c r="R304" s="1689"/>
      <c r="S304" s="1689"/>
      <c r="T304" s="1689"/>
      <c r="U304" s="1689"/>
      <c r="V304" s="1689"/>
      <c r="W304" s="1689"/>
      <c r="X304" s="1689"/>
      <c r="Y304" s="1689"/>
      <c r="Z304" s="1689"/>
      <c r="AA304" s="1689"/>
      <c r="AB304" s="1689"/>
      <c r="AC304" s="1689"/>
      <c r="AD304" s="1689"/>
      <c r="AE304" s="1689"/>
      <c r="AF304" s="1689"/>
      <c r="AG304" s="1689"/>
      <c r="AH304" s="1689"/>
      <c r="AI304" s="1689"/>
      <c r="AJ304" s="1689"/>
      <c r="AK304" s="1689"/>
      <c r="AL304" s="1689"/>
      <c r="AM304" s="1689"/>
      <c r="AN304" s="1689"/>
      <c r="AO304" s="1689"/>
      <c r="AP304" s="1689"/>
      <c r="AQ304" s="1689"/>
      <c r="AR304" s="1689"/>
      <c r="AS304" s="1689"/>
      <c r="AT304" s="1689"/>
      <c r="AU304" s="1689"/>
    </row>
    <row r="305">
      <c r="A305" s="1419"/>
      <c r="B305" s="1699"/>
      <c r="C305" s="1700"/>
      <c r="D305" s="1700"/>
      <c r="E305" s="1700"/>
      <c r="F305" s="1691"/>
      <c r="G305" s="1691"/>
      <c r="H305" s="1691"/>
      <c r="I305" s="1691"/>
      <c r="J305" s="1691"/>
      <c r="K305" s="1691"/>
      <c r="L305" s="1691"/>
      <c r="M305" s="1691"/>
      <c r="N305" s="1691"/>
      <c r="O305" s="1691"/>
      <c r="P305" s="1691"/>
      <c r="Q305" s="1691"/>
      <c r="R305" s="1691"/>
      <c r="S305" s="1691"/>
      <c r="T305" s="1691"/>
      <c r="U305" s="1691"/>
      <c r="V305" s="1691"/>
      <c r="W305" s="1691"/>
      <c r="X305" s="1691"/>
      <c r="Y305" s="1691"/>
      <c r="Z305" s="1691"/>
      <c r="AA305" s="1691"/>
      <c r="AB305" s="1691"/>
      <c r="AC305" s="1691"/>
      <c r="AD305" s="1691"/>
      <c r="AE305" s="1691"/>
      <c r="AF305" s="1691"/>
      <c r="AG305" s="1691"/>
      <c r="AH305" s="1691"/>
      <c r="AI305" s="1691"/>
      <c r="AJ305" s="1691"/>
      <c r="AK305" s="1691"/>
      <c r="AL305" s="1691"/>
      <c r="AM305" s="1691"/>
      <c r="AN305" s="1691"/>
      <c r="AO305" s="1691"/>
      <c r="AP305" s="1691"/>
      <c r="AQ305" s="1691"/>
      <c r="AR305" s="1691"/>
      <c r="AS305" s="1691"/>
      <c r="AT305" s="1691"/>
      <c r="AU305" s="1691"/>
    </row>
    <row r="306">
      <c r="A306" s="1419"/>
      <c r="B306" s="1697"/>
      <c r="C306" s="1698"/>
      <c r="D306" s="1698"/>
      <c r="E306" s="1698"/>
      <c r="F306" s="1689"/>
      <c r="G306" s="1689"/>
      <c r="H306" s="1689"/>
      <c r="I306" s="1689"/>
      <c r="J306" s="1689"/>
      <c r="K306" s="1689"/>
      <c r="L306" s="1689"/>
      <c r="M306" s="1689"/>
      <c r="N306" s="1689"/>
      <c r="O306" s="1689"/>
      <c r="P306" s="1689"/>
      <c r="Q306" s="1689"/>
      <c r="R306" s="1689"/>
      <c r="S306" s="1689"/>
      <c r="T306" s="1689"/>
      <c r="U306" s="1689"/>
      <c r="V306" s="1689"/>
      <c r="W306" s="1689"/>
      <c r="X306" s="1689"/>
      <c r="Y306" s="1689"/>
      <c r="Z306" s="1689"/>
      <c r="AA306" s="1689"/>
      <c r="AB306" s="1689"/>
      <c r="AC306" s="1689"/>
      <c r="AD306" s="1689"/>
      <c r="AE306" s="1689"/>
      <c r="AF306" s="1689"/>
      <c r="AG306" s="1689"/>
      <c r="AH306" s="1689"/>
      <c r="AI306" s="1689"/>
      <c r="AJ306" s="1689"/>
      <c r="AK306" s="1689"/>
      <c r="AL306" s="1689"/>
      <c r="AM306" s="1689"/>
      <c r="AN306" s="1689"/>
      <c r="AO306" s="1689"/>
      <c r="AP306" s="1689"/>
      <c r="AQ306" s="1689"/>
      <c r="AR306" s="1689"/>
      <c r="AS306" s="1689"/>
      <c r="AT306" s="1689"/>
      <c r="AU306" s="1689"/>
    </row>
    <row r="307">
      <c r="A307" s="1419"/>
      <c r="B307" s="1699"/>
      <c r="C307" s="1700"/>
      <c r="D307" s="1700"/>
      <c r="E307" s="1700"/>
      <c r="F307" s="1691"/>
      <c r="G307" s="1691"/>
      <c r="H307" s="1691"/>
      <c r="I307" s="1691"/>
      <c r="J307" s="1691"/>
      <c r="K307" s="1691"/>
      <c r="L307" s="1691"/>
      <c r="M307" s="1691"/>
      <c r="N307" s="1691"/>
      <c r="O307" s="1691"/>
      <c r="P307" s="1691"/>
      <c r="Q307" s="1691"/>
      <c r="R307" s="1691"/>
      <c r="S307" s="1691"/>
      <c r="T307" s="1691"/>
      <c r="U307" s="1691"/>
      <c r="V307" s="1691"/>
      <c r="W307" s="1691"/>
      <c r="X307" s="1691"/>
      <c r="Y307" s="1691"/>
      <c r="Z307" s="1691"/>
      <c r="AA307" s="1691"/>
      <c r="AB307" s="1691"/>
      <c r="AC307" s="1691"/>
      <c r="AD307" s="1691"/>
      <c r="AE307" s="1691"/>
      <c r="AF307" s="1691"/>
      <c r="AG307" s="1691"/>
      <c r="AH307" s="1691"/>
      <c r="AI307" s="1691"/>
      <c r="AJ307" s="1691"/>
      <c r="AK307" s="1691"/>
      <c r="AL307" s="1691"/>
      <c r="AM307" s="1691"/>
      <c r="AN307" s="1691"/>
      <c r="AO307" s="1691"/>
      <c r="AP307" s="1691"/>
      <c r="AQ307" s="1691"/>
      <c r="AR307" s="1691"/>
      <c r="AS307" s="1691"/>
      <c r="AT307" s="1691"/>
      <c r="AU307" s="1691"/>
    </row>
    <row r="308">
      <c r="A308" s="1419"/>
      <c r="B308" s="1697"/>
      <c r="C308" s="1698"/>
      <c r="D308" s="1698"/>
      <c r="E308" s="1698"/>
      <c r="F308" s="1689"/>
      <c r="G308" s="1689"/>
      <c r="H308" s="1689"/>
      <c r="I308" s="1689"/>
      <c r="J308" s="1689"/>
      <c r="K308" s="1689"/>
      <c r="L308" s="1689"/>
      <c r="M308" s="1689"/>
      <c r="N308" s="1689"/>
      <c r="O308" s="1689"/>
      <c r="P308" s="1689"/>
      <c r="Q308" s="1689"/>
      <c r="R308" s="1689"/>
      <c r="S308" s="1689"/>
      <c r="T308" s="1689"/>
      <c r="U308" s="1689"/>
      <c r="V308" s="1689"/>
      <c r="W308" s="1689"/>
      <c r="X308" s="1689"/>
      <c r="Y308" s="1689"/>
      <c r="Z308" s="1689"/>
      <c r="AA308" s="1689"/>
      <c r="AB308" s="1689"/>
      <c r="AC308" s="1689"/>
      <c r="AD308" s="1689"/>
      <c r="AE308" s="1689"/>
      <c r="AF308" s="1689"/>
      <c r="AG308" s="1689"/>
      <c r="AH308" s="1689"/>
      <c r="AI308" s="1689"/>
      <c r="AJ308" s="1689"/>
      <c r="AK308" s="1689"/>
      <c r="AL308" s="1689"/>
      <c r="AM308" s="1689"/>
      <c r="AN308" s="1689"/>
      <c r="AO308" s="1689"/>
      <c r="AP308" s="1689"/>
      <c r="AQ308" s="1689"/>
      <c r="AR308" s="1689"/>
      <c r="AS308" s="1689"/>
      <c r="AT308" s="1689"/>
      <c r="AU308" s="1689"/>
    </row>
    <row r="309">
      <c r="A309" s="1419"/>
      <c r="B309" s="1699"/>
      <c r="C309" s="1700"/>
      <c r="D309" s="1700"/>
      <c r="E309" s="1700"/>
      <c r="F309" s="1691"/>
      <c r="G309" s="1691"/>
      <c r="H309" s="1691"/>
      <c r="I309" s="1691"/>
      <c r="J309" s="1691"/>
      <c r="K309" s="1691"/>
      <c r="L309" s="1691"/>
      <c r="M309" s="1691"/>
      <c r="N309" s="1691"/>
      <c r="O309" s="1691"/>
      <c r="P309" s="1691"/>
      <c r="Q309" s="1691"/>
      <c r="R309" s="1691"/>
      <c r="S309" s="1691"/>
      <c r="T309" s="1691"/>
      <c r="U309" s="1691"/>
      <c r="V309" s="1691"/>
      <c r="W309" s="1691"/>
      <c r="X309" s="1691"/>
      <c r="Y309" s="1691"/>
      <c r="Z309" s="1691"/>
      <c r="AA309" s="1691"/>
      <c r="AB309" s="1691"/>
      <c r="AC309" s="1691"/>
      <c r="AD309" s="1691"/>
      <c r="AE309" s="1691"/>
      <c r="AF309" s="1691"/>
      <c r="AG309" s="1691"/>
      <c r="AH309" s="1691"/>
      <c r="AI309" s="1691"/>
      <c r="AJ309" s="1691"/>
      <c r="AK309" s="1691"/>
      <c r="AL309" s="1691"/>
      <c r="AM309" s="1691"/>
      <c r="AN309" s="1691"/>
      <c r="AO309" s="1691"/>
      <c r="AP309" s="1691"/>
      <c r="AQ309" s="1691"/>
      <c r="AR309" s="1691"/>
      <c r="AS309" s="1691"/>
      <c r="AT309" s="1691"/>
      <c r="AU309" s="1691"/>
    </row>
    <row r="310">
      <c r="A310" s="1419"/>
      <c r="B310" s="1697"/>
      <c r="C310" s="1698"/>
      <c r="D310" s="1698"/>
      <c r="E310" s="1698"/>
      <c r="F310" s="1689"/>
      <c r="G310" s="1689"/>
      <c r="H310" s="1689"/>
      <c r="I310" s="1689"/>
      <c r="J310" s="1689"/>
      <c r="K310" s="1689"/>
      <c r="L310" s="1689"/>
      <c r="M310" s="1689"/>
      <c r="N310" s="1689"/>
      <c r="O310" s="1689"/>
      <c r="P310" s="1689"/>
      <c r="Q310" s="1689"/>
      <c r="R310" s="1689"/>
      <c r="S310" s="1689"/>
      <c r="T310" s="1689"/>
      <c r="U310" s="1689"/>
      <c r="V310" s="1689"/>
      <c r="W310" s="1689"/>
      <c r="X310" s="1689"/>
      <c r="Y310" s="1689"/>
      <c r="Z310" s="1689"/>
      <c r="AA310" s="1689"/>
      <c r="AB310" s="1689"/>
      <c r="AC310" s="1689"/>
      <c r="AD310" s="1689"/>
      <c r="AE310" s="1689"/>
      <c r="AF310" s="1689"/>
      <c r="AG310" s="1689"/>
      <c r="AH310" s="1689"/>
      <c r="AI310" s="1689"/>
      <c r="AJ310" s="1689"/>
      <c r="AK310" s="1689"/>
      <c r="AL310" s="1689"/>
      <c r="AM310" s="1689"/>
      <c r="AN310" s="1689"/>
      <c r="AO310" s="1689"/>
      <c r="AP310" s="1689"/>
      <c r="AQ310" s="1689"/>
      <c r="AR310" s="1689"/>
      <c r="AS310" s="1689"/>
      <c r="AT310" s="1689"/>
      <c r="AU310" s="1689"/>
    </row>
    <row r="311">
      <c r="A311" s="1419"/>
      <c r="B311" s="1699"/>
      <c r="C311" s="1700"/>
      <c r="D311" s="1700"/>
      <c r="E311" s="1700"/>
      <c r="F311" s="1691"/>
      <c r="G311" s="1691"/>
      <c r="H311" s="1691"/>
      <c r="I311" s="1691"/>
      <c r="J311" s="1691"/>
      <c r="K311" s="1691"/>
      <c r="L311" s="1691"/>
      <c r="M311" s="1691"/>
      <c r="N311" s="1691"/>
      <c r="O311" s="1691"/>
      <c r="P311" s="1691"/>
      <c r="Q311" s="1691"/>
      <c r="R311" s="1691"/>
      <c r="S311" s="1691"/>
      <c r="T311" s="1691"/>
      <c r="U311" s="1691"/>
      <c r="V311" s="1691"/>
      <c r="W311" s="1691"/>
      <c r="X311" s="1691"/>
      <c r="Y311" s="1691"/>
      <c r="Z311" s="1691"/>
      <c r="AA311" s="1691"/>
      <c r="AB311" s="1691"/>
      <c r="AC311" s="1691"/>
      <c r="AD311" s="1691"/>
      <c r="AE311" s="1691"/>
      <c r="AF311" s="1691"/>
      <c r="AG311" s="1691"/>
      <c r="AH311" s="1691"/>
      <c r="AI311" s="1691"/>
      <c r="AJ311" s="1691"/>
      <c r="AK311" s="1691"/>
      <c r="AL311" s="1691"/>
      <c r="AM311" s="1691"/>
      <c r="AN311" s="1691"/>
      <c r="AO311" s="1691"/>
      <c r="AP311" s="1691"/>
      <c r="AQ311" s="1691"/>
      <c r="AR311" s="1691"/>
      <c r="AS311" s="1691"/>
      <c r="AT311" s="1691"/>
      <c r="AU311" s="1691"/>
    </row>
    <row r="312">
      <c r="A312" s="1419"/>
      <c r="B312" s="1697"/>
      <c r="C312" s="1698"/>
      <c r="D312" s="1698"/>
      <c r="E312" s="1698"/>
      <c r="F312" s="1689"/>
      <c r="G312" s="1689"/>
      <c r="H312" s="1689"/>
      <c r="I312" s="1689"/>
      <c r="J312" s="1689"/>
      <c r="K312" s="1689"/>
      <c r="L312" s="1689"/>
      <c r="M312" s="1689"/>
      <c r="N312" s="1689"/>
      <c r="O312" s="1689"/>
      <c r="P312" s="1689"/>
      <c r="Q312" s="1689"/>
      <c r="R312" s="1689"/>
      <c r="S312" s="1689"/>
      <c r="T312" s="1689"/>
      <c r="U312" s="1689"/>
      <c r="V312" s="1689"/>
      <c r="W312" s="1689"/>
      <c r="X312" s="1689"/>
      <c r="Y312" s="1689"/>
      <c r="Z312" s="1689"/>
      <c r="AA312" s="1689"/>
      <c r="AB312" s="1689"/>
      <c r="AC312" s="1689"/>
      <c r="AD312" s="1689"/>
      <c r="AE312" s="1689"/>
      <c r="AF312" s="1689"/>
      <c r="AG312" s="1689"/>
      <c r="AH312" s="1689"/>
      <c r="AI312" s="1689"/>
      <c r="AJ312" s="1689"/>
      <c r="AK312" s="1689"/>
      <c r="AL312" s="1689"/>
      <c r="AM312" s="1689"/>
      <c r="AN312" s="1689"/>
      <c r="AO312" s="1689"/>
      <c r="AP312" s="1689"/>
      <c r="AQ312" s="1689"/>
      <c r="AR312" s="1689"/>
      <c r="AS312" s="1689"/>
      <c r="AT312" s="1689"/>
      <c r="AU312" s="1689"/>
    </row>
    <row r="313">
      <c r="A313" s="1419"/>
      <c r="B313" s="1699"/>
      <c r="C313" s="1700"/>
      <c r="D313" s="1700"/>
      <c r="E313" s="1700"/>
      <c r="F313" s="1691"/>
      <c r="G313" s="1691"/>
      <c r="H313" s="1691"/>
      <c r="I313" s="1691"/>
      <c r="J313" s="1691"/>
      <c r="K313" s="1691"/>
      <c r="L313" s="1691"/>
      <c r="M313" s="1691"/>
      <c r="N313" s="1691"/>
      <c r="O313" s="1691"/>
      <c r="P313" s="1691"/>
      <c r="Q313" s="1691"/>
      <c r="R313" s="1691"/>
      <c r="S313" s="1691"/>
      <c r="T313" s="1691"/>
      <c r="U313" s="1691"/>
      <c r="V313" s="1691"/>
      <c r="W313" s="1691"/>
      <c r="X313" s="1691"/>
      <c r="Y313" s="1691"/>
      <c r="Z313" s="1691"/>
      <c r="AA313" s="1691"/>
      <c r="AB313" s="1691"/>
      <c r="AC313" s="1691"/>
      <c r="AD313" s="1691"/>
      <c r="AE313" s="1691"/>
      <c r="AF313" s="1691"/>
      <c r="AG313" s="1691"/>
      <c r="AH313" s="1691"/>
      <c r="AI313" s="1691"/>
      <c r="AJ313" s="1691"/>
      <c r="AK313" s="1691"/>
      <c r="AL313" s="1691"/>
      <c r="AM313" s="1691"/>
      <c r="AN313" s="1691"/>
      <c r="AO313" s="1691"/>
      <c r="AP313" s="1691"/>
      <c r="AQ313" s="1691"/>
      <c r="AR313" s="1691"/>
      <c r="AS313" s="1691"/>
      <c r="AT313" s="1691"/>
      <c r="AU313" s="1691"/>
    </row>
    <row r="314">
      <c r="A314" s="1419"/>
      <c r="B314" s="1697"/>
      <c r="C314" s="1698"/>
      <c r="D314" s="1698"/>
      <c r="E314" s="1698"/>
      <c r="F314" s="1689"/>
      <c r="G314" s="1689"/>
      <c r="H314" s="1689"/>
      <c r="I314" s="1689"/>
      <c r="J314" s="1689"/>
      <c r="K314" s="1689"/>
      <c r="L314" s="1689"/>
      <c r="M314" s="1689"/>
      <c r="N314" s="1689"/>
      <c r="O314" s="1689"/>
      <c r="P314" s="1689"/>
      <c r="Q314" s="1689"/>
      <c r="R314" s="1689"/>
      <c r="S314" s="1689"/>
      <c r="T314" s="1689"/>
      <c r="U314" s="1689"/>
      <c r="V314" s="1689"/>
      <c r="W314" s="1689"/>
      <c r="X314" s="1689"/>
      <c r="Y314" s="1689"/>
      <c r="Z314" s="1689"/>
      <c r="AA314" s="1689"/>
      <c r="AB314" s="1689"/>
      <c r="AC314" s="1689"/>
      <c r="AD314" s="1689"/>
      <c r="AE314" s="1689"/>
      <c r="AF314" s="1689"/>
      <c r="AG314" s="1689"/>
      <c r="AH314" s="1689"/>
      <c r="AI314" s="1689"/>
      <c r="AJ314" s="1689"/>
      <c r="AK314" s="1689"/>
      <c r="AL314" s="1689"/>
      <c r="AM314" s="1689"/>
      <c r="AN314" s="1689"/>
      <c r="AO314" s="1689"/>
      <c r="AP314" s="1689"/>
      <c r="AQ314" s="1689"/>
      <c r="AR314" s="1689"/>
      <c r="AS314" s="1689"/>
      <c r="AT314" s="1689"/>
      <c r="AU314" s="1689"/>
    </row>
    <row r="315">
      <c r="A315" s="1419"/>
      <c r="B315" s="1699"/>
      <c r="C315" s="1700"/>
      <c r="D315" s="1700"/>
      <c r="E315" s="1700"/>
      <c r="F315" s="1691"/>
      <c r="G315" s="1691"/>
      <c r="H315" s="1691"/>
      <c r="I315" s="1691"/>
      <c r="J315" s="1691"/>
      <c r="K315" s="1691"/>
      <c r="L315" s="1691"/>
      <c r="M315" s="1691"/>
      <c r="N315" s="1691"/>
      <c r="O315" s="1691"/>
      <c r="P315" s="1691"/>
      <c r="Q315" s="1691"/>
      <c r="R315" s="1691"/>
      <c r="S315" s="1691"/>
      <c r="T315" s="1691"/>
      <c r="U315" s="1691"/>
      <c r="V315" s="1691"/>
      <c r="W315" s="1691"/>
      <c r="X315" s="1691"/>
      <c r="Y315" s="1691"/>
      <c r="Z315" s="1691"/>
      <c r="AA315" s="1691"/>
      <c r="AB315" s="1691"/>
      <c r="AC315" s="1691"/>
      <c r="AD315" s="1691"/>
      <c r="AE315" s="1691"/>
      <c r="AF315" s="1691"/>
      <c r="AG315" s="1691"/>
      <c r="AH315" s="1691"/>
      <c r="AI315" s="1691"/>
      <c r="AJ315" s="1691"/>
      <c r="AK315" s="1691"/>
      <c r="AL315" s="1691"/>
      <c r="AM315" s="1691"/>
      <c r="AN315" s="1691"/>
      <c r="AO315" s="1691"/>
      <c r="AP315" s="1691"/>
      <c r="AQ315" s="1691"/>
      <c r="AR315" s="1691"/>
      <c r="AS315" s="1691"/>
      <c r="AT315" s="1691"/>
      <c r="AU315" s="1691"/>
    </row>
    <row r="316">
      <c r="A316" s="1419"/>
      <c r="B316" s="1697"/>
      <c r="C316" s="1698"/>
      <c r="D316" s="1698"/>
      <c r="E316" s="1698"/>
      <c r="F316" s="1689"/>
      <c r="G316" s="1689"/>
      <c r="H316" s="1689"/>
      <c r="I316" s="1689"/>
      <c r="J316" s="1689"/>
      <c r="K316" s="1689"/>
      <c r="L316" s="1689"/>
      <c r="M316" s="1689"/>
      <c r="N316" s="1689"/>
      <c r="O316" s="1689"/>
      <c r="P316" s="1689"/>
      <c r="Q316" s="1689"/>
      <c r="R316" s="1689"/>
      <c r="S316" s="1689"/>
      <c r="T316" s="1689"/>
      <c r="U316" s="1689"/>
      <c r="V316" s="1689"/>
      <c r="W316" s="1689"/>
      <c r="X316" s="1689"/>
      <c r="Y316" s="1689"/>
      <c r="Z316" s="1689"/>
      <c r="AA316" s="1689"/>
      <c r="AB316" s="1689"/>
      <c r="AC316" s="1689"/>
      <c r="AD316" s="1689"/>
      <c r="AE316" s="1689"/>
      <c r="AF316" s="1689"/>
      <c r="AG316" s="1689"/>
      <c r="AH316" s="1689"/>
      <c r="AI316" s="1689"/>
      <c r="AJ316" s="1689"/>
      <c r="AK316" s="1689"/>
      <c r="AL316" s="1689"/>
      <c r="AM316" s="1689"/>
      <c r="AN316" s="1689"/>
      <c r="AO316" s="1689"/>
      <c r="AP316" s="1689"/>
      <c r="AQ316" s="1689"/>
      <c r="AR316" s="1689"/>
      <c r="AS316" s="1689"/>
      <c r="AT316" s="1689"/>
      <c r="AU316" s="1689"/>
    </row>
    <row r="317">
      <c r="A317" s="1419"/>
      <c r="B317" s="1699"/>
      <c r="C317" s="1700"/>
      <c r="D317" s="1700"/>
      <c r="E317" s="1700"/>
      <c r="F317" s="1691"/>
      <c r="G317" s="1691"/>
      <c r="H317" s="1691"/>
      <c r="I317" s="1691"/>
      <c r="J317" s="1691"/>
      <c r="K317" s="1691"/>
      <c r="L317" s="1691"/>
      <c r="M317" s="1691"/>
      <c r="N317" s="1691"/>
      <c r="O317" s="1691"/>
      <c r="P317" s="1691"/>
      <c r="Q317" s="1691"/>
      <c r="R317" s="1691"/>
      <c r="S317" s="1691"/>
      <c r="T317" s="1691"/>
      <c r="U317" s="1691"/>
      <c r="V317" s="1691"/>
      <c r="W317" s="1691"/>
      <c r="X317" s="1691"/>
      <c r="Y317" s="1691"/>
      <c r="Z317" s="1691"/>
      <c r="AA317" s="1691"/>
      <c r="AB317" s="1691"/>
      <c r="AC317" s="1691"/>
      <c r="AD317" s="1691"/>
      <c r="AE317" s="1691"/>
      <c r="AF317" s="1691"/>
      <c r="AG317" s="1691"/>
      <c r="AH317" s="1691"/>
      <c r="AI317" s="1691"/>
      <c r="AJ317" s="1691"/>
      <c r="AK317" s="1691"/>
      <c r="AL317" s="1691"/>
      <c r="AM317" s="1691"/>
      <c r="AN317" s="1691"/>
      <c r="AO317" s="1691"/>
      <c r="AP317" s="1691"/>
      <c r="AQ317" s="1691"/>
      <c r="AR317" s="1691"/>
      <c r="AS317" s="1691"/>
      <c r="AT317" s="1691"/>
      <c r="AU317" s="1691"/>
    </row>
    <row r="318">
      <c r="A318" s="1419"/>
      <c r="B318" s="1697"/>
      <c r="C318" s="1698"/>
      <c r="D318" s="1698"/>
      <c r="E318" s="1698"/>
      <c r="F318" s="1689"/>
      <c r="G318" s="1689"/>
      <c r="H318" s="1689"/>
      <c r="I318" s="1689"/>
      <c r="J318" s="1689"/>
      <c r="K318" s="1689"/>
      <c r="L318" s="1689"/>
      <c r="M318" s="1689"/>
      <c r="N318" s="1689"/>
      <c r="O318" s="1689"/>
      <c r="P318" s="1689"/>
      <c r="Q318" s="1689"/>
      <c r="R318" s="1689"/>
      <c r="S318" s="1689"/>
      <c r="T318" s="1689"/>
      <c r="U318" s="1689"/>
      <c r="V318" s="1689"/>
      <c r="W318" s="1689"/>
      <c r="X318" s="1689"/>
      <c r="Y318" s="1689"/>
      <c r="Z318" s="1689"/>
      <c r="AA318" s="1689"/>
      <c r="AB318" s="1689"/>
      <c r="AC318" s="1689"/>
      <c r="AD318" s="1689"/>
      <c r="AE318" s="1689"/>
      <c r="AF318" s="1689"/>
      <c r="AG318" s="1689"/>
      <c r="AH318" s="1689"/>
      <c r="AI318" s="1689"/>
      <c r="AJ318" s="1689"/>
      <c r="AK318" s="1689"/>
      <c r="AL318" s="1689"/>
      <c r="AM318" s="1689"/>
      <c r="AN318" s="1689"/>
      <c r="AO318" s="1689"/>
      <c r="AP318" s="1689"/>
      <c r="AQ318" s="1689"/>
      <c r="AR318" s="1689"/>
      <c r="AS318" s="1689"/>
      <c r="AT318" s="1689"/>
      <c r="AU318" s="1689"/>
    </row>
    <row r="319">
      <c r="A319" s="1419"/>
      <c r="B319" s="1699"/>
      <c r="C319" s="1700"/>
      <c r="D319" s="1700"/>
      <c r="E319" s="1700"/>
      <c r="F319" s="1691"/>
      <c r="G319" s="1691"/>
      <c r="H319" s="1691"/>
      <c r="I319" s="1691"/>
      <c r="J319" s="1691"/>
      <c r="K319" s="1691"/>
      <c r="L319" s="1691"/>
      <c r="M319" s="1691"/>
      <c r="N319" s="1691"/>
      <c r="O319" s="1691"/>
      <c r="P319" s="1691"/>
      <c r="Q319" s="1691"/>
      <c r="R319" s="1691"/>
      <c r="S319" s="1691"/>
      <c r="T319" s="1691"/>
      <c r="U319" s="1691"/>
      <c r="V319" s="1691"/>
      <c r="W319" s="1691"/>
      <c r="X319" s="1691"/>
      <c r="Y319" s="1691"/>
      <c r="Z319" s="1691"/>
      <c r="AA319" s="1691"/>
      <c r="AB319" s="1691"/>
      <c r="AC319" s="1691"/>
      <c r="AD319" s="1691"/>
      <c r="AE319" s="1691"/>
      <c r="AF319" s="1691"/>
      <c r="AG319" s="1691"/>
      <c r="AH319" s="1691"/>
      <c r="AI319" s="1691"/>
      <c r="AJ319" s="1691"/>
      <c r="AK319" s="1691"/>
      <c r="AL319" s="1691"/>
      <c r="AM319" s="1691"/>
      <c r="AN319" s="1691"/>
      <c r="AO319" s="1691"/>
      <c r="AP319" s="1691"/>
      <c r="AQ319" s="1691"/>
      <c r="AR319" s="1691"/>
      <c r="AS319" s="1691"/>
      <c r="AT319" s="1691"/>
      <c r="AU319" s="1691"/>
    </row>
    <row r="320">
      <c r="A320" s="1419"/>
      <c r="B320" s="1697"/>
      <c r="C320" s="1698"/>
      <c r="D320" s="1698"/>
      <c r="E320" s="1698"/>
      <c r="F320" s="1689"/>
      <c r="G320" s="1689"/>
      <c r="H320" s="1689"/>
      <c r="I320" s="1689"/>
      <c r="J320" s="1689"/>
      <c r="K320" s="1689"/>
      <c r="L320" s="1689"/>
      <c r="M320" s="1689"/>
      <c r="N320" s="1689"/>
      <c r="O320" s="1689"/>
      <c r="P320" s="1689"/>
      <c r="Q320" s="1689"/>
      <c r="R320" s="1689"/>
      <c r="S320" s="1689"/>
      <c r="T320" s="1689"/>
      <c r="U320" s="1689"/>
      <c r="V320" s="1689"/>
      <c r="W320" s="1689"/>
      <c r="X320" s="1689"/>
      <c r="Y320" s="1689"/>
      <c r="Z320" s="1689"/>
      <c r="AA320" s="1689"/>
      <c r="AB320" s="1689"/>
      <c r="AC320" s="1689"/>
      <c r="AD320" s="1689"/>
      <c r="AE320" s="1689"/>
      <c r="AF320" s="1689"/>
      <c r="AG320" s="1689"/>
      <c r="AH320" s="1689"/>
      <c r="AI320" s="1689"/>
      <c r="AJ320" s="1689"/>
      <c r="AK320" s="1689"/>
      <c r="AL320" s="1689"/>
      <c r="AM320" s="1689"/>
      <c r="AN320" s="1689"/>
      <c r="AO320" s="1689"/>
      <c r="AP320" s="1689"/>
      <c r="AQ320" s="1689"/>
      <c r="AR320" s="1689"/>
      <c r="AS320" s="1689"/>
      <c r="AT320" s="1689"/>
      <c r="AU320" s="1689"/>
    </row>
    <row r="321">
      <c r="A321" s="1440" t="s">
        <v>2461</v>
      </c>
      <c r="B321" s="1699"/>
      <c r="C321" s="1700"/>
      <c r="D321" s="1700"/>
      <c r="E321" s="1700"/>
      <c r="F321" s="1691"/>
      <c r="G321" s="1691"/>
      <c r="H321" s="1691"/>
      <c r="I321" s="1691"/>
      <c r="J321" s="1691"/>
      <c r="K321" s="1691"/>
      <c r="L321" s="1691"/>
      <c r="M321" s="1691"/>
      <c r="N321" s="1691"/>
      <c r="O321" s="1691"/>
      <c r="P321" s="1691"/>
      <c r="Q321" s="1691"/>
      <c r="R321" s="1691"/>
      <c r="S321" s="1691"/>
      <c r="T321" s="1691"/>
      <c r="U321" s="1691"/>
      <c r="V321" s="1691"/>
      <c r="W321" s="1691"/>
      <c r="X321" s="1691"/>
      <c r="Y321" s="1691"/>
      <c r="Z321" s="1691"/>
      <c r="AA321" s="1691"/>
      <c r="AB321" s="1691"/>
      <c r="AC321" s="1691"/>
      <c r="AD321" s="1691"/>
      <c r="AE321" s="1691"/>
      <c r="AF321" s="1691"/>
      <c r="AG321" s="1691"/>
      <c r="AH321" s="1691"/>
      <c r="AI321" s="1691"/>
      <c r="AJ321" s="1691"/>
      <c r="AK321" s="1691"/>
      <c r="AL321" s="1691"/>
      <c r="AM321" s="1691"/>
      <c r="AN321" s="1691"/>
      <c r="AO321" s="1691"/>
      <c r="AP321" s="1691"/>
      <c r="AQ321" s="1691"/>
      <c r="AR321" s="1691"/>
      <c r="AS321" s="1691"/>
      <c r="AT321" s="1691"/>
      <c r="AU321" s="1691"/>
    </row>
    <row r="322">
      <c r="A322" s="1419"/>
      <c r="B322" s="1697"/>
      <c r="C322" s="1698"/>
      <c r="D322" s="1698"/>
      <c r="E322" s="1698"/>
      <c r="F322" s="1689"/>
      <c r="G322" s="1689"/>
      <c r="H322" s="1689"/>
      <c r="I322" s="1689"/>
      <c r="J322" s="1689"/>
      <c r="K322" s="1689"/>
      <c r="L322" s="1689"/>
      <c r="M322" s="1689"/>
      <c r="N322" s="1689"/>
      <c r="O322" s="1689"/>
      <c r="P322" s="1689"/>
      <c r="Q322" s="1689"/>
      <c r="R322" s="1689"/>
      <c r="S322" s="1689"/>
      <c r="T322" s="1689"/>
      <c r="U322" s="1689"/>
      <c r="V322" s="1689"/>
      <c r="W322" s="1689"/>
      <c r="X322" s="1689"/>
      <c r="Y322" s="1689"/>
      <c r="Z322" s="1689"/>
      <c r="AA322" s="1689"/>
      <c r="AB322" s="1689"/>
      <c r="AC322" s="1689"/>
      <c r="AD322" s="1689"/>
      <c r="AE322" s="1689"/>
      <c r="AF322" s="1689"/>
      <c r="AG322" s="1689"/>
      <c r="AH322" s="1689"/>
      <c r="AI322" s="1689"/>
      <c r="AJ322" s="1689"/>
      <c r="AK322" s="1689"/>
      <c r="AL322" s="1689"/>
      <c r="AM322" s="1689"/>
      <c r="AN322" s="1689"/>
      <c r="AO322" s="1689"/>
      <c r="AP322" s="1689"/>
      <c r="AQ322" s="1689"/>
      <c r="AR322" s="1689"/>
      <c r="AS322" s="1689"/>
      <c r="AT322" s="1689"/>
      <c r="AU322" s="1689"/>
    </row>
    <row r="323">
      <c r="A323" s="1419"/>
      <c r="B323" s="1699"/>
      <c r="C323" s="1700"/>
      <c r="D323" s="1700"/>
      <c r="E323" s="1700"/>
      <c r="F323" s="1691"/>
      <c r="G323" s="1691"/>
      <c r="H323" s="1691"/>
      <c r="I323" s="1691"/>
      <c r="J323" s="1691"/>
      <c r="K323" s="1691"/>
      <c r="L323" s="1691"/>
      <c r="M323" s="1691"/>
      <c r="N323" s="1691"/>
      <c r="O323" s="1691"/>
      <c r="P323" s="1691"/>
      <c r="Q323" s="1691"/>
      <c r="R323" s="1691"/>
      <c r="S323" s="1691"/>
      <c r="T323" s="1691"/>
      <c r="U323" s="1691"/>
      <c r="V323" s="1691"/>
      <c r="W323" s="1691"/>
      <c r="X323" s="1691"/>
      <c r="Y323" s="1691"/>
      <c r="Z323" s="1691"/>
      <c r="AA323" s="1691"/>
      <c r="AB323" s="1691"/>
      <c r="AC323" s="1691"/>
      <c r="AD323" s="1691"/>
      <c r="AE323" s="1691"/>
      <c r="AF323" s="1691"/>
      <c r="AG323" s="1691"/>
      <c r="AH323" s="1691"/>
      <c r="AI323" s="1691"/>
      <c r="AJ323" s="1691"/>
      <c r="AK323" s="1691"/>
      <c r="AL323" s="1691"/>
      <c r="AM323" s="1691"/>
      <c r="AN323" s="1691"/>
      <c r="AO323" s="1691"/>
      <c r="AP323" s="1691"/>
      <c r="AQ323" s="1691"/>
      <c r="AR323" s="1691"/>
      <c r="AS323" s="1691"/>
      <c r="AT323" s="1691"/>
      <c r="AU323" s="1691"/>
    </row>
    <row r="324">
      <c r="A324" s="1419"/>
      <c r="B324" s="1697"/>
      <c r="C324" s="1698"/>
      <c r="D324" s="1698"/>
      <c r="E324" s="1698"/>
      <c r="F324" s="1689"/>
      <c r="G324" s="1689"/>
      <c r="H324" s="1689"/>
      <c r="I324" s="1689"/>
      <c r="J324" s="1689"/>
      <c r="K324" s="1689"/>
      <c r="L324" s="1689"/>
      <c r="M324" s="1689"/>
      <c r="N324" s="1689"/>
      <c r="O324" s="1689"/>
      <c r="P324" s="1689"/>
      <c r="Q324" s="1689"/>
      <c r="R324" s="1689"/>
      <c r="S324" s="1689"/>
      <c r="T324" s="1689"/>
      <c r="U324" s="1689"/>
      <c r="V324" s="1689"/>
      <c r="W324" s="1689"/>
      <c r="X324" s="1689"/>
      <c r="Y324" s="1689"/>
      <c r="Z324" s="1689"/>
      <c r="AA324" s="1689"/>
      <c r="AB324" s="1689"/>
      <c r="AC324" s="1689"/>
      <c r="AD324" s="1689"/>
      <c r="AE324" s="1689"/>
      <c r="AF324" s="1689"/>
      <c r="AG324" s="1689"/>
      <c r="AH324" s="1689"/>
      <c r="AI324" s="1689"/>
      <c r="AJ324" s="1689"/>
      <c r="AK324" s="1689"/>
      <c r="AL324" s="1689"/>
      <c r="AM324" s="1689"/>
      <c r="AN324" s="1689"/>
      <c r="AO324" s="1689"/>
      <c r="AP324" s="1689"/>
      <c r="AQ324" s="1689"/>
      <c r="AR324" s="1689"/>
      <c r="AS324" s="1689"/>
      <c r="AT324" s="1689"/>
      <c r="AU324" s="1689"/>
    </row>
    <row r="325">
      <c r="A325" s="1419"/>
      <c r="B325" s="1699"/>
      <c r="C325" s="1700"/>
      <c r="D325" s="1700"/>
      <c r="E325" s="1700"/>
      <c r="F325" s="1691"/>
      <c r="G325" s="1691"/>
      <c r="H325" s="1691"/>
      <c r="I325" s="1691"/>
      <c r="J325" s="1691"/>
      <c r="K325" s="1691"/>
      <c r="L325" s="1691"/>
      <c r="M325" s="1691"/>
      <c r="N325" s="1691"/>
      <c r="O325" s="1691"/>
      <c r="P325" s="1691"/>
      <c r="Q325" s="1691"/>
      <c r="R325" s="1691"/>
      <c r="S325" s="1691"/>
      <c r="T325" s="1691"/>
      <c r="U325" s="1691"/>
      <c r="V325" s="1691"/>
      <c r="W325" s="1691"/>
      <c r="X325" s="1691"/>
      <c r="Y325" s="1691"/>
      <c r="Z325" s="1691"/>
      <c r="AA325" s="1691"/>
      <c r="AB325" s="1691"/>
      <c r="AC325" s="1691"/>
      <c r="AD325" s="1691"/>
      <c r="AE325" s="1691"/>
      <c r="AF325" s="1691"/>
      <c r="AG325" s="1691"/>
      <c r="AH325" s="1691"/>
      <c r="AI325" s="1691"/>
      <c r="AJ325" s="1691"/>
      <c r="AK325" s="1691"/>
      <c r="AL325" s="1691"/>
      <c r="AM325" s="1691"/>
      <c r="AN325" s="1691"/>
      <c r="AO325" s="1691"/>
      <c r="AP325" s="1691"/>
      <c r="AQ325" s="1691"/>
      <c r="AR325" s="1691"/>
      <c r="AS325" s="1691"/>
      <c r="AT325" s="1691"/>
      <c r="AU325" s="1691"/>
    </row>
    <row r="326">
      <c r="A326" s="1419"/>
      <c r="B326" s="1697"/>
      <c r="C326" s="1698"/>
      <c r="D326" s="1698"/>
      <c r="E326" s="1698"/>
      <c r="F326" s="1689"/>
      <c r="G326" s="1689"/>
      <c r="H326" s="1689"/>
      <c r="I326" s="1689"/>
      <c r="J326" s="1689"/>
      <c r="K326" s="1689"/>
      <c r="L326" s="1689"/>
      <c r="M326" s="1689"/>
      <c r="N326" s="1689"/>
      <c r="O326" s="1689"/>
      <c r="P326" s="1689"/>
      <c r="Q326" s="1689"/>
      <c r="R326" s="1689"/>
      <c r="S326" s="1689"/>
      <c r="T326" s="1689"/>
      <c r="U326" s="1689"/>
      <c r="V326" s="1689"/>
      <c r="W326" s="1689"/>
      <c r="X326" s="1689"/>
      <c r="Y326" s="1689"/>
      <c r="Z326" s="1689"/>
      <c r="AA326" s="1689"/>
      <c r="AB326" s="1689"/>
      <c r="AC326" s="1689"/>
      <c r="AD326" s="1689"/>
      <c r="AE326" s="1689"/>
      <c r="AF326" s="1689"/>
      <c r="AG326" s="1689"/>
      <c r="AH326" s="1689"/>
      <c r="AI326" s="1689"/>
      <c r="AJ326" s="1689"/>
      <c r="AK326" s="1689"/>
      <c r="AL326" s="1689"/>
      <c r="AM326" s="1689"/>
      <c r="AN326" s="1689"/>
      <c r="AO326" s="1689"/>
      <c r="AP326" s="1689"/>
      <c r="AQ326" s="1689"/>
      <c r="AR326" s="1689"/>
      <c r="AS326" s="1689"/>
      <c r="AT326" s="1689"/>
      <c r="AU326" s="1689"/>
    </row>
    <row r="327">
      <c r="A327" s="1419"/>
      <c r="B327" s="1699"/>
      <c r="C327" s="1700"/>
      <c r="D327" s="1700"/>
      <c r="E327" s="1700"/>
      <c r="F327" s="1691"/>
      <c r="G327" s="1691"/>
      <c r="H327" s="1691"/>
      <c r="I327" s="1691"/>
      <c r="J327" s="1691"/>
      <c r="K327" s="1691"/>
      <c r="L327" s="1691"/>
      <c r="M327" s="1691"/>
      <c r="N327" s="1691"/>
      <c r="O327" s="1691"/>
      <c r="P327" s="1691"/>
      <c r="Q327" s="1691"/>
      <c r="R327" s="1691"/>
      <c r="S327" s="1691"/>
      <c r="T327" s="1691"/>
      <c r="U327" s="1691"/>
      <c r="V327" s="1691"/>
      <c r="W327" s="1691"/>
      <c r="X327" s="1691"/>
      <c r="Y327" s="1691"/>
      <c r="Z327" s="1691"/>
      <c r="AA327" s="1691"/>
      <c r="AB327" s="1691"/>
      <c r="AC327" s="1691"/>
      <c r="AD327" s="1691"/>
      <c r="AE327" s="1691"/>
      <c r="AF327" s="1691"/>
      <c r="AG327" s="1691"/>
      <c r="AH327" s="1691"/>
      <c r="AI327" s="1691"/>
      <c r="AJ327" s="1691"/>
      <c r="AK327" s="1691"/>
      <c r="AL327" s="1691"/>
      <c r="AM327" s="1691"/>
      <c r="AN327" s="1691"/>
      <c r="AO327" s="1691"/>
      <c r="AP327" s="1691"/>
      <c r="AQ327" s="1691"/>
      <c r="AR327" s="1691"/>
      <c r="AS327" s="1691"/>
      <c r="AT327" s="1691"/>
      <c r="AU327" s="1691"/>
    </row>
    <row r="328">
      <c r="A328" s="1419"/>
      <c r="B328" s="1697"/>
      <c r="C328" s="1698"/>
      <c r="D328" s="1698"/>
      <c r="E328" s="1698"/>
      <c r="F328" s="1689"/>
      <c r="G328" s="1689"/>
      <c r="H328" s="1689"/>
      <c r="I328" s="1689"/>
      <c r="J328" s="1689"/>
      <c r="K328" s="1689"/>
      <c r="L328" s="1689"/>
      <c r="M328" s="1689"/>
      <c r="N328" s="1689"/>
      <c r="O328" s="1689"/>
      <c r="P328" s="1689"/>
      <c r="Q328" s="1689"/>
      <c r="R328" s="1689"/>
      <c r="S328" s="1689"/>
      <c r="T328" s="1689"/>
      <c r="U328" s="1689"/>
      <c r="V328" s="1689"/>
      <c r="W328" s="1689"/>
      <c r="X328" s="1689"/>
      <c r="Y328" s="1689"/>
      <c r="Z328" s="1689"/>
      <c r="AA328" s="1689"/>
      <c r="AB328" s="1689"/>
      <c r="AC328" s="1689"/>
      <c r="AD328" s="1689"/>
      <c r="AE328" s="1689"/>
      <c r="AF328" s="1689"/>
      <c r="AG328" s="1689"/>
      <c r="AH328" s="1689"/>
      <c r="AI328" s="1689"/>
      <c r="AJ328" s="1689"/>
      <c r="AK328" s="1689"/>
      <c r="AL328" s="1689"/>
      <c r="AM328" s="1689"/>
      <c r="AN328" s="1689"/>
      <c r="AO328" s="1689"/>
      <c r="AP328" s="1689"/>
      <c r="AQ328" s="1689"/>
      <c r="AR328" s="1689"/>
      <c r="AS328" s="1689"/>
      <c r="AT328" s="1689"/>
      <c r="AU328" s="1689"/>
    </row>
    <row r="329">
      <c r="A329" s="1419"/>
      <c r="B329" s="1699"/>
      <c r="C329" s="1700"/>
      <c r="D329" s="1700"/>
      <c r="E329" s="1700"/>
      <c r="F329" s="1691"/>
      <c r="G329" s="1691"/>
      <c r="H329" s="1691"/>
      <c r="I329" s="1691"/>
      <c r="J329" s="1691"/>
      <c r="K329" s="1691"/>
      <c r="L329" s="1691"/>
      <c r="M329" s="1691"/>
      <c r="N329" s="1691"/>
      <c r="O329" s="1691"/>
      <c r="P329" s="1691"/>
      <c r="Q329" s="1691"/>
      <c r="R329" s="1691"/>
      <c r="S329" s="1691"/>
      <c r="T329" s="1691"/>
      <c r="U329" s="1691"/>
      <c r="V329" s="1691"/>
      <c r="W329" s="1691"/>
      <c r="X329" s="1691"/>
      <c r="Y329" s="1691"/>
      <c r="Z329" s="1691"/>
      <c r="AA329" s="1691"/>
      <c r="AB329" s="1691"/>
      <c r="AC329" s="1691"/>
      <c r="AD329" s="1691"/>
      <c r="AE329" s="1691"/>
      <c r="AF329" s="1691"/>
      <c r="AG329" s="1691"/>
      <c r="AH329" s="1691"/>
      <c r="AI329" s="1691"/>
      <c r="AJ329" s="1691"/>
      <c r="AK329" s="1691"/>
      <c r="AL329" s="1691"/>
      <c r="AM329" s="1691"/>
      <c r="AN329" s="1691"/>
      <c r="AO329" s="1691"/>
      <c r="AP329" s="1691"/>
      <c r="AQ329" s="1691"/>
      <c r="AR329" s="1691"/>
      <c r="AS329" s="1691"/>
      <c r="AT329" s="1691"/>
      <c r="AU329" s="1691"/>
    </row>
    <row r="330">
      <c r="A330" s="1419"/>
      <c r="B330" s="1697"/>
      <c r="C330" s="1698"/>
      <c r="D330" s="1698"/>
      <c r="E330" s="1698"/>
      <c r="F330" s="1689"/>
      <c r="G330" s="1689"/>
      <c r="H330" s="1689"/>
      <c r="I330" s="1689"/>
      <c r="J330" s="1689"/>
      <c r="K330" s="1689"/>
      <c r="L330" s="1689"/>
      <c r="M330" s="1689"/>
      <c r="N330" s="1689"/>
      <c r="O330" s="1689"/>
      <c r="P330" s="1689"/>
      <c r="Q330" s="1689"/>
      <c r="R330" s="1689"/>
      <c r="S330" s="1689"/>
      <c r="T330" s="1689"/>
      <c r="U330" s="1689"/>
      <c r="V330" s="1689"/>
      <c r="W330" s="1689"/>
      <c r="X330" s="1689"/>
      <c r="Y330" s="1689"/>
      <c r="Z330" s="1689"/>
      <c r="AA330" s="1689"/>
      <c r="AB330" s="1689"/>
      <c r="AC330" s="1689"/>
      <c r="AD330" s="1689"/>
      <c r="AE330" s="1689"/>
      <c r="AF330" s="1689"/>
      <c r="AG330" s="1689"/>
      <c r="AH330" s="1689"/>
      <c r="AI330" s="1689"/>
      <c r="AJ330" s="1689"/>
      <c r="AK330" s="1689"/>
      <c r="AL330" s="1689"/>
      <c r="AM330" s="1689"/>
      <c r="AN330" s="1689"/>
      <c r="AO330" s="1689"/>
      <c r="AP330" s="1689"/>
      <c r="AQ330" s="1689"/>
      <c r="AR330" s="1689"/>
      <c r="AS330" s="1689"/>
      <c r="AT330" s="1689"/>
      <c r="AU330" s="1689"/>
    </row>
    <row r="331">
      <c r="A331" s="1419"/>
      <c r="B331" s="1699"/>
      <c r="C331" s="1700"/>
      <c r="D331" s="1700"/>
      <c r="E331" s="1700"/>
      <c r="F331" s="1691"/>
      <c r="G331" s="1691"/>
      <c r="H331" s="1691"/>
      <c r="I331" s="1691"/>
      <c r="J331" s="1691"/>
      <c r="K331" s="1691"/>
      <c r="L331" s="1691"/>
      <c r="M331" s="1691"/>
      <c r="N331" s="1691"/>
      <c r="O331" s="1691"/>
      <c r="P331" s="1691"/>
      <c r="Q331" s="1691"/>
      <c r="R331" s="1691"/>
      <c r="S331" s="1691"/>
      <c r="T331" s="1691"/>
      <c r="U331" s="1691"/>
      <c r="V331" s="1691"/>
      <c r="W331" s="1691"/>
      <c r="X331" s="1691"/>
      <c r="Y331" s="1691"/>
      <c r="Z331" s="1691"/>
      <c r="AA331" s="1691"/>
      <c r="AB331" s="1691"/>
      <c r="AC331" s="1691"/>
      <c r="AD331" s="1691"/>
      <c r="AE331" s="1691"/>
      <c r="AF331" s="1691"/>
      <c r="AG331" s="1691"/>
      <c r="AH331" s="1691"/>
      <c r="AI331" s="1691"/>
      <c r="AJ331" s="1691"/>
      <c r="AK331" s="1691"/>
      <c r="AL331" s="1691"/>
      <c r="AM331" s="1691"/>
      <c r="AN331" s="1691"/>
      <c r="AO331" s="1691"/>
      <c r="AP331" s="1691"/>
      <c r="AQ331" s="1691"/>
      <c r="AR331" s="1691"/>
      <c r="AS331" s="1691"/>
      <c r="AT331" s="1691"/>
      <c r="AU331" s="1691"/>
    </row>
    <row r="332">
      <c r="A332" s="1419"/>
      <c r="B332" s="1697"/>
      <c r="C332" s="1698"/>
      <c r="D332" s="1698"/>
      <c r="E332" s="1698"/>
      <c r="F332" s="1689"/>
      <c r="G332" s="1689"/>
      <c r="H332" s="1689"/>
      <c r="I332" s="1689"/>
      <c r="J332" s="1689"/>
      <c r="K332" s="1689"/>
      <c r="L332" s="1689"/>
      <c r="M332" s="1689"/>
      <c r="N332" s="1689"/>
      <c r="O332" s="1689"/>
      <c r="P332" s="1689"/>
      <c r="Q332" s="1689"/>
      <c r="R332" s="1689"/>
      <c r="S332" s="1689"/>
      <c r="T332" s="1689"/>
      <c r="U332" s="1689"/>
      <c r="V332" s="1689"/>
      <c r="W332" s="1689"/>
      <c r="X332" s="1689"/>
      <c r="Y332" s="1689"/>
      <c r="Z332" s="1689"/>
      <c r="AA332" s="1689"/>
      <c r="AB332" s="1689"/>
      <c r="AC332" s="1689"/>
      <c r="AD332" s="1689"/>
      <c r="AE332" s="1689"/>
      <c r="AF332" s="1689"/>
      <c r="AG332" s="1689"/>
      <c r="AH332" s="1689"/>
      <c r="AI332" s="1689"/>
      <c r="AJ332" s="1689"/>
      <c r="AK332" s="1689"/>
      <c r="AL332" s="1689"/>
      <c r="AM332" s="1689"/>
      <c r="AN332" s="1689"/>
      <c r="AO332" s="1689"/>
      <c r="AP332" s="1689"/>
      <c r="AQ332" s="1689"/>
      <c r="AR332" s="1689"/>
      <c r="AS332" s="1689"/>
      <c r="AT332" s="1689"/>
      <c r="AU332" s="1689"/>
    </row>
    <row r="333">
      <c r="A333" s="1419"/>
      <c r="B333" s="1699"/>
      <c r="C333" s="1700"/>
      <c r="D333" s="1700"/>
      <c r="E333" s="1700"/>
      <c r="F333" s="1691"/>
      <c r="G333" s="1691"/>
      <c r="H333" s="1691"/>
      <c r="I333" s="1691"/>
      <c r="J333" s="1691"/>
      <c r="K333" s="1691"/>
      <c r="L333" s="1691"/>
      <c r="M333" s="1691"/>
      <c r="N333" s="1691"/>
      <c r="O333" s="1691"/>
      <c r="P333" s="1691"/>
      <c r="Q333" s="1691"/>
      <c r="R333" s="1691"/>
      <c r="S333" s="1691"/>
      <c r="T333" s="1691"/>
      <c r="U333" s="1691"/>
      <c r="V333" s="1691"/>
      <c r="W333" s="1691"/>
      <c r="X333" s="1691"/>
      <c r="Y333" s="1691"/>
      <c r="Z333" s="1691"/>
      <c r="AA333" s="1691"/>
      <c r="AB333" s="1691"/>
      <c r="AC333" s="1691"/>
      <c r="AD333" s="1691"/>
      <c r="AE333" s="1691"/>
      <c r="AF333" s="1691"/>
      <c r="AG333" s="1691"/>
      <c r="AH333" s="1691"/>
      <c r="AI333" s="1691"/>
      <c r="AJ333" s="1691"/>
      <c r="AK333" s="1691"/>
      <c r="AL333" s="1691"/>
      <c r="AM333" s="1691"/>
      <c r="AN333" s="1691"/>
      <c r="AO333" s="1691"/>
      <c r="AP333" s="1691"/>
      <c r="AQ333" s="1691"/>
      <c r="AR333" s="1691"/>
      <c r="AS333" s="1691"/>
      <c r="AT333" s="1691"/>
      <c r="AU333" s="1691"/>
    </row>
    <row r="334">
      <c r="A334" s="1419"/>
      <c r="B334" s="1697"/>
      <c r="C334" s="1698"/>
      <c r="D334" s="1698"/>
      <c r="E334" s="1698"/>
      <c r="F334" s="1689"/>
      <c r="G334" s="1689"/>
      <c r="H334" s="1689"/>
      <c r="I334" s="1689"/>
      <c r="J334" s="1689"/>
      <c r="K334" s="1689"/>
      <c r="L334" s="1689"/>
      <c r="M334" s="1689"/>
      <c r="N334" s="1689"/>
      <c r="O334" s="1689"/>
      <c r="P334" s="1689"/>
      <c r="Q334" s="1689"/>
      <c r="R334" s="1689"/>
      <c r="S334" s="1689"/>
      <c r="T334" s="1689"/>
      <c r="U334" s="1689"/>
      <c r="V334" s="1689"/>
      <c r="W334" s="1689"/>
      <c r="X334" s="1689"/>
      <c r="Y334" s="1689"/>
      <c r="Z334" s="1689"/>
      <c r="AA334" s="1689"/>
      <c r="AB334" s="1689"/>
      <c r="AC334" s="1689"/>
      <c r="AD334" s="1689"/>
      <c r="AE334" s="1689"/>
      <c r="AF334" s="1689"/>
      <c r="AG334" s="1689"/>
      <c r="AH334" s="1689"/>
      <c r="AI334" s="1689"/>
      <c r="AJ334" s="1689"/>
      <c r="AK334" s="1689"/>
      <c r="AL334" s="1689"/>
      <c r="AM334" s="1689"/>
      <c r="AN334" s="1689"/>
      <c r="AO334" s="1689"/>
      <c r="AP334" s="1689"/>
      <c r="AQ334" s="1689"/>
      <c r="AR334" s="1689"/>
      <c r="AS334" s="1689"/>
      <c r="AT334" s="1689"/>
      <c r="AU334" s="1689"/>
    </row>
    <row r="335">
      <c r="A335" s="1419"/>
      <c r="B335" s="1699"/>
      <c r="C335" s="1700"/>
      <c r="D335" s="1700"/>
      <c r="E335" s="1700"/>
      <c r="F335" s="1691"/>
      <c r="G335" s="1691"/>
      <c r="H335" s="1691"/>
      <c r="I335" s="1691"/>
      <c r="J335" s="1691"/>
      <c r="K335" s="1691"/>
      <c r="L335" s="1691"/>
      <c r="M335" s="1691"/>
      <c r="N335" s="1691"/>
      <c r="O335" s="1691"/>
      <c r="P335" s="1691"/>
      <c r="Q335" s="1691"/>
      <c r="R335" s="1691"/>
      <c r="S335" s="1691"/>
      <c r="T335" s="1691"/>
      <c r="U335" s="1691"/>
      <c r="V335" s="1691"/>
      <c r="W335" s="1691"/>
      <c r="X335" s="1691"/>
      <c r="Y335" s="1691"/>
      <c r="Z335" s="1691"/>
      <c r="AA335" s="1691"/>
      <c r="AB335" s="1691"/>
      <c r="AC335" s="1691"/>
      <c r="AD335" s="1691"/>
      <c r="AE335" s="1691"/>
      <c r="AF335" s="1691"/>
      <c r="AG335" s="1691"/>
      <c r="AH335" s="1691"/>
      <c r="AI335" s="1691"/>
      <c r="AJ335" s="1691"/>
      <c r="AK335" s="1691"/>
      <c r="AL335" s="1691"/>
      <c r="AM335" s="1691"/>
      <c r="AN335" s="1691"/>
      <c r="AO335" s="1691"/>
      <c r="AP335" s="1691"/>
      <c r="AQ335" s="1691"/>
      <c r="AR335" s="1691"/>
      <c r="AS335" s="1691"/>
      <c r="AT335" s="1691"/>
      <c r="AU335" s="1691"/>
    </row>
    <row r="336">
      <c r="A336" s="1419"/>
      <c r="B336" s="1697"/>
      <c r="C336" s="1698"/>
      <c r="D336" s="1698"/>
      <c r="E336" s="1698"/>
      <c r="F336" s="1689"/>
      <c r="G336" s="1689"/>
      <c r="H336" s="1689"/>
      <c r="I336" s="1689"/>
      <c r="J336" s="1689"/>
      <c r="K336" s="1689"/>
      <c r="L336" s="1689"/>
      <c r="M336" s="1689"/>
      <c r="N336" s="1689"/>
      <c r="O336" s="1689"/>
      <c r="P336" s="1689"/>
      <c r="Q336" s="1689"/>
      <c r="R336" s="1689"/>
      <c r="S336" s="1689"/>
      <c r="T336" s="1689"/>
      <c r="U336" s="1689"/>
      <c r="V336" s="1689"/>
      <c r="W336" s="1689"/>
      <c r="X336" s="1689"/>
      <c r="Y336" s="1689"/>
      <c r="Z336" s="1689"/>
      <c r="AA336" s="1689"/>
      <c r="AB336" s="1689"/>
      <c r="AC336" s="1689"/>
      <c r="AD336" s="1689"/>
      <c r="AE336" s="1689"/>
      <c r="AF336" s="1689"/>
      <c r="AG336" s="1689"/>
      <c r="AH336" s="1689"/>
      <c r="AI336" s="1689"/>
      <c r="AJ336" s="1689"/>
      <c r="AK336" s="1689"/>
      <c r="AL336" s="1689"/>
      <c r="AM336" s="1689"/>
      <c r="AN336" s="1689"/>
      <c r="AO336" s="1689"/>
      <c r="AP336" s="1689"/>
      <c r="AQ336" s="1689"/>
      <c r="AR336" s="1689"/>
      <c r="AS336" s="1689"/>
      <c r="AT336" s="1689"/>
      <c r="AU336" s="1689"/>
    </row>
    <row r="337">
      <c r="A337" s="1419"/>
      <c r="B337" s="1699"/>
      <c r="C337" s="1700"/>
      <c r="D337" s="1700"/>
      <c r="E337" s="1700"/>
      <c r="F337" s="1691"/>
      <c r="G337" s="1691"/>
      <c r="H337" s="1691"/>
      <c r="I337" s="1691"/>
      <c r="J337" s="1691"/>
      <c r="K337" s="1691"/>
      <c r="L337" s="1691"/>
      <c r="M337" s="1691"/>
      <c r="N337" s="1691"/>
      <c r="O337" s="1691"/>
      <c r="P337" s="1691"/>
      <c r="Q337" s="1691"/>
      <c r="R337" s="1691"/>
      <c r="S337" s="1691"/>
      <c r="T337" s="1691"/>
      <c r="U337" s="1691"/>
      <c r="V337" s="1691"/>
      <c r="W337" s="1691"/>
      <c r="X337" s="1691"/>
      <c r="Y337" s="1691"/>
      <c r="Z337" s="1691"/>
      <c r="AA337" s="1691"/>
      <c r="AB337" s="1691"/>
      <c r="AC337" s="1691"/>
      <c r="AD337" s="1691"/>
      <c r="AE337" s="1691"/>
      <c r="AF337" s="1691"/>
      <c r="AG337" s="1691"/>
      <c r="AH337" s="1691"/>
      <c r="AI337" s="1691"/>
      <c r="AJ337" s="1691"/>
      <c r="AK337" s="1691"/>
      <c r="AL337" s="1691"/>
      <c r="AM337" s="1691"/>
      <c r="AN337" s="1691"/>
      <c r="AO337" s="1691"/>
      <c r="AP337" s="1691"/>
      <c r="AQ337" s="1691"/>
      <c r="AR337" s="1691"/>
      <c r="AS337" s="1691"/>
      <c r="AT337" s="1691"/>
      <c r="AU337" s="1691"/>
    </row>
    <row r="338">
      <c r="A338" s="1419"/>
      <c r="B338" s="1697"/>
      <c r="C338" s="1698"/>
      <c r="D338" s="1698"/>
      <c r="E338" s="1698"/>
      <c r="F338" s="1689"/>
      <c r="G338" s="1689"/>
      <c r="H338" s="1689"/>
      <c r="I338" s="1689"/>
      <c r="J338" s="1689"/>
      <c r="K338" s="1689"/>
      <c r="L338" s="1689"/>
      <c r="M338" s="1689"/>
      <c r="N338" s="1689"/>
      <c r="O338" s="1689"/>
      <c r="P338" s="1689"/>
      <c r="Q338" s="1689"/>
      <c r="R338" s="1689"/>
      <c r="S338" s="1689"/>
      <c r="T338" s="1689"/>
      <c r="U338" s="1689"/>
      <c r="V338" s="1689"/>
      <c r="W338" s="1689"/>
      <c r="X338" s="1689"/>
      <c r="Y338" s="1689"/>
      <c r="Z338" s="1689"/>
      <c r="AA338" s="1689"/>
      <c r="AB338" s="1689"/>
      <c r="AC338" s="1689"/>
      <c r="AD338" s="1689"/>
      <c r="AE338" s="1689"/>
      <c r="AF338" s="1689"/>
      <c r="AG338" s="1689"/>
      <c r="AH338" s="1689"/>
      <c r="AI338" s="1689"/>
      <c r="AJ338" s="1689"/>
      <c r="AK338" s="1689"/>
      <c r="AL338" s="1689"/>
      <c r="AM338" s="1689"/>
      <c r="AN338" s="1689"/>
      <c r="AO338" s="1689"/>
      <c r="AP338" s="1689"/>
      <c r="AQ338" s="1689"/>
      <c r="AR338" s="1689"/>
      <c r="AS338" s="1689"/>
      <c r="AT338" s="1689"/>
      <c r="AU338" s="1689"/>
    </row>
    <row r="339">
      <c r="A339" s="1419"/>
      <c r="B339" s="1699"/>
      <c r="C339" s="1700"/>
      <c r="D339" s="1700"/>
      <c r="E339" s="1700"/>
      <c r="F339" s="1691"/>
      <c r="G339" s="1691"/>
      <c r="H339" s="1691"/>
      <c r="I339" s="1691"/>
      <c r="J339" s="1691"/>
      <c r="K339" s="1691"/>
      <c r="L339" s="1691"/>
      <c r="M339" s="1691"/>
      <c r="N339" s="1691"/>
      <c r="O339" s="1691"/>
      <c r="P339" s="1691"/>
      <c r="Q339" s="1691"/>
      <c r="R339" s="1691"/>
      <c r="S339" s="1691"/>
      <c r="T339" s="1691"/>
      <c r="U339" s="1691"/>
      <c r="V339" s="1691"/>
      <c r="W339" s="1691"/>
      <c r="X339" s="1691"/>
      <c r="Y339" s="1691"/>
      <c r="Z339" s="1691"/>
      <c r="AA339" s="1691"/>
      <c r="AB339" s="1691"/>
      <c r="AC339" s="1691"/>
      <c r="AD339" s="1691"/>
      <c r="AE339" s="1691"/>
      <c r="AF339" s="1691"/>
      <c r="AG339" s="1691"/>
      <c r="AH339" s="1691"/>
      <c r="AI339" s="1691"/>
      <c r="AJ339" s="1691"/>
      <c r="AK339" s="1691"/>
      <c r="AL339" s="1691"/>
      <c r="AM339" s="1691"/>
      <c r="AN339" s="1691"/>
      <c r="AO339" s="1691"/>
      <c r="AP339" s="1691"/>
      <c r="AQ339" s="1691"/>
      <c r="AR339" s="1691"/>
      <c r="AS339" s="1691"/>
      <c r="AT339" s="1691"/>
      <c r="AU339" s="1691"/>
    </row>
    <row r="340">
      <c r="A340" s="1419"/>
      <c r="B340" s="1697"/>
      <c r="C340" s="1698"/>
      <c r="D340" s="1698"/>
      <c r="E340" s="1698"/>
      <c r="F340" s="1689"/>
      <c r="G340" s="1689"/>
      <c r="H340" s="1689"/>
      <c r="I340" s="1689"/>
      <c r="J340" s="1689"/>
      <c r="K340" s="1689"/>
      <c r="L340" s="1689"/>
      <c r="M340" s="1689"/>
      <c r="N340" s="1689"/>
      <c r="O340" s="1689"/>
      <c r="P340" s="1689"/>
      <c r="Q340" s="1689"/>
      <c r="R340" s="1689"/>
      <c r="S340" s="1689"/>
      <c r="T340" s="1689"/>
      <c r="U340" s="1689"/>
      <c r="V340" s="1689"/>
      <c r="W340" s="1689"/>
      <c r="X340" s="1689"/>
      <c r="Y340" s="1689"/>
      <c r="Z340" s="1689"/>
      <c r="AA340" s="1689"/>
      <c r="AB340" s="1689"/>
      <c r="AC340" s="1689"/>
      <c r="AD340" s="1689"/>
      <c r="AE340" s="1689"/>
      <c r="AF340" s="1689"/>
      <c r="AG340" s="1689"/>
      <c r="AH340" s="1689"/>
      <c r="AI340" s="1689"/>
      <c r="AJ340" s="1689"/>
      <c r="AK340" s="1689"/>
      <c r="AL340" s="1689"/>
      <c r="AM340" s="1689"/>
      <c r="AN340" s="1689"/>
      <c r="AO340" s="1689"/>
      <c r="AP340" s="1689"/>
      <c r="AQ340" s="1689"/>
      <c r="AR340" s="1689"/>
      <c r="AS340" s="1689"/>
      <c r="AT340" s="1689"/>
      <c r="AU340" s="1689"/>
    </row>
    <row r="341">
      <c r="A341" s="1419"/>
      <c r="B341" s="1699"/>
      <c r="C341" s="1700"/>
      <c r="D341" s="1700"/>
      <c r="E341" s="1700"/>
      <c r="F341" s="1691"/>
      <c r="G341" s="1691"/>
      <c r="H341" s="1691"/>
      <c r="I341" s="1691"/>
      <c r="J341" s="1691"/>
      <c r="K341" s="1691"/>
      <c r="L341" s="1691"/>
      <c r="M341" s="1691"/>
      <c r="N341" s="1691"/>
      <c r="O341" s="1691"/>
      <c r="P341" s="1691"/>
      <c r="Q341" s="1691"/>
      <c r="R341" s="1691"/>
      <c r="S341" s="1691"/>
      <c r="T341" s="1691"/>
      <c r="U341" s="1691"/>
      <c r="V341" s="1691"/>
      <c r="W341" s="1691"/>
      <c r="X341" s="1691"/>
      <c r="Y341" s="1691"/>
      <c r="Z341" s="1691"/>
      <c r="AA341" s="1691"/>
      <c r="AB341" s="1691"/>
      <c r="AC341" s="1691"/>
      <c r="AD341" s="1691"/>
      <c r="AE341" s="1691"/>
      <c r="AF341" s="1691"/>
      <c r="AG341" s="1691"/>
      <c r="AH341" s="1691"/>
      <c r="AI341" s="1691"/>
      <c r="AJ341" s="1691"/>
      <c r="AK341" s="1691"/>
      <c r="AL341" s="1691"/>
      <c r="AM341" s="1691"/>
      <c r="AN341" s="1691"/>
      <c r="AO341" s="1691"/>
      <c r="AP341" s="1691"/>
      <c r="AQ341" s="1691"/>
      <c r="AR341" s="1691"/>
      <c r="AS341" s="1691"/>
      <c r="AT341" s="1691"/>
      <c r="AU341" s="1691"/>
    </row>
    <row r="342">
      <c r="A342" s="1419"/>
      <c r="B342" s="1697"/>
      <c r="C342" s="1698"/>
      <c r="D342" s="1698"/>
      <c r="E342" s="1698"/>
      <c r="F342" s="1689"/>
      <c r="G342" s="1689"/>
      <c r="H342" s="1689"/>
      <c r="I342" s="1689"/>
      <c r="J342" s="1689"/>
      <c r="K342" s="1689"/>
      <c r="L342" s="1689"/>
      <c r="M342" s="1689"/>
      <c r="N342" s="1689"/>
      <c r="O342" s="1689"/>
      <c r="P342" s="1689"/>
      <c r="Q342" s="1689"/>
      <c r="R342" s="1689"/>
      <c r="S342" s="1689"/>
      <c r="T342" s="1689"/>
      <c r="U342" s="1689"/>
      <c r="V342" s="1689"/>
      <c r="W342" s="1689"/>
      <c r="X342" s="1689"/>
      <c r="Y342" s="1689"/>
      <c r="Z342" s="1689"/>
      <c r="AA342" s="1689"/>
      <c r="AB342" s="1689"/>
      <c r="AC342" s="1689"/>
      <c r="AD342" s="1689"/>
      <c r="AE342" s="1689"/>
      <c r="AF342" s="1689"/>
      <c r="AG342" s="1689"/>
      <c r="AH342" s="1689"/>
      <c r="AI342" s="1689"/>
      <c r="AJ342" s="1689"/>
      <c r="AK342" s="1689"/>
      <c r="AL342" s="1689"/>
      <c r="AM342" s="1689"/>
      <c r="AN342" s="1689"/>
      <c r="AO342" s="1689"/>
      <c r="AP342" s="1689"/>
      <c r="AQ342" s="1689"/>
      <c r="AR342" s="1689"/>
      <c r="AS342" s="1689"/>
      <c r="AT342" s="1689"/>
      <c r="AU342" s="1689"/>
    </row>
    <row r="343">
      <c r="A343" s="1419"/>
      <c r="B343" s="1699"/>
      <c r="C343" s="1700"/>
      <c r="D343" s="1700"/>
      <c r="E343" s="1700"/>
      <c r="F343" s="1691"/>
      <c r="G343" s="1691"/>
      <c r="H343" s="1691"/>
      <c r="I343" s="1691"/>
      <c r="J343" s="1691"/>
      <c r="K343" s="1691"/>
      <c r="L343" s="1691"/>
      <c r="M343" s="1691"/>
      <c r="N343" s="1691"/>
      <c r="O343" s="1691"/>
      <c r="P343" s="1691"/>
      <c r="Q343" s="1691"/>
      <c r="R343" s="1691"/>
      <c r="S343" s="1691"/>
      <c r="T343" s="1691"/>
      <c r="U343" s="1691"/>
      <c r="V343" s="1691"/>
      <c r="W343" s="1691"/>
      <c r="X343" s="1691"/>
      <c r="Y343" s="1691"/>
      <c r="Z343" s="1691"/>
      <c r="AA343" s="1691"/>
      <c r="AB343" s="1691"/>
      <c r="AC343" s="1691"/>
      <c r="AD343" s="1691"/>
      <c r="AE343" s="1691"/>
      <c r="AF343" s="1691"/>
      <c r="AG343" s="1691"/>
      <c r="AH343" s="1691"/>
      <c r="AI343" s="1691"/>
      <c r="AJ343" s="1691"/>
      <c r="AK343" s="1691"/>
      <c r="AL343" s="1691"/>
      <c r="AM343" s="1691"/>
      <c r="AN343" s="1691"/>
      <c r="AO343" s="1691"/>
      <c r="AP343" s="1691"/>
      <c r="AQ343" s="1691"/>
      <c r="AR343" s="1691"/>
      <c r="AS343" s="1691"/>
      <c r="AT343" s="1691"/>
      <c r="AU343" s="1691"/>
    </row>
    <row r="344">
      <c r="A344" s="1419"/>
      <c r="B344" s="1697"/>
      <c r="C344" s="1698"/>
      <c r="D344" s="1698"/>
      <c r="E344" s="1698"/>
      <c r="F344" s="1689"/>
      <c r="G344" s="1689"/>
      <c r="H344" s="1689"/>
      <c r="I344" s="1689"/>
      <c r="J344" s="1689"/>
      <c r="K344" s="1689"/>
      <c r="L344" s="1689"/>
      <c r="M344" s="1689"/>
      <c r="N344" s="1689"/>
      <c r="O344" s="1689"/>
      <c r="P344" s="1689"/>
      <c r="Q344" s="1689"/>
      <c r="R344" s="1689"/>
      <c r="S344" s="1689"/>
      <c r="T344" s="1689"/>
      <c r="U344" s="1689"/>
      <c r="V344" s="1689"/>
      <c r="W344" s="1689"/>
      <c r="X344" s="1689"/>
      <c r="Y344" s="1689"/>
      <c r="Z344" s="1689"/>
      <c r="AA344" s="1689"/>
      <c r="AB344" s="1689"/>
      <c r="AC344" s="1689"/>
      <c r="AD344" s="1689"/>
      <c r="AE344" s="1689"/>
      <c r="AF344" s="1689"/>
      <c r="AG344" s="1689"/>
      <c r="AH344" s="1689"/>
      <c r="AI344" s="1689"/>
      <c r="AJ344" s="1689"/>
      <c r="AK344" s="1689"/>
      <c r="AL344" s="1689"/>
      <c r="AM344" s="1689"/>
      <c r="AN344" s="1689"/>
      <c r="AO344" s="1689"/>
      <c r="AP344" s="1689"/>
      <c r="AQ344" s="1689"/>
      <c r="AR344" s="1689"/>
      <c r="AS344" s="1689"/>
      <c r="AT344" s="1689"/>
      <c r="AU344" s="1689"/>
    </row>
    <row r="345">
      <c r="A345" s="1419"/>
      <c r="B345" s="1699"/>
      <c r="C345" s="1700"/>
      <c r="D345" s="1700"/>
      <c r="E345" s="1700"/>
      <c r="F345" s="1691"/>
      <c r="G345" s="1691"/>
      <c r="H345" s="1691"/>
      <c r="I345" s="1691"/>
      <c r="J345" s="1691"/>
      <c r="K345" s="1691"/>
      <c r="L345" s="1691"/>
      <c r="M345" s="1691"/>
      <c r="N345" s="1691"/>
      <c r="O345" s="1691"/>
      <c r="P345" s="1691"/>
      <c r="Q345" s="1691"/>
      <c r="R345" s="1691"/>
      <c r="S345" s="1691"/>
      <c r="T345" s="1691"/>
      <c r="U345" s="1691"/>
      <c r="V345" s="1691"/>
      <c r="W345" s="1691"/>
      <c r="X345" s="1691"/>
      <c r="Y345" s="1691"/>
      <c r="Z345" s="1691"/>
      <c r="AA345" s="1691"/>
      <c r="AB345" s="1691"/>
      <c r="AC345" s="1691"/>
      <c r="AD345" s="1691"/>
      <c r="AE345" s="1691"/>
      <c r="AF345" s="1691"/>
      <c r="AG345" s="1691"/>
      <c r="AH345" s="1691"/>
      <c r="AI345" s="1691"/>
      <c r="AJ345" s="1691"/>
      <c r="AK345" s="1691"/>
      <c r="AL345" s="1691"/>
      <c r="AM345" s="1691"/>
      <c r="AN345" s="1691"/>
      <c r="AO345" s="1691"/>
      <c r="AP345" s="1691"/>
      <c r="AQ345" s="1691"/>
      <c r="AR345" s="1691"/>
      <c r="AS345" s="1691"/>
      <c r="AT345" s="1691"/>
      <c r="AU345" s="1691"/>
    </row>
    <row r="346">
      <c r="A346" s="1419"/>
      <c r="B346" s="1697"/>
      <c r="C346" s="1698"/>
      <c r="D346" s="1698"/>
      <c r="E346" s="1698"/>
      <c r="F346" s="1689"/>
      <c r="G346" s="1689"/>
      <c r="H346" s="1689"/>
      <c r="I346" s="1689"/>
      <c r="J346" s="1689"/>
      <c r="K346" s="1689"/>
      <c r="L346" s="1689"/>
      <c r="M346" s="1689"/>
      <c r="N346" s="1689"/>
      <c r="O346" s="1689"/>
      <c r="P346" s="1689"/>
      <c r="Q346" s="1689"/>
      <c r="R346" s="1689"/>
      <c r="S346" s="1689"/>
      <c r="T346" s="1689"/>
      <c r="U346" s="1689"/>
      <c r="V346" s="1689"/>
      <c r="W346" s="1689"/>
      <c r="X346" s="1689"/>
      <c r="Y346" s="1689"/>
      <c r="Z346" s="1689"/>
      <c r="AA346" s="1689"/>
      <c r="AB346" s="1689"/>
      <c r="AC346" s="1689"/>
      <c r="AD346" s="1689"/>
      <c r="AE346" s="1689"/>
      <c r="AF346" s="1689"/>
      <c r="AG346" s="1689"/>
      <c r="AH346" s="1689"/>
      <c r="AI346" s="1689"/>
      <c r="AJ346" s="1689"/>
      <c r="AK346" s="1689"/>
      <c r="AL346" s="1689"/>
      <c r="AM346" s="1689"/>
      <c r="AN346" s="1689"/>
      <c r="AO346" s="1689"/>
      <c r="AP346" s="1689"/>
      <c r="AQ346" s="1689"/>
      <c r="AR346" s="1689"/>
      <c r="AS346" s="1689"/>
      <c r="AT346" s="1689"/>
      <c r="AU346" s="1689"/>
    </row>
    <row r="347">
      <c r="A347" s="1419"/>
      <c r="B347" s="1699"/>
      <c r="C347" s="1700"/>
      <c r="D347" s="1700"/>
      <c r="E347" s="1700"/>
      <c r="F347" s="1691"/>
      <c r="G347" s="1691"/>
      <c r="H347" s="1691"/>
      <c r="I347" s="1691"/>
      <c r="J347" s="1691"/>
      <c r="K347" s="1691"/>
      <c r="L347" s="1691"/>
      <c r="M347" s="1691"/>
      <c r="N347" s="1691"/>
      <c r="O347" s="1691"/>
      <c r="P347" s="1691"/>
      <c r="Q347" s="1691"/>
      <c r="R347" s="1691"/>
      <c r="S347" s="1691"/>
      <c r="T347" s="1691"/>
      <c r="U347" s="1691"/>
      <c r="V347" s="1691"/>
      <c r="W347" s="1691"/>
      <c r="X347" s="1691"/>
      <c r="Y347" s="1691"/>
      <c r="Z347" s="1691"/>
      <c r="AA347" s="1691"/>
      <c r="AB347" s="1691"/>
      <c r="AC347" s="1691"/>
      <c r="AD347" s="1691"/>
      <c r="AE347" s="1691"/>
      <c r="AF347" s="1691"/>
      <c r="AG347" s="1691"/>
      <c r="AH347" s="1691"/>
      <c r="AI347" s="1691"/>
      <c r="AJ347" s="1691"/>
      <c r="AK347" s="1691"/>
      <c r="AL347" s="1691"/>
      <c r="AM347" s="1691"/>
      <c r="AN347" s="1691"/>
      <c r="AO347" s="1691"/>
      <c r="AP347" s="1691"/>
      <c r="AQ347" s="1691"/>
      <c r="AR347" s="1691"/>
      <c r="AS347" s="1691"/>
      <c r="AT347" s="1691"/>
      <c r="AU347" s="1691"/>
    </row>
    <row r="348">
      <c r="A348" s="1419"/>
      <c r="B348" s="1697"/>
      <c r="C348" s="1698"/>
      <c r="D348" s="1698"/>
      <c r="E348" s="1698"/>
      <c r="F348" s="1689"/>
      <c r="G348" s="1689"/>
      <c r="H348" s="1689"/>
      <c r="I348" s="1689"/>
      <c r="J348" s="1689"/>
      <c r="K348" s="1689"/>
      <c r="L348" s="1689"/>
      <c r="M348" s="1689"/>
      <c r="N348" s="1689"/>
      <c r="O348" s="1689"/>
      <c r="P348" s="1689"/>
      <c r="Q348" s="1689"/>
      <c r="R348" s="1689"/>
      <c r="S348" s="1689"/>
      <c r="T348" s="1689"/>
      <c r="U348" s="1689"/>
      <c r="V348" s="1689"/>
      <c r="W348" s="1689"/>
      <c r="X348" s="1689"/>
      <c r="Y348" s="1689"/>
      <c r="Z348" s="1689"/>
      <c r="AA348" s="1689"/>
      <c r="AB348" s="1689"/>
      <c r="AC348" s="1689"/>
      <c r="AD348" s="1689"/>
      <c r="AE348" s="1689"/>
      <c r="AF348" s="1689"/>
      <c r="AG348" s="1689"/>
      <c r="AH348" s="1689"/>
      <c r="AI348" s="1689"/>
      <c r="AJ348" s="1689"/>
      <c r="AK348" s="1689"/>
      <c r="AL348" s="1689"/>
      <c r="AM348" s="1689"/>
      <c r="AN348" s="1689"/>
      <c r="AO348" s="1689"/>
      <c r="AP348" s="1689"/>
      <c r="AQ348" s="1689"/>
      <c r="AR348" s="1689"/>
      <c r="AS348" s="1689"/>
      <c r="AT348" s="1689"/>
      <c r="AU348" s="1689"/>
    </row>
    <row r="349">
      <c r="A349" s="1419"/>
      <c r="B349" s="1699"/>
      <c r="C349" s="1700"/>
      <c r="D349" s="1700"/>
      <c r="E349" s="1700"/>
      <c r="F349" s="1691"/>
      <c r="G349" s="1691"/>
      <c r="H349" s="1691"/>
      <c r="I349" s="1691"/>
      <c r="J349" s="1691"/>
      <c r="K349" s="1691"/>
      <c r="L349" s="1691"/>
      <c r="M349" s="1691"/>
      <c r="N349" s="1691"/>
      <c r="O349" s="1691"/>
      <c r="P349" s="1691"/>
      <c r="Q349" s="1691"/>
      <c r="R349" s="1691"/>
      <c r="S349" s="1691"/>
      <c r="T349" s="1691"/>
      <c r="U349" s="1691"/>
      <c r="V349" s="1691"/>
      <c r="W349" s="1691"/>
      <c r="X349" s="1691"/>
      <c r="Y349" s="1691"/>
      <c r="Z349" s="1691"/>
      <c r="AA349" s="1691"/>
      <c r="AB349" s="1691"/>
      <c r="AC349" s="1691"/>
      <c r="AD349" s="1691"/>
      <c r="AE349" s="1691"/>
      <c r="AF349" s="1691"/>
      <c r="AG349" s="1691"/>
      <c r="AH349" s="1691"/>
      <c r="AI349" s="1691"/>
      <c r="AJ349" s="1691"/>
      <c r="AK349" s="1691"/>
      <c r="AL349" s="1691"/>
      <c r="AM349" s="1691"/>
      <c r="AN349" s="1691"/>
      <c r="AO349" s="1691"/>
      <c r="AP349" s="1691"/>
      <c r="AQ349" s="1691"/>
      <c r="AR349" s="1691"/>
      <c r="AS349" s="1691"/>
      <c r="AT349" s="1691"/>
      <c r="AU349" s="1691"/>
    </row>
    <row r="350">
      <c r="A350" s="1419"/>
      <c r="B350" s="1697"/>
      <c r="C350" s="1698"/>
      <c r="D350" s="1698"/>
      <c r="E350" s="1698"/>
      <c r="F350" s="1689"/>
      <c r="G350" s="1689"/>
      <c r="H350" s="1689"/>
      <c r="I350" s="1689"/>
      <c r="J350" s="1689"/>
      <c r="K350" s="1689"/>
      <c r="L350" s="1689"/>
      <c r="M350" s="1689"/>
      <c r="N350" s="1689"/>
      <c r="O350" s="1689"/>
      <c r="P350" s="1689"/>
      <c r="Q350" s="1689"/>
      <c r="R350" s="1689"/>
      <c r="S350" s="1689"/>
      <c r="T350" s="1689"/>
      <c r="U350" s="1689"/>
      <c r="V350" s="1689"/>
      <c r="W350" s="1689"/>
      <c r="X350" s="1689"/>
      <c r="Y350" s="1689"/>
      <c r="Z350" s="1689"/>
      <c r="AA350" s="1689"/>
      <c r="AB350" s="1689"/>
      <c r="AC350" s="1689"/>
      <c r="AD350" s="1689"/>
      <c r="AE350" s="1689"/>
      <c r="AF350" s="1689"/>
      <c r="AG350" s="1689"/>
      <c r="AH350" s="1689"/>
      <c r="AI350" s="1689"/>
      <c r="AJ350" s="1689"/>
      <c r="AK350" s="1689"/>
      <c r="AL350" s="1689"/>
      <c r="AM350" s="1689"/>
      <c r="AN350" s="1689"/>
      <c r="AO350" s="1689"/>
      <c r="AP350" s="1689"/>
      <c r="AQ350" s="1689"/>
      <c r="AR350" s="1689"/>
      <c r="AS350" s="1689"/>
      <c r="AT350" s="1689"/>
      <c r="AU350" s="1689"/>
    </row>
    <row r="351">
      <c r="A351" s="1419"/>
      <c r="B351" s="1699"/>
      <c r="C351" s="1700"/>
      <c r="D351" s="1700"/>
      <c r="E351" s="1700"/>
      <c r="F351" s="1691"/>
      <c r="G351" s="1691"/>
      <c r="H351" s="1691"/>
      <c r="I351" s="1691"/>
      <c r="J351" s="1691"/>
      <c r="K351" s="1691"/>
      <c r="L351" s="1691"/>
      <c r="M351" s="1691"/>
      <c r="N351" s="1691"/>
      <c r="O351" s="1691"/>
      <c r="P351" s="1691"/>
      <c r="Q351" s="1691"/>
      <c r="R351" s="1691"/>
      <c r="S351" s="1691"/>
      <c r="T351" s="1691"/>
      <c r="U351" s="1691"/>
      <c r="V351" s="1691"/>
      <c r="W351" s="1691"/>
      <c r="X351" s="1691"/>
      <c r="Y351" s="1691"/>
      <c r="Z351" s="1691"/>
      <c r="AA351" s="1691"/>
      <c r="AB351" s="1691"/>
      <c r="AC351" s="1691"/>
      <c r="AD351" s="1691"/>
      <c r="AE351" s="1691"/>
      <c r="AF351" s="1691"/>
      <c r="AG351" s="1691"/>
      <c r="AH351" s="1691"/>
      <c r="AI351" s="1691"/>
      <c r="AJ351" s="1691"/>
      <c r="AK351" s="1691"/>
      <c r="AL351" s="1691"/>
      <c r="AM351" s="1691"/>
      <c r="AN351" s="1691"/>
      <c r="AO351" s="1691"/>
      <c r="AP351" s="1691"/>
      <c r="AQ351" s="1691"/>
      <c r="AR351" s="1691"/>
      <c r="AS351" s="1691"/>
      <c r="AT351" s="1691"/>
      <c r="AU351" s="1691"/>
    </row>
    <row r="352">
      <c r="A352" s="1419"/>
      <c r="B352" s="1697"/>
      <c r="C352" s="1698"/>
      <c r="D352" s="1698"/>
      <c r="E352" s="1698"/>
      <c r="F352" s="1689"/>
      <c r="G352" s="1689"/>
      <c r="H352" s="1689"/>
      <c r="I352" s="1689"/>
      <c r="J352" s="1689"/>
      <c r="K352" s="1689"/>
      <c r="L352" s="1689"/>
      <c r="M352" s="1689"/>
      <c r="N352" s="1689"/>
      <c r="O352" s="1689"/>
      <c r="P352" s="1689"/>
      <c r="Q352" s="1689"/>
      <c r="R352" s="1689"/>
      <c r="S352" s="1689"/>
      <c r="T352" s="1689"/>
      <c r="U352" s="1689"/>
      <c r="V352" s="1689"/>
      <c r="W352" s="1689"/>
      <c r="X352" s="1689"/>
      <c r="Y352" s="1689"/>
      <c r="Z352" s="1689"/>
      <c r="AA352" s="1689"/>
      <c r="AB352" s="1689"/>
      <c r="AC352" s="1689"/>
      <c r="AD352" s="1689"/>
      <c r="AE352" s="1689"/>
      <c r="AF352" s="1689"/>
      <c r="AG352" s="1689"/>
      <c r="AH352" s="1689"/>
      <c r="AI352" s="1689"/>
      <c r="AJ352" s="1689"/>
      <c r="AK352" s="1689"/>
      <c r="AL352" s="1689"/>
      <c r="AM352" s="1689"/>
      <c r="AN352" s="1689"/>
      <c r="AO352" s="1689"/>
      <c r="AP352" s="1689"/>
      <c r="AQ352" s="1689"/>
      <c r="AR352" s="1689"/>
      <c r="AS352" s="1689"/>
      <c r="AT352" s="1689"/>
      <c r="AU352" s="1689"/>
    </row>
    <row r="353">
      <c r="A353" s="1419"/>
      <c r="B353" s="1699"/>
      <c r="C353" s="1700"/>
      <c r="D353" s="1700"/>
      <c r="E353" s="1700"/>
      <c r="F353" s="1691"/>
      <c r="G353" s="1691"/>
      <c r="H353" s="1691"/>
      <c r="I353" s="1691"/>
      <c r="J353" s="1691"/>
      <c r="K353" s="1691"/>
      <c r="L353" s="1691"/>
      <c r="M353" s="1691"/>
      <c r="N353" s="1691"/>
      <c r="O353" s="1691"/>
      <c r="P353" s="1691"/>
      <c r="Q353" s="1691"/>
      <c r="R353" s="1691"/>
      <c r="S353" s="1691"/>
      <c r="T353" s="1691"/>
      <c r="U353" s="1691"/>
      <c r="V353" s="1691"/>
      <c r="W353" s="1691"/>
      <c r="X353" s="1691"/>
      <c r="Y353" s="1691"/>
      <c r="Z353" s="1691"/>
      <c r="AA353" s="1691"/>
      <c r="AB353" s="1691"/>
      <c r="AC353" s="1691"/>
      <c r="AD353" s="1691"/>
      <c r="AE353" s="1691"/>
      <c r="AF353" s="1691"/>
      <c r="AG353" s="1691"/>
      <c r="AH353" s="1691"/>
      <c r="AI353" s="1691"/>
      <c r="AJ353" s="1691"/>
      <c r="AK353" s="1691"/>
      <c r="AL353" s="1691"/>
      <c r="AM353" s="1691"/>
      <c r="AN353" s="1691"/>
      <c r="AO353" s="1691"/>
      <c r="AP353" s="1691"/>
      <c r="AQ353" s="1691"/>
      <c r="AR353" s="1691"/>
      <c r="AS353" s="1691"/>
      <c r="AT353" s="1691"/>
      <c r="AU353" s="1691"/>
    </row>
    <row r="354">
      <c r="A354" s="1419"/>
      <c r="B354" s="1697"/>
      <c r="C354" s="1698"/>
      <c r="D354" s="1698"/>
      <c r="E354" s="1698"/>
      <c r="F354" s="1689"/>
      <c r="G354" s="1689"/>
      <c r="H354" s="1689"/>
      <c r="I354" s="1689"/>
      <c r="J354" s="1689"/>
      <c r="K354" s="1689"/>
      <c r="L354" s="1689"/>
      <c r="M354" s="1689"/>
      <c r="N354" s="1689"/>
      <c r="O354" s="1689"/>
      <c r="P354" s="1689"/>
      <c r="Q354" s="1689"/>
      <c r="R354" s="1689"/>
      <c r="S354" s="1689"/>
      <c r="T354" s="1689"/>
      <c r="U354" s="1689"/>
      <c r="V354" s="1689"/>
      <c r="W354" s="1689"/>
      <c r="X354" s="1689"/>
      <c r="Y354" s="1689"/>
      <c r="Z354" s="1689"/>
      <c r="AA354" s="1689"/>
      <c r="AB354" s="1689"/>
      <c r="AC354" s="1689"/>
      <c r="AD354" s="1689"/>
      <c r="AE354" s="1689"/>
      <c r="AF354" s="1689"/>
      <c r="AG354" s="1689"/>
      <c r="AH354" s="1689"/>
      <c r="AI354" s="1689"/>
      <c r="AJ354" s="1689"/>
      <c r="AK354" s="1689"/>
      <c r="AL354" s="1689"/>
      <c r="AM354" s="1689"/>
      <c r="AN354" s="1689"/>
      <c r="AO354" s="1689"/>
      <c r="AP354" s="1689"/>
      <c r="AQ354" s="1689"/>
      <c r="AR354" s="1689"/>
      <c r="AS354" s="1689"/>
      <c r="AT354" s="1689"/>
      <c r="AU354" s="1689"/>
    </row>
    <row r="355">
      <c r="A355" s="1419"/>
      <c r="B355" s="1699"/>
      <c r="C355" s="1700"/>
      <c r="D355" s="1700"/>
      <c r="E355" s="1700"/>
      <c r="F355" s="1691"/>
      <c r="G355" s="1691"/>
      <c r="H355" s="1691"/>
      <c r="I355" s="1691"/>
      <c r="J355" s="1691"/>
      <c r="K355" s="1691"/>
      <c r="L355" s="1691"/>
      <c r="M355" s="1691"/>
      <c r="N355" s="1691"/>
      <c r="O355" s="1691"/>
      <c r="P355" s="1691"/>
      <c r="Q355" s="1691"/>
      <c r="R355" s="1691"/>
      <c r="S355" s="1691"/>
      <c r="T355" s="1691"/>
      <c r="U355" s="1691"/>
      <c r="V355" s="1691"/>
      <c r="W355" s="1691"/>
      <c r="X355" s="1691"/>
      <c r="Y355" s="1691"/>
      <c r="Z355" s="1691"/>
      <c r="AA355" s="1691"/>
      <c r="AB355" s="1691"/>
      <c r="AC355" s="1691"/>
      <c r="AD355" s="1691"/>
      <c r="AE355" s="1691"/>
      <c r="AF355" s="1691"/>
      <c r="AG355" s="1691"/>
      <c r="AH355" s="1691"/>
      <c r="AI355" s="1691"/>
      <c r="AJ355" s="1691"/>
      <c r="AK355" s="1691"/>
      <c r="AL355" s="1691"/>
      <c r="AM355" s="1691"/>
      <c r="AN355" s="1691"/>
      <c r="AO355" s="1691"/>
      <c r="AP355" s="1691"/>
      <c r="AQ355" s="1691"/>
      <c r="AR355" s="1691"/>
      <c r="AS355" s="1691"/>
      <c r="AT355" s="1691"/>
      <c r="AU355" s="1691"/>
    </row>
    <row r="356">
      <c r="A356" s="1419"/>
      <c r="B356" s="1697"/>
      <c r="C356" s="1698"/>
      <c r="D356" s="1698"/>
      <c r="E356" s="1698"/>
      <c r="F356" s="1689"/>
      <c r="G356" s="1689"/>
      <c r="H356" s="1689"/>
      <c r="I356" s="1689"/>
      <c r="J356" s="1689"/>
      <c r="K356" s="1689"/>
      <c r="L356" s="1689"/>
      <c r="M356" s="1689"/>
      <c r="N356" s="1689"/>
      <c r="O356" s="1689"/>
      <c r="P356" s="1689"/>
      <c r="Q356" s="1689"/>
      <c r="R356" s="1689"/>
      <c r="S356" s="1689"/>
      <c r="T356" s="1689"/>
      <c r="U356" s="1689"/>
      <c r="V356" s="1689"/>
      <c r="W356" s="1689"/>
      <c r="X356" s="1689"/>
      <c r="Y356" s="1689"/>
      <c r="Z356" s="1689"/>
      <c r="AA356" s="1689"/>
      <c r="AB356" s="1689"/>
      <c r="AC356" s="1689"/>
      <c r="AD356" s="1689"/>
      <c r="AE356" s="1689"/>
      <c r="AF356" s="1689"/>
      <c r="AG356" s="1689"/>
      <c r="AH356" s="1689"/>
      <c r="AI356" s="1689"/>
      <c r="AJ356" s="1689"/>
      <c r="AK356" s="1689"/>
      <c r="AL356" s="1689"/>
      <c r="AM356" s="1689"/>
      <c r="AN356" s="1689"/>
      <c r="AO356" s="1689"/>
      <c r="AP356" s="1689"/>
      <c r="AQ356" s="1689"/>
      <c r="AR356" s="1689"/>
      <c r="AS356" s="1689"/>
      <c r="AT356" s="1689"/>
      <c r="AU356" s="1689"/>
    </row>
    <row r="357">
      <c r="A357" s="1419"/>
      <c r="B357" s="1699"/>
      <c r="C357" s="1700"/>
      <c r="D357" s="1700"/>
      <c r="E357" s="1700"/>
      <c r="F357" s="1691"/>
      <c r="G357" s="1691"/>
      <c r="H357" s="1691"/>
      <c r="I357" s="1691"/>
      <c r="J357" s="1691"/>
      <c r="K357" s="1691"/>
      <c r="L357" s="1691"/>
      <c r="M357" s="1691"/>
      <c r="N357" s="1691"/>
      <c r="O357" s="1691"/>
      <c r="P357" s="1691"/>
      <c r="Q357" s="1691"/>
      <c r="R357" s="1691"/>
      <c r="S357" s="1691"/>
      <c r="T357" s="1691"/>
      <c r="U357" s="1691"/>
      <c r="V357" s="1691"/>
      <c r="W357" s="1691"/>
      <c r="X357" s="1691"/>
      <c r="Y357" s="1691"/>
      <c r="Z357" s="1691"/>
      <c r="AA357" s="1691"/>
      <c r="AB357" s="1691"/>
      <c r="AC357" s="1691"/>
      <c r="AD357" s="1691"/>
      <c r="AE357" s="1691"/>
      <c r="AF357" s="1691"/>
      <c r="AG357" s="1691"/>
      <c r="AH357" s="1691"/>
      <c r="AI357" s="1691"/>
      <c r="AJ357" s="1691"/>
      <c r="AK357" s="1691"/>
      <c r="AL357" s="1691"/>
      <c r="AM357" s="1691"/>
      <c r="AN357" s="1691"/>
      <c r="AO357" s="1691"/>
      <c r="AP357" s="1691"/>
      <c r="AQ357" s="1691"/>
      <c r="AR357" s="1691"/>
      <c r="AS357" s="1691"/>
      <c r="AT357" s="1691"/>
      <c r="AU357" s="1691"/>
    </row>
    <row r="358">
      <c r="A358" s="1419"/>
      <c r="B358" s="1697"/>
      <c r="C358" s="1698"/>
      <c r="D358" s="1698"/>
      <c r="E358" s="1698"/>
      <c r="F358" s="1689"/>
      <c r="G358" s="1689"/>
      <c r="H358" s="1689"/>
      <c r="I358" s="1689"/>
      <c r="J358" s="1689"/>
      <c r="K358" s="1689"/>
      <c r="L358" s="1689"/>
      <c r="M358" s="1689"/>
      <c r="N358" s="1689"/>
      <c r="O358" s="1689"/>
      <c r="P358" s="1689"/>
      <c r="Q358" s="1689"/>
      <c r="R358" s="1689"/>
      <c r="S358" s="1689"/>
      <c r="T358" s="1689"/>
      <c r="U358" s="1689"/>
      <c r="V358" s="1689"/>
      <c r="W358" s="1689"/>
      <c r="X358" s="1689"/>
      <c r="Y358" s="1689"/>
      <c r="Z358" s="1689"/>
      <c r="AA358" s="1689"/>
      <c r="AB358" s="1689"/>
      <c r="AC358" s="1689"/>
      <c r="AD358" s="1689"/>
      <c r="AE358" s="1689"/>
      <c r="AF358" s="1689"/>
      <c r="AG358" s="1689"/>
      <c r="AH358" s="1689"/>
      <c r="AI358" s="1689"/>
      <c r="AJ358" s="1689"/>
      <c r="AK358" s="1689"/>
      <c r="AL358" s="1689"/>
      <c r="AM358" s="1689"/>
      <c r="AN358" s="1689"/>
      <c r="AO358" s="1689"/>
      <c r="AP358" s="1689"/>
      <c r="AQ358" s="1689"/>
      <c r="AR358" s="1689"/>
      <c r="AS358" s="1689"/>
      <c r="AT358" s="1689"/>
      <c r="AU358" s="1689"/>
    </row>
    <row r="359">
      <c r="A359" s="1419"/>
      <c r="B359" s="1699"/>
      <c r="C359" s="1700"/>
      <c r="D359" s="1700"/>
      <c r="E359" s="1700"/>
      <c r="F359" s="1691"/>
      <c r="G359" s="1691"/>
      <c r="H359" s="1691"/>
      <c r="I359" s="1691"/>
      <c r="J359" s="1691"/>
      <c r="K359" s="1691"/>
      <c r="L359" s="1691"/>
      <c r="M359" s="1691"/>
      <c r="N359" s="1691"/>
      <c r="O359" s="1691"/>
      <c r="P359" s="1691"/>
      <c r="Q359" s="1691"/>
      <c r="R359" s="1691"/>
      <c r="S359" s="1691"/>
      <c r="T359" s="1691"/>
      <c r="U359" s="1691"/>
      <c r="V359" s="1691"/>
      <c r="W359" s="1691"/>
      <c r="X359" s="1691"/>
      <c r="Y359" s="1691"/>
      <c r="Z359" s="1691"/>
      <c r="AA359" s="1691"/>
      <c r="AB359" s="1691"/>
      <c r="AC359" s="1691"/>
      <c r="AD359" s="1691"/>
      <c r="AE359" s="1691"/>
      <c r="AF359" s="1691"/>
      <c r="AG359" s="1691"/>
      <c r="AH359" s="1691"/>
      <c r="AI359" s="1691"/>
      <c r="AJ359" s="1691"/>
      <c r="AK359" s="1691"/>
      <c r="AL359" s="1691"/>
      <c r="AM359" s="1691"/>
      <c r="AN359" s="1691"/>
      <c r="AO359" s="1691"/>
      <c r="AP359" s="1691"/>
      <c r="AQ359" s="1691"/>
      <c r="AR359" s="1691"/>
      <c r="AS359" s="1691"/>
      <c r="AT359" s="1691"/>
      <c r="AU359" s="1691"/>
    </row>
    <row r="360">
      <c r="A360" s="1419"/>
      <c r="B360" s="1697"/>
      <c r="C360" s="1698"/>
      <c r="D360" s="1698"/>
      <c r="E360" s="1698"/>
      <c r="F360" s="1689"/>
      <c r="G360" s="1689"/>
      <c r="H360" s="1689"/>
      <c r="I360" s="1689"/>
      <c r="J360" s="1689"/>
      <c r="K360" s="1689"/>
      <c r="L360" s="1689"/>
      <c r="M360" s="1689"/>
      <c r="N360" s="1689"/>
      <c r="O360" s="1689"/>
      <c r="P360" s="1689"/>
      <c r="Q360" s="1689"/>
      <c r="R360" s="1689"/>
      <c r="S360" s="1689"/>
      <c r="T360" s="1689"/>
      <c r="U360" s="1689"/>
      <c r="V360" s="1689"/>
      <c r="W360" s="1689"/>
      <c r="X360" s="1689"/>
      <c r="Y360" s="1689"/>
      <c r="Z360" s="1689"/>
      <c r="AA360" s="1689"/>
      <c r="AB360" s="1689"/>
      <c r="AC360" s="1689"/>
      <c r="AD360" s="1689"/>
      <c r="AE360" s="1689"/>
      <c r="AF360" s="1689"/>
      <c r="AG360" s="1689"/>
      <c r="AH360" s="1689"/>
      <c r="AI360" s="1689"/>
      <c r="AJ360" s="1689"/>
      <c r="AK360" s="1689"/>
      <c r="AL360" s="1689"/>
      <c r="AM360" s="1689"/>
      <c r="AN360" s="1689"/>
      <c r="AO360" s="1689"/>
      <c r="AP360" s="1689"/>
      <c r="AQ360" s="1689"/>
      <c r="AR360" s="1689"/>
      <c r="AS360" s="1689"/>
      <c r="AT360" s="1689"/>
      <c r="AU360" s="1689"/>
    </row>
    <row r="361">
      <c r="A361" s="1419"/>
      <c r="B361" s="1699"/>
      <c r="C361" s="1700"/>
      <c r="D361" s="1700"/>
      <c r="E361" s="1700"/>
      <c r="F361" s="1691"/>
      <c r="G361" s="1691"/>
      <c r="H361" s="1691"/>
      <c r="I361" s="1691"/>
      <c r="J361" s="1691"/>
      <c r="K361" s="1691"/>
      <c r="L361" s="1691"/>
      <c r="M361" s="1691"/>
      <c r="N361" s="1691"/>
      <c r="O361" s="1691"/>
      <c r="P361" s="1691"/>
      <c r="Q361" s="1691"/>
      <c r="R361" s="1691"/>
      <c r="S361" s="1691"/>
      <c r="T361" s="1691"/>
      <c r="U361" s="1691"/>
      <c r="V361" s="1691"/>
      <c r="W361" s="1691"/>
      <c r="X361" s="1691"/>
      <c r="Y361" s="1691"/>
      <c r="Z361" s="1691"/>
      <c r="AA361" s="1691"/>
      <c r="AB361" s="1691"/>
      <c r="AC361" s="1691"/>
      <c r="AD361" s="1691"/>
      <c r="AE361" s="1691"/>
      <c r="AF361" s="1691"/>
      <c r="AG361" s="1691"/>
      <c r="AH361" s="1691"/>
      <c r="AI361" s="1691"/>
      <c r="AJ361" s="1691"/>
      <c r="AK361" s="1691"/>
      <c r="AL361" s="1691"/>
      <c r="AM361" s="1691"/>
      <c r="AN361" s="1691"/>
      <c r="AO361" s="1691"/>
      <c r="AP361" s="1691"/>
      <c r="AQ361" s="1691"/>
      <c r="AR361" s="1691"/>
      <c r="AS361" s="1691"/>
      <c r="AT361" s="1691"/>
      <c r="AU361" s="1691"/>
    </row>
    <row r="362">
      <c r="A362" s="1419"/>
      <c r="B362" s="1697"/>
      <c r="C362" s="1698"/>
      <c r="D362" s="1698"/>
      <c r="E362" s="1698"/>
      <c r="F362" s="1689"/>
      <c r="G362" s="1689"/>
      <c r="H362" s="1689"/>
      <c r="I362" s="1689"/>
      <c r="J362" s="1689"/>
      <c r="K362" s="1689"/>
      <c r="L362" s="1689"/>
      <c r="M362" s="1689"/>
      <c r="N362" s="1689"/>
      <c r="O362" s="1689"/>
      <c r="P362" s="1689"/>
      <c r="Q362" s="1689"/>
      <c r="R362" s="1689"/>
      <c r="S362" s="1689"/>
      <c r="T362" s="1689"/>
      <c r="U362" s="1689"/>
      <c r="V362" s="1689"/>
      <c r="W362" s="1689"/>
      <c r="X362" s="1689"/>
      <c r="Y362" s="1689"/>
      <c r="Z362" s="1689"/>
      <c r="AA362" s="1689"/>
      <c r="AB362" s="1689"/>
      <c r="AC362" s="1689"/>
      <c r="AD362" s="1689"/>
      <c r="AE362" s="1689"/>
      <c r="AF362" s="1689"/>
      <c r="AG362" s="1689"/>
      <c r="AH362" s="1689"/>
      <c r="AI362" s="1689"/>
      <c r="AJ362" s="1689"/>
      <c r="AK362" s="1689"/>
      <c r="AL362" s="1689"/>
      <c r="AM362" s="1689"/>
      <c r="AN362" s="1689"/>
      <c r="AO362" s="1689"/>
      <c r="AP362" s="1689"/>
      <c r="AQ362" s="1689"/>
      <c r="AR362" s="1689"/>
      <c r="AS362" s="1689"/>
      <c r="AT362" s="1689"/>
      <c r="AU362" s="1689"/>
    </row>
    <row r="363">
      <c r="A363" s="1419"/>
      <c r="B363" s="1699"/>
      <c r="C363" s="1700"/>
      <c r="D363" s="1700"/>
      <c r="E363" s="1700"/>
      <c r="F363" s="1691"/>
      <c r="G363" s="1691"/>
      <c r="H363" s="1691"/>
      <c r="I363" s="1691"/>
      <c r="J363" s="1691"/>
      <c r="K363" s="1691"/>
      <c r="L363" s="1691"/>
      <c r="M363" s="1691"/>
      <c r="N363" s="1691"/>
      <c r="O363" s="1691"/>
      <c r="P363" s="1691"/>
      <c r="Q363" s="1691"/>
      <c r="R363" s="1691"/>
      <c r="S363" s="1691"/>
      <c r="T363" s="1691"/>
      <c r="U363" s="1691"/>
      <c r="V363" s="1691"/>
      <c r="W363" s="1691"/>
      <c r="X363" s="1691"/>
      <c r="Y363" s="1691"/>
      <c r="Z363" s="1691"/>
      <c r="AA363" s="1691"/>
      <c r="AB363" s="1691"/>
      <c r="AC363" s="1691"/>
      <c r="AD363" s="1691"/>
      <c r="AE363" s="1691"/>
      <c r="AF363" s="1691"/>
      <c r="AG363" s="1691"/>
      <c r="AH363" s="1691"/>
      <c r="AI363" s="1691"/>
      <c r="AJ363" s="1691"/>
      <c r="AK363" s="1691"/>
      <c r="AL363" s="1691"/>
      <c r="AM363" s="1691"/>
      <c r="AN363" s="1691"/>
      <c r="AO363" s="1691"/>
      <c r="AP363" s="1691"/>
      <c r="AQ363" s="1691"/>
      <c r="AR363" s="1691"/>
      <c r="AS363" s="1691"/>
      <c r="AT363" s="1691"/>
      <c r="AU363" s="1691"/>
    </row>
    <row r="364">
      <c r="A364" s="1419"/>
      <c r="B364" s="1697"/>
      <c r="C364" s="1698"/>
      <c r="D364" s="1698"/>
      <c r="E364" s="1698"/>
      <c r="F364" s="1689"/>
      <c r="G364" s="1689"/>
      <c r="H364" s="1689"/>
      <c r="I364" s="1689"/>
      <c r="J364" s="1689"/>
      <c r="K364" s="1689"/>
      <c r="L364" s="1689"/>
      <c r="M364" s="1689"/>
      <c r="N364" s="1689"/>
      <c r="O364" s="1689"/>
      <c r="P364" s="1689"/>
      <c r="Q364" s="1689"/>
      <c r="R364" s="1689"/>
      <c r="S364" s="1689"/>
      <c r="T364" s="1689"/>
      <c r="U364" s="1689"/>
      <c r="V364" s="1689"/>
      <c r="W364" s="1689"/>
      <c r="X364" s="1689"/>
      <c r="Y364" s="1689"/>
      <c r="Z364" s="1689"/>
      <c r="AA364" s="1689"/>
      <c r="AB364" s="1689"/>
      <c r="AC364" s="1689"/>
      <c r="AD364" s="1689"/>
      <c r="AE364" s="1689"/>
      <c r="AF364" s="1689"/>
      <c r="AG364" s="1689"/>
      <c r="AH364" s="1689"/>
      <c r="AI364" s="1689"/>
      <c r="AJ364" s="1689"/>
      <c r="AK364" s="1689"/>
      <c r="AL364" s="1689"/>
      <c r="AM364" s="1689"/>
      <c r="AN364" s="1689"/>
      <c r="AO364" s="1689"/>
      <c r="AP364" s="1689"/>
      <c r="AQ364" s="1689"/>
      <c r="AR364" s="1689"/>
      <c r="AS364" s="1689"/>
      <c r="AT364" s="1689"/>
      <c r="AU364" s="1689"/>
    </row>
    <row r="365">
      <c r="A365" s="1419"/>
      <c r="B365" s="1699"/>
      <c r="C365" s="1700"/>
      <c r="D365" s="1700"/>
      <c r="E365" s="1700"/>
      <c r="F365" s="1691"/>
      <c r="G365" s="1691"/>
      <c r="H365" s="1691"/>
      <c r="I365" s="1691"/>
      <c r="J365" s="1691"/>
      <c r="K365" s="1691"/>
      <c r="L365" s="1691"/>
      <c r="M365" s="1691"/>
      <c r="N365" s="1691"/>
      <c r="O365" s="1691"/>
      <c r="P365" s="1691"/>
      <c r="Q365" s="1691"/>
      <c r="R365" s="1691"/>
      <c r="S365" s="1691"/>
      <c r="T365" s="1691"/>
      <c r="U365" s="1691"/>
      <c r="V365" s="1691"/>
      <c r="W365" s="1691"/>
      <c r="X365" s="1691"/>
      <c r="Y365" s="1691"/>
      <c r="Z365" s="1691"/>
      <c r="AA365" s="1691"/>
      <c r="AB365" s="1691"/>
      <c r="AC365" s="1691"/>
      <c r="AD365" s="1691"/>
      <c r="AE365" s="1691"/>
      <c r="AF365" s="1691"/>
      <c r="AG365" s="1691"/>
      <c r="AH365" s="1691"/>
      <c r="AI365" s="1691"/>
      <c r="AJ365" s="1691"/>
      <c r="AK365" s="1691"/>
      <c r="AL365" s="1691"/>
      <c r="AM365" s="1691"/>
      <c r="AN365" s="1691"/>
      <c r="AO365" s="1691"/>
      <c r="AP365" s="1691"/>
      <c r="AQ365" s="1691"/>
      <c r="AR365" s="1691"/>
      <c r="AS365" s="1691"/>
      <c r="AT365" s="1691"/>
      <c r="AU365" s="1691"/>
    </row>
    <row r="366">
      <c r="A366" s="1419"/>
      <c r="B366" s="1697"/>
      <c r="C366" s="1698"/>
      <c r="D366" s="1698"/>
      <c r="E366" s="1698"/>
      <c r="F366" s="1689"/>
      <c r="G366" s="1689"/>
      <c r="H366" s="1689"/>
      <c r="I366" s="1689"/>
      <c r="J366" s="1689"/>
      <c r="K366" s="1689"/>
      <c r="L366" s="1689"/>
      <c r="M366" s="1689"/>
      <c r="N366" s="1689"/>
      <c r="O366" s="1689"/>
      <c r="P366" s="1689"/>
      <c r="Q366" s="1689"/>
      <c r="R366" s="1689"/>
      <c r="S366" s="1689"/>
      <c r="T366" s="1689"/>
      <c r="U366" s="1689"/>
      <c r="V366" s="1689"/>
      <c r="W366" s="1689"/>
      <c r="X366" s="1689"/>
      <c r="Y366" s="1689"/>
      <c r="Z366" s="1689"/>
      <c r="AA366" s="1689"/>
      <c r="AB366" s="1689"/>
      <c r="AC366" s="1689"/>
      <c r="AD366" s="1689"/>
      <c r="AE366" s="1689"/>
      <c r="AF366" s="1689"/>
      <c r="AG366" s="1689"/>
      <c r="AH366" s="1689"/>
      <c r="AI366" s="1689"/>
      <c r="AJ366" s="1689"/>
      <c r="AK366" s="1689"/>
      <c r="AL366" s="1689"/>
      <c r="AM366" s="1689"/>
      <c r="AN366" s="1689"/>
      <c r="AO366" s="1689"/>
      <c r="AP366" s="1689"/>
      <c r="AQ366" s="1689"/>
      <c r="AR366" s="1689"/>
      <c r="AS366" s="1689"/>
      <c r="AT366" s="1689"/>
      <c r="AU366" s="1689"/>
    </row>
    <row r="367">
      <c r="A367" s="1419"/>
      <c r="B367" s="1699"/>
      <c r="C367" s="1700"/>
      <c r="D367" s="1700"/>
      <c r="E367" s="1700"/>
      <c r="F367" s="1691"/>
      <c r="G367" s="1691"/>
      <c r="H367" s="1691"/>
      <c r="I367" s="1691"/>
      <c r="J367" s="1691"/>
      <c r="K367" s="1691"/>
      <c r="L367" s="1691"/>
      <c r="M367" s="1691"/>
      <c r="N367" s="1691"/>
      <c r="O367" s="1691"/>
      <c r="P367" s="1691"/>
      <c r="Q367" s="1691"/>
      <c r="R367" s="1691"/>
      <c r="S367" s="1691"/>
      <c r="T367" s="1691"/>
      <c r="U367" s="1691"/>
      <c r="V367" s="1691"/>
      <c r="W367" s="1691"/>
      <c r="X367" s="1691"/>
      <c r="Y367" s="1691"/>
      <c r="Z367" s="1691"/>
      <c r="AA367" s="1691"/>
      <c r="AB367" s="1691"/>
      <c r="AC367" s="1691"/>
      <c r="AD367" s="1691"/>
      <c r="AE367" s="1691"/>
      <c r="AF367" s="1691"/>
      <c r="AG367" s="1691"/>
      <c r="AH367" s="1691"/>
      <c r="AI367" s="1691"/>
      <c r="AJ367" s="1691"/>
      <c r="AK367" s="1691"/>
      <c r="AL367" s="1691"/>
      <c r="AM367" s="1691"/>
      <c r="AN367" s="1691"/>
      <c r="AO367" s="1691"/>
      <c r="AP367" s="1691"/>
      <c r="AQ367" s="1691"/>
      <c r="AR367" s="1691"/>
      <c r="AS367" s="1691"/>
      <c r="AT367" s="1691"/>
      <c r="AU367" s="1691"/>
    </row>
    <row r="368">
      <c r="A368" s="1419"/>
      <c r="B368" s="1697"/>
      <c r="C368" s="1698"/>
      <c r="D368" s="1698"/>
      <c r="E368" s="1698"/>
      <c r="F368" s="1689"/>
      <c r="G368" s="1689"/>
      <c r="H368" s="1689"/>
      <c r="I368" s="1689"/>
      <c r="J368" s="1689"/>
      <c r="K368" s="1689"/>
      <c r="L368" s="1689"/>
      <c r="M368" s="1689"/>
      <c r="N368" s="1689"/>
      <c r="O368" s="1689"/>
      <c r="P368" s="1689"/>
      <c r="Q368" s="1689"/>
      <c r="R368" s="1689"/>
      <c r="S368" s="1689"/>
      <c r="T368" s="1689"/>
      <c r="U368" s="1689"/>
      <c r="V368" s="1689"/>
      <c r="W368" s="1689"/>
      <c r="X368" s="1689"/>
      <c r="Y368" s="1689"/>
      <c r="Z368" s="1689"/>
      <c r="AA368" s="1689"/>
      <c r="AB368" s="1689"/>
      <c r="AC368" s="1689"/>
      <c r="AD368" s="1689"/>
      <c r="AE368" s="1689"/>
      <c r="AF368" s="1689"/>
      <c r="AG368" s="1689"/>
      <c r="AH368" s="1689"/>
      <c r="AI368" s="1689"/>
      <c r="AJ368" s="1689"/>
      <c r="AK368" s="1689"/>
      <c r="AL368" s="1689"/>
      <c r="AM368" s="1689"/>
      <c r="AN368" s="1689"/>
      <c r="AO368" s="1689"/>
      <c r="AP368" s="1689"/>
      <c r="AQ368" s="1689"/>
      <c r="AR368" s="1689"/>
      <c r="AS368" s="1689"/>
      <c r="AT368" s="1689"/>
      <c r="AU368" s="1689"/>
    </row>
    <row r="369">
      <c r="A369" s="1419"/>
      <c r="B369" s="1699"/>
      <c r="C369" s="1700"/>
      <c r="D369" s="1700"/>
      <c r="E369" s="1700"/>
      <c r="F369" s="1691"/>
      <c r="G369" s="1691"/>
      <c r="H369" s="1691"/>
      <c r="I369" s="1691"/>
      <c r="J369" s="1691"/>
      <c r="K369" s="1691"/>
      <c r="L369" s="1691"/>
      <c r="M369" s="1691"/>
      <c r="N369" s="1691"/>
      <c r="O369" s="1691"/>
      <c r="P369" s="1691"/>
      <c r="Q369" s="1691"/>
      <c r="R369" s="1691"/>
      <c r="S369" s="1691"/>
      <c r="T369" s="1691"/>
      <c r="U369" s="1691"/>
      <c r="V369" s="1691"/>
      <c r="W369" s="1691"/>
      <c r="X369" s="1691"/>
      <c r="Y369" s="1691"/>
      <c r="Z369" s="1691"/>
      <c r="AA369" s="1691"/>
      <c r="AB369" s="1691"/>
      <c r="AC369" s="1691"/>
      <c r="AD369" s="1691"/>
      <c r="AE369" s="1691"/>
      <c r="AF369" s="1691"/>
      <c r="AG369" s="1691"/>
      <c r="AH369" s="1691"/>
      <c r="AI369" s="1691"/>
      <c r="AJ369" s="1691"/>
      <c r="AK369" s="1691"/>
      <c r="AL369" s="1691"/>
      <c r="AM369" s="1691"/>
      <c r="AN369" s="1691"/>
      <c r="AO369" s="1691"/>
      <c r="AP369" s="1691"/>
      <c r="AQ369" s="1691"/>
      <c r="AR369" s="1691"/>
      <c r="AS369" s="1691"/>
      <c r="AT369" s="1691"/>
      <c r="AU369" s="1691"/>
    </row>
    <row r="370">
      <c r="A370" s="1419"/>
      <c r="B370" s="1697"/>
      <c r="C370" s="1698"/>
      <c r="D370" s="1698"/>
      <c r="E370" s="1698"/>
      <c r="F370" s="1689"/>
      <c r="G370" s="1689"/>
      <c r="H370" s="1689"/>
      <c r="I370" s="1689"/>
      <c r="J370" s="1689"/>
      <c r="K370" s="1689"/>
      <c r="L370" s="1689"/>
      <c r="M370" s="1689"/>
      <c r="N370" s="1689"/>
      <c r="O370" s="1689"/>
      <c r="P370" s="1689"/>
      <c r="Q370" s="1689"/>
      <c r="R370" s="1689"/>
      <c r="S370" s="1689"/>
      <c r="T370" s="1689"/>
      <c r="U370" s="1689"/>
      <c r="V370" s="1689"/>
      <c r="W370" s="1689"/>
      <c r="X370" s="1689"/>
      <c r="Y370" s="1689"/>
      <c r="Z370" s="1689"/>
      <c r="AA370" s="1689"/>
      <c r="AB370" s="1689"/>
      <c r="AC370" s="1689"/>
      <c r="AD370" s="1689"/>
      <c r="AE370" s="1689"/>
      <c r="AF370" s="1689"/>
      <c r="AG370" s="1689"/>
      <c r="AH370" s="1689"/>
      <c r="AI370" s="1689"/>
      <c r="AJ370" s="1689"/>
      <c r="AK370" s="1689"/>
      <c r="AL370" s="1689"/>
      <c r="AM370" s="1689"/>
      <c r="AN370" s="1689"/>
      <c r="AO370" s="1689"/>
      <c r="AP370" s="1689"/>
      <c r="AQ370" s="1689"/>
      <c r="AR370" s="1689"/>
      <c r="AS370" s="1689"/>
      <c r="AT370" s="1689"/>
      <c r="AU370" s="1689"/>
    </row>
    <row r="371">
      <c r="A371" s="1419"/>
      <c r="B371" s="1699"/>
      <c r="C371" s="1700"/>
      <c r="D371" s="1700"/>
      <c r="E371" s="1700"/>
      <c r="F371" s="1691"/>
      <c r="G371" s="1691"/>
      <c r="H371" s="1691"/>
      <c r="I371" s="1691"/>
      <c r="J371" s="1691"/>
      <c r="K371" s="1691"/>
      <c r="L371" s="1691"/>
      <c r="M371" s="1691"/>
      <c r="N371" s="1691"/>
      <c r="O371" s="1691"/>
      <c r="P371" s="1691"/>
      <c r="Q371" s="1691"/>
      <c r="R371" s="1691"/>
      <c r="S371" s="1691"/>
      <c r="T371" s="1691"/>
      <c r="U371" s="1691"/>
      <c r="V371" s="1691"/>
      <c r="W371" s="1691"/>
      <c r="X371" s="1691"/>
      <c r="Y371" s="1691"/>
      <c r="Z371" s="1691"/>
      <c r="AA371" s="1691"/>
      <c r="AB371" s="1691"/>
      <c r="AC371" s="1691"/>
      <c r="AD371" s="1691"/>
      <c r="AE371" s="1691"/>
      <c r="AF371" s="1691"/>
      <c r="AG371" s="1691"/>
      <c r="AH371" s="1691"/>
      <c r="AI371" s="1691"/>
      <c r="AJ371" s="1691"/>
      <c r="AK371" s="1691"/>
      <c r="AL371" s="1691"/>
      <c r="AM371" s="1691"/>
      <c r="AN371" s="1691"/>
      <c r="AO371" s="1691"/>
      <c r="AP371" s="1691"/>
      <c r="AQ371" s="1691"/>
      <c r="AR371" s="1691"/>
      <c r="AS371" s="1691"/>
      <c r="AT371" s="1691"/>
      <c r="AU371" s="1691"/>
    </row>
    <row r="372">
      <c r="A372" s="1419"/>
      <c r="B372" s="1697"/>
      <c r="C372" s="1698"/>
      <c r="D372" s="1698"/>
      <c r="E372" s="1698"/>
      <c r="F372" s="1689"/>
      <c r="G372" s="1689"/>
      <c r="H372" s="1689"/>
      <c r="I372" s="1689"/>
      <c r="J372" s="1689"/>
      <c r="K372" s="1689"/>
      <c r="L372" s="1689"/>
      <c r="M372" s="1689"/>
      <c r="N372" s="1689"/>
      <c r="O372" s="1689"/>
      <c r="P372" s="1689"/>
      <c r="Q372" s="1689"/>
      <c r="R372" s="1689"/>
      <c r="S372" s="1689"/>
      <c r="T372" s="1689"/>
      <c r="U372" s="1689"/>
      <c r="V372" s="1689"/>
      <c r="W372" s="1689"/>
      <c r="X372" s="1689"/>
      <c r="Y372" s="1689"/>
      <c r="Z372" s="1689"/>
      <c r="AA372" s="1689"/>
      <c r="AB372" s="1689"/>
      <c r="AC372" s="1689"/>
      <c r="AD372" s="1689"/>
      <c r="AE372" s="1689"/>
      <c r="AF372" s="1689"/>
      <c r="AG372" s="1689"/>
      <c r="AH372" s="1689"/>
      <c r="AI372" s="1689"/>
      <c r="AJ372" s="1689"/>
      <c r="AK372" s="1689"/>
      <c r="AL372" s="1689"/>
      <c r="AM372" s="1689"/>
      <c r="AN372" s="1689"/>
      <c r="AO372" s="1689"/>
      <c r="AP372" s="1689"/>
      <c r="AQ372" s="1689"/>
      <c r="AR372" s="1689"/>
      <c r="AS372" s="1689"/>
      <c r="AT372" s="1689"/>
      <c r="AU372" s="1689"/>
    </row>
    <row r="373">
      <c r="A373" s="1419"/>
      <c r="B373" s="1699"/>
      <c r="C373" s="1700"/>
      <c r="D373" s="1700"/>
      <c r="E373" s="1700"/>
      <c r="F373" s="1691"/>
      <c r="G373" s="1691"/>
      <c r="H373" s="1691"/>
      <c r="I373" s="1691"/>
      <c r="J373" s="1691"/>
      <c r="K373" s="1691"/>
      <c r="L373" s="1691"/>
      <c r="M373" s="1691"/>
      <c r="N373" s="1691"/>
      <c r="O373" s="1691"/>
      <c r="P373" s="1691"/>
      <c r="Q373" s="1691"/>
      <c r="R373" s="1691"/>
      <c r="S373" s="1691"/>
      <c r="T373" s="1691"/>
      <c r="U373" s="1691"/>
      <c r="V373" s="1691"/>
      <c r="W373" s="1691"/>
      <c r="X373" s="1691"/>
      <c r="Y373" s="1691"/>
      <c r="Z373" s="1691"/>
      <c r="AA373" s="1691"/>
      <c r="AB373" s="1691"/>
      <c r="AC373" s="1691"/>
      <c r="AD373" s="1691"/>
      <c r="AE373" s="1691"/>
      <c r="AF373" s="1691"/>
      <c r="AG373" s="1691"/>
      <c r="AH373" s="1691"/>
      <c r="AI373" s="1691"/>
      <c r="AJ373" s="1691"/>
      <c r="AK373" s="1691"/>
      <c r="AL373" s="1691"/>
      <c r="AM373" s="1691"/>
      <c r="AN373" s="1691"/>
      <c r="AO373" s="1691"/>
      <c r="AP373" s="1691"/>
      <c r="AQ373" s="1691"/>
      <c r="AR373" s="1691"/>
      <c r="AS373" s="1691"/>
      <c r="AT373" s="1691"/>
      <c r="AU373" s="1691"/>
    </row>
    <row r="374">
      <c r="A374" s="1419"/>
      <c r="B374" s="1697"/>
      <c r="C374" s="1698"/>
      <c r="D374" s="1698"/>
      <c r="E374" s="1698"/>
      <c r="F374" s="1689"/>
      <c r="G374" s="1689"/>
      <c r="H374" s="1689"/>
      <c r="I374" s="1689"/>
      <c r="J374" s="1689"/>
      <c r="K374" s="1689"/>
      <c r="L374" s="1689"/>
      <c r="M374" s="1689"/>
      <c r="N374" s="1689"/>
      <c r="O374" s="1689"/>
      <c r="P374" s="1689"/>
      <c r="Q374" s="1689"/>
      <c r="R374" s="1689"/>
      <c r="S374" s="1689"/>
      <c r="T374" s="1689"/>
      <c r="U374" s="1689"/>
      <c r="V374" s="1689"/>
      <c r="W374" s="1689"/>
      <c r="X374" s="1689"/>
      <c r="Y374" s="1689"/>
      <c r="Z374" s="1689"/>
      <c r="AA374" s="1689"/>
      <c r="AB374" s="1689"/>
      <c r="AC374" s="1689"/>
      <c r="AD374" s="1689"/>
      <c r="AE374" s="1689"/>
      <c r="AF374" s="1689"/>
      <c r="AG374" s="1689"/>
      <c r="AH374" s="1689"/>
      <c r="AI374" s="1689"/>
      <c r="AJ374" s="1689"/>
      <c r="AK374" s="1689"/>
      <c r="AL374" s="1689"/>
      <c r="AM374" s="1689"/>
      <c r="AN374" s="1689"/>
      <c r="AO374" s="1689"/>
      <c r="AP374" s="1689"/>
      <c r="AQ374" s="1689"/>
      <c r="AR374" s="1689"/>
      <c r="AS374" s="1689"/>
      <c r="AT374" s="1689"/>
      <c r="AU374" s="1689"/>
    </row>
    <row r="375">
      <c r="A375" s="1419"/>
      <c r="B375" s="1699"/>
      <c r="C375" s="1700"/>
      <c r="D375" s="1700"/>
      <c r="E375" s="1700"/>
      <c r="F375" s="1691"/>
      <c r="G375" s="1691"/>
      <c r="H375" s="1691"/>
      <c r="I375" s="1691"/>
      <c r="J375" s="1691"/>
      <c r="K375" s="1691"/>
      <c r="L375" s="1691"/>
      <c r="M375" s="1691"/>
      <c r="N375" s="1691"/>
      <c r="O375" s="1691"/>
      <c r="P375" s="1691"/>
      <c r="Q375" s="1691"/>
      <c r="R375" s="1691"/>
      <c r="S375" s="1691"/>
      <c r="T375" s="1691"/>
      <c r="U375" s="1691"/>
      <c r="V375" s="1691"/>
      <c r="W375" s="1691"/>
      <c r="X375" s="1691"/>
      <c r="Y375" s="1691"/>
      <c r="Z375" s="1691"/>
      <c r="AA375" s="1691"/>
      <c r="AB375" s="1691"/>
      <c r="AC375" s="1691"/>
      <c r="AD375" s="1691"/>
      <c r="AE375" s="1691"/>
      <c r="AF375" s="1691"/>
      <c r="AG375" s="1691"/>
      <c r="AH375" s="1691"/>
      <c r="AI375" s="1691"/>
      <c r="AJ375" s="1691"/>
      <c r="AK375" s="1691"/>
      <c r="AL375" s="1691"/>
      <c r="AM375" s="1691"/>
      <c r="AN375" s="1691"/>
      <c r="AO375" s="1691"/>
      <c r="AP375" s="1691"/>
      <c r="AQ375" s="1691"/>
      <c r="AR375" s="1691"/>
      <c r="AS375" s="1691"/>
      <c r="AT375" s="1691"/>
      <c r="AU375" s="1691"/>
    </row>
    <row r="376">
      <c r="A376" s="1419"/>
      <c r="B376" s="1697"/>
      <c r="C376" s="1698"/>
      <c r="D376" s="1698"/>
      <c r="E376" s="1698"/>
      <c r="F376" s="1689"/>
      <c r="G376" s="1689"/>
      <c r="H376" s="1689"/>
      <c r="I376" s="1689"/>
      <c r="J376" s="1689"/>
      <c r="K376" s="1689"/>
      <c r="L376" s="1689"/>
      <c r="M376" s="1689"/>
      <c r="N376" s="1689"/>
      <c r="O376" s="1689"/>
      <c r="P376" s="1689"/>
      <c r="Q376" s="1689"/>
      <c r="R376" s="1689"/>
      <c r="S376" s="1689"/>
      <c r="T376" s="1689"/>
      <c r="U376" s="1689"/>
      <c r="V376" s="1689"/>
      <c r="W376" s="1689"/>
      <c r="X376" s="1689"/>
      <c r="Y376" s="1689"/>
      <c r="Z376" s="1689"/>
      <c r="AA376" s="1689"/>
      <c r="AB376" s="1689"/>
      <c r="AC376" s="1689"/>
      <c r="AD376" s="1689"/>
      <c r="AE376" s="1689"/>
      <c r="AF376" s="1689"/>
      <c r="AG376" s="1689"/>
      <c r="AH376" s="1689"/>
      <c r="AI376" s="1689"/>
      <c r="AJ376" s="1689"/>
      <c r="AK376" s="1689"/>
      <c r="AL376" s="1689"/>
      <c r="AM376" s="1689"/>
      <c r="AN376" s="1689"/>
      <c r="AO376" s="1689"/>
      <c r="AP376" s="1689"/>
      <c r="AQ376" s="1689"/>
      <c r="AR376" s="1689"/>
      <c r="AS376" s="1689"/>
      <c r="AT376" s="1689"/>
      <c r="AU376" s="1689"/>
    </row>
    <row r="377">
      <c r="A377" s="1419"/>
      <c r="B377" s="1699"/>
      <c r="C377" s="1700"/>
      <c r="D377" s="1700"/>
      <c r="E377" s="1700"/>
      <c r="F377" s="1691"/>
      <c r="G377" s="1691"/>
      <c r="H377" s="1691"/>
      <c r="I377" s="1691"/>
      <c r="J377" s="1691"/>
      <c r="K377" s="1691"/>
      <c r="L377" s="1691"/>
      <c r="M377" s="1691"/>
      <c r="N377" s="1691"/>
      <c r="O377" s="1691"/>
      <c r="P377" s="1691"/>
      <c r="Q377" s="1691"/>
      <c r="R377" s="1691"/>
      <c r="S377" s="1691"/>
      <c r="T377" s="1691"/>
      <c r="U377" s="1691"/>
      <c r="V377" s="1691"/>
      <c r="W377" s="1691"/>
      <c r="X377" s="1691"/>
      <c r="Y377" s="1691"/>
      <c r="Z377" s="1691"/>
      <c r="AA377" s="1691"/>
      <c r="AB377" s="1691"/>
      <c r="AC377" s="1691"/>
      <c r="AD377" s="1691"/>
      <c r="AE377" s="1691"/>
      <c r="AF377" s="1691"/>
      <c r="AG377" s="1691"/>
      <c r="AH377" s="1691"/>
      <c r="AI377" s="1691"/>
      <c r="AJ377" s="1691"/>
      <c r="AK377" s="1691"/>
      <c r="AL377" s="1691"/>
      <c r="AM377" s="1691"/>
      <c r="AN377" s="1691"/>
      <c r="AO377" s="1691"/>
      <c r="AP377" s="1691"/>
      <c r="AQ377" s="1691"/>
      <c r="AR377" s="1691"/>
      <c r="AS377" s="1691"/>
      <c r="AT377" s="1691"/>
      <c r="AU377" s="1691"/>
    </row>
    <row r="378">
      <c r="A378" s="1419"/>
      <c r="B378" s="1697"/>
      <c r="C378" s="1698"/>
      <c r="D378" s="1698"/>
      <c r="E378" s="1698"/>
      <c r="F378" s="1689"/>
      <c r="G378" s="1689"/>
      <c r="H378" s="1689"/>
      <c r="I378" s="1689"/>
      <c r="J378" s="1689"/>
      <c r="K378" s="1689"/>
      <c r="L378" s="1689"/>
      <c r="M378" s="1689"/>
      <c r="N378" s="1689"/>
      <c r="O378" s="1689"/>
      <c r="P378" s="1689"/>
      <c r="Q378" s="1689"/>
      <c r="R378" s="1689"/>
      <c r="S378" s="1689"/>
      <c r="T378" s="1689"/>
      <c r="U378" s="1689"/>
      <c r="V378" s="1689"/>
      <c r="W378" s="1689"/>
      <c r="X378" s="1689"/>
      <c r="Y378" s="1689"/>
      <c r="Z378" s="1689"/>
      <c r="AA378" s="1689"/>
      <c r="AB378" s="1689"/>
      <c r="AC378" s="1689"/>
      <c r="AD378" s="1689"/>
      <c r="AE378" s="1689"/>
      <c r="AF378" s="1689"/>
      <c r="AG378" s="1689"/>
      <c r="AH378" s="1689"/>
      <c r="AI378" s="1689"/>
      <c r="AJ378" s="1689"/>
      <c r="AK378" s="1689"/>
      <c r="AL378" s="1689"/>
      <c r="AM378" s="1689"/>
      <c r="AN378" s="1689"/>
      <c r="AO378" s="1689"/>
      <c r="AP378" s="1689"/>
      <c r="AQ378" s="1689"/>
      <c r="AR378" s="1689"/>
      <c r="AS378" s="1689"/>
      <c r="AT378" s="1689"/>
      <c r="AU378" s="1689"/>
    </row>
    <row r="379">
      <c r="A379" s="1419"/>
      <c r="B379" s="1699"/>
      <c r="C379" s="1700"/>
      <c r="D379" s="1700"/>
      <c r="E379" s="1700"/>
      <c r="F379" s="1691"/>
      <c r="G379" s="1691"/>
      <c r="H379" s="1691"/>
      <c r="I379" s="1691"/>
      <c r="J379" s="1691"/>
      <c r="K379" s="1691"/>
      <c r="L379" s="1691"/>
      <c r="M379" s="1691"/>
      <c r="N379" s="1691"/>
      <c r="O379" s="1691"/>
      <c r="P379" s="1691"/>
      <c r="Q379" s="1691"/>
      <c r="R379" s="1691"/>
      <c r="S379" s="1691"/>
      <c r="T379" s="1691"/>
      <c r="U379" s="1691"/>
      <c r="V379" s="1691"/>
      <c r="W379" s="1691"/>
      <c r="X379" s="1691"/>
      <c r="Y379" s="1691"/>
      <c r="Z379" s="1691"/>
      <c r="AA379" s="1691"/>
      <c r="AB379" s="1691"/>
      <c r="AC379" s="1691"/>
      <c r="AD379" s="1691"/>
      <c r="AE379" s="1691"/>
      <c r="AF379" s="1691"/>
      <c r="AG379" s="1691"/>
      <c r="AH379" s="1691"/>
      <c r="AI379" s="1691"/>
      <c r="AJ379" s="1691"/>
      <c r="AK379" s="1691"/>
      <c r="AL379" s="1691"/>
      <c r="AM379" s="1691"/>
      <c r="AN379" s="1691"/>
      <c r="AO379" s="1691"/>
      <c r="AP379" s="1691"/>
      <c r="AQ379" s="1691"/>
      <c r="AR379" s="1691"/>
      <c r="AS379" s="1691"/>
      <c r="AT379" s="1691"/>
      <c r="AU379" s="1691"/>
    </row>
    <row r="380">
      <c r="A380" s="1419"/>
      <c r="B380" s="1697"/>
      <c r="C380" s="1698"/>
      <c r="D380" s="1698"/>
      <c r="E380" s="1698"/>
      <c r="F380" s="1689"/>
      <c r="G380" s="1689"/>
      <c r="H380" s="1689"/>
      <c r="I380" s="1689"/>
      <c r="J380" s="1689"/>
      <c r="K380" s="1689"/>
      <c r="L380" s="1689"/>
      <c r="M380" s="1689"/>
      <c r="N380" s="1689"/>
      <c r="O380" s="1689"/>
      <c r="P380" s="1689"/>
      <c r="Q380" s="1689"/>
      <c r="R380" s="1689"/>
      <c r="S380" s="1689"/>
      <c r="T380" s="1689"/>
      <c r="U380" s="1689"/>
      <c r="V380" s="1689"/>
      <c r="W380" s="1689"/>
      <c r="X380" s="1689"/>
      <c r="Y380" s="1689"/>
      <c r="Z380" s="1689"/>
      <c r="AA380" s="1689"/>
      <c r="AB380" s="1689"/>
      <c r="AC380" s="1689"/>
      <c r="AD380" s="1689"/>
      <c r="AE380" s="1689"/>
      <c r="AF380" s="1689"/>
      <c r="AG380" s="1689"/>
      <c r="AH380" s="1689"/>
      <c r="AI380" s="1689"/>
      <c r="AJ380" s="1689"/>
      <c r="AK380" s="1689"/>
      <c r="AL380" s="1689"/>
      <c r="AM380" s="1689"/>
      <c r="AN380" s="1689"/>
      <c r="AO380" s="1689"/>
      <c r="AP380" s="1689"/>
      <c r="AQ380" s="1689"/>
      <c r="AR380" s="1689"/>
      <c r="AS380" s="1689"/>
      <c r="AT380" s="1689"/>
      <c r="AU380" s="1689"/>
    </row>
    <row r="381">
      <c r="A381" s="1419"/>
      <c r="B381" s="1699"/>
      <c r="C381" s="1700"/>
      <c r="D381" s="1700"/>
      <c r="E381" s="1700"/>
      <c r="F381" s="1691"/>
      <c r="G381" s="1691"/>
      <c r="H381" s="1691"/>
      <c r="I381" s="1691"/>
      <c r="J381" s="1691"/>
      <c r="K381" s="1691"/>
      <c r="L381" s="1691"/>
      <c r="M381" s="1691"/>
      <c r="N381" s="1691"/>
      <c r="O381" s="1691"/>
      <c r="P381" s="1691"/>
      <c r="Q381" s="1691"/>
      <c r="R381" s="1691"/>
      <c r="S381" s="1691"/>
      <c r="T381" s="1691"/>
      <c r="U381" s="1691"/>
      <c r="V381" s="1691"/>
      <c r="W381" s="1691"/>
      <c r="X381" s="1691"/>
      <c r="Y381" s="1691"/>
      <c r="Z381" s="1691"/>
      <c r="AA381" s="1691"/>
      <c r="AB381" s="1691"/>
      <c r="AC381" s="1691"/>
      <c r="AD381" s="1691"/>
      <c r="AE381" s="1691"/>
      <c r="AF381" s="1691"/>
      <c r="AG381" s="1691"/>
      <c r="AH381" s="1691"/>
      <c r="AI381" s="1691"/>
      <c r="AJ381" s="1691"/>
      <c r="AK381" s="1691"/>
      <c r="AL381" s="1691"/>
      <c r="AM381" s="1691"/>
      <c r="AN381" s="1691"/>
      <c r="AO381" s="1691"/>
      <c r="AP381" s="1691"/>
      <c r="AQ381" s="1691"/>
      <c r="AR381" s="1691"/>
      <c r="AS381" s="1691"/>
      <c r="AT381" s="1691"/>
      <c r="AU381" s="1691"/>
    </row>
    <row r="382">
      <c r="A382" s="1419"/>
      <c r="B382" s="1697"/>
      <c r="C382" s="1698"/>
      <c r="D382" s="1698"/>
      <c r="E382" s="1698"/>
      <c r="F382" s="1689"/>
      <c r="G382" s="1689"/>
      <c r="H382" s="1689"/>
      <c r="I382" s="1689"/>
      <c r="J382" s="1689"/>
      <c r="K382" s="1689"/>
      <c r="L382" s="1689"/>
      <c r="M382" s="1689"/>
      <c r="N382" s="1689"/>
      <c r="O382" s="1689"/>
      <c r="P382" s="1689"/>
      <c r="Q382" s="1689"/>
      <c r="R382" s="1689"/>
      <c r="S382" s="1689"/>
      <c r="T382" s="1689"/>
      <c r="U382" s="1689"/>
      <c r="V382" s="1689"/>
      <c r="W382" s="1689"/>
      <c r="X382" s="1689"/>
      <c r="Y382" s="1689"/>
      <c r="Z382" s="1689"/>
      <c r="AA382" s="1689"/>
      <c r="AB382" s="1689"/>
      <c r="AC382" s="1689"/>
      <c r="AD382" s="1689"/>
      <c r="AE382" s="1689"/>
      <c r="AF382" s="1689"/>
      <c r="AG382" s="1689"/>
      <c r="AH382" s="1689"/>
      <c r="AI382" s="1689"/>
      <c r="AJ382" s="1689"/>
      <c r="AK382" s="1689"/>
      <c r="AL382" s="1689"/>
      <c r="AM382" s="1689"/>
      <c r="AN382" s="1689"/>
      <c r="AO382" s="1689"/>
      <c r="AP382" s="1689"/>
      <c r="AQ382" s="1689"/>
      <c r="AR382" s="1689"/>
      <c r="AS382" s="1689"/>
      <c r="AT382" s="1689"/>
      <c r="AU382" s="1689"/>
    </row>
    <row r="383">
      <c r="A383" s="1419"/>
      <c r="B383" s="1699"/>
      <c r="C383" s="1700"/>
      <c r="D383" s="1700"/>
      <c r="E383" s="1700"/>
      <c r="F383" s="1691"/>
      <c r="G383" s="1691"/>
      <c r="H383" s="1691"/>
      <c r="I383" s="1691"/>
      <c r="J383" s="1691"/>
      <c r="K383" s="1691"/>
      <c r="L383" s="1691"/>
      <c r="M383" s="1691"/>
      <c r="N383" s="1691"/>
      <c r="O383" s="1691"/>
      <c r="P383" s="1691"/>
      <c r="Q383" s="1691"/>
      <c r="R383" s="1691"/>
      <c r="S383" s="1691"/>
      <c r="T383" s="1691"/>
      <c r="U383" s="1691"/>
      <c r="V383" s="1691"/>
      <c r="W383" s="1691"/>
      <c r="X383" s="1691"/>
      <c r="Y383" s="1691"/>
      <c r="Z383" s="1691"/>
      <c r="AA383" s="1691"/>
      <c r="AB383" s="1691"/>
      <c r="AC383" s="1691"/>
      <c r="AD383" s="1691"/>
      <c r="AE383" s="1691"/>
      <c r="AF383" s="1691"/>
      <c r="AG383" s="1691"/>
      <c r="AH383" s="1691"/>
      <c r="AI383" s="1691"/>
      <c r="AJ383" s="1691"/>
      <c r="AK383" s="1691"/>
      <c r="AL383" s="1691"/>
      <c r="AM383" s="1691"/>
      <c r="AN383" s="1691"/>
      <c r="AO383" s="1691"/>
      <c r="AP383" s="1691"/>
      <c r="AQ383" s="1691"/>
      <c r="AR383" s="1691"/>
      <c r="AS383" s="1691"/>
      <c r="AT383" s="1691"/>
      <c r="AU383" s="1691"/>
    </row>
    <row r="384">
      <c r="A384" s="1419"/>
      <c r="B384" s="1697"/>
      <c r="C384" s="1698"/>
      <c r="D384" s="1698"/>
      <c r="E384" s="1698"/>
      <c r="F384" s="1689"/>
      <c r="G384" s="1689"/>
      <c r="H384" s="1689"/>
      <c r="I384" s="1689"/>
      <c r="J384" s="1689"/>
      <c r="K384" s="1689"/>
      <c r="L384" s="1689"/>
      <c r="M384" s="1689"/>
      <c r="N384" s="1689"/>
      <c r="O384" s="1689"/>
      <c r="P384" s="1689"/>
      <c r="Q384" s="1689"/>
      <c r="R384" s="1689"/>
      <c r="S384" s="1689"/>
      <c r="T384" s="1689"/>
      <c r="U384" s="1689"/>
      <c r="V384" s="1689"/>
      <c r="W384" s="1689"/>
      <c r="X384" s="1689"/>
      <c r="Y384" s="1689"/>
      <c r="Z384" s="1689"/>
      <c r="AA384" s="1689"/>
      <c r="AB384" s="1689"/>
      <c r="AC384" s="1689"/>
      <c r="AD384" s="1689"/>
      <c r="AE384" s="1689"/>
      <c r="AF384" s="1689"/>
      <c r="AG384" s="1689"/>
      <c r="AH384" s="1689"/>
      <c r="AI384" s="1689"/>
      <c r="AJ384" s="1689"/>
      <c r="AK384" s="1689"/>
      <c r="AL384" s="1689"/>
      <c r="AM384" s="1689"/>
      <c r="AN384" s="1689"/>
      <c r="AO384" s="1689"/>
      <c r="AP384" s="1689"/>
      <c r="AQ384" s="1689"/>
      <c r="AR384" s="1689"/>
      <c r="AS384" s="1689"/>
      <c r="AT384" s="1689"/>
      <c r="AU384" s="1689"/>
    </row>
    <row r="385">
      <c r="A385" s="1419"/>
      <c r="B385" s="1699"/>
      <c r="C385" s="1700"/>
      <c r="D385" s="1700"/>
      <c r="E385" s="1700"/>
      <c r="F385" s="1691"/>
      <c r="G385" s="1691"/>
      <c r="H385" s="1691"/>
      <c r="I385" s="1691"/>
      <c r="J385" s="1691"/>
      <c r="K385" s="1691"/>
      <c r="L385" s="1691"/>
      <c r="M385" s="1691"/>
      <c r="N385" s="1691"/>
      <c r="O385" s="1691"/>
      <c r="P385" s="1691"/>
      <c r="Q385" s="1691"/>
      <c r="R385" s="1691"/>
      <c r="S385" s="1691"/>
      <c r="T385" s="1691"/>
      <c r="U385" s="1691"/>
      <c r="V385" s="1691"/>
      <c r="W385" s="1691"/>
      <c r="X385" s="1691"/>
      <c r="Y385" s="1691"/>
      <c r="Z385" s="1691"/>
      <c r="AA385" s="1691"/>
      <c r="AB385" s="1691"/>
      <c r="AC385" s="1691"/>
      <c r="AD385" s="1691"/>
      <c r="AE385" s="1691"/>
      <c r="AF385" s="1691"/>
      <c r="AG385" s="1691"/>
      <c r="AH385" s="1691"/>
      <c r="AI385" s="1691"/>
      <c r="AJ385" s="1691"/>
      <c r="AK385" s="1691"/>
      <c r="AL385" s="1691"/>
      <c r="AM385" s="1691"/>
      <c r="AN385" s="1691"/>
      <c r="AO385" s="1691"/>
      <c r="AP385" s="1691"/>
      <c r="AQ385" s="1691"/>
      <c r="AR385" s="1691"/>
      <c r="AS385" s="1691"/>
      <c r="AT385" s="1691"/>
      <c r="AU385" s="1691"/>
    </row>
    <row r="386">
      <c r="A386" s="1419"/>
      <c r="B386" s="1697"/>
      <c r="C386" s="1698"/>
      <c r="D386" s="1698"/>
      <c r="E386" s="1698"/>
      <c r="F386" s="1689"/>
      <c r="G386" s="1689"/>
      <c r="H386" s="1689"/>
      <c r="I386" s="1689"/>
      <c r="J386" s="1689"/>
      <c r="K386" s="1689"/>
      <c r="L386" s="1689"/>
      <c r="M386" s="1689"/>
      <c r="N386" s="1689"/>
      <c r="O386" s="1689"/>
      <c r="P386" s="1689"/>
      <c r="Q386" s="1689"/>
      <c r="R386" s="1689"/>
      <c r="S386" s="1689"/>
      <c r="T386" s="1689"/>
      <c r="U386" s="1689"/>
      <c r="V386" s="1689"/>
      <c r="W386" s="1689"/>
      <c r="X386" s="1689"/>
      <c r="Y386" s="1689"/>
      <c r="Z386" s="1689"/>
      <c r="AA386" s="1689"/>
      <c r="AB386" s="1689"/>
      <c r="AC386" s="1689"/>
      <c r="AD386" s="1689"/>
      <c r="AE386" s="1689"/>
      <c r="AF386" s="1689"/>
      <c r="AG386" s="1689"/>
      <c r="AH386" s="1689"/>
      <c r="AI386" s="1689"/>
      <c r="AJ386" s="1689"/>
      <c r="AK386" s="1689"/>
      <c r="AL386" s="1689"/>
      <c r="AM386" s="1689"/>
      <c r="AN386" s="1689"/>
      <c r="AO386" s="1689"/>
      <c r="AP386" s="1689"/>
      <c r="AQ386" s="1689"/>
      <c r="AR386" s="1689"/>
      <c r="AS386" s="1689"/>
      <c r="AT386" s="1689"/>
      <c r="AU386" s="1689"/>
    </row>
    <row r="387">
      <c r="A387" s="1419"/>
      <c r="B387" s="1699"/>
      <c r="C387" s="1700"/>
      <c r="D387" s="1700"/>
      <c r="E387" s="1700"/>
      <c r="F387" s="1691"/>
      <c r="G387" s="1691"/>
      <c r="H387" s="1691"/>
      <c r="I387" s="1691"/>
      <c r="J387" s="1691"/>
      <c r="K387" s="1691"/>
      <c r="L387" s="1691"/>
      <c r="M387" s="1691"/>
      <c r="N387" s="1691"/>
      <c r="O387" s="1691"/>
      <c r="P387" s="1691"/>
      <c r="Q387" s="1691"/>
      <c r="R387" s="1691"/>
      <c r="S387" s="1691"/>
      <c r="T387" s="1691"/>
      <c r="U387" s="1691"/>
      <c r="V387" s="1691"/>
      <c r="W387" s="1691"/>
      <c r="X387" s="1691"/>
      <c r="Y387" s="1691"/>
      <c r="Z387" s="1691"/>
      <c r="AA387" s="1691"/>
      <c r="AB387" s="1691"/>
      <c r="AC387" s="1691"/>
      <c r="AD387" s="1691"/>
      <c r="AE387" s="1691"/>
      <c r="AF387" s="1691"/>
      <c r="AG387" s="1691"/>
      <c r="AH387" s="1691"/>
      <c r="AI387" s="1691"/>
      <c r="AJ387" s="1691"/>
      <c r="AK387" s="1691"/>
      <c r="AL387" s="1691"/>
      <c r="AM387" s="1691"/>
      <c r="AN387" s="1691"/>
      <c r="AO387" s="1691"/>
      <c r="AP387" s="1691"/>
      <c r="AQ387" s="1691"/>
      <c r="AR387" s="1691"/>
      <c r="AS387" s="1691"/>
      <c r="AT387" s="1691"/>
      <c r="AU387" s="1691"/>
    </row>
    <row r="388">
      <c r="A388" s="1419"/>
      <c r="B388" s="1697"/>
      <c r="C388" s="1698"/>
      <c r="D388" s="1698"/>
      <c r="E388" s="1698"/>
      <c r="F388" s="1689"/>
      <c r="G388" s="1689"/>
      <c r="H388" s="1689"/>
      <c r="I388" s="1689"/>
      <c r="J388" s="1689"/>
      <c r="K388" s="1689"/>
      <c r="L388" s="1689"/>
      <c r="M388" s="1689"/>
      <c r="N388" s="1689"/>
      <c r="O388" s="1689"/>
      <c r="P388" s="1689"/>
      <c r="Q388" s="1689"/>
      <c r="R388" s="1689"/>
      <c r="S388" s="1689"/>
      <c r="T388" s="1689"/>
      <c r="U388" s="1689"/>
      <c r="V388" s="1689"/>
      <c r="W388" s="1689"/>
      <c r="X388" s="1689"/>
      <c r="Y388" s="1689"/>
      <c r="Z388" s="1689"/>
      <c r="AA388" s="1689"/>
      <c r="AB388" s="1689"/>
      <c r="AC388" s="1689"/>
      <c r="AD388" s="1689"/>
      <c r="AE388" s="1689"/>
      <c r="AF388" s="1689"/>
      <c r="AG388" s="1689"/>
      <c r="AH388" s="1689"/>
      <c r="AI388" s="1689"/>
      <c r="AJ388" s="1689"/>
      <c r="AK388" s="1689"/>
      <c r="AL388" s="1689"/>
      <c r="AM388" s="1689"/>
      <c r="AN388" s="1689"/>
      <c r="AO388" s="1689"/>
      <c r="AP388" s="1689"/>
      <c r="AQ388" s="1689"/>
      <c r="AR388" s="1689"/>
      <c r="AS388" s="1689"/>
      <c r="AT388" s="1689"/>
      <c r="AU388" s="1689"/>
    </row>
    <row r="389">
      <c r="A389" s="1419"/>
      <c r="B389" s="1699"/>
      <c r="C389" s="1700"/>
      <c r="D389" s="1700"/>
      <c r="E389" s="1700"/>
      <c r="F389" s="1691"/>
      <c r="G389" s="1691"/>
      <c r="H389" s="1691"/>
      <c r="I389" s="1691"/>
      <c r="J389" s="1691"/>
      <c r="K389" s="1691"/>
      <c r="L389" s="1691"/>
      <c r="M389" s="1691"/>
      <c r="N389" s="1691"/>
      <c r="O389" s="1691"/>
      <c r="P389" s="1691"/>
      <c r="Q389" s="1691"/>
      <c r="R389" s="1691"/>
      <c r="S389" s="1691"/>
      <c r="T389" s="1691"/>
      <c r="U389" s="1691"/>
      <c r="V389" s="1691"/>
      <c r="W389" s="1691"/>
      <c r="X389" s="1691"/>
      <c r="Y389" s="1691"/>
      <c r="Z389" s="1691"/>
      <c r="AA389" s="1691"/>
      <c r="AB389" s="1691"/>
      <c r="AC389" s="1691"/>
      <c r="AD389" s="1691"/>
      <c r="AE389" s="1691"/>
      <c r="AF389" s="1691"/>
      <c r="AG389" s="1691"/>
      <c r="AH389" s="1691"/>
      <c r="AI389" s="1691"/>
      <c r="AJ389" s="1691"/>
      <c r="AK389" s="1691"/>
      <c r="AL389" s="1691"/>
      <c r="AM389" s="1691"/>
      <c r="AN389" s="1691"/>
      <c r="AO389" s="1691"/>
      <c r="AP389" s="1691"/>
      <c r="AQ389" s="1691"/>
      <c r="AR389" s="1691"/>
      <c r="AS389" s="1691"/>
      <c r="AT389" s="1691"/>
      <c r="AU389" s="1691"/>
    </row>
    <row r="390">
      <c r="A390" s="1419"/>
      <c r="B390" s="1697"/>
      <c r="C390" s="1698"/>
      <c r="D390" s="1698"/>
      <c r="E390" s="1698"/>
      <c r="F390" s="1689"/>
      <c r="G390" s="1689"/>
      <c r="H390" s="1689"/>
      <c r="I390" s="1689"/>
      <c r="J390" s="1689"/>
      <c r="K390" s="1689"/>
      <c r="L390" s="1689"/>
      <c r="M390" s="1689"/>
      <c r="N390" s="1689"/>
      <c r="O390" s="1689"/>
      <c r="P390" s="1689"/>
      <c r="Q390" s="1689"/>
      <c r="R390" s="1689"/>
      <c r="S390" s="1689"/>
      <c r="T390" s="1689"/>
      <c r="U390" s="1689"/>
      <c r="V390" s="1689"/>
      <c r="W390" s="1689"/>
      <c r="X390" s="1689"/>
      <c r="Y390" s="1689"/>
      <c r="Z390" s="1689"/>
      <c r="AA390" s="1689"/>
      <c r="AB390" s="1689"/>
      <c r="AC390" s="1689"/>
      <c r="AD390" s="1689"/>
      <c r="AE390" s="1689"/>
      <c r="AF390" s="1689"/>
      <c r="AG390" s="1689"/>
      <c r="AH390" s="1689"/>
      <c r="AI390" s="1689"/>
      <c r="AJ390" s="1689"/>
      <c r="AK390" s="1689"/>
      <c r="AL390" s="1689"/>
      <c r="AM390" s="1689"/>
      <c r="AN390" s="1689"/>
      <c r="AO390" s="1689"/>
      <c r="AP390" s="1689"/>
      <c r="AQ390" s="1689"/>
      <c r="AR390" s="1689"/>
      <c r="AS390" s="1689"/>
      <c r="AT390" s="1689"/>
      <c r="AU390" s="1689"/>
    </row>
    <row r="391">
      <c r="A391" s="1419"/>
      <c r="B391" s="1699"/>
      <c r="C391" s="1700"/>
      <c r="D391" s="1700"/>
      <c r="E391" s="1700"/>
      <c r="F391" s="1691"/>
      <c r="G391" s="1691"/>
      <c r="H391" s="1691"/>
      <c r="I391" s="1691"/>
      <c r="J391" s="1691"/>
      <c r="K391" s="1691"/>
      <c r="L391" s="1691"/>
      <c r="M391" s="1691"/>
      <c r="N391" s="1691"/>
      <c r="O391" s="1691"/>
      <c r="P391" s="1691"/>
      <c r="Q391" s="1691"/>
      <c r="R391" s="1691"/>
      <c r="S391" s="1691"/>
      <c r="T391" s="1691"/>
      <c r="U391" s="1691"/>
      <c r="V391" s="1691"/>
      <c r="W391" s="1691"/>
      <c r="X391" s="1691"/>
      <c r="Y391" s="1691"/>
      <c r="Z391" s="1691"/>
      <c r="AA391" s="1691"/>
      <c r="AB391" s="1691"/>
      <c r="AC391" s="1691"/>
      <c r="AD391" s="1691"/>
      <c r="AE391" s="1691"/>
      <c r="AF391" s="1691"/>
      <c r="AG391" s="1691"/>
      <c r="AH391" s="1691"/>
      <c r="AI391" s="1691"/>
      <c r="AJ391" s="1691"/>
      <c r="AK391" s="1691"/>
      <c r="AL391" s="1691"/>
      <c r="AM391" s="1691"/>
      <c r="AN391" s="1691"/>
      <c r="AO391" s="1691"/>
      <c r="AP391" s="1691"/>
      <c r="AQ391" s="1691"/>
      <c r="AR391" s="1691"/>
      <c r="AS391" s="1691"/>
      <c r="AT391" s="1691"/>
      <c r="AU391" s="1691"/>
    </row>
    <row r="392">
      <c r="A392" s="1419"/>
      <c r="B392" s="1697"/>
      <c r="C392" s="1698"/>
      <c r="D392" s="1698"/>
      <c r="E392" s="1698"/>
      <c r="F392" s="1689"/>
      <c r="G392" s="1689"/>
      <c r="H392" s="1689"/>
      <c r="I392" s="1689"/>
      <c r="J392" s="1689"/>
      <c r="K392" s="1689"/>
      <c r="L392" s="1689"/>
      <c r="M392" s="1689"/>
      <c r="N392" s="1689"/>
      <c r="O392" s="1689"/>
      <c r="P392" s="1689"/>
      <c r="Q392" s="1689"/>
      <c r="R392" s="1689"/>
      <c r="S392" s="1689"/>
      <c r="T392" s="1689"/>
      <c r="U392" s="1689"/>
      <c r="V392" s="1689"/>
      <c r="W392" s="1689"/>
      <c r="X392" s="1689"/>
      <c r="Y392" s="1689"/>
      <c r="Z392" s="1689"/>
      <c r="AA392" s="1689"/>
      <c r="AB392" s="1689"/>
      <c r="AC392" s="1689"/>
      <c r="AD392" s="1689"/>
      <c r="AE392" s="1689"/>
      <c r="AF392" s="1689"/>
      <c r="AG392" s="1689"/>
      <c r="AH392" s="1689"/>
      <c r="AI392" s="1689"/>
      <c r="AJ392" s="1689"/>
      <c r="AK392" s="1689"/>
      <c r="AL392" s="1689"/>
      <c r="AM392" s="1689"/>
      <c r="AN392" s="1689"/>
      <c r="AO392" s="1689"/>
      <c r="AP392" s="1689"/>
      <c r="AQ392" s="1689"/>
      <c r="AR392" s="1689"/>
      <c r="AS392" s="1689"/>
      <c r="AT392" s="1689"/>
      <c r="AU392" s="1689"/>
    </row>
    <row r="393">
      <c r="A393" s="1419"/>
      <c r="B393" s="1699"/>
      <c r="C393" s="1700"/>
      <c r="D393" s="1700"/>
      <c r="E393" s="1700"/>
      <c r="F393" s="1691"/>
      <c r="G393" s="1691"/>
      <c r="H393" s="1691"/>
      <c r="I393" s="1691"/>
      <c r="J393" s="1691"/>
      <c r="K393" s="1691"/>
      <c r="L393" s="1691"/>
      <c r="M393" s="1691"/>
      <c r="N393" s="1691"/>
      <c r="O393" s="1691"/>
      <c r="P393" s="1691"/>
      <c r="Q393" s="1691"/>
      <c r="R393" s="1691"/>
      <c r="S393" s="1691"/>
      <c r="T393" s="1691"/>
      <c r="U393" s="1691"/>
      <c r="V393" s="1691"/>
      <c r="W393" s="1691"/>
      <c r="X393" s="1691"/>
      <c r="Y393" s="1691"/>
      <c r="Z393" s="1691"/>
      <c r="AA393" s="1691"/>
      <c r="AB393" s="1691"/>
      <c r="AC393" s="1691"/>
      <c r="AD393" s="1691"/>
      <c r="AE393" s="1691"/>
      <c r="AF393" s="1691"/>
      <c r="AG393" s="1691"/>
      <c r="AH393" s="1691"/>
      <c r="AI393" s="1691"/>
      <c r="AJ393" s="1691"/>
      <c r="AK393" s="1691"/>
      <c r="AL393" s="1691"/>
      <c r="AM393" s="1691"/>
      <c r="AN393" s="1691"/>
      <c r="AO393" s="1691"/>
      <c r="AP393" s="1691"/>
      <c r="AQ393" s="1691"/>
      <c r="AR393" s="1691"/>
      <c r="AS393" s="1691"/>
      <c r="AT393" s="1691"/>
      <c r="AU393" s="1691"/>
    </row>
    <row r="394">
      <c r="A394" s="1419"/>
      <c r="B394" s="1697"/>
      <c r="C394" s="1698"/>
      <c r="D394" s="1698"/>
      <c r="E394" s="1698"/>
      <c r="F394" s="1689"/>
      <c r="G394" s="1689"/>
      <c r="H394" s="1689"/>
      <c r="I394" s="1689"/>
      <c r="J394" s="1689"/>
      <c r="K394" s="1689"/>
      <c r="L394" s="1689"/>
      <c r="M394" s="1689"/>
      <c r="N394" s="1689"/>
      <c r="O394" s="1689"/>
      <c r="P394" s="1689"/>
      <c r="Q394" s="1689"/>
      <c r="R394" s="1689"/>
      <c r="S394" s="1689"/>
      <c r="T394" s="1689"/>
      <c r="U394" s="1689"/>
      <c r="V394" s="1689"/>
      <c r="W394" s="1689"/>
      <c r="X394" s="1689"/>
      <c r="Y394" s="1689"/>
      <c r="Z394" s="1689"/>
      <c r="AA394" s="1689"/>
      <c r="AB394" s="1689"/>
      <c r="AC394" s="1689"/>
      <c r="AD394" s="1689"/>
      <c r="AE394" s="1689"/>
      <c r="AF394" s="1689"/>
      <c r="AG394" s="1689"/>
      <c r="AH394" s="1689"/>
      <c r="AI394" s="1689"/>
      <c r="AJ394" s="1689"/>
      <c r="AK394" s="1689"/>
      <c r="AL394" s="1689"/>
      <c r="AM394" s="1689"/>
      <c r="AN394" s="1689"/>
      <c r="AO394" s="1689"/>
      <c r="AP394" s="1689"/>
      <c r="AQ394" s="1689"/>
      <c r="AR394" s="1689"/>
      <c r="AS394" s="1689"/>
      <c r="AT394" s="1689"/>
      <c r="AU394" s="1689"/>
    </row>
    <row r="395">
      <c r="A395" s="1419"/>
      <c r="B395" s="1699"/>
      <c r="C395" s="1700"/>
      <c r="D395" s="1700"/>
      <c r="E395" s="1700"/>
      <c r="F395" s="1691"/>
      <c r="G395" s="1691"/>
      <c r="H395" s="1691"/>
      <c r="I395" s="1691"/>
      <c r="J395" s="1691"/>
      <c r="K395" s="1691"/>
      <c r="L395" s="1691"/>
      <c r="M395" s="1691"/>
      <c r="N395" s="1691"/>
      <c r="O395" s="1691"/>
      <c r="P395" s="1691"/>
      <c r="Q395" s="1691"/>
      <c r="R395" s="1691"/>
      <c r="S395" s="1691"/>
      <c r="T395" s="1691"/>
      <c r="U395" s="1691"/>
      <c r="V395" s="1691"/>
      <c r="W395" s="1691"/>
      <c r="X395" s="1691"/>
      <c r="Y395" s="1691"/>
      <c r="Z395" s="1691"/>
      <c r="AA395" s="1691"/>
      <c r="AB395" s="1691"/>
      <c r="AC395" s="1691"/>
      <c r="AD395" s="1691"/>
      <c r="AE395" s="1691"/>
      <c r="AF395" s="1691"/>
      <c r="AG395" s="1691"/>
      <c r="AH395" s="1691"/>
      <c r="AI395" s="1691"/>
      <c r="AJ395" s="1691"/>
      <c r="AK395" s="1691"/>
      <c r="AL395" s="1691"/>
      <c r="AM395" s="1691"/>
      <c r="AN395" s="1691"/>
      <c r="AO395" s="1691"/>
      <c r="AP395" s="1691"/>
      <c r="AQ395" s="1691"/>
      <c r="AR395" s="1691"/>
      <c r="AS395" s="1691"/>
      <c r="AT395" s="1691"/>
      <c r="AU395" s="1691"/>
    </row>
    <row r="396">
      <c r="A396" s="1419"/>
      <c r="B396" s="1697"/>
      <c r="C396" s="1698"/>
      <c r="D396" s="1698"/>
      <c r="E396" s="1698"/>
      <c r="F396" s="1689"/>
      <c r="G396" s="1689"/>
      <c r="H396" s="1689"/>
      <c r="I396" s="1689"/>
      <c r="J396" s="1689"/>
      <c r="K396" s="1689"/>
      <c r="L396" s="1689"/>
      <c r="M396" s="1689"/>
      <c r="N396" s="1689"/>
      <c r="O396" s="1689"/>
      <c r="P396" s="1689"/>
      <c r="Q396" s="1689"/>
      <c r="R396" s="1689"/>
      <c r="S396" s="1689"/>
      <c r="T396" s="1689"/>
      <c r="U396" s="1689"/>
      <c r="V396" s="1689"/>
      <c r="W396" s="1689"/>
      <c r="X396" s="1689"/>
      <c r="Y396" s="1689"/>
      <c r="Z396" s="1689"/>
      <c r="AA396" s="1689"/>
      <c r="AB396" s="1689"/>
      <c r="AC396" s="1689"/>
      <c r="AD396" s="1689"/>
      <c r="AE396" s="1689"/>
      <c r="AF396" s="1689"/>
      <c r="AG396" s="1689"/>
      <c r="AH396" s="1689"/>
      <c r="AI396" s="1689"/>
      <c r="AJ396" s="1689"/>
      <c r="AK396" s="1689"/>
      <c r="AL396" s="1689"/>
      <c r="AM396" s="1689"/>
      <c r="AN396" s="1689"/>
      <c r="AO396" s="1689"/>
      <c r="AP396" s="1689"/>
      <c r="AQ396" s="1689"/>
      <c r="AR396" s="1689"/>
      <c r="AS396" s="1689"/>
      <c r="AT396" s="1689"/>
      <c r="AU396" s="1689"/>
    </row>
    <row r="397">
      <c r="A397" s="1419"/>
      <c r="B397" s="1699"/>
      <c r="C397" s="1700"/>
      <c r="D397" s="1700"/>
      <c r="E397" s="1700"/>
      <c r="F397" s="1691"/>
      <c r="G397" s="1691"/>
      <c r="H397" s="1691"/>
      <c r="I397" s="1691"/>
      <c r="J397" s="1691"/>
      <c r="K397" s="1691"/>
      <c r="L397" s="1691"/>
      <c r="M397" s="1691"/>
      <c r="N397" s="1691"/>
      <c r="O397" s="1691"/>
      <c r="P397" s="1691"/>
      <c r="Q397" s="1691"/>
      <c r="R397" s="1691"/>
      <c r="S397" s="1691"/>
      <c r="T397" s="1691"/>
      <c r="U397" s="1691"/>
      <c r="V397" s="1691"/>
      <c r="W397" s="1691"/>
      <c r="X397" s="1691"/>
      <c r="Y397" s="1691"/>
      <c r="Z397" s="1691"/>
      <c r="AA397" s="1691"/>
      <c r="AB397" s="1691"/>
      <c r="AC397" s="1691"/>
      <c r="AD397" s="1691"/>
      <c r="AE397" s="1691"/>
      <c r="AF397" s="1691"/>
      <c r="AG397" s="1691"/>
      <c r="AH397" s="1691"/>
      <c r="AI397" s="1691"/>
      <c r="AJ397" s="1691"/>
      <c r="AK397" s="1691"/>
      <c r="AL397" s="1691"/>
      <c r="AM397" s="1691"/>
      <c r="AN397" s="1691"/>
      <c r="AO397" s="1691"/>
      <c r="AP397" s="1691"/>
      <c r="AQ397" s="1691"/>
      <c r="AR397" s="1691"/>
      <c r="AS397" s="1691"/>
      <c r="AT397" s="1691"/>
      <c r="AU397" s="1691"/>
    </row>
    <row r="398">
      <c r="A398" s="1419"/>
      <c r="B398" s="1697"/>
      <c r="C398" s="1698"/>
      <c r="D398" s="1698"/>
      <c r="E398" s="1698"/>
      <c r="F398" s="1689"/>
      <c r="G398" s="1689"/>
      <c r="H398" s="1689"/>
      <c r="I398" s="1689"/>
      <c r="J398" s="1689"/>
      <c r="K398" s="1689"/>
      <c r="L398" s="1689"/>
      <c r="M398" s="1689"/>
      <c r="N398" s="1689"/>
      <c r="O398" s="1689"/>
      <c r="P398" s="1689"/>
      <c r="Q398" s="1689"/>
      <c r="R398" s="1689"/>
      <c r="S398" s="1689"/>
      <c r="T398" s="1689"/>
      <c r="U398" s="1689"/>
      <c r="V398" s="1689"/>
      <c r="W398" s="1689"/>
      <c r="X398" s="1689"/>
      <c r="Y398" s="1689"/>
      <c r="Z398" s="1689"/>
      <c r="AA398" s="1689"/>
      <c r="AB398" s="1689"/>
      <c r="AC398" s="1689"/>
      <c r="AD398" s="1689"/>
      <c r="AE398" s="1689"/>
      <c r="AF398" s="1689"/>
      <c r="AG398" s="1689"/>
      <c r="AH398" s="1689"/>
      <c r="AI398" s="1689"/>
      <c r="AJ398" s="1689"/>
      <c r="AK398" s="1689"/>
      <c r="AL398" s="1689"/>
      <c r="AM398" s="1689"/>
      <c r="AN398" s="1689"/>
      <c r="AO398" s="1689"/>
      <c r="AP398" s="1689"/>
      <c r="AQ398" s="1689"/>
      <c r="AR398" s="1689"/>
      <c r="AS398" s="1689"/>
      <c r="AT398" s="1689"/>
      <c r="AU398" s="1689"/>
    </row>
    <row r="399">
      <c r="A399" s="1419"/>
      <c r="B399" s="1699"/>
      <c r="C399" s="1700"/>
      <c r="D399" s="1700"/>
      <c r="E399" s="1700"/>
      <c r="F399" s="1691"/>
      <c r="G399" s="1691"/>
      <c r="H399" s="1691"/>
      <c r="I399" s="1691"/>
      <c r="J399" s="1691"/>
      <c r="K399" s="1691"/>
      <c r="L399" s="1691"/>
      <c r="M399" s="1691"/>
      <c r="N399" s="1691"/>
      <c r="O399" s="1691"/>
      <c r="P399" s="1691"/>
      <c r="Q399" s="1691"/>
      <c r="R399" s="1691"/>
      <c r="S399" s="1691"/>
      <c r="T399" s="1691"/>
      <c r="U399" s="1691"/>
      <c r="V399" s="1691"/>
      <c r="W399" s="1691"/>
      <c r="X399" s="1691"/>
      <c r="Y399" s="1691"/>
      <c r="Z399" s="1691"/>
      <c r="AA399" s="1691"/>
      <c r="AB399" s="1691"/>
      <c r="AC399" s="1691"/>
      <c r="AD399" s="1691"/>
      <c r="AE399" s="1691"/>
      <c r="AF399" s="1691"/>
      <c r="AG399" s="1691"/>
      <c r="AH399" s="1691"/>
      <c r="AI399" s="1691"/>
      <c r="AJ399" s="1691"/>
      <c r="AK399" s="1691"/>
      <c r="AL399" s="1691"/>
      <c r="AM399" s="1691"/>
      <c r="AN399" s="1691"/>
      <c r="AO399" s="1691"/>
      <c r="AP399" s="1691"/>
      <c r="AQ399" s="1691"/>
      <c r="AR399" s="1691"/>
      <c r="AS399" s="1691"/>
      <c r="AT399" s="1691"/>
      <c r="AU399" s="1691"/>
    </row>
    <row r="400">
      <c r="A400" s="1419"/>
      <c r="B400" s="1697"/>
      <c r="C400" s="1698"/>
      <c r="D400" s="1698"/>
      <c r="E400" s="1698"/>
      <c r="F400" s="1689"/>
      <c r="G400" s="1689"/>
      <c r="H400" s="1689"/>
      <c r="I400" s="1689"/>
      <c r="J400" s="1689"/>
      <c r="K400" s="1689"/>
      <c r="L400" s="1689"/>
      <c r="M400" s="1689"/>
      <c r="N400" s="1689"/>
      <c r="O400" s="1689"/>
      <c r="P400" s="1689"/>
      <c r="Q400" s="1689"/>
      <c r="R400" s="1689"/>
      <c r="S400" s="1689"/>
      <c r="T400" s="1689"/>
      <c r="U400" s="1689"/>
      <c r="V400" s="1689"/>
      <c r="W400" s="1689"/>
      <c r="X400" s="1689"/>
      <c r="Y400" s="1689"/>
      <c r="Z400" s="1689"/>
      <c r="AA400" s="1689"/>
      <c r="AB400" s="1689"/>
      <c r="AC400" s="1689"/>
      <c r="AD400" s="1689"/>
      <c r="AE400" s="1689"/>
      <c r="AF400" s="1689"/>
      <c r="AG400" s="1689"/>
      <c r="AH400" s="1689"/>
      <c r="AI400" s="1689"/>
      <c r="AJ400" s="1689"/>
      <c r="AK400" s="1689"/>
      <c r="AL400" s="1689"/>
      <c r="AM400" s="1689"/>
      <c r="AN400" s="1689"/>
      <c r="AO400" s="1689"/>
      <c r="AP400" s="1689"/>
      <c r="AQ400" s="1689"/>
      <c r="AR400" s="1689"/>
      <c r="AS400" s="1689"/>
      <c r="AT400" s="1689"/>
      <c r="AU400" s="1689"/>
    </row>
    <row r="401">
      <c r="A401" s="1419"/>
      <c r="B401" s="1699"/>
      <c r="C401" s="1700"/>
      <c r="D401" s="1700"/>
      <c r="E401" s="1700"/>
      <c r="F401" s="1691"/>
      <c r="G401" s="1691"/>
      <c r="H401" s="1691"/>
      <c r="I401" s="1691"/>
      <c r="J401" s="1691"/>
      <c r="K401" s="1691"/>
      <c r="L401" s="1691"/>
      <c r="M401" s="1691"/>
      <c r="N401" s="1691"/>
      <c r="O401" s="1691"/>
      <c r="P401" s="1691"/>
      <c r="Q401" s="1691"/>
      <c r="R401" s="1691"/>
      <c r="S401" s="1691"/>
      <c r="T401" s="1691"/>
      <c r="U401" s="1691"/>
      <c r="V401" s="1691"/>
      <c r="W401" s="1691"/>
      <c r="X401" s="1691"/>
      <c r="Y401" s="1691"/>
      <c r="Z401" s="1691"/>
      <c r="AA401" s="1691"/>
      <c r="AB401" s="1691"/>
      <c r="AC401" s="1691"/>
      <c r="AD401" s="1691"/>
      <c r="AE401" s="1691"/>
      <c r="AF401" s="1691"/>
      <c r="AG401" s="1691"/>
      <c r="AH401" s="1691"/>
      <c r="AI401" s="1691"/>
      <c r="AJ401" s="1691"/>
      <c r="AK401" s="1691"/>
      <c r="AL401" s="1691"/>
      <c r="AM401" s="1691"/>
      <c r="AN401" s="1691"/>
      <c r="AO401" s="1691"/>
      <c r="AP401" s="1691"/>
      <c r="AQ401" s="1691"/>
      <c r="AR401" s="1691"/>
      <c r="AS401" s="1691"/>
      <c r="AT401" s="1691"/>
      <c r="AU401" s="1691"/>
    </row>
    <row r="402">
      <c r="A402" s="1440" t="s">
        <v>2461</v>
      </c>
      <c r="B402" s="1697"/>
      <c r="C402" s="1698"/>
      <c r="D402" s="1698"/>
      <c r="E402" s="1698"/>
      <c r="F402" s="1689"/>
      <c r="G402" s="1689"/>
      <c r="H402" s="1689"/>
      <c r="I402" s="1689"/>
      <c r="J402" s="1689"/>
      <c r="K402" s="1689"/>
      <c r="L402" s="1689"/>
      <c r="M402" s="1689"/>
      <c r="N402" s="1689"/>
      <c r="O402" s="1689"/>
      <c r="P402" s="1689"/>
      <c r="Q402" s="1689"/>
      <c r="R402" s="1689"/>
      <c r="S402" s="1689"/>
      <c r="T402" s="1689"/>
      <c r="U402" s="1689"/>
      <c r="V402" s="1689"/>
      <c r="W402" s="1689"/>
      <c r="X402" s="1689"/>
      <c r="Y402" s="1689"/>
      <c r="Z402" s="1689"/>
      <c r="AA402" s="1689"/>
      <c r="AB402" s="1689"/>
      <c r="AC402" s="1689"/>
      <c r="AD402" s="1689"/>
      <c r="AE402" s="1689"/>
      <c r="AF402" s="1689"/>
      <c r="AG402" s="1689"/>
      <c r="AH402" s="1689"/>
      <c r="AI402" s="1689"/>
      <c r="AJ402" s="1689"/>
      <c r="AK402" s="1689"/>
      <c r="AL402" s="1689"/>
      <c r="AM402" s="1689"/>
      <c r="AN402" s="1689"/>
      <c r="AO402" s="1689"/>
      <c r="AP402" s="1689"/>
      <c r="AQ402" s="1689"/>
      <c r="AR402" s="1689"/>
      <c r="AS402" s="1689"/>
      <c r="AT402" s="1689"/>
      <c r="AU402" s="1689"/>
    </row>
    <row r="403">
      <c r="A403" s="1419"/>
      <c r="B403" s="1699"/>
      <c r="C403" s="1700"/>
      <c r="D403" s="1700"/>
      <c r="E403" s="1700"/>
      <c r="F403" s="1691"/>
      <c r="G403" s="1691"/>
      <c r="H403" s="1691"/>
      <c r="I403" s="1691"/>
      <c r="J403" s="1691"/>
      <c r="K403" s="1691"/>
      <c r="L403" s="1691"/>
      <c r="M403" s="1691"/>
      <c r="N403" s="1691"/>
      <c r="O403" s="1691"/>
      <c r="P403" s="1691"/>
      <c r="Q403" s="1691"/>
      <c r="R403" s="1691"/>
      <c r="S403" s="1691"/>
      <c r="T403" s="1691"/>
      <c r="U403" s="1691"/>
      <c r="V403" s="1691"/>
      <c r="W403" s="1691"/>
      <c r="X403" s="1691"/>
      <c r="Y403" s="1691"/>
      <c r="Z403" s="1691"/>
      <c r="AA403" s="1691"/>
      <c r="AB403" s="1691"/>
      <c r="AC403" s="1691"/>
      <c r="AD403" s="1691"/>
      <c r="AE403" s="1691"/>
      <c r="AF403" s="1691"/>
      <c r="AG403" s="1691"/>
      <c r="AH403" s="1691"/>
      <c r="AI403" s="1691"/>
      <c r="AJ403" s="1691"/>
      <c r="AK403" s="1691"/>
      <c r="AL403" s="1691"/>
      <c r="AM403" s="1691"/>
      <c r="AN403" s="1691"/>
      <c r="AO403" s="1691"/>
      <c r="AP403" s="1691"/>
      <c r="AQ403" s="1691"/>
      <c r="AR403" s="1691"/>
      <c r="AS403" s="1691"/>
      <c r="AT403" s="1691"/>
      <c r="AU403" s="1691"/>
    </row>
    <row r="404">
      <c r="A404" s="1419"/>
      <c r="B404" s="1697"/>
      <c r="C404" s="1698"/>
      <c r="D404" s="1698"/>
      <c r="E404" s="1698"/>
      <c r="F404" s="1689"/>
      <c r="G404" s="1689"/>
      <c r="H404" s="1689"/>
      <c r="I404" s="1689"/>
      <c r="J404" s="1689"/>
      <c r="K404" s="1689"/>
      <c r="L404" s="1689"/>
      <c r="M404" s="1689"/>
      <c r="N404" s="1689"/>
      <c r="O404" s="1689"/>
      <c r="P404" s="1689"/>
      <c r="Q404" s="1689"/>
      <c r="R404" s="1689"/>
      <c r="S404" s="1689"/>
      <c r="T404" s="1689"/>
      <c r="U404" s="1689"/>
      <c r="V404" s="1689"/>
      <c r="W404" s="1689"/>
      <c r="X404" s="1689"/>
      <c r="Y404" s="1689"/>
      <c r="Z404" s="1689"/>
      <c r="AA404" s="1689"/>
      <c r="AB404" s="1689"/>
      <c r="AC404" s="1689"/>
      <c r="AD404" s="1689"/>
      <c r="AE404" s="1689"/>
      <c r="AF404" s="1689"/>
      <c r="AG404" s="1689"/>
      <c r="AH404" s="1689"/>
      <c r="AI404" s="1689"/>
      <c r="AJ404" s="1689"/>
      <c r="AK404" s="1689"/>
      <c r="AL404" s="1689"/>
      <c r="AM404" s="1689"/>
      <c r="AN404" s="1689"/>
      <c r="AO404" s="1689"/>
      <c r="AP404" s="1689"/>
      <c r="AQ404" s="1689"/>
      <c r="AR404" s="1689"/>
      <c r="AS404" s="1689"/>
      <c r="AT404" s="1689"/>
      <c r="AU404" s="1689"/>
    </row>
    <row r="405">
      <c r="A405" s="1419"/>
      <c r="B405" s="1699"/>
      <c r="C405" s="1700"/>
      <c r="D405" s="1700"/>
      <c r="E405" s="1700"/>
      <c r="F405" s="1691"/>
      <c r="G405" s="1691"/>
      <c r="H405" s="1691"/>
      <c r="I405" s="1691"/>
      <c r="J405" s="1691"/>
      <c r="K405" s="1691"/>
      <c r="L405" s="1691"/>
      <c r="M405" s="1691"/>
      <c r="N405" s="1691"/>
      <c r="O405" s="1691"/>
      <c r="P405" s="1691"/>
      <c r="Q405" s="1691"/>
      <c r="R405" s="1691"/>
      <c r="S405" s="1691"/>
      <c r="T405" s="1691"/>
      <c r="U405" s="1691"/>
      <c r="V405" s="1691"/>
      <c r="W405" s="1691"/>
      <c r="X405" s="1691"/>
      <c r="Y405" s="1691"/>
      <c r="Z405" s="1691"/>
      <c r="AA405" s="1691"/>
      <c r="AB405" s="1691"/>
      <c r="AC405" s="1691"/>
      <c r="AD405" s="1691"/>
      <c r="AE405" s="1691"/>
      <c r="AF405" s="1691"/>
      <c r="AG405" s="1691"/>
      <c r="AH405" s="1691"/>
      <c r="AI405" s="1691"/>
      <c r="AJ405" s="1691"/>
      <c r="AK405" s="1691"/>
      <c r="AL405" s="1691"/>
      <c r="AM405" s="1691"/>
      <c r="AN405" s="1691"/>
      <c r="AO405" s="1691"/>
      <c r="AP405" s="1691"/>
      <c r="AQ405" s="1691"/>
      <c r="AR405" s="1691"/>
      <c r="AS405" s="1691"/>
      <c r="AT405" s="1691"/>
      <c r="AU405" s="1691"/>
    </row>
    <row r="406">
      <c r="A406" s="1419"/>
      <c r="B406" s="1697"/>
      <c r="C406" s="1698"/>
      <c r="D406" s="1698"/>
      <c r="E406" s="1698"/>
      <c r="F406" s="1689"/>
      <c r="G406" s="1689"/>
      <c r="H406" s="1689"/>
      <c r="I406" s="1689"/>
      <c r="J406" s="1689"/>
      <c r="K406" s="1689"/>
      <c r="L406" s="1689"/>
      <c r="M406" s="1689"/>
      <c r="N406" s="1689"/>
      <c r="O406" s="1689"/>
      <c r="P406" s="1689"/>
      <c r="Q406" s="1689"/>
      <c r="R406" s="1689"/>
      <c r="S406" s="1689"/>
      <c r="T406" s="1689"/>
      <c r="U406" s="1689"/>
      <c r="V406" s="1689"/>
      <c r="W406" s="1689"/>
      <c r="X406" s="1689"/>
      <c r="Y406" s="1689"/>
      <c r="Z406" s="1689"/>
      <c r="AA406" s="1689"/>
      <c r="AB406" s="1689"/>
      <c r="AC406" s="1689"/>
      <c r="AD406" s="1689"/>
      <c r="AE406" s="1689"/>
      <c r="AF406" s="1689"/>
      <c r="AG406" s="1689"/>
      <c r="AH406" s="1689"/>
      <c r="AI406" s="1689"/>
      <c r="AJ406" s="1689"/>
      <c r="AK406" s="1689"/>
      <c r="AL406" s="1689"/>
      <c r="AM406" s="1689"/>
      <c r="AN406" s="1689"/>
      <c r="AO406" s="1689"/>
      <c r="AP406" s="1689"/>
      <c r="AQ406" s="1689"/>
      <c r="AR406" s="1689"/>
      <c r="AS406" s="1689"/>
      <c r="AT406" s="1689"/>
      <c r="AU406" s="1689"/>
    </row>
    <row r="407">
      <c r="A407" s="1419"/>
      <c r="B407" s="1699"/>
      <c r="C407" s="1700"/>
      <c r="D407" s="1700"/>
      <c r="E407" s="1700"/>
      <c r="F407" s="1691"/>
      <c r="G407" s="1691"/>
      <c r="H407" s="1691"/>
      <c r="I407" s="1691"/>
      <c r="J407" s="1691"/>
      <c r="K407" s="1691"/>
      <c r="L407" s="1691"/>
      <c r="M407" s="1691"/>
      <c r="N407" s="1691"/>
      <c r="O407" s="1691"/>
      <c r="P407" s="1691"/>
      <c r="Q407" s="1691"/>
      <c r="R407" s="1691"/>
      <c r="S407" s="1691"/>
      <c r="T407" s="1691"/>
      <c r="U407" s="1691"/>
      <c r="V407" s="1691"/>
      <c r="W407" s="1691"/>
      <c r="X407" s="1691"/>
      <c r="Y407" s="1691"/>
      <c r="Z407" s="1691"/>
      <c r="AA407" s="1691"/>
      <c r="AB407" s="1691"/>
      <c r="AC407" s="1691"/>
      <c r="AD407" s="1691"/>
      <c r="AE407" s="1691"/>
      <c r="AF407" s="1691"/>
      <c r="AG407" s="1691"/>
      <c r="AH407" s="1691"/>
      <c r="AI407" s="1691"/>
      <c r="AJ407" s="1691"/>
      <c r="AK407" s="1691"/>
      <c r="AL407" s="1691"/>
      <c r="AM407" s="1691"/>
      <c r="AN407" s="1691"/>
      <c r="AO407" s="1691"/>
      <c r="AP407" s="1691"/>
      <c r="AQ407" s="1691"/>
      <c r="AR407" s="1691"/>
      <c r="AS407" s="1691"/>
      <c r="AT407" s="1691"/>
      <c r="AU407" s="1691"/>
    </row>
    <row r="408">
      <c r="A408" s="1419"/>
      <c r="B408" s="1697"/>
      <c r="C408" s="1698"/>
      <c r="D408" s="1698"/>
      <c r="E408" s="1698"/>
      <c r="F408" s="1689"/>
      <c r="G408" s="1689"/>
      <c r="H408" s="1689"/>
      <c r="I408" s="1689"/>
      <c r="J408" s="1689"/>
      <c r="K408" s="1689"/>
      <c r="L408" s="1689"/>
      <c r="M408" s="1689"/>
      <c r="N408" s="1689"/>
      <c r="O408" s="1689"/>
      <c r="P408" s="1689"/>
      <c r="Q408" s="1689"/>
      <c r="R408" s="1689"/>
      <c r="S408" s="1689"/>
      <c r="T408" s="1689"/>
      <c r="U408" s="1689"/>
      <c r="V408" s="1689"/>
      <c r="W408" s="1689"/>
      <c r="X408" s="1689"/>
      <c r="Y408" s="1689"/>
      <c r="Z408" s="1689"/>
      <c r="AA408" s="1689"/>
      <c r="AB408" s="1689"/>
      <c r="AC408" s="1689"/>
      <c r="AD408" s="1689"/>
      <c r="AE408" s="1689"/>
      <c r="AF408" s="1689"/>
      <c r="AG408" s="1689"/>
      <c r="AH408" s="1689"/>
      <c r="AI408" s="1689"/>
      <c r="AJ408" s="1689"/>
      <c r="AK408" s="1689"/>
      <c r="AL408" s="1689"/>
      <c r="AM408" s="1689"/>
      <c r="AN408" s="1689"/>
      <c r="AO408" s="1689"/>
      <c r="AP408" s="1689"/>
      <c r="AQ408" s="1689"/>
      <c r="AR408" s="1689"/>
      <c r="AS408" s="1689"/>
      <c r="AT408" s="1689"/>
      <c r="AU408" s="1689"/>
    </row>
    <row r="409">
      <c r="A409" s="1419"/>
      <c r="B409" s="1699"/>
      <c r="C409" s="1700"/>
      <c r="D409" s="1700"/>
      <c r="E409" s="1700"/>
      <c r="F409" s="1691"/>
      <c r="G409" s="1691"/>
      <c r="H409" s="1691"/>
      <c r="I409" s="1691"/>
      <c r="J409" s="1691"/>
      <c r="K409" s="1691"/>
      <c r="L409" s="1691"/>
      <c r="M409" s="1691"/>
      <c r="N409" s="1691"/>
      <c r="O409" s="1691"/>
      <c r="P409" s="1691"/>
      <c r="Q409" s="1691"/>
      <c r="R409" s="1691"/>
      <c r="S409" s="1691"/>
      <c r="T409" s="1691"/>
      <c r="U409" s="1691"/>
      <c r="V409" s="1691"/>
      <c r="W409" s="1691"/>
      <c r="X409" s="1691"/>
      <c r="Y409" s="1691"/>
      <c r="Z409" s="1691"/>
      <c r="AA409" s="1691"/>
      <c r="AB409" s="1691"/>
      <c r="AC409" s="1691"/>
      <c r="AD409" s="1691"/>
      <c r="AE409" s="1691"/>
      <c r="AF409" s="1691"/>
      <c r="AG409" s="1691"/>
      <c r="AH409" s="1691"/>
      <c r="AI409" s="1691"/>
      <c r="AJ409" s="1691"/>
      <c r="AK409" s="1691"/>
      <c r="AL409" s="1691"/>
      <c r="AM409" s="1691"/>
      <c r="AN409" s="1691"/>
      <c r="AO409" s="1691"/>
      <c r="AP409" s="1691"/>
      <c r="AQ409" s="1691"/>
      <c r="AR409" s="1691"/>
      <c r="AS409" s="1691"/>
      <c r="AT409" s="1691"/>
      <c r="AU409" s="1691"/>
    </row>
    <row r="410">
      <c r="A410" s="1419"/>
      <c r="B410" s="1697"/>
      <c r="C410" s="1698"/>
      <c r="D410" s="1698"/>
      <c r="E410" s="1698"/>
      <c r="F410" s="1689"/>
      <c r="G410" s="1689"/>
      <c r="H410" s="1689"/>
      <c r="I410" s="1689"/>
      <c r="J410" s="1689"/>
      <c r="K410" s="1689"/>
      <c r="L410" s="1689"/>
      <c r="M410" s="1689"/>
      <c r="N410" s="1689"/>
      <c r="O410" s="1689"/>
      <c r="P410" s="1689"/>
      <c r="Q410" s="1689"/>
      <c r="R410" s="1689"/>
      <c r="S410" s="1689"/>
      <c r="T410" s="1689"/>
      <c r="U410" s="1689"/>
      <c r="V410" s="1689"/>
      <c r="W410" s="1689"/>
      <c r="X410" s="1689"/>
      <c r="Y410" s="1689"/>
      <c r="Z410" s="1689"/>
      <c r="AA410" s="1689"/>
      <c r="AB410" s="1689"/>
      <c r="AC410" s="1689"/>
      <c r="AD410" s="1689"/>
      <c r="AE410" s="1689"/>
      <c r="AF410" s="1689"/>
      <c r="AG410" s="1689"/>
      <c r="AH410" s="1689"/>
      <c r="AI410" s="1689"/>
      <c r="AJ410" s="1689"/>
      <c r="AK410" s="1689"/>
      <c r="AL410" s="1689"/>
      <c r="AM410" s="1689"/>
      <c r="AN410" s="1689"/>
      <c r="AO410" s="1689"/>
      <c r="AP410" s="1689"/>
      <c r="AQ410" s="1689"/>
      <c r="AR410" s="1689"/>
      <c r="AS410" s="1689"/>
      <c r="AT410" s="1689"/>
      <c r="AU410" s="1689"/>
    </row>
    <row r="411">
      <c r="A411" s="1419"/>
      <c r="B411" s="1699"/>
      <c r="C411" s="1700"/>
      <c r="D411" s="1700"/>
      <c r="E411" s="1700"/>
      <c r="F411" s="1691"/>
      <c r="G411" s="1691"/>
      <c r="H411" s="1691"/>
      <c r="I411" s="1691"/>
      <c r="J411" s="1691"/>
      <c r="K411" s="1691"/>
      <c r="L411" s="1691"/>
      <c r="M411" s="1691"/>
      <c r="N411" s="1691"/>
      <c r="O411" s="1691"/>
      <c r="P411" s="1691"/>
      <c r="Q411" s="1691"/>
      <c r="R411" s="1691"/>
      <c r="S411" s="1691"/>
      <c r="T411" s="1691"/>
      <c r="U411" s="1691"/>
      <c r="V411" s="1691"/>
      <c r="W411" s="1691"/>
      <c r="X411" s="1691"/>
      <c r="Y411" s="1691"/>
      <c r="Z411" s="1691"/>
      <c r="AA411" s="1691"/>
      <c r="AB411" s="1691"/>
      <c r="AC411" s="1691"/>
      <c r="AD411" s="1691"/>
      <c r="AE411" s="1691"/>
      <c r="AF411" s="1691"/>
      <c r="AG411" s="1691"/>
      <c r="AH411" s="1691"/>
      <c r="AI411" s="1691"/>
      <c r="AJ411" s="1691"/>
      <c r="AK411" s="1691"/>
      <c r="AL411" s="1691"/>
      <c r="AM411" s="1691"/>
      <c r="AN411" s="1691"/>
      <c r="AO411" s="1691"/>
      <c r="AP411" s="1691"/>
      <c r="AQ411" s="1691"/>
      <c r="AR411" s="1691"/>
      <c r="AS411" s="1691"/>
      <c r="AT411" s="1691"/>
      <c r="AU411" s="1691"/>
    </row>
    <row r="412">
      <c r="A412" s="1419"/>
      <c r="B412" s="1697"/>
      <c r="C412" s="1698"/>
      <c r="D412" s="1698"/>
      <c r="E412" s="1698"/>
      <c r="F412" s="1689"/>
      <c r="G412" s="1689"/>
      <c r="H412" s="1689"/>
      <c r="I412" s="1689"/>
      <c r="J412" s="1689"/>
      <c r="K412" s="1689"/>
      <c r="L412" s="1689"/>
      <c r="M412" s="1689"/>
      <c r="N412" s="1689"/>
      <c r="O412" s="1689"/>
      <c r="P412" s="1689"/>
      <c r="Q412" s="1689"/>
      <c r="R412" s="1689"/>
      <c r="S412" s="1689"/>
      <c r="T412" s="1689"/>
      <c r="U412" s="1689"/>
      <c r="V412" s="1689"/>
      <c r="W412" s="1689"/>
      <c r="X412" s="1689"/>
      <c r="Y412" s="1689"/>
      <c r="Z412" s="1689"/>
      <c r="AA412" s="1689"/>
      <c r="AB412" s="1689"/>
      <c r="AC412" s="1689"/>
      <c r="AD412" s="1689"/>
      <c r="AE412" s="1689"/>
      <c r="AF412" s="1689"/>
      <c r="AG412" s="1689"/>
      <c r="AH412" s="1689"/>
      <c r="AI412" s="1689"/>
      <c r="AJ412" s="1689"/>
      <c r="AK412" s="1689"/>
      <c r="AL412" s="1689"/>
      <c r="AM412" s="1689"/>
      <c r="AN412" s="1689"/>
      <c r="AO412" s="1689"/>
      <c r="AP412" s="1689"/>
      <c r="AQ412" s="1689"/>
      <c r="AR412" s="1689"/>
      <c r="AS412" s="1689"/>
      <c r="AT412" s="1689"/>
      <c r="AU412" s="1689"/>
    </row>
    <row r="413">
      <c r="A413" s="1419"/>
      <c r="B413" s="1699"/>
      <c r="C413" s="1700"/>
      <c r="D413" s="1700"/>
      <c r="E413" s="1700"/>
      <c r="F413" s="1691"/>
      <c r="G413" s="1691"/>
      <c r="H413" s="1691"/>
      <c r="I413" s="1691"/>
      <c r="J413" s="1691"/>
      <c r="K413" s="1691"/>
      <c r="L413" s="1691"/>
      <c r="M413" s="1691"/>
      <c r="N413" s="1691"/>
      <c r="O413" s="1691"/>
      <c r="P413" s="1691"/>
      <c r="Q413" s="1691"/>
      <c r="R413" s="1691"/>
      <c r="S413" s="1691"/>
      <c r="T413" s="1691"/>
      <c r="U413" s="1691"/>
      <c r="V413" s="1691"/>
      <c r="W413" s="1691"/>
      <c r="X413" s="1691"/>
      <c r="Y413" s="1691"/>
      <c r="Z413" s="1691"/>
      <c r="AA413" s="1691"/>
      <c r="AB413" s="1691"/>
      <c r="AC413" s="1691"/>
      <c r="AD413" s="1691"/>
      <c r="AE413" s="1691"/>
      <c r="AF413" s="1691"/>
      <c r="AG413" s="1691"/>
      <c r="AH413" s="1691"/>
      <c r="AI413" s="1691"/>
      <c r="AJ413" s="1691"/>
      <c r="AK413" s="1691"/>
      <c r="AL413" s="1691"/>
      <c r="AM413" s="1691"/>
      <c r="AN413" s="1691"/>
      <c r="AO413" s="1691"/>
      <c r="AP413" s="1691"/>
      <c r="AQ413" s="1691"/>
      <c r="AR413" s="1691"/>
      <c r="AS413" s="1691"/>
      <c r="AT413" s="1691"/>
      <c r="AU413" s="1691"/>
    </row>
    <row r="414">
      <c r="A414" s="1419"/>
      <c r="B414" s="1697"/>
      <c r="C414" s="1698"/>
      <c r="D414" s="1698"/>
      <c r="E414" s="1698"/>
      <c r="F414" s="1689"/>
      <c r="G414" s="1689"/>
      <c r="H414" s="1689"/>
      <c r="I414" s="1689"/>
      <c r="J414" s="1689"/>
      <c r="K414" s="1689"/>
      <c r="L414" s="1689"/>
      <c r="M414" s="1689"/>
      <c r="N414" s="1689"/>
      <c r="O414" s="1689"/>
      <c r="P414" s="1689"/>
      <c r="Q414" s="1689"/>
      <c r="R414" s="1689"/>
      <c r="S414" s="1689"/>
      <c r="T414" s="1689"/>
      <c r="U414" s="1689"/>
      <c r="V414" s="1689"/>
      <c r="W414" s="1689"/>
      <c r="X414" s="1689"/>
      <c r="Y414" s="1689"/>
      <c r="Z414" s="1689"/>
      <c r="AA414" s="1689"/>
      <c r="AB414" s="1689"/>
      <c r="AC414" s="1689"/>
      <c r="AD414" s="1689"/>
      <c r="AE414" s="1689"/>
      <c r="AF414" s="1689"/>
      <c r="AG414" s="1689"/>
      <c r="AH414" s="1689"/>
      <c r="AI414" s="1689"/>
      <c r="AJ414" s="1689"/>
      <c r="AK414" s="1689"/>
      <c r="AL414" s="1689"/>
      <c r="AM414" s="1689"/>
      <c r="AN414" s="1689"/>
      <c r="AO414" s="1689"/>
      <c r="AP414" s="1689"/>
      <c r="AQ414" s="1689"/>
      <c r="AR414" s="1689"/>
      <c r="AS414" s="1689"/>
      <c r="AT414" s="1689"/>
      <c r="AU414" s="1689"/>
    </row>
    <row r="415">
      <c r="A415" s="1419"/>
      <c r="B415" s="1699"/>
      <c r="C415" s="1700"/>
      <c r="D415" s="1700"/>
      <c r="E415" s="1700"/>
      <c r="F415" s="1691"/>
      <c r="G415" s="1691"/>
      <c r="H415" s="1691"/>
      <c r="I415" s="1691"/>
      <c r="J415" s="1691"/>
      <c r="K415" s="1691"/>
      <c r="L415" s="1691"/>
      <c r="M415" s="1691"/>
      <c r="N415" s="1691"/>
      <c r="O415" s="1691"/>
      <c r="P415" s="1691"/>
      <c r="Q415" s="1691"/>
      <c r="R415" s="1691"/>
      <c r="S415" s="1691"/>
      <c r="T415" s="1691"/>
      <c r="U415" s="1691"/>
      <c r="V415" s="1691"/>
      <c r="W415" s="1691"/>
      <c r="X415" s="1691"/>
      <c r="Y415" s="1691"/>
      <c r="Z415" s="1691"/>
      <c r="AA415" s="1691"/>
      <c r="AB415" s="1691"/>
      <c r="AC415" s="1691"/>
      <c r="AD415" s="1691"/>
      <c r="AE415" s="1691"/>
      <c r="AF415" s="1691"/>
      <c r="AG415" s="1691"/>
      <c r="AH415" s="1691"/>
      <c r="AI415" s="1691"/>
      <c r="AJ415" s="1691"/>
      <c r="AK415" s="1691"/>
      <c r="AL415" s="1691"/>
      <c r="AM415" s="1691"/>
      <c r="AN415" s="1691"/>
      <c r="AO415" s="1691"/>
      <c r="AP415" s="1691"/>
      <c r="AQ415" s="1691"/>
      <c r="AR415" s="1691"/>
      <c r="AS415" s="1691"/>
      <c r="AT415" s="1691"/>
      <c r="AU415" s="1691"/>
    </row>
    <row r="416">
      <c r="A416" s="1419"/>
      <c r="B416" s="1697"/>
      <c r="C416" s="1698"/>
      <c r="D416" s="1698"/>
      <c r="E416" s="1698"/>
      <c r="F416" s="1689"/>
      <c r="G416" s="1689"/>
      <c r="H416" s="1689"/>
      <c r="I416" s="1689"/>
      <c r="J416" s="1689"/>
      <c r="K416" s="1689"/>
      <c r="L416" s="1689"/>
      <c r="M416" s="1689"/>
      <c r="N416" s="1689"/>
      <c r="O416" s="1689"/>
      <c r="P416" s="1689"/>
      <c r="Q416" s="1689"/>
      <c r="R416" s="1689"/>
      <c r="S416" s="1689"/>
      <c r="T416" s="1689"/>
      <c r="U416" s="1689"/>
      <c r="V416" s="1689"/>
      <c r="W416" s="1689"/>
      <c r="X416" s="1689"/>
      <c r="Y416" s="1689"/>
      <c r="Z416" s="1689"/>
      <c r="AA416" s="1689"/>
      <c r="AB416" s="1689"/>
      <c r="AC416" s="1689"/>
      <c r="AD416" s="1689"/>
      <c r="AE416" s="1689"/>
      <c r="AF416" s="1689"/>
      <c r="AG416" s="1689"/>
      <c r="AH416" s="1689"/>
      <c r="AI416" s="1689"/>
      <c r="AJ416" s="1689"/>
      <c r="AK416" s="1689"/>
      <c r="AL416" s="1689"/>
      <c r="AM416" s="1689"/>
      <c r="AN416" s="1689"/>
      <c r="AO416" s="1689"/>
      <c r="AP416" s="1689"/>
      <c r="AQ416" s="1689"/>
      <c r="AR416" s="1689"/>
      <c r="AS416" s="1689"/>
      <c r="AT416" s="1689"/>
      <c r="AU416" s="1689"/>
    </row>
    <row r="417">
      <c r="A417" s="1419"/>
      <c r="B417" s="1699"/>
      <c r="C417" s="1700"/>
      <c r="D417" s="1700"/>
      <c r="E417" s="1700"/>
      <c r="F417" s="1691"/>
      <c r="G417" s="1691"/>
      <c r="H417" s="1691"/>
      <c r="I417" s="1691"/>
      <c r="J417" s="1691"/>
      <c r="K417" s="1691"/>
      <c r="L417" s="1691"/>
      <c r="M417" s="1691"/>
      <c r="N417" s="1691"/>
      <c r="O417" s="1691"/>
      <c r="P417" s="1691"/>
      <c r="Q417" s="1691"/>
      <c r="R417" s="1691"/>
      <c r="S417" s="1691"/>
      <c r="T417" s="1691"/>
      <c r="U417" s="1691"/>
      <c r="V417" s="1691"/>
      <c r="W417" s="1691"/>
      <c r="X417" s="1691"/>
      <c r="Y417" s="1691"/>
      <c r="Z417" s="1691"/>
      <c r="AA417" s="1691"/>
      <c r="AB417" s="1691"/>
      <c r="AC417" s="1691"/>
      <c r="AD417" s="1691"/>
      <c r="AE417" s="1691"/>
      <c r="AF417" s="1691"/>
      <c r="AG417" s="1691"/>
      <c r="AH417" s="1691"/>
      <c r="AI417" s="1691"/>
      <c r="AJ417" s="1691"/>
      <c r="AK417" s="1691"/>
      <c r="AL417" s="1691"/>
      <c r="AM417" s="1691"/>
      <c r="AN417" s="1691"/>
      <c r="AO417" s="1691"/>
      <c r="AP417" s="1691"/>
      <c r="AQ417" s="1691"/>
      <c r="AR417" s="1691"/>
      <c r="AS417" s="1691"/>
      <c r="AT417" s="1691"/>
      <c r="AU417" s="1691"/>
    </row>
    <row r="418">
      <c r="A418" s="1419"/>
      <c r="B418" s="1697"/>
      <c r="C418" s="1698"/>
      <c r="D418" s="1698"/>
      <c r="E418" s="1698"/>
      <c r="F418" s="1689"/>
      <c r="G418" s="1689"/>
      <c r="H418" s="1689"/>
      <c r="I418" s="1689"/>
      <c r="J418" s="1689"/>
      <c r="K418" s="1689"/>
      <c r="L418" s="1689"/>
      <c r="M418" s="1689"/>
      <c r="N418" s="1689"/>
      <c r="O418" s="1689"/>
      <c r="P418" s="1689"/>
      <c r="Q418" s="1689"/>
      <c r="R418" s="1689"/>
      <c r="S418" s="1689"/>
      <c r="T418" s="1689"/>
      <c r="U418" s="1689"/>
      <c r="V418" s="1689"/>
      <c r="W418" s="1689"/>
      <c r="X418" s="1689"/>
      <c r="Y418" s="1689"/>
      <c r="Z418" s="1689"/>
      <c r="AA418" s="1689"/>
      <c r="AB418" s="1689"/>
      <c r="AC418" s="1689"/>
      <c r="AD418" s="1689"/>
      <c r="AE418" s="1689"/>
      <c r="AF418" s="1689"/>
      <c r="AG418" s="1689"/>
      <c r="AH418" s="1689"/>
      <c r="AI418" s="1689"/>
      <c r="AJ418" s="1689"/>
      <c r="AK418" s="1689"/>
      <c r="AL418" s="1689"/>
      <c r="AM418" s="1689"/>
      <c r="AN418" s="1689"/>
      <c r="AO418" s="1689"/>
      <c r="AP418" s="1689"/>
      <c r="AQ418" s="1689"/>
      <c r="AR418" s="1689"/>
      <c r="AS418" s="1689"/>
      <c r="AT418" s="1689"/>
      <c r="AU418" s="1689"/>
    </row>
    <row r="419">
      <c r="A419" s="1419"/>
      <c r="B419" s="1699"/>
      <c r="C419" s="1700"/>
      <c r="D419" s="1700"/>
      <c r="E419" s="1700"/>
      <c r="F419" s="1691"/>
      <c r="G419" s="1691"/>
      <c r="H419" s="1691"/>
      <c r="I419" s="1691"/>
      <c r="J419" s="1691"/>
      <c r="K419" s="1691"/>
      <c r="L419" s="1691"/>
      <c r="M419" s="1691"/>
      <c r="N419" s="1691"/>
      <c r="O419" s="1691"/>
      <c r="P419" s="1691"/>
      <c r="Q419" s="1691"/>
      <c r="R419" s="1691"/>
      <c r="S419" s="1691"/>
      <c r="T419" s="1691"/>
      <c r="U419" s="1691"/>
      <c r="V419" s="1691"/>
      <c r="W419" s="1691"/>
      <c r="X419" s="1691"/>
      <c r="Y419" s="1691"/>
      <c r="Z419" s="1691"/>
      <c r="AA419" s="1691"/>
      <c r="AB419" s="1691"/>
      <c r="AC419" s="1691"/>
      <c r="AD419" s="1691"/>
      <c r="AE419" s="1691"/>
      <c r="AF419" s="1691"/>
      <c r="AG419" s="1691"/>
      <c r="AH419" s="1691"/>
      <c r="AI419" s="1691"/>
      <c r="AJ419" s="1691"/>
      <c r="AK419" s="1691"/>
      <c r="AL419" s="1691"/>
      <c r="AM419" s="1691"/>
      <c r="AN419" s="1691"/>
      <c r="AO419" s="1691"/>
      <c r="AP419" s="1691"/>
      <c r="AQ419" s="1691"/>
      <c r="AR419" s="1691"/>
      <c r="AS419" s="1691"/>
      <c r="AT419" s="1691"/>
      <c r="AU419" s="1691"/>
    </row>
    <row r="420">
      <c r="A420" s="1419"/>
      <c r="B420" s="1697"/>
      <c r="C420" s="1698"/>
      <c r="D420" s="1698"/>
      <c r="E420" s="1698"/>
      <c r="F420" s="1689"/>
      <c r="G420" s="1689"/>
      <c r="H420" s="1689"/>
      <c r="I420" s="1689"/>
      <c r="J420" s="1689"/>
      <c r="K420" s="1689"/>
      <c r="L420" s="1689"/>
      <c r="M420" s="1689"/>
      <c r="N420" s="1689"/>
      <c r="O420" s="1689"/>
      <c r="P420" s="1689"/>
      <c r="Q420" s="1689"/>
      <c r="R420" s="1689"/>
      <c r="S420" s="1689"/>
      <c r="T420" s="1689"/>
      <c r="U420" s="1689"/>
      <c r="V420" s="1689"/>
      <c r="W420" s="1689"/>
      <c r="X420" s="1689"/>
      <c r="Y420" s="1689"/>
      <c r="Z420" s="1689"/>
      <c r="AA420" s="1689"/>
      <c r="AB420" s="1689"/>
      <c r="AC420" s="1689"/>
      <c r="AD420" s="1689"/>
      <c r="AE420" s="1689"/>
      <c r="AF420" s="1689"/>
      <c r="AG420" s="1689"/>
      <c r="AH420" s="1689"/>
      <c r="AI420" s="1689"/>
      <c r="AJ420" s="1689"/>
      <c r="AK420" s="1689"/>
      <c r="AL420" s="1689"/>
      <c r="AM420" s="1689"/>
      <c r="AN420" s="1689"/>
      <c r="AO420" s="1689"/>
      <c r="AP420" s="1689"/>
      <c r="AQ420" s="1689"/>
      <c r="AR420" s="1689"/>
      <c r="AS420" s="1689"/>
      <c r="AT420" s="1689"/>
      <c r="AU420" s="1689"/>
    </row>
    <row r="421">
      <c r="A421" s="1419"/>
      <c r="B421" s="1699"/>
      <c r="C421" s="1700"/>
      <c r="D421" s="1700"/>
      <c r="E421" s="1700"/>
      <c r="F421" s="1691"/>
      <c r="G421" s="1691"/>
      <c r="H421" s="1691"/>
      <c r="I421" s="1691"/>
      <c r="J421" s="1691"/>
      <c r="K421" s="1691"/>
      <c r="L421" s="1691"/>
      <c r="M421" s="1691"/>
      <c r="N421" s="1691"/>
      <c r="O421" s="1691"/>
      <c r="P421" s="1691"/>
      <c r="Q421" s="1691"/>
      <c r="R421" s="1691"/>
      <c r="S421" s="1691"/>
      <c r="T421" s="1691"/>
      <c r="U421" s="1691"/>
      <c r="V421" s="1691"/>
      <c r="W421" s="1691"/>
      <c r="X421" s="1691"/>
      <c r="Y421" s="1691"/>
      <c r="Z421" s="1691"/>
      <c r="AA421" s="1691"/>
      <c r="AB421" s="1691"/>
      <c r="AC421" s="1691"/>
      <c r="AD421" s="1691"/>
      <c r="AE421" s="1691"/>
      <c r="AF421" s="1691"/>
      <c r="AG421" s="1691"/>
      <c r="AH421" s="1691"/>
      <c r="AI421" s="1691"/>
      <c r="AJ421" s="1691"/>
      <c r="AK421" s="1691"/>
      <c r="AL421" s="1691"/>
      <c r="AM421" s="1691"/>
      <c r="AN421" s="1691"/>
      <c r="AO421" s="1691"/>
      <c r="AP421" s="1691"/>
      <c r="AQ421" s="1691"/>
      <c r="AR421" s="1691"/>
      <c r="AS421" s="1691"/>
      <c r="AT421" s="1691"/>
      <c r="AU421" s="1691"/>
    </row>
    <row r="422">
      <c r="A422" s="1419"/>
      <c r="B422" s="1697"/>
      <c r="C422" s="1698"/>
      <c r="D422" s="1698"/>
      <c r="E422" s="1698"/>
      <c r="F422" s="1689"/>
      <c r="G422" s="1689"/>
      <c r="H422" s="1689"/>
      <c r="I422" s="1689"/>
      <c r="J422" s="1689"/>
      <c r="K422" s="1689"/>
      <c r="L422" s="1689"/>
      <c r="M422" s="1689"/>
      <c r="N422" s="1689"/>
      <c r="O422" s="1689"/>
      <c r="P422" s="1689"/>
      <c r="Q422" s="1689"/>
      <c r="R422" s="1689"/>
      <c r="S422" s="1689"/>
      <c r="T422" s="1689"/>
      <c r="U422" s="1689"/>
      <c r="V422" s="1689"/>
      <c r="W422" s="1689"/>
      <c r="X422" s="1689"/>
      <c r="Y422" s="1689"/>
      <c r="Z422" s="1689"/>
      <c r="AA422" s="1689"/>
      <c r="AB422" s="1689"/>
      <c r="AC422" s="1689"/>
      <c r="AD422" s="1689"/>
      <c r="AE422" s="1689"/>
      <c r="AF422" s="1689"/>
      <c r="AG422" s="1689"/>
      <c r="AH422" s="1689"/>
      <c r="AI422" s="1689"/>
      <c r="AJ422" s="1689"/>
      <c r="AK422" s="1689"/>
      <c r="AL422" s="1689"/>
      <c r="AM422" s="1689"/>
      <c r="AN422" s="1689"/>
      <c r="AO422" s="1689"/>
      <c r="AP422" s="1689"/>
      <c r="AQ422" s="1689"/>
      <c r="AR422" s="1689"/>
      <c r="AS422" s="1689"/>
      <c r="AT422" s="1689"/>
      <c r="AU422" s="1689"/>
    </row>
    <row r="423">
      <c r="A423" s="1419"/>
      <c r="B423" s="1699"/>
      <c r="C423" s="1700"/>
      <c r="D423" s="1700"/>
      <c r="E423" s="1700"/>
      <c r="F423" s="1691"/>
      <c r="G423" s="1691"/>
      <c r="H423" s="1691"/>
      <c r="I423" s="1691"/>
      <c r="J423" s="1691"/>
      <c r="K423" s="1691"/>
      <c r="L423" s="1691"/>
      <c r="M423" s="1691"/>
      <c r="N423" s="1691"/>
      <c r="O423" s="1691"/>
      <c r="P423" s="1691"/>
      <c r="Q423" s="1691"/>
      <c r="R423" s="1691"/>
      <c r="S423" s="1691"/>
      <c r="T423" s="1691"/>
      <c r="U423" s="1691"/>
      <c r="V423" s="1691"/>
      <c r="W423" s="1691"/>
      <c r="X423" s="1691"/>
      <c r="Y423" s="1691"/>
      <c r="Z423" s="1691"/>
      <c r="AA423" s="1691"/>
      <c r="AB423" s="1691"/>
      <c r="AC423" s="1691"/>
      <c r="AD423" s="1691"/>
      <c r="AE423" s="1691"/>
      <c r="AF423" s="1691"/>
      <c r="AG423" s="1691"/>
      <c r="AH423" s="1691"/>
      <c r="AI423" s="1691"/>
      <c r="AJ423" s="1691"/>
      <c r="AK423" s="1691"/>
      <c r="AL423" s="1691"/>
      <c r="AM423" s="1691"/>
      <c r="AN423" s="1691"/>
      <c r="AO423" s="1691"/>
      <c r="AP423" s="1691"/>
      <c r="AQ423" s="1691"/>
      <c r="AR423" s="1691"/>
      <c r="AS423" s="1691"/>
      <c r="AT423" s="1691"/>
      <c r="AU423" s="1691"/>
    </row>
    <row r="424">
      <c r="A424" s="1419"/>
      <c r="B424" s="1697"/>
      <c r="C424" s="1698"/>
      <c r="D424" s="1698"/>
      <c r="E424" s="1698"/>
      <c r="F424" s="1689"/>
      <c r="G424" s="1689"/>
      <c r="H424" s="1689"/>
      <c r="I424" s="1689"/>
      <c r="J424" s="1689"/>
      <c r="K424" s="1689"/>
      <c r="L424" s="1689"/>
      <c r="M424" s="1689"/>
      <c r="N424" s="1689"/>
      <c r="O424" s="1689"/>
      <c r="P424" s="1689"/>
      <c r="Q424" s="1689"/>
      <c r="R424" s="1689"/>
      <c r="S424" s="1689"/>
      <c r="T424" s="1689"/>
      <c r="U424" s="1689"/>
      <c r="V424" s="1689"/>
      <c r="W424" s="1689"/>
      <c r="X424" s="1689"/>
      <c r="Y424" s="1689"/>
      <c r="Z424" s="1689"/>
      <c r="AA424" s="1689"/>
      <c r="AB424" s="1689"/>
      <c r="AC424" s="1689"/>
      <c r="AD424" s="1689"/>
      <c r="AE424" s="1689"/>
      <c r="AF424" s="1689"/>
      <c r="AG424" s="1689"/>
      <c r="AH424" s="1689"/>
      <c r="AI424" s="1689"/>
      <c r="AJ424" s="1689"/>
      <c r="AK424" s="1689"/>
      <c r="AL424" s="1689"/>
      <c r="AM424" s="1689"/>
      <c r="AN424" s="1689"/>
      <c r="AO424" s="1689"/>
      <c r="AP424" s="1689"/>
      <c r="AQ424" s="1689"/>
      <c r="AR424" s="1689"/>
      <c r="AS424" s="1689"/>
      <c r="AT424" s="1689"/>
      <c r="AU424" s="1689"/>
    </row>
    <row r="425">
      <c r="A425" s="1419"/>
      <c r="B425" s="1699"/>
      <c r="C425" s="1700"/>
      <c r="D425" s="1700"/>
      <c r="E425" s="1700"/>
      <c r="F425" s="1691"/>
      <c r="G425" s="1691"/>
      <c r="H425" s="1691"/>
      <c r="I425" s="1691"/>
      <c r="J425" s="1691"/>
      <c r="K425" s="1691"/>
      <c r="L425" s="1691"/>
      <c r="M425" s="1691"/>
      <c r="N425" s="1691"/>
      <c r="O425" s="1691"/>
      <c r="P425" s="1691"/>
      <c r="Q425" s="1691"/>
      <c r="R425" s="1691"/>
      <c r="S425" s="1691"/>
      <c r="T425" s="1691"/>
      <c r="U425" s="1691"/>
      <c r="V425" s="1691"/>
      <c r="W425" s="1691"/>
      <c r="X425" s="1691"/>
      <c r="Y425" s="1691"/>
      <c r="Z425" s="1691"/>
      <c r="AA425" s="1691"/>
      <c r="AB425" s="1691"/>
      <c r="AC425" s="1691"/>
      <c r="AD425" s="1691"/>
      <c r="AE425" s="1691"/>
      <c r="AF425" s="1691"/>
      <c r="AG425" s="1691"/>
      <c r="AH425" s="1691"/>
      <c r="AI425" s="1691"/>
      <c r="AJ425" s="1691"/>
      <c r="AK425" s="1691"/>
      <c r="AL425" s="1691"/>
      <c r="AM425" s="1691"/>
      <c r="AN425" s="1691"/>
      <c r="AO425" s="1691"/>
      <c r="AP425" s="1691"/>
      <c r="AQ425" s="1691"/>
      <c r="AR425" s="1691"/>
      <c r="AS425" s="1691"/>
      <c r="AT425" s="1691"/>
      <c r="AU425" s="1691"/>
    </row>
    <row r="426">
      <c r="A426" s="1419"/>
      <c r="B426" s="1697"/>
      <c r="C426" s="1698"/>
      <c r="D426" s="1698"/>
      <c r="E426" s="1698"/>
      <c r="F426" s="1689"/>
      <c r="G426" s="1689"/>
      <c r="H426" s="1689"/>
      <c r="I426" s="1689"/>
      <c r="J426" s="1689"/>
      <c r="K426" s="1689"/>
      <c r="L426" s="1689"/>
      <c r="M426" s="1689"/>
      <c r="N426" s="1689"/>
      <c r="O426" s="1689"/>
      <c r="P426" s="1689"/>
      <c r="Q426" s="1689"/>
      <c r="R426" s="1689"/>
      <c r="S426" s="1689"/>
      <c r="T426" s="1689"/>
      <c r="U426" s="1689"/>
      <c r="V426" s="1689"/>
      <c r="W426" s="1689"/>
      <c r="X426" s="1689"/>
      <c r="Y426" s="1689"/>
      <c r="Z426" s="1689"/>
      <c r="AA426" s="1689"/>
      <c r="AB426" s="1689"/>
      <c r="AC426" s="1689"/>
      <c r="AD426" s="1689"/>
      <c r="AE426" s="1689"/>
      <c r="AF426" s="1689"/>
      <c r="AG426" s="1689"/>
      <c r="AH426" s="1689"/>
      <c r="AI426" s="1689"/>
      <c r="AJ426" s="1689"/>
      <c r="AK426" s="1689"/>
      <c r="AL426" s="1689"/>
      <c r="AM426" s="1689"/>
      <c r="AN426" s="1689"/>
      <c r="AO426" s="1689"/>
      <c r="AP426" s="1689"/>
      <c r="AQ426" s="1689"/>
      <c r="AR426" s="1689"/>
      <c r="AS426" s="1689"/>
      <c r="AT426" s="1689"/>
      <c r="AU426" s="1689"/>
    </row>
    <row r="427">
      <c r="A427" s="1419"/>
      <c r="B427" s="1699"/>
      <c r="C427" s="1700"/>
      <c r="D427" s="1700"/>
      <c r="E427" s="1700"/>
      <c r="F427" s="1691"/>
      <c r="G427" s="1691"/>
      <c r="H427" s="1691"/>
      <c r="I427" s="1691"/>
      <c r="J427" s="1691"/>
      <c r="K427" s="1691"/>
      <c r="L427" s="1691"/>
      <c r="M427" s="1691"/>
      <c r="N427" s="1691"/>
      <c r="O427" s="1691"/>
      <c r="P427" s="1691"/>
      <c r="Q427" s="1691"/>
      <c r="R427" s="1691"/>
      <c r="S427" s="1691"/>
      <c r="T427" s="1691"/>
      <c r="U427" s="1691"/>
      <c r="V427" s="1691"/>
      <c r="W427" s="1691"/>
      <c r="X427" s="1691"/>
      <c r="Y427" s="1691"/>
      <c r="Z427" s="1691"/>
      <c r="AA427" s="1691"/>
      <c r="AB427" s="1691"/>
      <c r="AC427" s="1691"/>
      <c r="AD427" s="1691"/>
      <c r="AE427" s="1691"/>
      <c r="AF427" s="1691"/>
      <c r="AG427" s="1691"/>
      <c r="AH427" s="1691"/>
      <c r="AI427" s="1691"/>
      <c r="AJ427" s="1691"/>
      <c r="AK427" s="1691"/>
      <c r="AL427" s="1691"/>
      <c r="AM427" s="1691"/>
      <c r="AN427" s="1691"/>
      <c r="AO427" s="1691"/>
      <c r="AP427" s="1691"/>
      <c r="AQ427" s="1691"/>
      <c r="AR427" s="1691"/>
      <c r="AS427" s="1691"/>
      <c r="AT427" s="1691"/>
      <c r="AU427" s="1691"/>
    </row>
    <row r="428">
      <c r="A428" s="1419"/>
      <c r="B428" s="1697"/>
      <c r="C428" s="1698"/>
      <c r="D428" s="1698"/>
      <c r="E428" s="1698"/>
      <c r="F428" s="1689"/>
      <c r="G428" s="1689"/>
      <c r="H428" s="1689"/>
      <c r="I428" s="1689"/>
      <c r="J428" s="1689"/>
      <c r="K428" s="1689"/>
      <c r="L428" s="1689"/>
      <c r="M428" s="1689"/>
      <c r="N428" s="1689"/>
      <c r="O428" s="1689"/>
      <c r="P428" s="1689"/>
      <c r="Q428" s="1689"/>
      <c r="R428" s="1689"/>
      <c r="S428" s="1689"/>
      <c r="T428" s="1689"/>
      <c r="U428" s="1689"/>
      <c r="V428" s="1689"/>
      <c r="W428" s="1689"/>
      <c r="X428" s="1689"/>
      <c r="Y428" s="1689"/>
      <c r="Z428" s="1689"/>
      <c r="AA428" s="1689"/>
      <c r="AB428" s="1689"/>
      <c r="AC428" s="1689"/>
      <c r="AD428" s="1689"/>
      <c r="AE428" s="1689"/>
      <c r="AF428" s="1689"/>
      <c r="AG428" s="1689"/>
      <c r="AH428" s="1689"/>
      <c r="AI428" s="1689"/>
      <c r="AJ428" s="1689"/>
      <c r="AK428" s="1689"/>
      <c r="AL428" s="1689"/>
      <c r="AM428" s="1689"/>
      <c r="AN428" s="1689"/>
      <c r="AO428" s="1689"/>
      <c r="AP428" s="1689"/>
      <c r="AQ428" s="1689"/>
      <c r="AR428" s="1689"/>
      <c r="AS428" s="1689"/>
      <c r="AT428" s="1689"/>
      <c r="AU428" s="1689"/>
    </row>
    <row r="429">
      <c r="A429" s="1419"/>
      <c r="B429" s="1699"/>
      <c r="C429" s="1700"/>
      <c r="D429" s="1700"/>
      <c r="E429" s="1700"/>
      <c r="F429" s="1691"/>
      <c r="G429" s="1691"/>
      <c r="H429" s="1691"/>
      <c r="I429" s="1691"/>
      <c r="J429" s="1691"/>
      <c r="K429" s="1691"/>
      <c r="L429" s="1691"/>
      <c r="M429" s="1691"/>
      <c r="N429" s="1691"/>
      <c r="O429" s="1691"/>
      <c r="P429" s="1691"/>
      <c r="Q429" s="1691"/>
      <c r="R429" s="1691"/>
      <c r="S429" s="1691"/>
      <c r="T429" s="1691"/>
      <c r="U429" s="1691"/>
      <c r="V429" s="1691"/>
      <c r="W429" s="1691"/>
      <c r="X429" s="1691"/>
      <c r="Y429" s="1691"/>
      <c r="Z429" s="1691"/>
      <c r="AA429" s="1691"/>
      <c r="AB429" s="1691"/>
      <c r="AC429" s="1691"/>
      <c r="AD429" s="1691"/>
      <c r="AE429" s="1691"/>
      <c r="AF429" s="1691"/>
      <c r="AG429" s="1691"/>
      <c r="AH429" s="1691"/>
      <c r="AI429" s="1691"/>
      <c r="AJ429" s="1691"/>
      <c r="AK429" s="1691"/>
      <c r="AL429" s="1691"/>
      <c r="AM429" s="1691"/>
      <c r="AN429" s="1691"/>
      <c r="AO429" s="1691"/>
      <c r="AP429" s="1691"/>
      <c r="AQ429" s="1691"/>
      <c r="AR429" s="1691"/>
      <c r="AS429" s="1691"/>
      <c r="AT429" s="1691"/>
      <c r="AU429" s="1691"/>
    </row>
    <row r="430">
      <c r="A430" s="1419"/>
      <c r="B430" s="1697"/>
      <c r="C430" s="1698"/>
      <c r="D430" s="1698"/>
      <c r="E430" s="1698"/>
      <c r="F430" s="1689"/>
      <c r="G430" s="1689"/>
      <c r="H430" s="1689"/>
      <c r="I430" s="1689"/>
      <c r="J430" s="1689"/>
      <c r="K430" s="1689"/>
      <c r="L430" s="1689"/>
      <c r="M430" s="1689"/>
      <c r="N430" s="1689"/>
      <c r="O430" s="1689"/>
      <c r="P430" s="1689"/>
      <c r="Q430" s="1689"/>
      <c r="R430" s="1689"/>
      <c r="S430" s="1689"/>
      <c r="T430" s="1689"/>
      <c r="U430" s="1689"/>
      <c r="V430" s="1689"/>
      <c r="W430" s="1689"/>
      <c r="X430" s="1689"/>
      <c r="Y430" s="1689"/>
      <c r="Z430" s="1689"/>
      <c r="AA430" s="1689"/>
      <c r="AB430" s="1689"/>
      <c r="AC430" s="1689"/>
      <c r="AD430" s="1689"/>
      <c r="AE430" s="1689"/>
      <c r="AF430" s="1689"/>
      <c r="AG430" s="1689"/>
      <c r="AH430" s="1689"/>
      <c r="AI430" s="1689"/>
      <c r="AJ430" s="1689"/>
      <c r="AK430" s="1689"/>
      <c r="AL430" s="1689"/>
      <c r="AM430" s="1689"/>
      <c r="AN430" s="1689"/>
      <c r="AO430" s="1689"/>
      <c r="AP430" s="1689"/>
      <c r="AQ430" s="1689"/>
      <c r="AR430" s="1689"/>
      <c r="AS430" s="1689"/>
      <c r="AT430" s="1689"/>
      <c r="AU430" s="1689"/>
    </row>
    <row r="431">
      <c r="A431" s="1419"/>
      <c r="B431" s="1699"/>
      <c r="C431" s="1700"/>
      <c r="D431" s="1700"/>
      <c r="E431" s="1700"/>
      <c r="F431" s="1691"/>
      <c r="G431" s="1691"/>
      <c r="H431" s="1691"/>
      <c r="I431" s="1691"/>
      <c r="J431" s="1691"/>
      <c r="K431" s="1691"/>
      <c r="L431" s="1691"/>
      <c r="M431" s="1691"/>
      <c r="N431" s="1691"/>
      <c r="O431" s="1691"/>
      <c r="P431" s="1691"/>
      <c r="Q431" s="1691"/>
      <c r="R431" s="1691"/>
      <c r="S431" s="1691"/>
      <c r="T431" s="1691"/>
      <c r="U431" s="1691"/>
      <c r="V431" s="1691"/>
      <c r="W431" s="1691"/>
      <c r="X431" s="1691"/>
      <c r="Y431" s="1691"/>
      <c r="Z431" s="1691"/>
      <c r="AA431" s="1691"/>
      <c r="AB431" s="1691"/>
      <c r="AC431" s="1691"/>
      <c r="AD431" s="1691"/>
      <c r="AE431" s="1691"/>
      <c r="AF431" s="1691"/>
      <c r="AG431" s="1691"/>
      <c r="AH431" s="1691"/>
      <c r="AI431" s="1691"/>
      <c r="AJ431" s="1691"/>
      <c r="AK431" s="1691"/>
      <c r="AL431" s="1691"/>
      <c r="AM431" s="1691"/>
      <c r="AN431" s="1691"/>
      <c r="AO431" s="1691"/>
      <c r="AP431" s="1691"/>
      <c r="AQ431" s="1691"/>
      <c r="AR431" s="1691"/>
      <c r="AS431" s="1691"/>
      <c r="AT431" s="1691"/>
      <c r="AU431" s="1691"/>
    </row>
    <row r="432">
      <c r="A432" s="1419"/>
      <c r="B432" s="1697"/>
      <c r="C432" s="1698"/>
      <c r="D432" s="1698"/>
      <c r="E432" s="1698"/>
      <c r="F432" s="1689"/>
      <c r="G432" s="1689"/>
      <c r="H432" s="1689"/>
      <c r="I432" s="1689"/>
      <c r="J432" s="1689"/>
      <c r="K432" s="1689"/>
      <c r="L432" s="1689"/>
      <c r="M432" s="1689"/>
      <c r="N432" s="1689"/>
      <c r="O432" s="1689"/>
      <c r="P432" s="1689"/>
      <c r="Q432" s="1689"/>
      <c r="R432" s="1689"/>
      <c r="S432" s="1689"/>
      <c r="T432" s="1689"/>
      <c r="U432" s="1689"/>
      <c r="V432" s="1689"/>
      <c r="W432" s="1689"/>
      <c r="X432" s="1689"/>
      <c r="Y432" s="1689"/>
      <c r="Z432" s="1689"/>
      <c r="AA432" s="1689"/>
      <c r="AB432" s="1689"/>
      <c r="AC432" s="1689"/>
      <c r="AD432" s="1689"/>
      <c r="AE432" s="1689"/>
      <c r="AF432" s="1689"/>
      <c r="AG432" s="1689"/>
      <c r="AH432" s="1689"/>
      <c r="AI432" s="1689"/>
      <c r="AJ432" s="1689"/>
      <c r="AK432" s="1689"/>
      <c r="AL432" s="1689"/>
      <c r="AM432" s="1689"/>
      <c r="AN432" s="1689"/>
      <c r="AO432" s="1689"/>
      <c r="AP432" s="1689"/>
      <c r="AQ432" s="1689"/>
      <c r="AR432" s="1689"/>
      <c r="AS432" s="1689"/>
      <c r="AT432" s="1689"/>
      <c r="AU432" s="1689"/>
    </row>
    <row r="433">
      <c r="A433" s="1419"/>
      <c r="B433" s="1699"/>
      <c r="C433" s="1700"/>
      <c r="D433" s="1700"/>
      <c r="E433" s="1700"/>
      <c r="F433" s="1691"/>
      <c r="G433" s="1691"/>
      <c r="H433" s="1691"/>
      <c r="I433" s="1691"/>
      <c r="J433" s="1691"/>
      <c r="K433" s="1691"/>
      <c r="L433" s="1691"/>
      <c r="M433" s="1691"/>
      <c r="N433" s="1691"/>
      <c r="O433" s="1691"/>
      <c r="P433" s="1691"/>
      <c r="Q433" s="1691"/>
      <c r="R433" s="1691"/>
      <c r="S433" s="1691"/>
      <c r="T433" s="1691"/>
      <c r="U433" s="1691"/>
      <c r="V433" s="1691"/>
      <c r="W433" s="1691"/>
      <c r="X433" s="1691"/>
      <c r="Y433" s="1691"/>
      <c r="Z433" s="1691"/>
      <c r="AA433" s="1691"/>
      <c r="AB433" s="1691"/>
      <c r="AC433" s="1691"/>
      <c r="AD433" s="1691"/>
      <c r="AE433" s="1691"/>
      <c r="AF433" s="1691"/>
      <c r="AG433" s="1691"/>
      <c r="AH433" s="1691"/>
      <c r="AI433" s="1691"/>
      <c r="AJ433" s="1691"/>
      <c r="AK433" s="1691"/>
      <c r="AL433" s="1691"/>
      <c r="AM433" s="1691"/>
      <c r="AN433" s="1691"/>
      <c r="AO433" s="1691"/>
      <c r="AP433" s="1691"/>
      <c r="AQ433" s="1691"/>
      <c r="AR433" s="1691"/>
      <c r="AS433" s="1691"/>
      <c r="AT433" s="1691"/>
      <c r="AU433" s="1691"/>
    </row>
    <row r="434">
      <c r="A434" s="1419"/>
      <c r="B434" s="1697"/>
      <c r="C434" s="1698"/>
      <c r="D434" s="1698"/>
      <c r="E434" s="1698"/>
      <c r="F434" s="1689"/>
      <c r="G434" s="1689"/>
      <c r="H434" s="1689"/>
      <c r="I434" s="1689"/>
      <c r="J434" s="1689"/>
      <c r="K434" s="1689"/>
      <c r="L434" s="1689"/>
      <c r="M434" s="1689"/>
      <c r="N434" s="1689"/>
      <c r="O434" s="1689"/>
      <c r="P434" s="1689"/>
      <c r="Q434" s="1689"/>
      <c r="R434" s="1689"/>
      <c r="S434" s="1689"/>
      <c r="T434" s="1689"/>
      <c r="U434" s="1689"/>
      <c r="V434" s="1689"/>
      <c r="W434" s="1689"/>
      <c r="X434" s="1689"/>
      <c r="Y434" s="1689"/>
      <c r="Z434" s="1689"/>
      <c r="AA434" s="1689"/>
      <c r="AB434" s="1689"/>
      <c r="AC434" s="1689"/>
      <c r="AD434" s="1689"/>
      <c r="AE434" s="1689"/>
      <c r="AF434" s="1689"/>
      <c r="AG434" s="1689"/>
      <c r="AH434" s="1689"/>
      <c r="AI434" s="1689"/>
      <c r="AJ434" s="1689"/>
      <c r="AK434" s="1689"/>
      <c r="AL434" s="1689"/>
      <c r="AM434" s="1689"/>
      <c r="AN434" s="1689"/>
      <c r="AO434" s="1689"/>
      <c r="AP434" s="1689"/>
      <c r="AQ434" s="1689"/>
      <c r="AR434" s="1689"/>
      <c r="AS434" s="1689"/>
      <c r="AT434" s="1689"/>
      <c r="AU434" s="1689"/>
    </row>
    <row r="435">
      <c r="A435" s="1419"/>
      <c r="B435" s="1699"/>
      <c r="C435" s="1700"/>
      <c r="D435" s="1700"/>
      <c r="E435" s="1700"/>
      <c r="F435" s="1691"/>
      <c r="G435" s="1691"/>
      <c r="H435" s="1691"/>
      <c r="I435" s="1691"/>
      <c r="J435" s="1691"/>
      <c r="K435" s="1691"/>
      <c r="L435" s="1691"/>
      <c r="M435" s="1691"/>
      <c r="N435" s="1691"/>
      <c r="O435" s="1691"/>
      <c r="P435" s="1691"/>
      <c r="Q435" s="1691"/>
      <c r="R435" s="1691"/>
      <c r="S435" s="1691"/>
      <c r="T435" s="1691"/>
      <c r="U435" s="1691"/>
      <c r="V435" s="1691"/>
      <c r="W435" s="1691"/>
      <c r="X435" s="1691"/>
      <c r="Y435" s="1691"/>
      <c r="Z435" s="1691"/>
      <c r="AA435" s="1691"/>
      <c r="AB435" s="1691"/>
      <c r="AC435" s="1691"/>
      <c r="AD435" s="1691"/>
      <c r="AE435" s="1691"/>
      <c r="AF435" s="1691"/>
      <c r="AG435" s="1691"/>
      <c r="AH435" s="1691"/>
      <c r="AI435" s="1691"/>
      <c r="AJ435" s="1691"/>
      <c r="AK435" s="1691"/>
      <c r="AL435" s="1691"/>
      <c r="AM435" s="1691"/>
      <c r="AN435" s="1691"/>
      <c r="AO435" s="1691"/>
      <c r="AP435" s="1691"/>
      <c r="AQ435" s="1691"/>
      <c r="AR435" s="1691"/>
      <c r="AS435" s="1691"/>
      <c r="AT435" s="1691"/>
      <c r="AU435" s="1691"/>
    </row>
    <row r="436">
      <c r="A436" s="1419"/>
      <c r="B436" s="1697"/>
      <c r="C436" s="1698"/>
      <c r="D436" s="1698"/>
      <c r="E436" s="1698"/>
      <c r="F436" s="1689"/>
      <c r="G436" s="1689"/>
      <c r="H436" s="1689"/>
      <c r="I436" s="1689"/>
      <c r="J436" s="1689"/>
      <c r="K436" s="1689"/>
      <c r="L436" s="1689"/>
      <c r="M436" s="1689"/>
      <c r="N436" s="1689"/>
      <c r="O436" s="1689"/>
      <c r="P436" s="1689"/>
      <c r="Q436" s="1689"/>
      <c r="R436" s="1689"/>
      <c r="S436" s="1689"/>
      <c r="T436" s="1689"/>
      <c r="U436" s="1689"/>
      <c r="V436" s="1689"/>
      <c r="W436" s="1689"/>
      <c r="X436" s="1689"/>
      <c r="Y436" s="1689"/>
      <c r="Z436" s="1689"/>
      <c r="AA436" s="1689"/>
      <c r="AB436" s="1689"/>
      <c r="AC436" s="1689"/>
      <c r="AD436" s="1689"/>
      <c r="AE436" s="1689"/>
      <c r="AF436" s="1689"/>
      <c r="AG436" s="1689"/>
      <c r="AH436" s="1689"/>
      <c r="AI436" s="1689"/>
      <c r="AJ436" s="1689"/>
      <c r="AK436" s="1689"/>
      <c r="AL436" s="1689"/>
      <c r="AM436" s="1689"/>
      <c r="AN436" s="1689"/>
      <c r="AO436" s="1689"/>
      <c r="AP436" s="1689"/>
      <c r="AQ436" s="1689"/>
      <c r="AR436" s="1689"/>
      <c r="AS436" s="1689"/>
      <c r="AT436" s="1689"/>
      <c r="AU436" s="1689"/>
    </row>
    <row r="437">
      <c r="A437" s="1419"/>
      <c r="B437" s="1699"/>
      <c r="C437" s="1700"/>
      <c r="D437" s="1700"/>
      <c r="E437" s="1700"/>
      <c r="F437" s="1691"/>
      <c r="G437" s="1691"/>
      <c r="H437" s="1691"/>
      <c r="I437" s="1691"/>
      <c r="J437" s="1691"/>
      <c r="K437" s="1691"/>
      <c r="L437" s="1691"/>
      <c r="M437" s="1691"/>
      <c r="N437" s="1691"/>
      <c r="O437" s="1691"/>
      <c r="P437" s="1691"/>
      <c r="Q437" s="1691"/>
      <c r="R437" s="1691"/>
      <c r="S437" s="1691"/>
      <c r="T437" s="1691"/>
      <c r="U437" s="1691"/>
      <c r="V437" s="1691"/>
      <c r="W437" s="1691"/>
      <c r="X437" s="1691"/>
      <c r="Y437" s="1691"/>
      <c r="Z437" s="1691"/>
      <c r="AA437" s="1691"/>
      <c r="AB437" s="1691"/>
      <c r="AC437" s="1691"/>
      <c r="AD437" s="1691"/>
      <c r="AE437" s="1691"/>
      <c r="AF437" s="1691"/>
      <c r="AG437" s="1691"/>
      <c r="AH437" s="1691"/>
      <c r="AI437" s="1691"/>
      <c r="AJ437" s="1691"/>
      <c r="AK437" s="1691"/>
      <c r="AL437" s="1691"/>
      <c r="AM437" s="1691"/>
      <c r="AN437" s="1691"/>
      <c r="AO437" s="1691"/>
      <c r="AP437" s="1691"/>
      <c r="AQ437" s="1691"/>
      <c r="AR437" s="1691"/>
      <c r="AS437" s="1691"/>
      <c r="AT437" s="1691"/>
      <c r="AU437" s="1691"/>
    </row>
    <row r="438">
      <c r="A438" s="1419"/>
      <c r="B438" s="1697"/>
      <c r="C438" s="1698"/>
      <c r="D438" s="1698"/>
      <c r="E438" s="1698"/>
      <c r="F438" s="1689"/>
      <c r="G438" s="1689"/>
      <c r="H438" s="1689"/>
      <c r="I438" s="1689"/>
      <c r="J438" s="1689"/>
      <c r="K438" s="1689"/>
      <c r="L438" s="1689"/>
      <c r="M438" s="1689"/>
      <c r="N438" s="1689"/>
      <c r="O438" s="1689"/>
      <c r="P438" s="1689"/>
      <c r="Q438" s="1689"/>
      <c r="R438" s="1689"/>
      <c r="S438" s="1689"/>
      <c r="T438" s="1689"/>
      <c r="U438" s="1689"/>
      <c r="V438" s="1689"/>
      <c r="W438" s="1689"/>
      <c r="X438" s="1689"/>
      <c r="Y438" s="1689"/>
      <c r="Z438" s="1689"/>
      <c r="AA438" s="1689"/>
      <c r="AB438" s="1689"/>
      <c r="AC438" s="1689"/>
      <c r="AD438" s="1689"/>
      <c r="AE438" s="1689"/>
      <c r="AF438" s="1689"/>
      <c r="AG438" s="1689"/>
      <c r="AH438" s="1689"/>
      <c r="AI438" s="1689"/>
      <c r="AJ438" s="1689"/>
      <c r="AK438" s="1689"/>
      <c r="AL438" s="1689"/>
      <c r="AM438" s="1689"/>
      <c r="AN438" s="1689"/>
      <c r="AO438" s="1689"/>
      <c r="AP438" s="1689"/>
      <c r="AQ438" s="1689"/>
      <c r="AR438" s="1689"/>
      <c r="AS438" s="1689"/>
      <c r="AT438" s="1689"/>
      <c r="AU438" s="1689"/>
    </row>
    <row r="439">
      <c r="A439" s="1419"/>
      <c r="B439" s="1699"/>
      <c r="C439" s="1700"/>
      <c r="D439" s="1700"/>
      <c r="E439" s="1700"/>
      <c r="F439" s="1691"/>
      <c r="G439" s="1691"/>
      <c r="H439" s="1691"/>
      <c r="I439" s="1691"/>
      <c r="J439" s="1691"/>
      <c r="K439" s="1691"/>
      <c r="L439" s="1691"/>
      <c r="M439" s="1691"/>
      <c r="N439" s="1691"/>
      <c r="O439" s="1691"/>
      <c r="P439" s="1691"/>
      <c r="Q439" s="1691"/>
      <c r="R439" s="1691"/>
      <c r="S439" s="1691"/>
      <c r="T439" s="1691"/>
      <c r="U439" s="1691"/>
      <c r="V439" s="1691"/>
      <c r="W439" s="1691"/>
      <c r="X439" s="1691"/>
      <c r="Y439" s="1691"/>
      <c r="Z439" s="1691"/>
      <c r="AA439" s="1691"/>
      <c r="AB439" s="1691"/>
      <c r="AC439" s="1691"/>
      <c r="AD439" s="1691"/>
      <c r="AE439" s="1691"/>
      <c r="AF439" s="1691"/>
      <c r="AG439" s="1691"/>
      <c r="AH439" s="1691"/>
      <c r="AI439" s="1691"/>
      <c r="AJ439" s="1691"/>
      <c r="AK439" s="1691"/>
      <c r="AL439" s="1691"/>
      <c r="AM439" s="1691"/>
      <c r="AN439" s="1691"/>
      <c r="AO439" s="1691"/>
      <c r="AP439" s="1691"/>
      <c r="AQ439" s="1691"/>
      <c r="AR439" s="1691"/>
      <c r="AS439" s="1691"/>
      <c r="AT439" s="1691"/>
      <c r="AU439" s="1691"/>
    </row>
    <row r="440">
      <c r="A440" s="1419"/>
      <c r="B440" s="1697"/>
      <c r="C440" s="1698"/>
      <c r="D440" s="1698"/>
      <c r="E440" s="1698"/>
      <c r="F440" s="1689"/>
      <c r="G440" s="1689"/>
      <c r="H440" s="1689"/>
      <c r="I440" s="1689"/>
      <c r="J440" s="1689"/>
      <c r="K440" s="1689"/>
      <c r="L440" s="1689"/>
      <c r="M440" s="1689"/>
      <c r="N440" s="1689"/>
      <c r="O440" s="1689"/>
      <c r="P440" s="1689"/>
      <c r="Q440" s="1689"/>
      <c r="R440" s="1689"/>
      <c r="S440" s="1689"/>
      <c r="T440" s="1689"/>
      <c r="U440" s="1689"/>
      <c r="V440" s="1689"/>
      <c r="W440" s="1689"/>
      <c r="X440" s="1689"/>
      <c r="Y440" s="1689"/>
      <c r="Z440" s="1689"/>
      <c r="AA440" s="1689"/>
      <c r="AB440" s="1689"/>
      <c r="AC440" s="1689"/>
      <c r="AD440" s="1689"/>
      <c r="AE440" s="1689"/>
      <c r="AF440" s="1689"/>
      <c r="AG440" s="1689"/>
      <c r="AH440" s="1689"/>
      <c r="AI440" s="1689"/>
      <c r="AJ440" s="1689"/>
      <c r="AK440" s="1689"/>
      <c r="AL440" s="1689"/>
      <c r="AM440" s="1689"/>
      <c r="AN440" s="1689"/>
      <c r="AO440" s="1689"/>
      <c r="AP440" s="1689"/>
      <c r="AQ440" s="1689"/>
      <c r="AR440" s="1689"/>
      <c r="AS440" s="1689"/>
      <c r="AT440" s="1689"/>
      <c r="AU440" s="1689"/>
    </row>
    <row r="441">
      <c r="A441" s="1419"/>
      <c r="B441" s="1699"/>
      <c r="C441" s="1700"/>
      <c r="D441" s="1700"/>
      <c r="E441" s="1700"/>
      <c r="F441" s="1691"/>
      <c r="G441" s="1691"/>
      <c r="H441" s="1691"/>
      <c r="I441" s="1691"/>
      <c r="J441" s="1691"/>
      <c r="K441" s="1691"/>
      <c r="L441" s="1691"/>
      <c r="M441" s="1691"/>
      <c r="N441" s="1691"/>
      <c r="O441" s="1691"/>
      <c r="P441" s="1691"/>
      <c r="Q441" s="1691"/>
      <c r="R441" s="1691"/>
      <c r="S441" s="1691"/>
      <c r="T441" s="1691"/>
      <c r="U441" s="1691"/>
      <c r="V441" s="1691"/>
      <c r="W441" s="1691"/>
      <c r="X441" s="1691"/>
      <c r="Y441" s="1691"/>
      <c r="Z441" s="1691"/>
      <c r="AA441" s="1691"/>
      <c r="AB441" s="1691"/>
      <c r="AC441" s="1691"/>
      <c r="AD441" s="1691"/>
      <c r="AE441" s="1691"/>
      <c r="AF441" s="1691"/>
      <c r="AG441" s="1691"/>
      <c r="AH441" s="1691"/>
      <c r="AI441" s="1691"/>
      <c r="AJ441" s="1691"/>
      <c r="AK441" s="1691"/>
      <c r="AL441" s="1691"/>
      <c r="AM441" s="1691"/>
      <c r="AN441" s="1691"/>
      <c r="AO441" s="1691"/>
      <c r="AP441" s="1691"/>
      <c r="AQ441" s="1691"/>
      <c r="AR441" s="1691"/>
      <c r="AS441" s="1691"/>
      <c r="AT441" s="1691"/>
      <c r="AU441" s="1691"/>
    </row>
    <row r="442">
      <c r="A442" s="1419"/>
      <c r="B442" s="1697"/>
      <c r="C442" s="1698"/>
      <c r="D442" s="1698"/>
      <c r="E442" s="1698"/>
      <c r="F442" s="1689"/>
      <c r="G442" s="1689"/>
      <c r="H442" s="1689"/>
      <c r="I442" s="1689"/>
      <c r="J442" s="1689"/>
      <c r="K442" s="1689"/>
      <c r="L442" s="1689"/>
      <c r="M442" s="1689"/>
      <c r="N442" s="1689"/>
      <c r="O442" s="1689"/>
      <c r="P442" s="1689"/>
      <c r="Q442" s="1689"/>
      <c r="R442" s="1689"/>
      <c r="S442" s="1689"/>
      <c r="T442" s="1689"/>
      <c r="U442" s="1689"/>
      <c r="V442" s="1689"/>
      <c r="W442" s="1689"/>
      <c r="X442" s="1689"/>
      <c r="Y442" s="1689"/>
      <c r="Z442" s="1689"/>
      <c r="AA442" s="1689"/>
      <c r="AB442" s="1689"/>
      <c r="AC442" s="1689"/>
      <c r="AD442" s="1689"/>
      <c r="AE442" s="1689"/>
      <c r="AF442" s="1689"/>
      <c r="AG442" s="1689"/>
      <c r="AH442" s="1689"/>
      <c r="AI442" s="1689"/>
      <c r="AJ442" s="1689"/>
      <c r="AK442" s="1689"/>
      <c r="AL442" s="1689"/>
      <c r="AM442" s="1689"/>
      <c r="AN442" s="1689"/>
      <c r="AO442" s="1689"/>
      <c r="AP442" s="1689"/>
      <c r="AQ442" s="1689"/>
      <c r="AR442" s="1689"/>
      <c r="AS442" s="1689"/>
      <c r="AT442" s="1689"/>
      <c r="AU442" s="1689"/>
    </row>
    <row r="443">
      <c r="A443" s="1419"/>
      <c r="B443" s="1699"/>
      <c r="C443" s="1700"/>
      <c r="D443" s="1700"/>
      <c r="E443" s="1700"/>
      <c r="F443" s="1691"/>
      <c r="G443" s="1691"/>
      <c r="H443" s="1691"/>
      <c r="I443" s="1691"/>
      <c r="J443" s="1691"/>
      <c r="K443" s="1691"/>
      <c r="L443" s="1691"/>
      <c r="M443" s="1691"/>
      <c r="N443" s="1691"/>
      <c r="O443" s="1691"/>
      <c r="P443" s="1691"/>
      <c r="Q443" s="1691"/>
      <c r="R443" s="1691"/>
      <c r="S443" s="1691"/>
      <c r="T443" s="1691"/>
      <c r="U443" s="1691"/>
      <c r="V443" s="1691"/>
      <c r="W443" s="1691"/>
      <c r="X443" s="1691"/>
      <c r="Y443" s="1691"/>
      <c r="Z443" s="1691"/>
      <c r="AA443" s="1691"/>
      <c r="AB443" s="1691"/>
      <c r="AC443" s="1691"/>
      <c r="AD443" s="1691"/>
      <c r="AE443" s="1691"/>
      <c r="AF443" s="1691"/>
      <c r="AG443" s="1691"/>
      <c r="AH443" s="1691"/>
      <c r="AI443" s="1691"/>
      <c r="AJ443" s="1691"/>
      <c r="AK443" s="1691"/>
      <c r="AL443" s="1691"/>
      <c r="AM443" s="1691"/>
      <c r="AN443" s="1691"/>
      <c r="AO443" s="1691"/>
      <c r="AP443" s="1691"/>
      <c r="AQ443" s="1691"/>
      <c r="AR443" s="1691"/>
      <c r="AS443" s="1691"/>
      <c r="AT443" s="1691"/>
      <c r="AU443" s="1691"/>
    </row>
    <row r="444">
      <c r="A444" s="1419"/>
      <c r="B444" s="1697"/>
      <c r="C444" s="1698"/>
      <c r="D444" s="1698"/>
      <c r="E444" s="1698"/>
      <c r="F444" s="1689"/>
      <c r="G444" s="1689"/>
      <c r="H444" s="1689"/>
      <c r="I444" s="1689"/>
      <c r="J444" s="1689"/>
      <c r="K444" s="1689"/>
      <c r="L444" s="1689"/>
      <c r="M444" s="1689"/>
      <c r="N444" s="1689"/>
      <c r="O444" s="1689"/>
      <c r="P444" s="1689"/>
      <c r="Q444" s="1689"/>
      <c r="R444" s="1689"/>
      <c r="S444" s="1689"/>
      <c r="T444" s="1689"/>
      <c r="U444" s="1689"/>
      <c r="V444" s="1689"/>
      <c r="W444" s="1689"/>
      <c r="X444" s="1689"/>
      <c r="Y444" s="1689"/>
      <c r="Z444" s="1689"/>
      <c r="AA444" s="1689"/>
      <c r="AB444" s="1689"/>
      <c r="AC444" s="1689"/>
      <c r="AD444" s="1689"/>
      <c r="AE444" s="1689"/>
      <c r="AF444" s="1689"/>
      <c r="AG444" s="1689"/>
      <c r="AH444" s="1689"/>
      <c r="AI444" s="1689"/>
      <c r="AJ444" s="1689"/>
      <c r="AK444" s="1689"/>
      <c r="AL444" s="1689"/>
      <c r="AM444" s="1689"/>
      <c r="AN444" s="1689"/>
      <c r="AO444" s="1689"/>
      <c r="AP444" s="1689"/>
      <c r="AQ444" s="1689"/>
      <c r="AR444" s="1689"/>
      <c r="AS444" s="1689"/>
      <c r="AT444" s="1689"/>
      <c r="AU444" s="1689"/>
    </row>
    <row r="445">
      <c r="A445" s="1419"/>
      <c r="B445" s="1699"/>
      <c r="C445" s="1700"/>
      <c r="D445" s="1700"/>
      <c r="E445" s="1700"/>
      <c r="F445" s="1691"/>
      <c r="G445" s="1691"/>
      <c r="H445" s="1691"/>
      <c r="I445" s="1691"/>
      <c r="J445" s="1691"/>
      <c r="K445" s="1691"/>
      <c r="L445" s="1691"/>
      <c r="M445" s="1691"/>
      <c r="N445" s="1691"/>
      <c r="O445" s="1691"/>
      <c r="P445" s="1691"/>
      <c r="Q445" s="1691"/>
      <c r="R445" s="1691"/>
      <c r="S445" s="1691"/>
      <c r="T445" s="1691"/>
      <c r="U445" s="1691"/>
      <c r="V445" s="1691"/>
      <c r="W445" s="1691"/>
      <c r="X445" s="1691"/>
      <c r="Y445" s="1691"/>
      <c r="Z445" s="1691"/>
      <c r="AA445" s="1691"/>
      <c r="AB445" s="1691"/>
      <c r="AC445" s="1691"/>
      <c r="AD445" s="1691"/>
      <c r="AE445" s="1691"/>
      <c r="AF445" s="1691"/>
      <c r="AG445" s="1691"/>
      <c r="AH445" s="1691"/>
      <c r="AI445" s="1691"/>
      <c r="AJ445" s="1691"/>
      <c r="AK445" s="1691"/>
      <c r="AL445" s="1691"/>
      <c r="AM445" s="1691"/>
      <c r="AN445" s="1691"/>
      <c r="AO445" s="1691"/>
      <c r="AP445" s="1691"/>
      <c r="AQ445" s="1691"/>
      <c r="AR445" s="1691"/>
      <c r="AS445" s="1691"/>
      <c r="AT445" s="1691"/>
      <c r="AU445" s="1691"/>
    </row>
    <row r="446">
      <c r="A446" s="1419"/>
      <c r="B446" s="1697"/>
      <c r="C446" s="1698"/>
      <c r="D446" s="1698"/>
      <c r="E446" s="1698"/>
      <c r="F446" s="1689"/>
      <c r="G446" s="1689"/>
      <c r="H446" s="1689"/>
      <c r="I446" s="1689"/>
      <c r="J446" s="1689"/>
      <c r="K446" s="1689"/>
      <c r="L446" s="1689"/>
      <c r="M446" s="1689"/>
      <c r="N446" s="1689"/>
      <c r="O446" s="1689"/>
      <c r="P446" s="1689"/>
      <c r="Q446" s="1689"/>
      <c r="R446" s="1689"/>
      <c r="S446" s="1689"/>
      <c r="T446" s="1689"/>
      <c r="U446" s="1689"/>
      <c r="V446" s="1689"/>
      <c r="W446" s="1689"/>
      <c r="X446" s="1689"/>
      <c r="Y446" s="1689"/>
      <c r="Z446" s="1689"/>
      <c r="AA446" s="1689"/>
      <c r="AB446" s="1689"/>
      <c r="AC446" s="1689"/>
      <c r="AD446" s="1689"/>
      <c r="AE446" s="1689"/>
      <c r="AF446" s="1689"/>
      <c r="AG446" s="1689"/>
      <c r="AH446" s="1689"/>
      <c r="AI446" s="1689"/>
      <c r="AJ446" s="1689"/>
      <c r="AK446" s="1689"/>
      <c r="AL446" s="1689"/>
      <c r="AM446" s="1689"/>
      <c r="AN446" s="1689"/>
      <c r="AO446" s="1689"/>
      <c r="AP446" s="1689"/>
      <c r="AQ446" s="1689"/>
      <c r="AR446" s="1689"/>
      <c r="AS446" s="1689"/>
      <c r="AT446" s="1689"/>
      <c r="AU446" s="1689"/>
    </row>
    <row r="447">
      <c r="A447" s="1419"/>
      <c r="B447" s="1699"/>
      <c r="C447" s="1700"/>
      <c r="D447" s="1700"/>
      <c r="E447" s="1700"/>
      <c r="F447" s="1691"/>
      <c r="G447" s="1691"/>
      <c r="H447" s="1691"/>
      <c r="I447" s="1691"/>
      <c r="J447" s="1691"/>
      <c r="K447" s="1691"/>
      <c r="L447" s="1691"/>
      <c r="M447" s="1691"/>
      <c r="N447" s="1691"/>
      <c r="O447" s="1691"/>
      <c r="P447" s="1691"/>
      <c r="Q447" s="1691"/>
      <c r="R447" s="1691"/>
      <c r="S447" s="1691"/>
      <c r="T447" s="1691"/>
      <c r="U447" s="1691"/>
      <c r="V447" s="1691"/>
      <c r="W447" s="1691"/>
      <c r="X447" s="1691"/>
      <c r="Y447" s="1691"/>
      <c r="Z447" s="1691"/>
      <c r="AA447" s="1691"/>
      <c r="AB447" s="1691"/>
      <c r="AC447" s="1691"/>
      <c r="AD447" s="1691"/>
      <c r="AE447" s="1691"/>
      <c r="AF447" s="1691"/>
      <c r="AG447" s="1691"/>
      <c r="AH447" s="1691"/>
      <c r="AI447" s="1691"/>
      <c r="AJ447" s="1691"/>
      <c r="AK447" s="1691"/>
      <c r="AL447" s="1691"/>
      <c r="AM447" s="1691"/>
      <c r="AN447" s="1691"/>
      <c r="AO447" s="1691"/>
      <c r="AP447" s="1691"/>
      <c r="AQ447" s="1691"/>
      <c r="AR447" s="1691"/>
      <c r="AS447" s="1691"/>
      <c r="AT447" s="1691"/>
      <c r="AU447" s="1691"/>
    </row>
    <row r="448">
      <c r="A448" s="1419"/>
      <c r="B448" s="1697"/>
      <c r="C448" s="1698"/>
      <c r="D448" s="1698"/>
      <c r="E448" s="1698"/>
      <c r="F448" s="1689"/>
      <c r="G448" s="1689"/>
      <c r="H448" s="1689"/>
      <c r="I448" s="1689"/>
      <c r="J448" s="1689"/>
      <c r="K448" s="1689"/>
      <c r="L448" s="1689"/>
      <c r="M448" s="1689"/>
      <c r="N448" s="1689"/>
      <c r="O448" s="1689"/>
      <c r="P448" s="1689"/>
      <c r="Q448" s="1689"/>
      <c r="R448" s="1689"/>
      <c r="S448" s="1689"/>
      <c r="T448" s="1689"/>
      <c r="U448" s="1689"/>
      <c r="V448" s="1689"/>
      <c r="W448" s="1689"/>
      <c r="X448" s="1689"/>
      <c r="Y448" s="1689"/>
      <c r="Z448" s="1689"/>
      <c r="AA448" s="1689"/>
      <c r="AB448" s="1689"/>
      <c r="AC448" s="1689"/>
      <c r="AD448" s="1689"/>
      <c r="AE448" s="1689"/>
      <c r="AF448" s="1689"/>
      <c r="AG448" s="1689"/>
      <c r="AH448" s="1689"/>
      <c r="AI448" s="1689"/>
      <c r="AJ448" s="1689"/>
      <c r="AK448" s="1689"/>
      <c r="AL448" s="1689"/>
      <c r="AM448" s="1689"/>
      <c r="AN448" s="1689"/>
      <c r="AO448" s="1689"/>
      <c r="AP448" s="1689"/>
      <c r="AQ448" s="1689"/>
      <c r="AR448" s="1689"/>
      <c r="AS448" s="1689"/>
      <c r="AT448" s="1689"/>
      <c r="AU448" s="1689"/>
    </row>
    <row r="449">
      <c r="A449" s="1419"/>
      <c r="B449" s="1699"/>
      <c r="C449" s="1700"/>
      <c r="D449" s="1700"/>
      <c r="E449" s="1700"/>
      <c r="F449" s="1691"/>
      <c r="G449" s="1691"/>
      <c r="H449" s="1691"/>
      <c r="I449" s="1691"/>
      <c r="J449" s="1691"/>
      <c r="K449" s="1691"/>
      <c r="L449" s="1691"/>
      <c r="M449" s="1691"/>
      <c r="N449" s="1691"/>
      <c r="O449" s="1691"/>
      <c r="P449" s="1691"/>
      <c r="Q449" s="1691"/>
      <c r="R449" s="1691"/>
      <c r="S449" s="1691"/>
      <c r="T449" s="1691"/>
      <c r="U449" s="1691"/>
      <c r="V449" s="1691"/>
      <c r="W449" s="1691"/>
      <c r="X449" s="1691"/>
      <c r="Y449" s="1691"/>
      <c r="Z449" s="1691"/>
      <c r="AA449" s="1691"/>
      <c r="AB449" s="1691"/>
      <c r="AC449" s="1691"/>
      <c r="AD449" s="1691"/>
      <c r="AE449" s="1691"/>
      <c r="AF449" s="1691"/>
      <c r="AG449" s="1691"/>
      <c r="AH449" s="1691"/>
      <c r="AI449" s="1691"/>
      <c r="AJ449" s="1691"/>
      <c r="AK449" s="1691"/>
      <c r="AL449" s="1691"/>
      <c r="AM449" s="1691"/>
      <c r="AN449" s="1691"/>
      <c r="AO449" s="1691"/>
      <c r="AP449" s="1691"/>
      <c r="AQ449" s="1691"/>
      <c r="AR449" s="1691"/>
      <c r="AS449" s="1691"/>
      <c r="AT449" s="1691"/>
      <c r="AU449" s="1691"/>
    </row>
    <row r="450">
      <c r="A450" s="1419"/>
      <c r="B450" s="1697"/>
      <c r="C450" s="1698"/>
      <c r="D450" s="1698"/>
      <c r="E450" s="1698"/>
      <c r="F450" s="1689"/>
      <c r="G450" s="1689"/>
      <c r="H450" s="1689"/>
      <c r="I450" s="1689"/>
      <c r="J450" s="1689"/>
      <c r="K450" s="1689"/>
      <c r="L450" s="1689"/>
      <c r="M450" s="1689"/>
      <c r="N450" s="1689"/>
      <c r="O450" s="1689"/>
      <c r="P450" s="1689"/>
      <c r="Q450" s="1689"/>
      <c r="R450" s="1689"/>
      <c r="S450" s="1689"/>
      <c r="T450" s="1689"/>
      <c r="U450" s="1689"/>
      <c r="V450" s="1689"/>
      <c r="W450" s="1689"/>
      <c r="X450" s="1689"/>
      <c r="Y450" s="1689"/>
      <c r="Z450" s="1689"/>
      <c r="AA450" s="1689"/>
      <c r="AB450" s="1689"/>
      <c r="AC450" s="1689"/>
      <c r="AD450" s="1689"/>
      <c r="AE450" s="1689"/>
      <c r="AF450" s="1689"/>
      <c r="AG450" s="1689"/>
      <c r="AH450" s="1689"/>
      <c r="AI450" s="1689"/>
      <c r="AJ450" s="1689"/>
      <c r="AK450" s="1689"/>
      <c r="AL450" s="1689"/>
      <c r="AM450" s="1689"/>
      <c r="AN450" s="1689"/>
      <c r="AO450" s="1689"/>
      <c r="AP450" s="1689"/>
      <c r="AQ450" s="1689"/>
      <c r="AR450" s="1689"/>
      <c r="AS450" s="1689"/>
      <c r="AT450" s="1689"/>
      <c r="AU450" s="1689"/>
    </row>
    <row r="451">
      <c r="A451" s="1419"/>
      <c r="B451" s="1699"/>
      <c r="C451" s="1700"/>
      <c r="D451" s="1700"/>
      <c r="E451" s="1700"/>
      <c r="F451" s="1691"/>
      <c r="G451" s="1691"/>
      <c r="H451" s="1691"/>
      <c r="I451" s="1691"/>
      <c r="J451" s="1691"/>
      <c r="K451" s="1691"/>
      <c r="L451" s="1691"/>
      <c r="M451" s="1691"/>
      <c r="N451" s="1691"/>
      <c r="O451" s="1691"/>
      <c r="P451" s="1691"/>
      <c r="Q451" s="1691"/>
      <c r="R451" s="1691"/>
      <c r="S451" s="1691"/>
      <c r="T451" s="1691"/>
      <c r="U451" s="1691"/>
      <c r="V451" s="1691"/>
      <c r="W451" s="1691"/>
      <c r="X451" s="1691"/>
      <c r="Y451" s="1691"/>
      <c r="Z451" s="1691"/>
      <c r="AA451" s="1691"/>
      <c r="AB451" s="1691"/>
      <c r="AC451" s="1691"/>
      <c r="AD451" s="1691"/>
      <c r="AE451" s="1691"/>
      <c r="AF451" s="1691"/>
      <c r="AG451" s="1691"/>
      <c r="AH451" s="1691"/>
      <c r="AI451" s="1691"/>
      <c r="AJ451" s="1691"/>
      <c r="AK451" s="1691"/>
      <c r="AL451" s="1691"/>
      <c r="AM451" s="1691"/>
      <c r="AN451" s="1691"/>
      <c r="AO451" s="1691"/>
      <c r="AP451" s="1691"/>
      <c r="AQ451" s="1691"/>
      <c r="AR451" s="1691"/>
      <c r="AS451" s="1691"/>
      <c r="AT451" s="1691"/>
      <c r="AU451" s="1691"/>
    </row>
    <row r="452">
      <c r="A452" s="1440" t="s">
        <v>2461</v>
      </c>
      <c r="B452" s="1697"/>
      <c r="C452" s="1698"/>
      <c r="D452" s="1698"/>
      <c r="E452" s="1698"/>
      <c r="F452" s="1689"/>
      <c r="G452" s="1689"/>
      <c r="H452" s="1689"/>
      <c r="I452" s="1689"/>
      <c r="J452" s="1689"/>
      <c r="K452" s="1689"/>
      <c r="L452" s="1689"/>
      <c r="M452" s="1689"/>
      <c r="N452" s="1689"/>
      <c r="O452" s="1689"/>
      <c r="P452" s="1689"/>
      <c r="Q452" s="1689"/>
      <c r="R452" s="1689"/>
      <c r="S452" s="1689"/>
      <c r="T452" s="1689"/>
      <c r="U452" s="1689"/>
      <c r="V452" s="1689"/>
      <c r="W452" s="1689"/>
      <c r="X452" s="1689"/>
      <c r="Y452" s="1689"/>
      <c r="Z452" s="1689"/>
      <c r="AA452" s="1689"/>
      <c r="AB452" s="1689"/>
      <c r="AC452" s="1689"/>
      <c r="AD452" s="1689"/>
      <c r="AE452" s="1689"/>
      <c r="AF452" s="1689"/>
      <c r="AG452" s="1689"/>
      <c r="AH452" s="1689"/>
      <c r="AI452" s="1689"/>
      <c r="AJ452" s="1689"/>
      <c r="AK452" s="1689"/>
      <c r="AL452" s="1689"/>
      <c r="AM452" s="1689"/>
      <c r="AN452" s="1689"/>
      <c r="AO452" s="1689"/>
      <c r="AP452" s="1689"/>
      <c r="AQ452" s="1689"/>
      <c r="AR452" s="1689"/>
      <c r="AS452" s="1689"/>
      <c r="AT452" s="1689"/>
      <c r="AU452" s="1689"/>
    </row>
    <row r="453">
      <c r="A453" s="1419"/>
      <c r="B453" s="1699"/>
      <c r="C453" s="1700"/>
      <c r="D453" s="1700"/>
      <c r="E453" s="1700"/>
      <c r="F453" s="1691"/>
      <c r="G453" s="1691"/>
      <c r="H453" s="1691"/>
      <c r="I453" s="1691"/>
      <c r="J453" s="1691"/>
      <c r="K453" s="1691"/>
      <c r="L453" s="1691"/>
      <c r="M453" s="1691"/>
      <c r="N453" s="1691"/>
      <c r="O453" s="1691"/>
      <c r="P453" s="1691"/>
      <c r="Q453" s="1691"/>
      <c r="R453" s="1691"/>
      <c r="S453" s="1691"/>
      <c r="T453" s="1691"/>
      <c r="U453" s="1691"/>
      <c r="V453" s="1691"/>
      <c r="W453" s="1691"/>
      <c r="X453" s="1691"/>
      <c r="Y453" s="1691"/>
      <c r="Z453" s="1691"/>
      <c r="AA453" s="1691"/>
      <c r="AB453" s="1691"/>
      <c r="AC453" s="1691"/>
      <c r="AD453" s="1691"/>
      <c r="AE453" s="1691"/>
      <c r="AF453" s="1691"/>
      <c r="AG453" s="1691"/>
      <c r="AH453" s="1691"/>
      <c r="AI453" s="1691"/>
      <c r="AJ453" s="1691"/>
      <c r="AK453" s="1691"/>
      <c r="AL453" s="1691"/>
      <c r="AM453" s="1691"/>
      <c r="AN453" s="1691"/>
      <c r="AO453" s="1691"/>
      <c r="AP453" s="1691"/>
      <c r="AQ453" s="1691"/>
      <c r="AR453" s="1691"/>
      <c r="AS453" s="1691"/>
      <c r="AT453" s="1691"/>
      <c r="AU453" s="1691"/>
    </row>
    <row r="454">
      <c r="A454" s="1419"/>
      <c r="B454" s="1697"/>
      <c r="C454" s="1698"/>
      <c r="D454" s="1698"/>
      <c r="E454" s="1698"/>
      <c r="F454" s="1689"/>
      <c r="G454" s="1689"/>
      <c r="H454" s="1689"/>
      <c r="I454" s="1689"/>
      <c r="J454" s="1689"/>
      <c r="K454" s="1689"/>
      <c r="L454" s="1689"/>
      <c r="M454" s="1689"/>
      <c r="N454" s="1689"/>
      <c r="O454" s="1689"/>
      <c r="P454" s="1689"/>
      <c r="Q454" s="1689"/>
      <c r="R454" s="1689"/>
      <c r="S454" s="1689"/>
      <c r="T454" s="1689"/>
      <c r="U454" s="1689"/>
      <c r="V454" s="1689"/>
      <c r="W454" s="1689"/>
      <c r="X454" s="1689"/>
      <c r="Y454" s="1689"/>
      <c r="Z454" s="1689"/>
      <c r="AA454" s="1689"/>
      <c r="AB454" s="1689"/>
      <c r="AC454" s="1689"/>
      <c r="AD454" s="1689"/>
      <c r="AE454" s="1689"/>
      <c r="AF454" s="1689"/>
      <c r="AG454" s="1689"/>
      <c r="AH454" s="1689"/>
      <c r="AI454" s="1689"/>
      <c r="AJ454" s="1689"/>
      <c r="AK454" s="1689"/>
      <c r="AL454" s="1689"/>
      <c r="AM454" s="1689"/>
      <c r="AN454" s="1689"/>
      <c r="AO454" s="1689"/>
      <c r="AP454" s="1689"/>
      <c r="AQ454" s="1689"/>
      <c r="AR454" s="1689"/>
      <c r="AS454" s="1689"/>
      <c r="AT454" s="1689"/>
      <c r="AU454" s="1689"/>
    </row>
    <row r="455">
      <c r="A455" s="1419"/>
      <c r="B455" s="1699"/>
      <c r="C455" s="1700"/>
      <c r="D455" s="1700"/>
      <c r="E455" s="1700"/>
      <c r="F455" s="1691"/>
      <c r="G455" s="1691"/>
      <c r="H455" s="1691"/>
      <c r="I455" s="1691"/>
      <c r="J455" s="1691"/>
      <c r="K455" s="1691"/>
      <c r="L455" s="1691"/>
      <c r="M455" s="1691"/>
      <c r="N455" s="1691"/>
      <c r="O455" s="1691"/>
      <c r="P455" s="1691"/>
      <c r="Q455" s="1691"/>
      <c r="R455" s="1691"/>
      <c r="S455" s="1691"/>
      <c r="T455" s="1691"/>
      <c r="U455" s="1691"/>
      <c r="V455" s="1691"/>
      <c r="W455" s="1691"/>
      <c r="X455" s="1691"/>
      <c r="Y455" s="1691"/>
      <c r="Z455" s="1691"/>
      <c r="AA455" s="1691"/>
      <c r="AB455" s="1691"/>
      <c r="AC455" s="1691"/>
      <c r="AD455" s="1691"/>
      <c r="AE455" s="1691"/>
      <c r="AF455" s="1691"/>
      <c r="AG455" s="1691"/>
      <c r="AH455" s="1691"/>
      <c r="AI455" s="1691"/>
      <c r="AJ455" s="1691"/>
      <c r="AK455" s="1691"/>
      <c r="AL455" s="1691"/>
      <c r="AM455" s="1691"/>
      <c r="AN455" s="1691"/>
      <c r="AO455" s="1691"/>
      <c r="AP455" s="1691"/>
      <c r="AQ455" s="1691"/>
      <c r="AR455" s="1691"/>
      <c r="AS455" s="1691"/>
      <c r="AT455" s="1691"/>
      <c r="AU455" s="1691"/>
    </row>
    <row r="456">
      <c r="A456" s="1419"/>
      <c r="B456" s="1697"/>
      <c r="C456" s="1698"/>
      <c r="D456" s="1698"/>
      <c r="E456" s="1698"/>
      <c r="F456" s="1689"/>
      <c r="G456" s="1689"/>
      <c r="H456" s="1689"/>
      <c r="I456" s="1689"/>
      <c r="J456" s="1689"/>
      <c r="K456" s="1689"/>
      <c r="L456" s="1689"/>
      <c r="M456" s="1689"/>
      <c r="N456" s="1689"/>
      <c r="O456" s="1689"/>
      <c r="P456" s="1689"/>
      <c r="Q456" s="1689"/>
      <c r="R456" s="1689"/>
      <c r="S456" s="1689"/>
      <c r="T456" s="1689"/>
      <c r="U456" s="1689"/>
      <c r="V456" s="1689"/>
      <c r="W456" s="1689"/>
      <c r="X456" s="1689"/>
      <c r="Y456" s="1689"/>
      <c r="Z456" s="1689"/>
      <c r="AA456" s="1689"/>
      <c r="AB456" s="1689"/>
      <c r="AC456" s="1689"/>
      <c r="AD456" s="1689"/>
      <c r="AE456" s="1689"/>
      <c r="AF456" s="1689"/>
      <c r="AG456" s="1689"/>
      <c r="AH456" s="1689"/>
      <c r="AI456" s="1689"/>
      <c r="AJ456" s="1689"/>
      <c r="AK456" s="1689"/>
      <c r="AL456" s="1689"/>
      <c r="AM456" s="1689"/>
      <c r="AN456" s="1689"/>
      <c r="AO456" s="1689"/>
      <c r="AP456" s="1689"/>
      <c r="AQ456" s="1689"/>
      <c r="AR456" s="1689"/>
      <c r="AS456" s="1689"/>
      <c r="AT456" s="1689"/>
      <c r="AU456" s="1689"/>
    </row>
    <row r="457">
      <c r="A457" s="1419"/>
      <c r="B457" s="1699"/>
      <c r="C457" s="1700"/>
      <c r="D457" s="1700"/>
      <c r="E457" s="1700"/>
      <c r="F457" s="1691"/>
      <c r="G457" s="1691"/>
      <c r="H457" s="1691"/>
      <c r="I457" s="1691"/>
      <c r="J457" s="1691"/>
      <c r="K457" s="1691"/>
      <c r="L457" s="1691"/>
      <c r="M457" s="1691"/>
      <c r="N457" s="1691"/>
      <c r="O457" s="1691"/>
      <c r="P457" s="1691"/>
      <c r="Q457" s="1691"/>
      <c r="R457" s="1691"/>
      <c r="S457" s="1691"/>
      <c r="T457" s="1691"/>
      <c r="U457" s="1691"/>
      <c r="V457" s="1691"/>
      <c r="W457" s="1691"/>
      <c r="X457" s="1691"/>
      <c r="Y457" s="1691"/>
      <c r="Z457" s="1691"/>
      <c r="AA457" s="1691"/>
      <c r="AB457" s="1691"/>
      <c r="AC457" s="1691"/>
      <c r="AD457" s="1691"/>
      <c r="AE457" s="1691"/>
      <c r="AF457" s="1691"/>
      <c r="AG457" s="1691"/>
      <c r="AH457" s="1691"/>
      <c r="AI457" s="1691"/>
      <c r="AJ457" s="1691"/>
      <c r="AK457" s="1691"/>
      <c r="AL457" s="1691"/>
      <c r="AM457" s="1691"/>
      <c r="AN457" s="1691"/>
      <c r="AO457" s="1691"/>
      <c r="AP457" s="1691"/>
      <c r="AQ457" s="1691"/>
      <c r="AR457" s="1691"/>
      <c r="AS457" s="1691"/>
      <c r="AT457" s="1691"/>
      <c r="AU457" s="1691"/>
    </row>
    <row r="458">
      <c r="A458" s="1419"/>
      <c r="B458" s="1697"/>
      <c r="C458" s="1698"/>
      <c r="D458" s="1698"/>
      <c r="E458" s="1698"/>
      <c r="F458" s="1689"/>
      <c r="G458" s="1689"/>
      <c r="H458" s="1689"/>
      <c r="I458" s="1689"/>
      <c r="J458" s="1689"/>
      <c r="K458" s="1689"/>
      <c r="L458" s="1689"/>
      <c r="M458" s="1689"/>
      <c r="N458" s="1689"/>
      <c r="O458" s="1689"/>
      <c r="P458" s="1689"/>
      <c r="Q458" s="1689"/>
      <c r="R458" s="1689"/>
      <c r="S458" s="1689"/>
      <c r="T458" s="1689"/>
      <c r="U458" s="1689"/>
      <c r="V458" s="1689"/>
      <c r="W458" s="1689"/>
      <c r="X458" s="1689"/>
      <c r="Y458" s="1689"/>
      <c r="Z458" s="1689"/>
      <c r="AA458" s="1689"/>
      <c r="AB458" s="1689"/>
      <c r="AC458" s="1689"/>
      <c r="AD458" s="1689"/>
      <c r="AE458" s="1689"/>
      <c r="AF458" s="1689"/>
      <c r="AG458" s="1689"/>
      <c r="AH458" s="1689"/>
      <c r="AI458" s="1689"/>
      <c r="AJ458" s="1689"/>
      <c r="AK458" s="1689"/>
      <c r="AL458" s="1689"/>
      <c r="AM458" s="1689"/>
      <c r="AN458" s="1689"/>
      <c r="AO458" s="1689"/>
      <c r="AP458" s="1689"/>
      <c r="AQ458" s="1689"/>
      <c r="AR458" s="1689"/>
      <c r="AS458" s="1689"/>
      <c r="AT458" s="1689"/>
      <c r="AU458" s="1689"/>
    </row>
    <row r="459">
      <c r="A459" s="1419"/>
      <c r="B459" s="1699"/>
      <c r="C459" s="1700"/>
      <c r="D459" s="1700"/>
      <c r="E459" s="1700"/>
      <c r="F459" s="1691"/>
      <c r="G459" s="1691"/>
      <c r="H459" s="1691"/>
      <c r="I459" s="1691"/>
      <c r="J459" s="1691"/>
      <c r="K459" s="1691"/>
      <c r="L459" s="1691"/>
      <c r="M459" s="1691"/>
      <c r="N459" s="1691"/>
      <c r="O459" s="1691"/>
      <c r="P459" s="1691"/>
      <c r="Q459" s="1691"/>
      <c r="R459" s="1691"/>
      <c r="S459" s="1691"/>
      <c r="T459" s="1691"/>
      <c r="U459" s="1691"/>
      <c r="V459" s="1691"/>
      <c r="W459" s="1691"/>
      <c r="X459" s="1691"/>
      <c r="Y459" s="1691"/>
      <c r="Z459" s="1691"/>
      <c r="AA459" s="1691"/>
      <c r="AB459" s="1691"/>
      <c r="AC459" s="1691"/>
      <c r="AD459" s="1691"/>
      <c r="AE459" s="1691"/>
      <c r="AF459" s="1691"/>
      <c r="AG459" s="1691"/>
      <c r="AH459" s="1691"/>
      <c r="AI459" s="1691"/>
      <c r="AJ459" s="1691"/>
      <c r="AK459" s="1691"/>
      <c r="AL459" s="1691"/>
      <c r="AM459" s="1691"/>
      <c r="AN459" s="1691"/>
      <c r="AO459" s="1691"/>
      <c r="AP459" s="1691"/>
      <c r="AQ459" s="1691"/>
      <c r="AR459" s="1691"/>
      <c r="AS459" s="1691"/>
      <c r="AT459" s="1691"/>
      <c r="AU459" s="1691"/>
    </row>
    <row r="460">
      <c r="A460" s="1419"/>
      <c r="B460" s="1697"/>
      <c r="C460" s="1698"/>
      <c r="D460" s="1698"/>
      <c r="E460" s="1698"/>
      <c r="F460" s="1689"/>
      <c r="G460" s="1689"/>
      <c r="H460" s="1689"/>
      <c r="I460" s="1689"/>
      <c r="J460" s="1689"/>
      <c r="K460" s="1689"/>
      <c r="L460" s="1689"/>
      <c r="M460" s="1689"/>
      <c r="N460" s="1689"/>
      <c r="O460" s="1689"/>
      <c r="P460" s="1689"/>
      <c r="Q460" s="1689"/>
      <c r="R460" s="1689"/>
      <c r="S460" s="1689"/>
      <c r="T460" s="1689"/>
      <c r="U460" s="1689"/>
      <c r="V460" s="1689"/>
      <c r="W460" s="1689"/>
      <c r="X460" s="1689"/>
      <c r="Y460" s="1689"/>
      <c r="Z460" s="1689"/>
      <c r="AA460" s="1689"/>
      <c r="AB460" s="1689"/>
      <c r="AC460" s="1689"/>
      <c r="AD460" s="1689"/>
      <c r="AE460" s="1689"/>
      <c r="AF460" s="1689"/>
      <c r="AG460" s="1689"/>
      <c r="AH460" s="1689"/>
      <c r="AI460" s="1689"/>
      <c r="AJ460" s="1689"/>
      <c r="AK460" s="1689"/>
      <c r="AL460" s="1689"/>
      <c r="AM460" s="1689"/>
      <c r="AN460" s="1689"/>
      <c r="AO460" s="1689"/>
      <c r="AP460" s="1689"/>
      <c r="AQ460" s="1689"/>
      <c r="AR460" s="1689"/>
      <c r="AS460" s="1689"/>
      <c r="AT460" s="1689"/>
      <c r="AU460" s="1689"/>
    </row>
    <row r="461">
      <c r="A461" s="1419"/>
      <c r="B461" s="1699"/>
      <c r="C461" s="1700"/>
      <c r="D461" s="1700"/>
      <c r="E461" s="1700"/>
      <c r="F461" s="1691"/>
      <c r="G461" s="1691"/>
      <c r="H461" s="1691"/>
      <c r="I461" s="1691"/>
      <c r="J461" s="1691"/>
      <c r="K461" s="1691"/>
      <c r="L461" s="1691"/>
      <c r="M461" s="1691"/>
      <c r="N461" s="1691"/>
      <c r="O461" s="1691"/>
      <c r="P461" s="1691"/>
      <c r="Q461" s="1691"/>
      <c r="R461" s="1691"/>
      <c r="S461" s="1691"/>
      <c r="T461" s="1691"/>
      <c r="U461" s="1691"/>
      <c r="V461" s="1691"/>
      <c r="W461" s="1691"/>
      <c r="X461" s="1691"/>
      <c r="Y461" s="1691"/>
      <c r="Z461" s="1691"/>
      <c r="AA461" s="1691"/>
      <c r="AB461" s="1691"/>
      <c r="AC461" s="1691"/>
      <c r="AD461" s="1691"/>
      <c r="AE461" s="1691"/>
      <c r="AF461" s="1691"/>
      <c r="AG461" s="1691"/>
      <c r="AH461" s="1691"/>
      <c r="AI461" s="1691"/>
      <c r="AJ461" s="1691"/>
      <c r="AK461" s="1691"/>
      <c r="AL461" s="1691"/>
      <c r="AM461" s="1691"/>
      <c r="AN461" s="1691"/>
      <c r="AO461" s="1691"/>
      <c r="AP461" s="1691"/>
      <c r="AQ461" s="1691"/>
      <c r="AR461" s="1691"/>
      <c r="AS461" s="1691"/>
      <c r="AT461" s="1691"/>
      <c r="AU461" s="1691"/>
    </row>
    <row r="462">
      <c r="A462" s="1419"/>
      <c r="B462" s="1697"/>
      <c r="C462" s="1698"/>
      <c r="D462" s="1698"/>
      <c r="E462" s="1698"/>
      <c r="F462" s="1689"/>
      <c r="G462" s="1689"/>
      <c r="H462" s="1689"/>
      <c r="I462" s="1689"/>
      <c r="J462" s="1689"/>
      <c r="K462" s="1689"/>
      <c r="L462" s="1689"/>
      <c r="M462" s="1689"/>
      <c r="N462" s="1689"/>
      <c r="O462" s="1689"/>
      <c r="P462" s="1689"/>
      <c r="Q462" s="1689"/>
      <c r="R462" s="1689"/>
      <c r="S462" s="1689"/>
      <c r="T462" s="1689"/>
      <c r="U462" s="1689"/>
      <c r="V462" s="1689"/>
      <c r="W462" s="1689"/>
      <c r="X462" s="1689"/>
      <c r="Y462" s="1689"/>
      <c r="Z462" s="1689"/>
      <c r="AA462" s="1689"/>
      <c r="AB462" s="1689"/>
      <c r="AC462" s="1689"/>
      <c r="AD462" s="1689"/>
      <c r="AE462" s="1689"/>
      <c r="AF462" s="1689"/>
      <c r="AG462" s="1689"/>
      <c r="AH462" s="1689"/>
      <c r="AI462" s="1689"/>
      <c r="AJ462" s="1689"/>
      <c r="AK462" s="1689"/>
      <c r="AL462" s="1689"/>
      <c r="AM462" s="1689"/>
      <c r="AN462" s="1689"/>
      <c r="AO462" s="1689"/>
      <c r="AP462" s="1689"/>
      <c r="AQ462" s="1689"/>
      <c r="AR462" s="1689"/>
      <c r="AS462" s="1689"/>
      <c r="AT462" s="1689"/>
      <c r="AU462" s="1689"/>
    </row>
    <row r="463">
      <c r="A463" s="1419"/>
      <c r="B463" s="1699"/>
      <c r="C463" s="1700"/>
      <c r="D463" s="1700"/>
      <c r="E463" s="1700"/>
      <c r="F463" s="1691"/>
      <c r="G463" s="1691"/>
      <c r="H463" s="1691"/>
      <c r="I463" s="1691"/>
      <c r="J463" s="1691"/>
      <c r="K463" s="1691"/>
      <c r="L463" s="1691"/>
      <c r="M463" s="1691"/>
      <c r="N463" s="1691"/>
      <c r="O463" s="1691"/>
      <c r="P463" s="1691"/>
      <c r="Q463" s="1691"/>
      <c r="R463" s="1691"/>
      <c r="S463" s="1691"/>
      <c r="T463" s="1691"/>
      <c r="U463" s="1691"/>
      <c r="V463" s="1691"/>
      <c r="W463" s="1691"/>
      <c r="X463" s="1691"/>
      <c r="Y463" s="1691"/>
      <c r="Z463" s="1691"/>
      <c r="AA463" s="1691"/>
      <c r="AB463" s="1691"/>
      <c r="AC463" s="1691"/>
      <c r="AD463" s="1691"/>
      <c r="AE463" s="1691"/>
      <c r="AF463" s="1691"/>
      <c r="AG463" s="1691"/>
      <c r="AH463" s="1691"/>
      <c r="AI463" s="1691"/>
      <c r="AJ463" s="1691"/>
      <c r="AK463" s="1691"/>
      <c r="AL463" s="1691"/>
      <c r="AM463" s="1691"/>
      <c r="AN463" s="1691"/>
      <c r="AO463" s="1691"/>
      <c r="AP463" s="1691"/>
      <c r="AQ463" s="1691"/>
      <c r="AR463" s="1691"/>
      <c r="AS463" s="1691"/>
      <c r="AT463" s="1691"/>
      <c r="AU463" s="1691"/>
    </row>
    <row r="464">
      <c r="A464" s="1419"/>
      <c r="B464" s="1697"/>
      <c r="C464" s="1698"/>
      <c r="D464" s="1698"/>
      <c r="E464" s="1698"/>
      <c r="F464" s="1689"/>
      <c r="G464" s="1689"/>
      <c r="H464" s="1689"/>
      <c r="I464" s="1689"/>
      <c r="J464" s="1689"/>
      <c r="K464" s="1689"/>
      <c r="L464" s="1689"/>
      <c r="M464" s="1689"/>
      <c r="N464" s="1689"/>
      <c r="O464" s="1689"/>
      <c r="P464" s="1689"/>
      <c r="Q464" s="1689"/>
      <c r="R464" s="1689"/>
      <c r="S464" s="1689"/>
      <c r="T464" s="1689"/>
      <c r="U464" s="1689"/>
      <c r="V464" s="1689"/>
      <c r="W464" s="1689"/>
      <c r="X464" s="1689"/>
      <c r="Y464" s="1689"/>
      <c r="Z464" s="1689"/>
      <c r="AA464" s="1689"/>
      <c r="AB464" s="1689"/>
      <c r="AC464" s="1689"/>
      <c r="AD464" s="1689"/>
      <c r="AE464" s="1689"/>
      <c r="AF464" s="1689"/>
      <c r="AG464" s="1689"/>
      <c r="AH464" s="1689"/>
      <c r="AI464" s="1689"/>
      <c r="AJ464" s="1689"/>
      <c r="AK464" s="1689"/>
      <c r="AL464" s="1689"/>
      <c r="AM464" s="1689"/>
      <c r="AN464" s="1689"/>
      <c r="AO464" s="1689"/>
      <c r="AP464" s="1689"/>
      <c r="AQ464" s="1689"/>
      <c r="AR464" s="1689"/>
      <c r="AS464" s="1689"/>
      <c r="AT464" s="1689"/>
      <c r="AU464" s="1689"/>
    </row>
    <row r="465">
      <c r="A465" s="1419"/>
      <c r="B465" s="1699"/>
      <c r="C465" s="1700"/>
      <c r="D465" s="1700"/>
      <c r="E465" s="1700"/>
      <c r="F465" s="1691"/>
      <c r="G465" s="1691"/>
      <c r="H465" s="1691"/>
      <c r="I465" s="1691"/>
      <c r="J465" s="1691"/>
      <c r="K465" s="1691"/>
      <c r="L465" s="1691"/>
      <c r="M465" s="1691"/>
      <c r="N465" s="1691"/>
      <c r="O465" s="1691"/>
      <c r="P465" s="1691"/>
      <c r="Q465" s="1691"/>
      <c r="R465" s="1691"/>
      <c r="S465" s="1691"/>
      <c r="T465" s="1691"/>
      <c r="U465" s="1691"/>
      <c r="V465" s="1691"/>
      <c r="W465" s="1691"/>
      <c r="X465" s="1691"/>
      <c r="Y465" s="1691"/>
      <c r="Z465" s="1691"/>
      <c r="AA465" s="1691"/>
      <c r="AB465" s="1691"/>
      <c r="AC465" s="1691"/>
      <c r="AD465" s="1691"/>
      <c r="AE465" s="1691"/>
      <c r="AF465" s="1691"/>
      <c r="AG465" s="1691"/>
      <c r="AH465" s="1691"/>
      <c r="AI465" s="1691"/>
      <c r="AJ465" s="1691"/>
      <c r="AK465" s="1691"/>
      <c r="AL465" s="1691"/>
      <c r="AM465" s="1691"/>
      <c r="AN465" s="1691"/>
      <c r="AO465" s="1691"/>
      <c r="AP465" s="1691"/>
      <c r="AQ465" s="1691"/>
      <c r="AR465" s="1691"/>
      <c r="AS465" s="1691"/>
      <c r="AT465" s="1691"/>
      <c r="AU465" s="1691"/>
    </row>
    <row r="466">
      <c r="A466" s="1419"/>
      <c r="B466" s="1697"/>
      <c r="C466" s="1698"/>
      <c r="D466" s="1698"/>
      <c r="E466" s="1698"/>
      <c r="F466" s="1689"/>
      <c r="G466" s="1689"/>
      <c r="H466" s="1689"/>
      <c r="I466" s="1689"/>
      <c r="J466" s="1689"/>
      <c r="K466" s="1689"/>
      <c r="L466" s="1689"/>
      <c r="M466" s="1689"/>
      <c r="N466" s="1689"/>
      <c r="O466" s="1689"/>
      <c r="P466" s="1689"/>
      <c r="Q466" s="1689"/>
      <c r="R466" s="1689"/>
      <c r="S466" s="1689"/>
      <c r="T466" s="1689"/>
      <c r="U466" s="1689"/>
      <c r="V466" s="1689"/>
      <c r="W466" s="1689"/>
      <c r="X466" s="1689"/>
      <c r="Y466" s="1689"/>
      <c r="Z466" s="1689"/>
      <c r="AA466" s="1689"/>
      <c r="AB466" s="1689"/>
      <c r="AC466" s="1689"/>
      <c r="AD466" s="1689"/>
      <c r="AE466" s="1689"/>
      <c r="AF466" s="1689"/>
      <c r="AG466" s="1689"/>
      <c r="AH466" s="1689"/>
      <c r="AI466" s="1689"/>
      <c r="AJ466" s="1689"/>
      <c r="AK466" s="1689"/>
      <c r="AL466" s="1689"/>
      <c r="AM466" s="1689"/>
      <c r="AN466" s="1689"/>
      <c r="AO466" s="1689"/>
      <c r="AP466" s="1689"/>
      <c r="AQ466" s="1689"/>
      <c r="AR466" s="1689"/>
      <c r="AS466" s="1689"/>
      <c r="AT466" s="1689"/>
      <c r="AU466" s="1689"/>
    </row>
    <row r="467">
      <c r="A467" s="1419"/>
      <c r="B467" s="1699"/>
      <c r="C467" s="1700"/>
      <c r="D467" s="1700"/>
      <c r="E467" s="1700"/>
      <c r="F467" s="1691"/>
      <c r="G467" s="1691"/>
      <c r="H467" s="1691"/>
      <c r="I467" s="1691"/>
      <c r="J467" s="1691"/>
      <c r="K467" s="1691"/>
      <c r="L467" s="1691"/>
      <c r="M467" s="1691"/>
      <c r="N467" s="1691"/>
      <c r="O467" s="1691"/>
      <c r="P467" s="1691"/>
      <c r="Q467" s="1691"/>
      <c r="R467" s="1691"/>
      <c r="S467" s="1691"/>
      <c r="T467" s="1691"/>
      <c r="U467" s="1691"/>
      <c r="V467" s="1691"/>
      <c r="W467" s="1691"/>
      <c r="X467" s="1691"/>
      <c r="Y467" s="1691"/>
      <c r="Z467" s="1691"/>
      <c r="AA467" s="1691"/>
      <c r="AB467" s="1691"/>
      <c r="AC467" s="1691"/>
      <c r="AD467" s="1691"/>
      <c r="AE467" s="1691"/>
      <c r="AF467" s="1691"/>
      <c r="AG467" s="1691"/>
      <c r="AH467" s="1691"/>
      <c r="AI467" s="1691"/>
      <c r="AJ467" s="1691"/>
      <c r="AK467" s="1691"/>
      <c r="AL467" s="1691"/>
      <c r="AM467" s="1691"/>
      <c r="AN467" s="1691"/>
      <c r="AO467" s="1691"/>
      <c r="AP467" s="1691"/>
      <c r="AQ467" s="1691"/>
      <c r="AR467" s="1691"/>
      <c r="AS467" s="1691"/>
      <c r="AT467" s="1691"/>
      <c r="AU467" s="1691"/>
    </row>
    <row r="468">
      <c r="A468" s="1419"/>
      <c r="B468" s="1697"/>
      <c r="C468" s="1698"/>
      <c r="D468" s="1698"/>
      <c r="E468" s="1698"/>
      <c r="F468" s="1689"/>
      <c r="G468" s="1689"/>
      <c r="H468" s="1689"/>
      <c r="I468" s="1689"/>
      <c r="J468" s="1689"/>
      <c r="K468" s="1689"/>
      <c r="L468" s="1689"/>
      <c r="M468" s="1689"/>
      <c r="N468" s="1689"/>
      <c r="O468" s="1689"/>
      <c r="P468" s="1689"/>
      <c r="Q468" s="1689"/>
      <c r="R468" s="1689"/>
      <c r="S468" s="1689"/>
      <c r="T468" s="1689"/>
      <c r="U468" s="1689"/>
      <c r="V468" s="1689"/>
      <c r="W468" s="1689"/>
      <c r="X468" s="1689"/>
      <c r="Y468" s="1689"/>
      <c r="Z468" s="1689"/>
      <c r="AA468" s="1689"/>
      <c r="AB468" s="1689"/>
      <c r="AC468" s="1689"/>
      <c r="AD468" s="1689"/>
      <c r="AE468" s="1689"/>
      <c r="AF468" s="1689"/>
      <c r="AG468" s="1689"/>
      <c r="AH468" s="1689"/>
      <c r="AI468" s="1689"/>
      <c r="AJ468" s="1689"/>
      <c r="AK468" s="1689"/>
      <c r="AL468" s="1689"/>
      <c r="AM468" s="1689"/>
      <c r="AN468" s="1689"/>
      <c r="AO468" s="1689"/>
      <c r="AP468" s="1689"/>
      <c r="AQ468" s="1689"/>
      <c r="AR468" s="1689"/>
      <c r="AS468" s="1689"/>
      <c r="AT468" s="1689"/>
      <c r="AU468" s="1689"/>
    </row>
    <row r="469">
      <c r="A469" s="1419"/>
      <c r="B469" s="1699"/>
      <c r="C469" s="1700"/>
      <c r="D469" s="1700"/>
      <c r="E469" s="1700"/>
      <c r="F469" s="1691"/>
      <c r="G469" s="1691"/>
      <c r="H469" s="1691"/>
      <c r="I469" s="1691"/>
      <c r="J469" s="1691"/>
      <c r="K469" s="1691"/>
      <c r="L469" s="1691"/>
      <c r="M469" s="1691"/>
      <c r="N469" s="1691"/>
      <c r="O469" s="1691"/>
      <c r="P469" s="1691"/>
      <c r="Q469" s="1691"/>
      <c r="R469" s="1691"/>
      <c r="S469" s="1691"/>
      <c r="T469" s="1691"/>
      <c r="U469" s="1691"/>
      <c r="V469" s="1691"/>
      <c r="W469" s="1691"/>
      <c r="X469" s="1691"/>
      <c r="Y469" s="1691"/>
      <c r="Z469" s="1691"/>
      <c r="AA469" s="1691"/>
      <c r="AB469" s="1691"/>
      <c r="AC469" s="1691"/>
      <c r="AD469" s="1691"/>
      <c r="AE469" s="1691"/>
      <c r="AF469" s="1691"/>
      <c r="AG469" s="1691"/>
      <c r="AH469" s="1691"/>
      <c r="AI469" s="1691"/>
      <c r="AJ469" s="1691"/>
      <c r="AK469" s="1691"/>
      <c r="AL469" s="1691"/>
      <c r="AM469" s="1691"/>
      <c r="AN469" s="1691"/>
      <c r="AO469" s="1691"/>
      <c r="AP469" s="1691"/>
      <c r="AQ469" s="1691"/>
      <c r="AR469" s="1691"/>
      <c r="AS469" s="1691"/>
      <c r="AT469" s="1691"/>
      <c r="AU469" s="1691"/>
    </row>
    <row r="470">
      <c r="A470" s="1419"/>
      <c r="B470" s="1697"/>
      <c r="C470" s="1698"/>
      <c r="D470" s="1698"/>
      <c r="E470" s="1698"/>
      <c r="F470" s="1689"/>
      <c r="G470" s="1689"/>
      <c r="H470" s="1689"/>
      <c r="I470" s="1689"/>
      <c r="J470" s="1689"/>
      <c r="K470" s="1689"/>
      <c r="L470" s="1689"/>
      <c r="M470" s="1689"/>
      <c r="N470" s="1689"/>
      <c r="O470" s="1689"/>
      <c r="P470" s="1689"/>
      <c r="Q470" s="1689"/>
      <c r="R470" s="1689"/>
      <c r="S470" s="1689"/>
      <c r="T470" s="1689"/>
      <c r="U470" s="1689"/>
      <c r="V470" s="1689"/>
      <c r="W470" s="1689"/>
      <c r="X470" s="1689"/>
      <c r="Y470" s="1689"/>
      <c r="Z470" s="1689"/>
      <c r="AA470" s="1689"/>
      <c r="AB470" s="1689"/>
      <c r="AC470" s="1689"/>
      <c r="AD470" s="1689"/>
      <c r="AE470" s="1689"/>
      <c r="AF470" s="1689"/>
      <c r="AG470" s="1689"/>
      <c r="AH470" s="1689"/>
      <c r="AI470" s="1689"/>
      <c r="AJ470" s="1689"/>
      <c r="AK470" s="1689"/>
      <c r="AL470" s="1689"/>
      <c r="AM470" s="1689"/>
      <c r="AN470" s="1689"/>
      <c r="AO470" s="1689"/>
      <c r="AP470" s="1689"/>
      <c r="AQ470" s="1689"/>
      <c r="AR470" s="1689"/>
      <c r="AS470" s="1689"/>
      <c r="AT470" s="1689"/>
      <c r="AU470" s="1689"/>
    </row>
    <row r="471">
      <c r="A471" s="1419"/>
      <c r="B471" s="1699"/>
      <c r="C471" s="1700"/>
      <c r="D471" s="1700"/>
      <c r="E471" s="1700"/>
      <c r="F471" s="1691"/>
      <c r="G471" s="1691"/>
      <c r="H471" s="1691"/>
      <c r="I471" s="1691"/>
      <c r="J471" s="1691"/>
      <c r="K471" s="1691"/>
      <c r="L471" s="1691"/>
      <c r="M471" s="1691"/>
      <c r="N471" s="1691"/>
      <c r="O471" s="1691"/>
      <c r="P471" s="1691"/>
      <c r="Q471" s="1691"/>
      <c r="R471" s="1691"/>
      <c r="S471" s="1691"/>
      <c r="T471" s="1691"/>
      <c r="U471" s="1691"/>
      <c r="V471" s="1691"/>
      <c r="W471" s="1691"/>
      <c r="X471" s="1691"/>
      <c r="Y471" s="1691"/>
      <c r="Z471" s="1691"/>
      <c r="AA471" s="1691"/>
      <c r="AB471" s="1691"/>
      <c r="AC471" s="1691"/>
      <c r="AD471" s="1691"/>
      <c r="AE471" s="1691"/>
      <c r="AF471" s="1691"/>
      <c r="AG471" s="1691"/>
      <c r="AH471" s="1691"/>
      <c r="AI471" s="1691"/>
      <c r="AJ471" s="1691"/>
      <c r="AK471" s="1691"/>
      <c r="AL471" s="1691"/>
      <c r="AM471" s="1691"/>
      <c r="AN471" s="1691"/>
      <c r="AO471" s="1691"/>
      <c r="AP471" s="1691"/>
      <c r="AQ471" s="1691"/>
      <c r="AR471" s="1691"/>
      <c r="AS471" s="1691"/>
      <c r="AT471" s="1691"/>
      <c r="AU471" s="1691"/>
    </row>
    <row r="472">
      <c r="A472" s="1419"/>
      <c r="B472" s="1697"/>
      <c r="C472" s="1698"/>
      <c r="D472" s="1698"/>
      <c r="E472" s="1698"/>
      <c r="F472" s="1689"/>
      <c r="G472" s="1689"/>
      <c r="H472" s="1689"/>
      <c r="I472" s="1689"/>
      <c r="J472" s="1689"/>
      <c r="K472" s="1689"/>
      <c r="L472" s="1689"/>
      <c r="M472" s="1689"/>
      <c r="N472" s="1689"/>
      <c r="O472" s="1689"/>
      <c r="P472" s="1689"/>
      <c r="Q472" s="1689"/>
      <c r="R472" s="1689"/>
      <c r="S472" s="1689"/>
      <c r="T472" s="1689"/>
      <c r="U472" s="1689"/>
      <c r="V472" s="1689"/>
      <c r="W472" s="1689"/>
      <c r="X472" s="1689"/>
      <c r="Y472" s="1689"/>
      <c r="Z472" s="1689"/>
      <c r="AA472" s="1689"/>
      <c r="AB472" s="1689"/>
      <c r="AC472" s="1689"/>
      <c r="AD472" s="1689"/>
      <c r="AE472" s="1689"/>
      <c r="AF472" s="1689"/>
      <c r="AG472" s="1689"/>
      <c r="AH472" s="1689"/>
      <c r="AI472" s="1689"/>
      <c r="AJ472" s="1689"/>
      <c r="AK472" s="1689"/>
      <c r="AL472" s="1689"/>
      <c r="AM472" s="1689"/>
      <c r="AN472" s="1689"/>
      <c r="AO472" s="1689"/>
      <c r="AP472" s="1689"/>
      <c r="AQ472" s="1689"/>
      <c r="AR472" s="1689"/>
      <c r="AS472" s="1689"/>
      <c r="AT472" s="1689"/>
      <c r="AU472" s="1689"/>
    </row>
    <row r="473">
      <c r="A473" s="1419"/>
      <c r="B473" s="1699"/>
      <c r="C473" s="1700"/>
      <c r="D473" s="1700"/>
      <c r="E473" s="1700"/>
      <c r="F473" s="1691"/>
      <c r="G473" s="1691"/>
      <c r="H473" s="1691"/>
      <c r="I473" s="1691"/>
      <c r="J473" s="1691"/>
      <c r="K473" s="1691"/>
      <c r="L473" s="1691"/>
      <c r="M473" s="1691"/>
      <c r="N473" s="1691"/>
      <c r="O473" s="1691"/>
      <c r="P473" s="1691"/>
      <c r="Q473" s="1691"/>
      <c r="R473" s="1691"/>
      <c r="S473" s="1691"/>
      <c r="T473" s="1691"/>
      <c r="U473" s="1691"/>
      <c r="V473" s="1691"/>
      <c r="W473" s="1691"/>
      <c r="X473" s="1691"/>
      <c r="Y473" s="1691"/>
      <c r="Z473" s="1691"/>
      <c r="AA473" s="1691"/>
      <c r="AB473" s="1691"/>
      <c r="AC473" s="1691"/>
      <c r="AD473" s="1691"/>
      <c r="AE473" s="1691"/>
      <c r="AF473" s="1691"/>
      <c r="AG473" s="1691"/>
      <c r="AH473" s="1691"/>
      <c r="AI473" s="1691"/>
      <c r="AJ473" s="1691"/>
      <c r="AK473" s="1691"/>
      <c r="AL473" s="1691"/>
      <c r="AM473" s="1691"/>
      <c r="AN473" s="1691"/>
      <c r="AO473" s="1691"/>
      <c r="AP473" s="1691"/>
      <c r="AQ473" s="1691"/>
      <c r="AR473" s="1691"/>
      <c r="AS473" s="1691"/>
      <c r="AT473" s="1691"/>
      <c r="AU473" s="1691"/>
    </row>
    <row r="474">
      <c r="A474" s="1419"/>
      <c r="B474" s="1697"/>
      <c r="C474" s="1698"/>
      <c r="D474" s="1698"/>
      <c r="E474" s="1698"/>
      <c r="F474" s="1689"/>
      <c r="G474" s="1689"/>
      <c r="H474" s="1689"/>
      <c r="I474" s="1689"/>
      <c r="J474" s="1689"/>
      <c r="K474" s="1689"/>
      <c r="L474" s="1689"/>
      <c r="M474" s="1689"/>
      <c r="N474" s="1689"/>
      <c r="O474" s="1689"/>
      <c r="P474" s="1689"/>
      <c r="Q474" s="1689"/>
      <c r="R474" s="1689"/>
      <c r="S474" s="1689"/>
      <c r="T474" s="1689"/>
      <c r="U474" s="1689"/>
      <c r="V474" s="1689"/>
      <c r="W474" s="1689"/>
      <c r="X474" s="1689"/>
      <c r="Y474" s="1689"/>
      <c r="Z474" s="1689"/>
      <c r="AA474" s="1689"/>
      <c r="AB474" s="1689"/>
      <c r="AC474" s="1689"/>
      <c r="AD474" s="1689"/>
      <c r="AE474" s="1689"/>
      <c r="AF474" s="1689"/>
      <c r="AG474" s="1689"/>
      <c r="AH474" s="1689"/>
      <c r="AI474" s="1689"/>
      <c r="AJ474" s="1689"/>
      <c r="AK474" s="1689"/>
      <c r="AL474" s="1689"/>
      <c r="AM474" s="1689"/>
      <c r="AN474" s="1689"/>
      <c r="AO474" s="1689"/>
      <c r="AP474" s="1689"/>
      <c r="AQ474" s="1689"/>
      <c r="AR474" s="1689"/>
      <c r="AS474" s="1689"/>
      <c r="AT474" s="1689"/>
      <c r="AU474" s="1689"/>
    </row>
    <row r="475">
      <c r="A475" s="1419"/>
      <c r="B475" s="1699"/>
      <c r="C475" s="1700"/>
      <c r="D475" s="1700"/>
      <c r="E475" s="1700"/>
      <c r="F475" s="1691"/>
      <c r="G475" s="1691"/>
      <c r="H475" s="1691"/>
      <c r="I475" s="1691"/>
      <c r="J475" s="1691"/>
      <c r="K475" s="1691"/>
      <c r="L475" s="1691"/>
      <c r="M475" s="1691"/>
      <c r="N475" s="1691"/>
      <c r="O475" s="1691"/>
      <c r="P475" s="1691"/>
      <c r="Q475" s="1691"/>
      <c r="R475" s="1691"/>
      <c r="S475" s="1691"/>
      <c r="T475" s="1691"/>
      <c r="U475" s="1691"/>
      <c r="V475" s="1691"/>
      <c r="W475" s="1691"/>
      <c r="X475" s="1691"/>
      <c r="Y475" s="1691"/>
      <c r="Z475" s="1691"/>
      <c r="AA475" s="1691"/>
      <c r="AB475" s="1691"/>
      <c r="AC475" s="1691"/>
      <c r="AD475" s="1691"/>
      <c r="AE475" s="1691"/>
      <c r="AF475" s="1691"/>
      <c r="AG475" s="1691"/>
      <c r="AH475" s="1691"/>
      <c r="AI475" s="1691"/>
      <c r="AJ475" s="1691"/>
      <c r="AK475" s="1691"/>
      <c r="AL475" s="1691"/>
      <c r="AM475" s="1691"/>
      <c r="AN475" s="1691"/>
      <c r="AO475" s="1691"/>
      <c r="AP475" s="1691"/>
      <c r="AQ475" s="1691"/>
      <c r="AR475" s="1691"/>
      <c r="AS475" s="1691"/>
      <c r="AT475" s="1691"/>
      <c r="AU475" s="1691"/>
    </row>
    <row r="476">
      <c r="A476" s="1419"/>
      <c r="B476" s="1697"/>
      <c r="C476" s="1698"/>
      <c r="D476" s="1698"/>
      <c r="E476" s="1698"/>
      <c r="F476" s="1689"/>
      <c r="G476" s="1689"/>
      <c r="H476" s="1689"/>
      <c r="I476" s="1689"/>
      <c r="J476" s="1689"/>
      <c r="K476" s="1689"/>
      <c r="L476" s="1689"/>
      <c r="M476" s="1689"/>
      <c r="N476" s="1689"/>
      <c r="O476" s="1689"/>
      <c r="P476" s="1689"/>
      <c r="Q476" s="1689"/>
      <c r="R476" s="1689"/>
      <c r="S476" s="1689"/>
      <c r="T476" s="1689"/>
      <c r="U476" s="1689"/>
      <c r="V476" s="1689"/>
      <c r="W476" s="1689"/>
      <c r="X476" s="1689"/>
      <c r="Y476" s="1689"/>
      <c r="Z476" s="1689"/>
      <c r="AA476" s="1689"/>
      <c r="AB476" s="1689"/>
      <c r="AC476" s="1689"/>
      <c r="AD476" s="1689"/>
      <c r="AE476" s="1689"/>
      <c r="AF476" s="1689"/>
      <c r="AG476" s="1689"/>
      <c r="AH476" s="1689"/>
      <c r="AI476" s="1689"/>
      <c r="AJ476" s="1689"/>
      <c r="AK476" s="1689"/>
      <c r="AL476" s="1689"/>
      <c r="AM476" s="1689"/>
      <c r="AN476" s="1689"/>
      <c r="AO476" s="1689"/>
      <c r="AP476" s="1689"/>
      <c r="AQ476" s="1689"/>
      <c r="AR476" s="1689"/>
      <c r="AS476" s="1689"/>
      <c r="AT476" s="1689"/>
      <c r="AU476" s="1689"/>
    </row>
    <row r="477">
      <c r="A477" s="1419"/>
      <c r="B477" s="1699"/>
      <c r="C477" s="1700"/>
      <c r="D477" s="1700"/>
      <c r="E477" s="1700"/>
      <c r="F477" s="1691"/>
      <c r="G477" s="1691"/>
      <c r="H477" s="1691"/>
      <c r="I477" s="1691"/>
      <c r="J477" s="1691"/>
      <c r="K477" s="1691"/>
      <c r="L477" s="1691"/>
      <c r="M477" s="1691"/>
      <c r="N477" s="1691"/>
      <c r="O477" s="1691"/>
      <c r="P477" s="1691"/>
      <c r="Q477" s="1691"/>
      <c r="R477" s="1691"/>
      <c r="S477" s="1691"/>
      <c r="T477" s="1691"/>
      <c r="U477" s="1691"/>
      <c r="V477" s="1691"/>
      <c r="W477" s="1691"/>
      <c r="X477" s="1691"/>
      <c r="Y477" s="1691"/>
      <c r="Z477" s="1691"/>
      <c r="AA477" s="1691"/>
      <c r="AB477" s="1691"/>
      <c r="AC477" s="1691"/>
      <c r="AD477" s="1691"/>
      <c r="AE477" s="1691"/>
      <c r="AF477" s="1691"/>
      <c r="AG477" s="1691"/>
      <c r="AH477" s="1691"/>
      <c r="AI477" s="1691"/>
      <c r="AJ477" s="1691"/>
      <c r="AK477" s="1691"/>
      <c r="AL477" s="1691"/>
      <c r="AM477" s="1691"/>
      <c r="AN477" s="1691"/>
      <c r="AO477" s="1691"/>
      <c r="AP477" s="1691"/>
      <c r="AQ477" s="1691"/>
      <c r="AR477" s="1691"/>
      <c r="AS477" s="1691"/>
      <c r="AT477" s="1691"/>
      <c r="AU477" s="1691"/>
    </row>
    <row r="478">
      <c r="A478" s="1419"/>
      <c r="B478" s="1697"/>
      <c r="C478" s="1698"/>
      <c r="D478" s="1698"/>
      <c r="E478" s="1698"/>
      <c r="F478" s="1689"/>
      <c r="G478" s="1689"/>
      <c r="H478" s="1689"/>
      <c r="I478" s="1689"/>
      <c r="J478" s="1689"/>
      <c r="K478" s="1689"/>
      <c r="L478" s="1689"/>
      <c r="M478" s="1689"/>
      <c r="N478" s="1689"/>
      <c r="O478" s="1689"/>
      <c r="P478" s="1689"/>
      <c r="Q478" s="1689"/>
      <c r="R478" s="1689"/>
      <c r="S478" s="1689"/>
      <c r="T478" s="1689"/>
      <c r="U478" s="1689"/>
      <c r="V478" s="1689"/>
      <c r="W478" s="1689"/>
      <c r="X478" s="1689"/>
      <c r="Y478" s="1689"/>
      <c r="Z478" s="1689"/>
      <c r="AA478" s="1689"/>
      <c r="AB478" s="1689"/>
      <c r="AC478" s="1689"/>
      <c r="AD478" s="1689"/>
      <c r="AE478" s="1689"/>
      <c r="AF478" s="1689"/>
      <c r="AG478" s="1689"/>
      <c r="AH478" s="1689"/>
      <c r="AI478" s="1689"/>
      <c r="AJ478" s="1689"/>
      <c r="AK478" s="1689"/>
      <c r="AL478" s="1689"/>
      <c r="AM478" s="1689"/>
      <c r="AN478" s="1689"/>
      <c r="AO478" s="1689"/>
      <c r="AP478" s="1689"/>
      <c r="AQ478" s="1689"/>
      <c r="AR478" s="1689"/>
      <c r="AS478" s="1689"/>
      <c r="AT478" s="1689"/>
      <c r="AU478" s="1689"/>
    </row>
    <row r="479">
      <c r="A479" s="1419"/>
      <c r="B479" s="1699"/>
      <c r="C479" s="1700"/>
      <c r="D479" s="1700"/>
      <c r="E479" s="1700"/>
      <c r="F479" s="1691"/>
      <c r="G479" s="1691"/>
      <c r="H479" s="1691"/>
      <c r="I479" s="1691"/>
      <c r="J479" s="1691"/>
      <c r="K479" s="1691"/>
      <c r="L479" s="1691"/>
      <c r="M479" s="1691"/>
      <c r="N479" s="1691"/>
      <c r="O479" s="1691"/>
      <c r="P479" s="1691"/>
      <c r="Q479" s="1691"/>
      <c r="R479" s="1691"/>
      <c r="S479" s="1691"/>
      <c r="T479" s="1691"/>
      <c r="U479" s="1691"/>
      <c r="V479" s="1691"/>
      <c r="W479" s="1691"/>
      <c r="X479" s="1691"/>
      <c r="Y479" s="1691"/>
      <c r="Z479" s="1691"/>
      <c r="AA479" s="1691"/>
      <c r="AB479" s="1691"/>
      <c r="AC479" s="1691"/>
      <c r="AD479" s="1691"/>
      <c r="AE479" s="1691"/>
      <c r="AF479" s="1691"/>
      <c r="AG479" s="1691"/>
      <c r="AH479" s="1691"/>
      <c r="AI479" s="1691"/>
      <c r="AJ479" s="1691"/>
      <c r="AK479" s="1691"/>
      <c r="AL479" s="1691"/>
      <c r="AM479" s="1691"/>
      <c r="AN479" s="1691"/>
      <c r="AO479" s="1691"/>
      <c r="AP479" s="1691"/>
      <c r="AQ479" s="1691"/>
      <c r="AR479" s="1691"/>
      <c r="AS479" s="1691"/>
      <c r="AT479" s="1691"/>
      <c r="AU479" s="1691"/>
    </row>
    <row r="480">
      <c r="A480" s="1419"/>
      <c r="B480" s="1697"/>
      <c r="C480" s="1698"/>
      <c r="D480" s="1698"/>
      <c r="E480" s="1698"/>
      <c r="F480" s="1689"/>
      <c r="G480" s="1689"/>
      <c r="H480" s="1689"/>
      <c r="I480" s="1689"/>
      <c r="J480" s="1689"/>
      <c r="K480" s="1689"/>
      <c r="L480" s="1689"/>
      <c r="M480" s="1689"/>
      <c r="N480" s="1689"/>
      <c r="O480" s="1689"/>
      <c r="P480" s="1689"/>
      <c r="Q480" s="1689"/>
      <c r="R480" s="1689"/>
      <c r="S480" s="1689"/>
      <c r="T480" s="1689"/>
      <c r="U480" s="1689"/>
      <c r="V480" s="1689"/>
      <c r="W480" s="1689"/>
      <c r="X480" s="1689"/>
      <c r="Y480" s="1689"/>
      <c r="Z480" s="1689"/>
      <c r="AA480" s="1689"/>
      <c r="AB480" s="1689"/>
      <c r="AC480" s="1689"/>
      <c r="AD480" s="1689"/>
      <c r="AE480" s="1689"/>
      <c r="AF480" s="1689"/>
      <c r="AG480" s="1689"/>
      <c r="AH480" s="1689"/>
      <c r="AI480" s="1689"/>
      <c r="AJ480" s="1689"/>
      <c r="AK480" s="1689"/>
      <c r="AL480" s="1689"/>
      <c r="AM480" s="1689"/>
      <c r="AN480" s="1689"/>
      <c r="AO480" s="1689"/>
      <c r="AP480" s="1689"/>
      <c r="AQ480" s="1689"/>
      <c r="AR480" s="1689"/>
      <c r="AS480" s="1689"/>
      <c r="AT480" s="1689"/>
      <c r="AU480" s="1689"/>
    </row>
    <row r="481">
      <c r="A481" s="1419"/>
      <c r="B481" s="1699"/>
      <c r="C481" s="1700"/>
      <c r="D481" s="1700"/>
      <c r="E481" s="1700"/>
      <c r="F481" s="1691"/>
      <c r="G481" s="1691"/>
      <c r="H481" s="1691"/>
      <c r="I481" s="1691"/>
      <c r="J481" s="1691"/>
      <c r="K481" s="1691"/>
      <c r="L481" s="1691"/>
      <c r="M481" s="1691"/>
      <c r="N481" s="1691"/>
      <c r="O481" s="1691"/>
      <c r="P481" s="1691"/>
      <c r="Q481" s="1691"/>
      <c r="R481" s="1691"/>
      <c r="S481" s="1691"/>
      <c r="T481" s="1691"/>
      <c r="U481" s="1691"/>
      <c r="V481" s="1691"/>
      <c r="W481" s="1691"/>
      <c r="X481" s="1691"/>
      <c r="Y481" s="1691"/>
      <c r="Z481" s="1691"/>
      <c r="AA481" s="1691"/>
      <c r="AB481" s="1691"/>
      <c r="AC481" s="1691"/>
      <c r="AD481" s="1691"/>
      <c r="AE481" s="1691"/>
      <c r="AF481" s="1691"/>
      <c r="AG481" s="1691"/>
      <c r="AH481" s="1691"/>
      <c r="AI481" s="1691"/>
      <c r="AJ481" s="1691"/>
      <c r="AK481" s="1691"/>
      <c r="AL481" s="1691"/>
      <c r="AM481" s="1691"/>
      <c r="AN481" s="1691"/>
      <c r="AO481" s="1691"/>
      <c r="AP481" s="1691"/>
      <c r="AQ481" s="1691"/>
      <c r="AR481" s="1691"/>
      <c r="AS481" s="1691"/>
      <c r="AT481" s="1691"/>
      <c r="AU481" s="1691"/>
    </row>
    <row r="482">
      <c r="A482" s="1419"/>
      <c r="B482" s="1697"/>
      <c r="C482" s="1698"/>
      <c r="D482" s="1698"/>
      <c r="E482" s="1698"/>
      <c r="F482" s="1689"/>
      <c r="G482" s="1689"/>
      <c r="H482" s="1689"/>
      <c r="I482" s="1689"/>
      <c r="J482" s="1689"/>
      <c r="K482" s="1689"/>
      <c r="L482" s="1689"/>
      <c r="M482" s="1689"/>
      <c r="N482" s="1689"/>
      <c r="O482" s="1689"/>
      <c r="P482" s="1689"/>
      <c r="Q482" s="1689"/>
      <c r="R482" s="1689"/>
      <c r="S482" s="1689"/>
      <c r="T482" s="1689"/>
      <c r="U482" s="1689"/>
      <c r="V482" s="1689"/>
      <c r="W482" s="1689"/>
      <c r="X482" s="1689"/>
      <c r="Y482" s="1689"/>
      <c r="Z482" s="1689"/>
      <c r="AA482" s="1689"/>
      <c r="AB482" s="1689"/>
      <c r="AC482" s="1689"/>
      <c r="AD482" s="1689"/>
      <c r="AE482" s="1689"/>
      <c r="AF482" s="1689"/>
      <c r="AG482" s="1689"/>
      <c r="AH482" s="1689"/>
      <c r="AI482" s="1689"/>
      <c r="AJ482" s="1689"/>
      <c r="AK482" s="1689"/>
      <c r="AL482" s="1689"/>
      <c r="AM482" s="1689"/>
      <c r="AN482" s="1689"/>
      <c r="AO482" s="1689"/>
      <c r="AP482" s="1689"/>
      <c r="AQ482" s="1689"/>
      <c r="AR482" s="1689"/>
      <c r="AS482" s="1689"/>
      <c r="AT482" s="1689"/>
      <c r="AU482" s="1689"/>
    </row>
    <row r="483">
      <c r="A483" s="1419"/>
      <c r="B483" s="1699"/>
      <c r="C483" s="1700"/>
      <c r="D483" s="1700"/>
      <c r="E483" s="1700"/>
      <c r="F483" s="1691"/>
      <c r="G483" s="1691"/>
      <c r="H483" s="1691"/>
      <c r="I483" s="1691"/>
      <c r="J483" s="1691"/>
      <c r="K483" s="1691"/>
      <c r="L483" s="1691"/>
      <c r="M483" s="1691"/>
      <c r="N483" s="1691"/>
      <c r="O483" s="1691"/>
      <c r="P483" s="1691"/>
      <c r="Q483" s="1691"/>
      <c r="R483" s="1691"/>
      <c r="S483" s="1691"/>
      <c r="T483" s="1691"/>
      <c r="U483" s="1691"/>
      <c r="V483" s="1691"/>
      <c r="W483" s="1691"/>
      <c r="X483" s="1691"/>
      <c r="Y483" s="1691"/>
      <c r="Z483" s="1691"/>
      <c r="AA483" s="1691"/>
      <c r="AB483" s="1691"/>
      <c r="AC483" s="1691"/>
      <c r="AD483" s="1691"/>
      <c r="AE483" s="1691"/>
      <c r="AF483" s="1691"/>
      <c r="AG483" s="1691"/>
      <c r="AH483" s="1691"/>
      <c r="AI483" s="1691"/>
      <c r="AJ483" s="1691"/>
      <c r="AK483" s="1691"/>
      <c r="AL483" s="1691"/>
      <c r="AM483" s="1691"/>
      <c r="AN483" s="1691"/>
      <c r="AO483" s="1691"/>
      <c r="AP483" s="1691"/>
      <c r="AQ483" s="1691"/>
      <c r="AR483" s="1691"/>
      <c r="AS483" s="1691"/>
      <c r="AT483" s="1691"/>
      <c r="AU483" s="1691"/>
    </row>
    <row r="484">
      <c r="A484" s="1419"/>
      <c r="B484" s="1697"/>
      <c r="C484" s="1698"/>
      <c r="D484" s="1698"/>
      <c r="E484" s="1698"/>
      <c r="F484" s="1689"/>
      <c r="G484" s="1689"/>
      <c r="H484" s="1689"/>
      <c r="I484" s="1689"/>
      <c r="J484" s="1689"/>
      <c r="K484" s="1689"/>
      <c r="L484" s="1689"/>
      <c r="M484" s="1689"/>
      <c r="N484" s="1689"/>
      <c r="O484" s="1689"/>
      <c r="P484" s="1689"/>
      <c r="Q484" s="1689"/>
      <c r="R484" s="1689"/>
      <c r="S484" s="1689"/>
      <c r="T484" s="1689"/>
      <c r="U484" s="1689"/>
      <c r="V484" s="1689"/>
      <c r="W484" s="1689"/>
      <c r="X484" s="1689"/>
      <c r="Y484" s="1689"/>
      <c r="Z484" s="1689"/>
      <c r="AA484" s="1689"/>
      <c r="AB484" s="1689"/>
      <c r="AC484" s="1689"/>
      <c r="AD484" s="1689"/>
      <c r="AE484" s="1689"/>
      <c r="AF484" s="1689"/>
      <c r="AG484" s="1689"/>
      <c r="AH484" s="1689"/>
      <c r="AI484" s="1689"/>
      <c r="AJ484" s="1689"/>
      <c r="AK484" s="1689"/>
      <c r="AL484" s="1689"/>
      <c r="AM484" s="1689"/>
      <c r="AN484" s="1689"/>
      <c r="AO484" s="1689"/>
      <c r="AP484" s="1689"/>
      <c r="AQ484" s="1689"/>
      <c r="AR484" s="1689"/>
      <c r="AS484" s="1689"/>
      <c r="AT484" s="1689"/>
      <c r="AU484" s="1689"/>
    </row>
    <row r="485">
      <c r="A485" s="1419"/>
      <c r="B485" s="1699"/>
      <c r="C485" s="1700"/>
      <c r="D485" s="1700"/>
      <c r="E485" s="1700"/>
      <c r="F485" s="1691"/>
      <c r="G485" s="1691"/>
      <c r="H485" s="1691"/>
      <c r="I485" s="1691"/>
      <c r="J485" s="1691"/>
      <c r="K485" s="1691"/>
      <c r="L485" s="1691"/>
      <c r="M485" s="1691"/>
      <c r="N485" s="1691"/>
      <c r="O485" s="1691"/>
      <c r="P485" s="1691"/>
      <c r="Q485" s="1691"/>
      <c r="R485" s="1691"/>
      <c r="S485" s="1691"/>
      <c r="T485" s="1691"/>
      <c r="U485" s="1691"/>
      <c r="V485" s="1691"/>
      <c r="W485" s="1691"/>
      <c r="X485" s="1691"/>
      <c r="Y485" s="1691"/>
      <c r="Z485" s="1691"/>
      <c r="AA485" s="1691"/>
      <c r="AB485" s="1691"/>
      <c r="AC485" s="1691"/>
      <c r="AD485" s="1691"/>
      <c r="AE485" s="1691"/>
      <c r="AF485" s="1691"/>
      <c r="AG485" s="1691"/>
      <c r="AH485" s="1691"/>
      <c r="AI485" s="1691"/>
      <c r="AJ485" s="1691"/>
      <c r="AK485" s="1691"/>
      <c r="AL485" s="1691"/>
      <c r="AM485" s="1691"/>
      <c r="AN485" s="1691"/>
      <c r="AO485" s="1691"/>
      <c r="AP485" s="1691"/>
      <c r="AQ485" s="1691"/>
      <c r="AR485" s="1691"/>
      <c r="AS485" s="1691"/>
      <c r="AT485" s="1691"/>
      <c r="AU485" s="1691"/>
    </row>
    <row r="486">
      <c r="A486" s="1419"/>
      <c r="B486" s="1697"/>
      <c r="C486" s="1698"/>
      <c r="D486" s="1698"/>
      <c r="E486" s="1698"/>
      <c r="F486" s="1689"/>
      <c r="G486" s="1689"/>
      <c r="H486" s="1689"/>
      <c r="I486" s="1689"/>
      <c r="J486" s="1689"/>
      <c r="K486" s="1689"/>
      <c r="L486" s="1689"/>
      <c r="M486" s="1689"/>
      <c r="N486" s="1689"/>
      <c r="O486" s="1689"/>
      <c r="P486" s="1689"/>
      <c r="Q486" s="1689"/>
      <c r="R486" s="1689"/>
      <c r="S486" s="1689"/>
      <c r="T486" s="1689"/>
      <c r="U486" s="1689"/>
      <c r="V486" s="1689"/>
      <c r="W486" s="1689"/>
      <c r="X486" s="1689"/>
      <c r="Y486" s="1689"/>
      <c r="Z486" s="1689"/>
      <c r="AA486" s="1689"/>
      <c r="AB486" s="1689"/>
      <c r="AC486" s="1689"/>
      <c r="AD486" s="1689"/>
      <c r="AE486" s="1689"/>
      <c r="AF486" s="1689"/>
      <c r="AG486" s="1689"/>
      <c r="AH486" s="1689"/>
      <c r="AI486" s="1689"/>
      <c r="AJ486" s="1689"/>
      <c r="AK486" s="1689"/>
      <c r="AL486" s="1689"/>
      <c r="AM486" s="1689"/>
      <c r="AN486" s="1689"/>
      <c r="AO486" s="1689"/>
      <c r="AP486" s="1689"/>
      <c r="AQ486" s="1689"/>
      <c r="AR486" s="1689"/>
      <c r="AS486" s="1689"/>
      <c r="AT486" s="1689"/>
      <c r="AU486" s="1689"/>
    </row>
    <row r="487">
      <c r="A487" s="1419"/>
      <c r="B487" s="1699"/>
      <c r="C487" s="1700"/>
      <c r="D487" s="1700"/>
      <c r="E487" s="1700"/>
      <c r="F487" s="1691"/>
      <c r="G487" s="1691"/>
      <c r="H487" s="1691"/>
      <c r="I487" s="1691"/>
      <c r="J487" s="1691"/>
      <c r="K487" s="1691"/>
      <c r="L487" s="1691"/>
      <c r="M487" s="1691"/>
      <c r="N487" s="1691"/>
      <c r="O487" s="1691"/>
      <c r="P487" s="1691"/>
      <c r="Q487" s="1691"/>
      <c r="R487" s="1691"/>
      <c r="S487" s="1691"/>
      <c r="T487" s="1691"/>
      <c r="U487" s="1691"/>
      <c r="V487" s="1691"/>
      <c r="W487" s="1691"/>
      <c r="X487" s="1691"/>
      <c r="Y487" s="1691"/>
      <c r="Z487" s="1691"/>
      <c r="AA487" s="1691"/>
      <c r="AB487" s="1691"/>
      <c r="AC487" s="1691"/>
      <c r="AD487" s="1691"/>
      <c r="AE487" s="1691"/>
      <c r="AF487" s="1691"/>
      <c r="AG487" s="1691"/>
      <c r="AH487" s="1691"/>
      <c r="AI487" s="1691"/>
      <c r="AJ487" s="1691"/>
      <c r="AK487" s="1691"/>
      <c r="AL487" s="1691"/>
      <c r="AM487" s="1691"/>
      <c r="AN487" s="1691"/>
      <c r="AO487" s="1691"/>
      <c r="AP487" s="1691"/>
      <c r="AQ487" s="1691"/>
      <c r="AR487" s="1691"/>
      <c r="AS487" s="1691"/>
      <c r="AT487" s="1691"/>
      <c r="AU487" s="1691"/>
    </row>
    <row r="488">
      <c r="A488" s="1419"/>
      <c r="B488" s="1697"/>
      <c r="C488" s="1698"/>
      <c r="D488" s="1698"/>
      <c r="E488" s="1698"/>
      <c r="F488" s="1689"/>
      <c r="G488" s="1689"/>
      <c r="H488" s="1689"/>
      <c r="I488" s="1689"/>
      <c r="J488" s="1689"/>
      <c r="K488" s="1689"/>
      <c r="L488" s="1689"/>
      <c r="M488" s="1689"/>
      <c r="N488" s="1689"/>
      <c r="O488" s="1689"/>
      <c r="P488" s="1689"/>
      <c r="Q488" s="1689"/>
      <c r="R488" s="1689"/>
      <c r="S488" s="1689"/>
      <c r="T488" s="1689"/>
      <c r="U488" s="1689"/>
      <c r="V488" s="1689"/>
      <c r="W488" s="1689"/>
      <c r="X488" s="1689"/>
      <c r="Y488" s="1689"/>
      <c r="Z488" s="1689"/>
      <c r="AA488" s="1689"/>
      <c r="AB488" s="1689"/>
      <c r="AC488" s="1689"/>
      <c r="AD488" s="1689"/>
      <c r="AE488" s="1689"/>
      <c r="AF488" s="1689"/>
      <c r="AG488" s="1689"/>
      <c r="AH488" s="1689"/>
      <c r="AI488" s="1689"/>
      <c r="AJ488" s="1689"/>
      <c r="AK488" s="1689"/>
      <c r="AL488" s="1689"/>
      <c r="AM488" s="1689"/>
      <c r="AN488" s="1689"/>
      <c r="AO488" s="1689"/>
      <c r="AP488" s="1689"/>
      <c r="AQ488" s="1689"/>
      <c r="AR488" s="1689"/>
      <c r="AS488" s="1689"/>
      <c r="AT488" s="1689"/>
      <c r="AU488" s="1689"/>
    </row>
    <row r="489">
      <c r="A489" s="1419"/>
      <c r="B489" s="1699"/>
      <c r="C489" s="1700"/>
      <c r="D489" s="1700"/>
      <c r="E489" s="1700"/>
      <c r="F489" s="1691"/>
      <c r="G489" s="1691"/>
      <c r="H489" s="1691"/>
      <c r="I489" s="1691"/>
      <c r="J489" s="1691"/>
      <c r="K489" s="1691"/>
      <c r="L489" s="1691"/>
      <c r="M489" s="1691"/>
      <c r="N489" s="1691"/>
      <c r="O489" s="1691"/>
      <c r="P489" s="1691"/>
      <c r="Q489" s="1691"/>
      <c r="R489" s="1691"/>
      <c r="S489" s="1691"/>
      <c r="T489" s="1691"/>
      <c r="U489" s="1691"/>
      <c r="V489" s="1691"/>
      <c r="W489" s="1691"/>
      <c r="X489" s="1691"/>
      <c r="Y489" s="1691"/>
      <c r="Z489" s="1691"/>
      <c r="AA489" s="1691"/>
      <c r="AB489" s="1691"/>
      <c r="AC489" s="1691"/>
      <c r="AD489" s="1691"/>
      <c r="AE489" s="1691"/>
      <c r="AF489" s="1691"/>
      <c r="AG489" s="1691"/>
      <c r="AH489" s="1691"/>
      <c r="AI489" s="1691"/>
      <c r="AJ489" s="1691"/>
      <c r="AK489" s="1691"/>
      <c r="AL489" s="1691"/>
      <c r="AM489" s="1691"/>
      <c r="AN489" s="1691"/>
      <c r="AO489" s="1691"/>
      <c r="AP489" s="1691"/>
      <c r="AQ489" s="1691"/>
      <c r="AR489" s="1691"/>
      <c r="AS489" s="1691"/>
      <c r="AT489" s="1691"/>
      <c r="AU489" s="1691"/>
    </row>
    <row r="490">
      <c r="A490" s="1419"/>
      <c r="B490" s="1697"/>
      <c r="C490" s="1698"/>
      <c r="D490" s="1698"/>
      <c r="E490" s="1698"/>
      <c r="F490" s="1689"/>
      <c r="G490" s="1689"/>
      <c r="H490" s="1689"/>
      <c r="I490" s="1689"/>
      <c r="J490" s="1689"/>
      <c r="K490" s="1689"/>
      <c r="L490" s="1689"/>
      <c r="M490" s="1689"/>
      <c r="N490" s="1689"/>
      <c r="O490" s="1689"/>
      <c r="P490" s="1689"/>
      <c r="Q490" s="1689"/>
      <c r="R490" s="1689"/>
      <c r="S490" s="1689"/>
      <c r="T490" s="1689"/>
      <c r="U490" s="1689"/>
      <c r="V490" s="1689"/>
      <c r="W490" s="1689"/>
      <c r="X490" s="1689"/>
      <c r="Y490" s="1689"/>
      <c r="Z490" s="1689"/>
      <c r="AA490" s="1689"/>
      <c r="AB490" s="1689"/>
      <c r="AC490" s="1689"/>
      <c r="AD490" s="1689"/>
      <c r="AE490" s="1689"/>
      <c r="AF490" s="1689"/>
      <c r="AG490" s="1689"/>
      <c r="AH490" s="1689"/>
      <c r="AI490" s="1689"/>
      <c r="AJ490" s="1689"/>
      <c r="AK490" s="1689"/>
      <c r="AL490" s="1689"/>
      <c r="AM490" s="1689"/>
      <c r="AN490" s="1689"/>
      <c r="AO490" s="1689"/>
      <c r="AP490" s="1689"/>
      <c r="AQ490" s="1689"/>
      <c r="AR490" s="1689"/>
      <c r="AS490" s="1689"/>
      <c r="AT490" s="1689"/>
      <c r="AU490" s="1689"/>
    </row>
    <row r="491">
      <c r="A491" s="1419"/>
      <c r="B491" s="1699"/>
      <c r="C491" s="1700"/>
      <c r="D491" s="1700"/>
      <c r="E491" s="1700"/>
      <c r="F491" s="1691"/>
      <c r="G491" s="1691"/>
      <c r="H491" s="1691"/>
      <c r="I491" s="1691"/>
      <c r="J491" s="1691"/>
      <c r="K491" s="1691"/>
      <c r="L491" s="1691"/>
      <c r="M491" s="1691"/>
      <c r="N491" s="1691"/>
      <c r="O491" s="1691"/>
      <c r="P491" s="1691"/>
      <c r="Q491" s="1691"/>
      <c r="R491" s="1691"/>
      <c r="S491" s="1691"/>
      <c r="T491" s="1691"/>
      <c r="U491" s="1691"/>
      <c r="V491" s="1691"/>
      <c r="W491" s="1691"/>
      <c r="X491" s="1691"/>
      <c r="Y491" s="1691"/>
      <c r="Z491" s="1691"/>
      <c r="AA491" s="1691"/>
      <c r="AB491" s="1691"/>
      <c r="AC491" s="1691"/>
      <c r="AD491" s="1691"/>
      <c r="AE491" s="1691"/>
      <c r="AF491" s="1691"/>
      <c r="AG491" s="1691"/>
      <c r="AH491" s="1691"/>
      <c r="AI491" s="1691"/>
      <c r="AJ491" s="1691"/>
      <c r="AK491" s="1691"/>
      <c r="AL491" s="1691"/>
      <c r="AM491" s="1691"/>
      <c r="AN491" s="1691"/>
      <c r="AO491" s="1691"/>
      <c r="AP491" s="1691"/>
      <c r="AQ491" s="1691"/>
      <c r="AR491" s="1691"/>
      <c r="AS491" s="1691"/>
      <c r="AT491" s="1691"/>
      <c r="AU491" s="1691"/>
    </row>
    <row r="492">
      <c r="A492" s="1419"/>
      <c r="B492" s="1697"/>
      <c r="C492" s="1698"/>
      <c r="D492" s="1698"/>
      <c r="E492" s="1698"/>
      <c r="F492" s="1689"/>
      <c r="G492" s="1689"/>
      <c r="H492" s="1689"/>
      <c r="I492" s="1689"/>
      <c r="J492" s="1689"/>
      <c r="K492" s="1689"/>
      <c r="L492" s="1689"/>
      <c r="M492" s="1689"/>
      <c r="N492" s="1689"/>
      <c r="O492" s="1689"/>
      <c r="P492" s="1689"/>
      <c r="Q492" s="1689"/>
      <c r="R492" s="1689"/>
      <c r="S492" s="1689"/>
      <c r="T492" s="1689"/>
      <c r="U492" s="1689"/>
      <c r="V492" s="1689"/>
      <c r="W492" s="1689"/>
      <c r="X492" s="1689"/>
      <c r="Y492" s="1689"/>
      <c r="Z492" s="1689"/>
      <c r="AA492" s="1689"/>
      <c r="AB492" s="1689"/>
      <c r="AC492" s="1689"/>
      <c r="AD492" s="1689"/>
      <c r="AE492" s="1689"/>
      <c r="AF492" s="1689"/>
      <c r="AG492" s="1689"/>
      <c r="AH492" s="1689"/>
      <c r="AI492" s="1689"/>
      <c r="AJ492" s="1689"/>
      <c r="AK492" s="1689"/>
      <c r="AL492" s="1689"/>
      <c r="AM492" s="1689"/>
      <c r="AN492" s="1689"/>
      <c r="AO492" s="1689"/>
      <c r="AP492" s="1689"/>
      <c r="AQ492" s="1689"/>
      <c r="AR492" s="1689"/>
      <c r="AS492" s="1689"/>
      <c r="AT492" s="1689"/>
      <c r="AU492" s="1689"/>
    </row>
    <row r="493">
      <c r="A493" s="1419"/>
      <c r="B493" s="1699"/>
      <c r="C493" s="1700"/>
      <c r="D493" s="1700"/>
      <c r="E493" s="1700"/>
      <c r="F493" s="1691"/>
      <c r="G493" s="1691"/>
      <c r="H493" s="1691"/>
      <c r="I493" s="1691"/>
      <c r="J493" s="1691"/>
      <c r="K493" s="1691"/>
      <c r="L493" s="1691"/>
      <c r="M493" s="1691"/>
      <c r="N493" s="1691"/>
      <c r="O493" s="1691"/>
      <c r="P493" s="1691"/>
      <c r="Q493" s="1691"/>
      <c r="R493" s="1691"/>
      <c r="S493" s="1691"/>
      <c r="T493" s="1691"/>
      <c r="U493" s="1691"/>
      <c r="V493" s="1691"/>
      <c r="W493" s="1691"/>
      <c r="X493" s="1691"/>
      <c r="Y493" s="1691"/>
      <c r="Z493" s="1691"/>
      <c r="AA493" s="1691"/>
      <c r="AB493" s="1691"/>
      <c r="AC493" s="1691"/>
      <c r="AD493" s="1691"/>
      <c r="AE493" s="1691"/>
      <c r="AF493" s="1691"/>
      <c r="AG493" s="1691"/>
      <c r="AH493" s="1691"/>
      <c r="AI493" s="1691"/>
      <c r="AJ493" s="1691"/>
      <c r="AK493" s="1691"/>
      <c r="AL493" s="1691"/>
      <c r="AM493" s="1691"/>
      <c r="AN493" s="1691"/>
      <c r="AO493" s="1691"/>
      <c r="AP493" s="1691"/>
      <c r="AQ493" s="1691"/>
      <c r="AR493" s="1691"/>
      <c r="AS493" s="1691"/>
      <c r="AT493" s="1691"/>
      <c r="AU493" s="1691"/>
    </row>
    <row r="494">
      <c r="A494" s="1419"/>
      <c r="B494" s="1697"/>
      <c r="C494" s="1698"/>
      <c r="D494" s="1698"/>
      <c r="E494" s="1698"/>
      <c r="F494" s="1689"/>
      <c r="G494" s="1689"/>
      <c r="H494" s="1689"/>
      <c r="I494" s="1689"/>
      <c r="J494" s="1689"/>
      <c r="K494" s="1689"/>
      <c r="L494" s="1689"/>
      <c r="M494" s="1689"/>
      <c r="N494" s="1689"/>
      <c r="O494" s="1689"/>
      <c r="P494" s="1689"/>
      <c r="Q494" s="1689"/>
      <c r="R494" s="1689"/>
      <c r="S494" s="1689"/>
      <c r="T494" s="1689"/>
      <c r="U494" s="1689"/>
      <c r="V494" s="1689"/>
      <c r="W494" s="1689"/>
      <c r="X494" s="1689"/>
      <c r="Y494" s="1689"/>
      <c r="Z494" s="1689"/>
      <c r="AA494" s="1689"/>
      <c r="AB494" s="1689"/>
      <c r="AC494" s="1689"/>
      <c r="AD494" s="1689"/>
      <c r="AE494" s="1689"/>
      <c r="AF494" s="1689"/>
      <c r="AG494" s="1689"/>
      <c r="AH494" s="1689"/>
      <c r="AI494" s="1689"/>
      <c r="AJ494" s="1689"/>
      <c r="AK494" s="1689"/>
      <c r="AL494" s="1689"/>
      <c r="AM494" s="1689"/>
      <c r="AN494" s="1689"/>
      <c r="AO494" s="1689"/>
      <c r="AP494" s="1689"/>
      <c r="AQ494" s="1689"/>
      <c r="AR494" s="1689"/>
      <c r="AS494" s="1689"/>
      <c r="AT494" s="1689"/>
      <c r="AU494" s="1689"/>
    </row>
    <row r="495">
      <c r="A495" s="1419"/>
      <c r="B495" s="1699"/>
      <c r="C495" s="1700"/>
      <c r="D495" s="1700"/>
      <c r="E495" s="1700"/>
      <c r="F495" s="1691"/>
      <c r="G495" s="1691"/>
      <c r="H495" s="1691"/>
      <c r="I495" s="1691"/>
      <c r="J495" s="1691"/>
      <c r="K495" s="1691"/>
      <c r="L495" s="1691"/>
      <c r="M495" s="1691"/>
      <c r="N495" s="1691"/>
      <c r="O495" s="1691"/>
      <c r="P495" s="1691"/>
      <c r="Q495" s="1691"/>
      <c r="R495" s="1691"/>
      <c r="S495" s="1691"/>
      <c r="T495" s="1691"/>
      <c r="U495" s="1691"/>
      <c r="V495" s="1691"/>
      <c r="W495" s="1691"/>
      <c r="X495" s="1691"/>
      <c r="Y495" s="1691"/>
      <c r="Z495" s="1691"/>
      <c r="AA495" s="1691"/>
      <c r="AB495" s="1691"/>
      <c r="AC495" s="1691"/>
      <c r="AD495" s="1691"/>
      <c r="AE495" s="1691"/>
      <c r="AF495" s="1691"/>
      <c r="AG495" s="1691"/>
      <c r="AH495" s="1691"/>
      <c r="AI495" s="1691"/>
      <c r="AJ495" s="1691"/>
      <c r="AK495" s="1691"/>
      <c r="AL495" s="1691"/>
      <c r="AM495" s="1691"/>
      <c r="AN495" s="1691"/>
      <c r="AO495" s="1691"/>
      <c r="AP495" s="1691"/>
      <c r="AQ495" s="1691"/>
      <c r="AR495" s="1691"/>
      <c r="AS495" s="1691"/>
      <c r="AT495" s="1691"/>
      <c r="AU495" s="1691"/>
    </row>
    <row r="496">
      <c r="A496" s="1419"/>
      <c r="B496" s="1697"/>
      <c r="C496" s="1698"/>
      <c r="D496" s="1698"/>
      <c r="E496" s="1698"/>
      <c r="F496" s="1689"/>
      <c r="G496" s="1689"/>
      <c r="H496" s="1689"/>
      <c r="I496" s="1689"/>
      <c r="J496" s="1689"/>
      <c r="K496" s="1689"/>
      <c r="L496" s="1689"/>
      <c r="M496" s="1689"/>
      <c r="N496" s="1689"/>
      <c r="O496" s="1689"/>
      <c r="P496" s="1689"/>
      <c r="Q496" s="1689"/>
      <c r="R496" s="1689"/>
      <c r="S496" s="1689"/>
      <c r="T496" s="1689"/>
      <c r="U496" s="1689"/>
      <c r="V496" s="1689"/>
      <c r="W496" s="1689"/>
      <c r="X496" s="1689"/>
      <c r="Y496" s="1689"/>
      <c r="Z496" s="1689"/>
      <c r="AA496" s="1689"/>
      <c r="AB496" s="1689"/>
      <c r="AC496" s="1689"/>
      <c r="AD496" s="1689"/>
      <c r="AE496" s="1689"/>
      <c r="AF496" s="1689"/>
      <c r="AG496" s="1689"/>
      <c r="AH496" s="1689"/>
      <c r="AI496" s="1689"/>
      <c r="AJ496" s="1689"/>
      <c r="AK496" s="1689"/>
      <c r="AL496" s="1689"/>
      <c r="AM496" s="1689"/>
      <c r="AN496" s="1689"/>
      <c r="AO496" s="1689"/>
      <c r="AP496" s="1689"/>
      <c r="AQ496" s="1689"/>
      <c r="AR496" s="1689"/>
      <c r="AS496" s="1689"/>
      <c r="AT496" s="1689"/>
      <c r="AU496" s="1689"/>
    </row>
    <row r="497">
      <c r="A497" s="1419"/>
      <c r="B497" s="1699"/>
      <c r="C497" s="1700"/>
      <c r="D497" s="1700"/>
      <c r="E497" s="1700"/>
      <c r="F497" s="1691"/>
      <c r="G497" s="1691"/>
      <c r="H497" s="1691"/>
      <c r="I497" s="1691"/>
      <c r="J497" s="1691"/>
      <c r="K497" s="1691"/>
      <c r="L497" s="1691"/>
      <c r="M497" s="1691"/>
      <c r="N497" s="1691"/>
      <c r="O497" s="1691"/>
      <c r="P497" s="1691"/>
      <c r="Q497" s="1691"/>
      <c r="R497" s="1691"/>
      <c r="S497" s="1691"/>
      <c r="T497" s="1691"/>
      <c r="U497" s="1691"/>
      <c r="V497" s="1691"/>
      <c r="W497" s="1691"/>
      <c r="X497" s="1691"/>
      <c r="Y497" s="1691"/>
      <c r="Z497" s="1691"/>
      <c r="AA497" s="1691"/>
      <c r="AB497" s="1691"/>
      <c r="AC497" s="1691"/>
      <c r="AD497" s="1691"/>
      <c r="AE497" s="1691"/>
      <c r="AF497" s="1691"/>
      <c r="AG497" s="1691"/>
      <c r="AH497" s="1691"/>
      <c r="AI497" s="1691"/>
      <c r="AJ497" s="1691"/>
      <c r="AK497" s="1691"/>
      <c r="AL497" s="1691"/>
      <c r="AM497" s="1691"/>
      <c r="AN497" s="1691"/>
      <c r="AO497" s="1691"/>
      <c r="AP497" s="1691"/>
      <c r="AQ497" s="1691"/>
      <c r="AR497" s="1691"/>
      <c r="AS497" s="1691"/>
      <c r="AT497" s="1691"/>
      <c r="AU497" s="1691"/>
    </row>
    <row r="498">
      <c r="A498" s="1419"/>
      <c r="B498" s="1697"/>
      <c r="C498" s="1698"/>
      <c r="D498" s="1698"/>
      <c r="E498" s="1698"/>
      <c r="F498" s="1689"/>
      <c r="G498" s="1689"/>
      <c r="H498" s="1689"/>
      <c r="I498" s="1689"/>
      <c r="J498" s="1689"/>
      <c r="K498" s="1689"/>
      <c r="L498" s="1689"/>
      <c r="M498" s="1689"/>
      <c r="N498" s="1689"/>
      <c r="O498" s="1689"/>
      <c r="P498" s="1689"/>
      <c r="Q498" s="1689"/>
      <c r="R498" s="1689"/>
      <c r="S498" s="1689"/>
      <c r="T498" s="1689"/>
      <c r="U498" s="1689"/>
      <c r="V498" s="1689"/>
      <c r="W498" s="1689"/>
      <c r="X498" s="1689"/>
      <c r="Y498" s="1689"/>
      <c r="Z498" s="1689"/>
      <c r="AA498" s="1689"/>
      <c r="AB498" s="1689"/>
      <c r="AC498" s="1689"/>
      <c r="AD498" s="1689"/>
      <c r="AE498" s="1689"/>
      <c r="AF498" s="1689"/>
      <c r="AG498" s="1689"/>
      <c r="AH498" s="1689"/>
      <c r="AI498" s="1689"/>
      <c r="AJ498" s="1689"/>
      <c r="AK498" s="1689"/>
      <c r="AL498" s="1689"/>
      <c r="AM498" s="1689"/>
      <c r="AN498" s="1689"/>
      <c r="AO498" s="1689"/>
      <c r="AP498" s="1689"/>
      <c r="AQ498" s="1689"/>
      <c r="AR498" s="1689"/>
      <c r="AS498" s="1689"/>
      <c r="AT498" s="1689"/>
      <c r="AU498" s="1689"/>
    </row>
    <row r="499">
      <c r="A499" s="1419"/>
      <c r="B499" s="1699"/>
      <c r="C499" s="1700"/>
      <c r="D499" s="1700"/>
      <c r="E499" s="1700"/>
      <c r="F499" s="1691"/>
      <c r="G499" s="1691"/>
      <c r="H499" s="1691"/>
      <c r="I499" s="1691"/>
      <c r="J499" s="1691"/>
      <c r="K499" s="1691"/>
      <c r="L499" s="1691"/>
      <c r="M499" s="1691"/>
      <c r="N499" s="1691"/>
      <c r="O499" s="1691"/>
      <c r="P499" s="1691"/>
      <c r="Q499" s="1691"/>
      <c r="R499" s="1691"/>
      <c r="S499" s="1691"/>
      <c r="T499" s="1691"/>
      <c r="U499" s="1691"/>
      <c r="V499" s="1691"/>
      <c r="W499" s="1691"/>
      <c r="X499" s="1691"/>
      <c r="Y499" s="1691"/>
      <c r="Z499" s="1691"/>
      <c r="AA499" s="1691"/>
      <c r="AB499" s="1691"/>
      <c r="AC499" s="1691"/>
      <c r="AD499" s="1691"/>
      <c r="AE499" s="1691"/>
      <c r="AF499" s="1691"/>
      <c r="AG499" s="1691"/>
      <c r="AH499" s="1691"/>
      <c r="AI499" s="1691"/>
      <c r="AJ499" s="1691"/>
      <c r="AK499" s="1691"/>
      <c r="AL499" s="1691"/>
      <c r="AM499" s="1691"/>
      <c r="AN499" s="1691"/>
      <c r="AO499" s="1691"/>
      <c r="AP499" s="1691"/>
      <c r="AQ499" s="1691"/>
      <c r="AR499" s="1691"/>
      <c r="AS499" s="1691"/>
      <c r="AT499" s="1691"/>
      <c r="AU499" s="1691"/>
    </row>
    <row r="500">
      <c r="A500" s="1419"/>
      <c r="B500" s="1697"/>
      <c r="C500" s="1698"/>
      <c r="D500" s="1698"/>
      <c r="E500" s="1698"/>
      <c r="F500" s="1689"/>
      <c r="G500" s="1689"/>
      <c r="H500" s="1689"/>
      <c r="I500" s="1689"/>
      <c r="J500" s="1689"/>
      <c r="K500" s="1689"/>
      <c r="L500" s="1689"/>
      <c r="M500" s="1689"/>
      <c r="N500" s="1689"/>
      <c r="O500" s="1689"/>
      <c r="P500" s="1689"/>
      <c r="Q500" s="1689"/>
      <c r="R500" s="1689"/>
      <c r="S500" s="1689"/>
      <c r="T500" s="1689"/>
      <c r="U500" s="1689"/>
      <c r="V500" s="1689"/>
      <c r="W500" s="1689"/>
      <c r="X500" s="1689"/>
      <c r="Y500" s="1689"/>
      <c r="Z500" s="1689"/>
      <c r="AA500" s="1689"/>
      <c r="AB500" s="1689"/>
      <c r="AC500" s="1689"/>
      <c r="AD500" s="1689"/>
      <c r="AE500" s="1689"/>
      <c r="AF500" s="1689"/>
      <c r="AG500" s="1689"/>
      <c r="AH500" s="1689"/>
      <c r="AI500" s="1689"/>
      <c r="AJ500" s="1689"/>
      <c r="AK500" s="1689"/>
      <c r="AL500" s="1689"/>
      <c r="AM500" s="1689"/>
      <c r="AN500" s="1689"/>
      <c r="AO500" s="1689"/>
      <c r="AP500" s="1689"/>
      <c r="AQ500" s="1689"/>
      <c r="AR500" s="1689"/>
      <c r="AS500" s="1689"/>
      <c r="AT500" s="1689"/>
      <c r="AU500" s="1689"/>
    </row>
    <row r="501">
      <c r="A501" s="1419"/>
      <c r="B501" s="1699"/>
      <c r="C501" s="1700"/>
      <c r="D501" s="1700"/>
      <c r="E501" s="1700"/>
      <c r="F501" s="1691"/>
      <c r="G501" s="1691"/>
      <c r="H501" s="1691"/>
      <c r="I501" s="1691"/>
      <c r="J501" s="1691"/>
      <c r="K501" s="1691"/>
      <c r="L501" s="1691"/>
      <c r="M501" s="1691"/>
      <c r="N501" s="1691"/>
      <c r="O501" s="1691"/>
      <c r="P501" s="1691"/>
      <c r="Q501" s="1691"/>
      <c r="R501" s="1691"/>
      <c r="S501" s="1691"/>
      <c r="T501" s="1691"/>
      <c r="U501" s="1691"/>
      <c r="V501" s="1691"/>
      <c r="W501" s="1691"/>
      <c r="X501" s="1691"/>
      <c r="Y501" s="1691"/>
      <c r="Z501" s="1691"/>
      <c r="AA501" s="1691"/>
      <c r="AB501" s="1691"/>
      <c r="AC501" s="1691"/>
      <c r="AD501" s="1691"/>
      <c r="AE501" s="1691"/>
      <c r="AF501" s="1691"/>
      <c r="AG501" s="1691"/>
      <c r="AH501" s="1691"/>
      <c r="AI501" s="1691"/>
      <c r="AJ501" s="1691"/>
      <c r="AK501" s="1691"/>
      <c r="AL501" s="1691"/>
      <c r="AM501" s="1691"/>
      <c r="AN501" s="1691"/>
      <c r="AO501" s="1691"/>
      <c r="AP501" s="1691"/>
      <c r="AQ501" s="1691"/>
      <c r="AR501" s="1691"/>
      <c r="AS501" s="1691"/>
      <c r="AT501" s="1691"/>
      <c r="AU501" s="1691"/>
    </row>
    <row r="502">
      <c r="A502" s="1419"/>
      <c r="B502" s="1697"/>
      <c r="C502" s="1698"/>
      <c r="D502" s="1698"/>
      <c r="E502" s="1698"/>
      <c r="F502" s="1689"/>
      <c r="G502" s="1689"/>
      <c r="H502" s="1689"/>
      <c r="I502" s="1689"/>
      <c r="J502" s="1689"/>
      <c r="K502" s="1689"/>
      <c r="L502" s="1689"/>
      <c r="M502" s="1689"/>
      <c r="N502" s="1689"/>
      <c r="O502" s="1689"/>
      <c r="P502" s="1689"/>
      <c r="Q502" s="1689"/>
      <c r="R502" s="1689"/>
      <c r="S502" s="1689"/>
      <c r="T502" s="1689"/>
      <c r="U502" s="1689"/>
      <c r="V502" s="1689"/>
      <c r="W502" s="1689"/>
      <c r="X502" s="1689"/>
      <c r="Y502" s="1689"/>
      <c r="Z502" s="1689"/>
      <c r="AA502" s="1689"/>
      <c r="AB502" s="1689"/>
      <c r="AC502" s="1689"/>
      <c r="AD502" s="1689"/>
      <c r="AE502" s="1689"/>
      <c r="AF502" s="1689"/>
      <c r="AG502" s="1689"/>
      <c r="AH502" s="1689"/>
      <c r="AI502" s="1689"/>
      <c r="AJ502" s="1689"/>
      <c r="AK502" s="1689"/>
      <c r="AL502" s="1689"/>
      <c r="AM502" s="1689"/>
      <c r="AN502" s="1689"/>
      <c r="AO502" s="1689"/>
      <c r="AP502" s="1689"/>
      <c r="AQ502" s="1689"/>
      <c r="AR502" s="1689"/>
      <c r="AS502" s="1689"/>
      <c r="AT502" s="1689"/>
      <c r="AU502" s="1689"/>
    </row>
    <row r="503">
      <c r="A503" s="1419"/>
      <c r="B503" s="1701"/>
      <c r="C503" s="1702"/>
      <c r="D503" s="1702"/>
      <c r="E503" s="1702"/>
      <c r="F503" s="1703"/>
      <c r="G503" s="1703"/>
      <c r="H503" s="1703"/>
      <c r="I503" s="1703"/>
      <c r="J503" s="1703"/>
      <c r="K503" s="1703"/>
      <c r="L503" s="1703"/>
      <c r="M503" s="1703"/>
      <c r="N503" s="1703"/>
      <c r="O503" s="1703"/>
      <c r="P503" s="1703"/>
      <c r="Q503" s="1703"/>
      <c r="R503" s="1703"/>
      <c r="S503" s="1703"/>
      <c r="T503" s="1703"/>
      <c r="U503" s="1703"/>
      <c r="V503" s="1703"/>
      <c r="W503" s="1703"/>
      <c r="X503" s="1703"/>
      <c r="Y503" s="1703"/>
      <c r="Z503" s="1703"/>
      <c r="AA503" s="1704"/>
      <c r="AB503" s="1704"/>
      <c r="AC503" s="1704"/>
      <c r="AD503" s="1704"/>
      <c r="AE503" s="1704"/>
      <c r="AF503" s="1704"/>
      <c r="AG503" s="1704"/>
      <c r="AH503" s="1704"/>
      <c r="AI503" s="1704"/>
      <c r="AJ503" s="1704"/>
      <c r="AK503" s="1704"/>
      <c r="AL503" s="1704"/>
      <c r="AM503" s="1704"/>
      <c r="AN503" s="1704"/>
      <c r="AO503" s="1704"/>
      <c r="AP503" s="1704"/>
      <c r="AQ503" s="1704"/>
      <c r="AR503" s="1704"/>
      <c r="AS503" s="1704"/>
      <c r="AT503" s="1704"/>
      <c r="AU503" s="1704"/>
    </row>
    <row r="504">
      <c r="A504" s="1419"/>
      <c r="B504" s="1705"/>
      <c r="C504" s="1702"/>
      <c r="D504" s="1702"/>
      <c r="E504" s="1702"/>
      <c r="F504" s="1703"/>
      <c r="G504" s="1703"/>
      <c r="H504" s="1703"/>
      <c r="I504" s="1703"/>
      <c r="J504" s="1703"/>
      <c r="K504" s="1703"/>
      <c r="L504" s="1703"/>
      <c r="M504" s="1703"/>
      <c r="N504" s="1703"/>
      <c r="O504" s="1703"/>
      <c r="P504" s="1703"/>
      <c r="Q504" s="1703"/>
      <c r="R504" s="1703"/>
      <c r="S504" s="1703"/>
      <c r="T504" s="1703"/>
      <c r="U504" s="1703"/>
      <c r="V504" s="1703"/>
      <c r="W504" s="1703"/>
      <c r="X504" s="1703"/>
      <c r="Y504" s="1703"/>
      <c r="Z504" s="1703"/>
      <c r="AA504" s="1704"/>
      <c r="AB504" s="1704"/>
      <c r="AC504" s="1704"/>
      <c r="AD504" s="1704"/>
      <c r="AE504" s="1704"/>
      <c r="AF504" s="1704"/>
      <c r="AG504" s="1704"/>
      <c r="AH504" s="1704"/>
      <c r="AI504" s="1704"/>
      <c r="AJ504" s="1704"/>
      <c r="AK504" s="1704"/>
      <c r="AL504" s="1704"/>
      <c r="AM504" s="1704"/>
      <c r="AN504" s="1704"/>
      <c r="AO504" s="1704"/>
      <c r="AP504" s="1704"/>
      <c r="AQ504" s="1704"/>
      <c r="AR504" s="1704"/>
      <c r="AS504" s="1704"/>
      <c r="AT504" s="1704"/>
      <c r="AU504" s="1704"/>
    </row>
    <row r="505">
      <c r="A505" s="1419"/>
      <c r="B505" s="1705"/>
      <c r="C505" s="1702"/>
      <c r="D505" s="1702"/>
      <c r="E505" s="1702"/>
      <c r="F505" s="1703"/>
      <c r="G505" s="1703"/>
      <c r="H505" s="1703"/>
      <c r="I505" s="1703"/>
      <c r="J505" s="1703"/>
      <c r="K505" s="1703"/>
      <c r="L505" s="1703"/>
      <c r="M505" s="1703"/>
      <c r="N505" s="1703"/>
      <c r="O505" s="1703"/>
      <c r="P505" s="1703"/>
      <c r="Q505" s="1703"/>
      <c r="R505" s="1703"/>
      <c r="S505" s="1703"/>
      <c r="T505" s="1703"/>
      <c r="U505" s="1703"/>
      <c r="V505" s="1703"/>
      <c r="W505" s="1703"/>
      <c r="X505" s="1703"/>
      <c r="Y505" s="1703"/>
      <c r="Z505" s="1703"/>
      <c r="AA505" s="1704"/>
      <c r="AB505" s="1704"/>
      <c r="AC505" s="1704"/>
      <c r="AD505" s="1704"/>
      <c r="AE505" s="1704"/>
      <c r="AF505" s="1704"/>
      <c r="AG505" s="1704"/>
      <c r="AH505" s="1704"/>
      <c r="AI505" s="1704"/>
      <c r="AJ505" s="1704"/>
      <c r="AK505" s="1704"/>
      <c r="AL505" s="1704"/>
      <c r="AM505" s="1704"/>
      <c r="AN505" s="1704"/>
      <c r="AO505" s="1704"/>
      <c r="AP505" s="1704"/>
      <c r="AQ505" s="1704"/>
      <c r="AR505" s="1704"/>
      <c r="AS505" s="1704"/>
      <c r="AT505" s="1704"/>
      <c r="AU505" s="1704"/>
    </row>
    <row r="506">
      <c r="A506" s="1419"/>
      <c r="B506" s="1705"/>
      <c r="C506" s="1702"/>
      <c r="D506" s="1702"/>
      <c r="E506" s="1702"/>
      <c r="F506" s="1703"/>
      <c r="G506" s="1703"/>
      <c r="H506" s="1703"/>
      <c r="I506" s="1703"/>
      <c r="J506" s="1703"/>
      <c r="K506" s="1703"/>
      <c r="L506" s="1703"/>
      <c r="M506" s="1703"/>
      <c r="N506" s="1703"/>
      <c r="O506" s="1703"/>
      <c r="P506" s="1703"/>
      <c r="Q506" s="1703"/>
      <c r="R506" s="1703"/>
      <c r="S506" s="1703"/>
      <c r="T506" s="1703"/>
      <c r="U506" s="1703"/>
      <c r="V506" s="1703"/>
      <c r="W506" s="1703"/>
      <c r="X506" s="1703"/>
      <c r="Y506" s="1703"/>
      <c r="Z506" s="1703"/>
      <c r="AA506" s="1704"/>
      <c r="AB506" s="1704"/>
      <c r="AC506" s="1704"/>
      <c r="AD506" s="1704"/>
      <c r="AE506" s="1704"/>
      <c r="AF506" s="1704"/>
      <c r="AG506" s="1704"/>
      <c r="AH506" s="1704"/>
      <c r="AI506" s="1704"/>
      <c r="AJ506" s="1704"/>
      <c r="AK506" s="1704"/>
      <c r="AL506" s="1704"/>
      <c r="AM506" s="1704"/>
      <c r="AN506" s="1704"/>
      <c r="AO506" s="1704"/>
      <c r="AP506" s="1704"/>
      <c r="AQ506" s="1704"/>
      <c r="AR506" s="1704"/>
      <c r="AS506" s="1704"/>
      <c r="AT506" s="1704"/>
      <c r="AU506" s="1704"/>
    </row>
    <row r="507">
      <c r="A507" s="1419"/>
      <c r="B507" s="1705"/>
      <c r="C507" s="1702"/>
      <c r="D507" s="1702"/>
      <c r="E507" s="1702"/>
      <c r="F507" s="1703"/>
      <c r="G507" s="1703"/>
      <c r="H507" s="1703"/>
      <c r="I507" s="1703"/>
      <c r="J507" s="1703"/>
      <c r="K507" s="1703"/>
      <c r="L507" s="1703"/>
      <c r="M507" s="1703"/>
      <c r="N507" s="1703"/>
      <c r="O507" s="1703"/>
      <c r="P507" s="1703"/>
      <c r="Q507" s="1703"/>
      <c r="R507" s="1703"/>
      <c r="S507" s="1703"/>
      <c r="T507" s="1703"/>
      <c r="U507" s="1703"/>
      <c r="V507" s="1703"/>
      <c r="W507" s="1703"/>
      <c r="X507" s="1703"/>
      <c r="Y507" s="1703"/>
      <c r="Z507" s="1703"/>
      <c r="AA507" s="1704"/>
      <c r="AB507" s="1704"/>
      <c r="AC507" s="1704"/>
      <c r="AD507" s="1704"/>
      <c r="AE507" s="1704"/>
      <c r="AF507" s="1704"/>
      <c r="AG507" s="1704"/>
      <c r="AH507" s="1704"/>
      <c r="AI507" s="1704"/>
      <c r="AJ507" s="1704"/>
      <c r="AK507" s="1704"/>
      <c r="AL507" s="1704"/>
      <c r="AM507" s="1704"/>
      <c r="AN507" s="1704"/>
      <c r="AO507" s="1704"/>
      <c r="AP507" s="1704"/>
      <c r="AQ507" s="1704"/>
      <c r="AR507" s="1704"/>
      <c r="AS507" s="1704"/>
      <c r="AT507" s="1704"/>
      <c r="AU507" s="1704"/>
    </row>
    <row r="508">
      <c r="A508" s="1419"/>
      <c r="B508" s="1705"/>
      <c r="C508" s="1702"/>
      <c r="D508" s="1702"/>
      <c r="E508" s="1702"/>
      <c r="F508" s="1703"/>
      <c r="G508" s="1703"/>
      <c r="H508" s="1703"/>
      <c r="I508" s="1703"/>
      <c r="J508" s="1703"/>
      <c r="K508" s="1703"/>
      <c r="L508" s="1703"/>
      <c r="M508" s="1703"/>
      <c r="N508" s="1703"/>
      <c r="O508" s="1703"/>
      <c r="P508" s="1703"/>
      <c r="Q508" s="1703"/>
      <c r="R508" s="1703"/>
      <c r="S508" s="1703"/>
      <c r="T508" s="1703"/>
      <c r="U508" s="1703"/>
      <c r="V508" s="1703"/>
      <c r="W508" s="1703"/>
      <c r="X508" s="1703"/>
      <c r="Y508" s="1703"/>
      <c r="Z508" s="1703"/>
      <c r="AA508" s="1704"/>
      <c r="AB508" s="1704"/>
      <c r="AC508" s="1704"/>
      <c r="AD508" s="1704"/>
      <c r="AE508" s="1704"/>
      <c r="AF508" s="1704"/>
      <c r="AG508" s="1704"/>
      <c r="AH508" s="1704"/>
      <c r="AI508" s="1704"/>
      <c r="AJ508" s="1704"/>
      <c r="AK508" s="1704"/>
      <c r="AL508" s="1704"/>
      <c r="AM508" s="1704"/>
      <c r="AN508" s="1704"/>
      <c r="AO508" s="1704"/>
      <c r="AP508" s="1704"/>
      <c r="AQ508" s="1704"/>
      <c r="AR508" s="1704"/>
      <c r="AS508" s="1704"/>
      <c r="AT508" s="1704"/>
      <c r="AU508" s="1704"/>
    </row>
    <row r="509">
      <c r="A509" s="1419"/>
      <c r="B509" s="1706"/>
      <c r="C509" s="1702"/>
      <c r="D509" s="1702"/>
      <c r="E509" s="1702"/>
      <c r="F509" s="1703"/>
      <c r="G509" s="1703"/>
      <c r="H509" s="1703"/>
      <c r="I509" s="1703"/>
      <c r="J509" s="1703"/>
      <c r="K509" s="1703"/>
      <c r="L509" s="1703"/>
      <c r="M509" s="1703"/>
      <c r="N509" s="1703"/>
      <c r="O509" s="1703"/>
      <c r="P509" s="1703"/>
      <c r="Q509" s="1703"/>
      <c r="R509" s="1703"/>
      <c r="S509" s="1703"/>
      <c r="T509" s="1703"/>
      <c r="U509" s="1703"/>
      <c r="V509" s="1703"/>
      <c r="W509" s="1703"/>
      <c r="X509" s="1703"/>
      <c r="Y509" s="1703"/>
      <c r="Z509" s="1703"/>
      <c r="AA509" s="1704"/>
      <c r="AB509" s="1704"/>
      <c r="AC509" s="1704"/>
      <c r="AD509" s="1704"/>
      <c r="AE509" s="1704"/>
      <c r="AF509" s="1704"/>
      <c r="AG509" s="1704"/>
      <c r="AH509" s="1704"/>
      <c r="AI509" s="1704"/>
      <c r="AJ509" s="1704"/>
      <c r="AK509" s="1704"/>
      <c r="AL509" s="1704"/>
      <c r="AM509" s="1704"/>
      <c r="AN509" s="1704"/>
      <c r="AO509" s="1704"/>
      <c r="AP509" s="1704"/>
      <c r="AQ509" s="1704"/>
      <c r="AR509" s="1704"/>
      <c r="AS509" s="1704"/>
      <c r="AT509" s="1704"/>
      <c r="AU509" s="1704"/>
    </row>
    <row r="510">
      <c r="A510" s="1419"/>
      <c r="B510" s="1701"/>
      <c r="C510" s="1702"/>
      <c r="D510" s="1702"/>
      <c r="E510" s="1702"/>
      <c r="F510" s="1703"/>
      <c r="G510" s="1703"/>
      <c r="H510" s="1703"/>
      <c r="I510" s="1703"/>
      <c r="J510" s="1703"/>
      <c r="K510" s="1703"/>
      <c r="L510" s="1703"/>
      <c r="M510" s="1703"/>
      <c r="N510" s="1703"/>
      <c r="O510" s="1703"/>
      <c r="P510" s="1703"/>
      <c r="Q510" s="1703"/>
      <c r="R510" s="1703"/>
      <c r="S510" s="1703"/>
      <c r="T510" s="1703"/>
      <c r="U510" s="1703"/>
      <c r="V510" s="1703"/>
      <c r="W510" s="1703"/>
      <c r="X510" s="1703"/>
      <c r="Y510" s="1703"/>
      <c r="Z510" s="1703"/>
      <c r="AA510" s="1704"/>
      <c r="AB510" s="1704"/>
      <c r="AC510" s="1704"/>
      <c r="AD510" s="1704"/>
      <c r="AE510" s="1704"/>
      <c r="AF510" s="1704"/>
      <c r="AG510" s="1704"/>
      <c r="AH510" s="1704"/>
      <c r="AI510" s="1704"/>
      <c r="AJ510" s="1704"/>
      <c r="AK510" s="1704"/>
      <c r="AL510" s="1704"/>
      <c r="AM510" s="1704"/>
      <c r="AN510" s="1704"/>
      <c r="AO510" s="1704"/>
      <c r="AP510" s="1704"/>
      <c r="AQ510" s="1704"/>
      <c r="AR510" s="1704"/>
      <c r="AS510" s="1704"/>
      <c r="AT510" s="1704"/>
      <c r="AU510" s="1704"/>
    </row>
    <row r="511">
      <c r="A511" s="1419"/>
      <c r="B511" s="1701"/>
      <c r="C511" s="1702"/>
      <c r="D511" s="1702"/>
      <c r="E511" s="1702"/>
      <c r="F511" s="1703"/>
      <c r="G511" s="1703"/>
      <c r="H511" s="1703"/>
      <c r="I511" s="1703"/>
      <c r="J511" s="1703"/>
      <c r="K511" s="1703"/>
      <c r="L511" s="1703"/>
      <c r="M511" s="1703"/>
      <c r="N511" s="1703"/>
      <c r="O511" s="1703"/>
      <c r="P511" s="1703"/>
      <c r="Q511" s="1703"/>
      <c r="R511" s="1703"/>
      <c r="S511" s="1703"/>
      <c r="T511" s="1703"/>
      <c r="U511" s="1703"/>
      <c r="V511" s="1703"/>
      <c r="W511" s="1703"/>
      <c r="X511" s="1703"/>
      <c r="Y511" s="1703"/>
      <c r="Z511" s="1703"/>
      <c r="AA511" s="1704"/>
      <c r="AB511" s="1704"/>
      <c r="AC511" s="1704"/>
      <c r="AD511" s="1704"/>
      <c r="AE511" s="1704"/>
      <c r="AF511" s="1704"/>
      <c r="AG511" s="1704"/>
      <c r="AH511" s="1704"/>
      <c r="AI511" s="1704"/>
      <c r="AJ511" s="1704"/>
      <c r="AK511" s="1704"/>
      <c r="AL511" s="1704"/>
      <c r="AM511" s="1704"/>
      <c r="AN511" s="1704"/>
      <c r="AO511" s="1704"/>
      <c r="AP511" s="1704"/>
      <c r="AQ511" s="1704"/>
      <c r="AR511" s="1704"/>
      <c r="AS511" s="1704"/>
      <c r="AT511" s="1704"/>
      <c r="AU511" s="1704"/>
    </row>
    <row r="512">
      <c r="A512" s="1419"/>
      <c r="B512" s="1701"/>
      <c r="C512" s="1702"/>
      <c r="D512" s="1702"/>
      <c r="E512" s="1702"/>
      <c r="F512" s="1703"/>
      <c r="G512" s="1703"/>
      <c r="H512" s="1703"/>
      <c r="I512" s="1703"/>
      <c r="J512" s="1703"/>
      <c r="K512" s="1703"/>
      <c r="L512" s="1703"/>
      <c r="M512" s="1703"/>
      <c r="N512" s="1703"/>
      <c r="O512" s="1703"/>
      <c r="P512" s="1703"/>
      <c r="Q512" s="1703"/>
      <c r="R512" s="1703"/>
      <c r="S512" s="1703"/>
      <c r="T512" s="1703"/>
      <c r="U512" s="1703"/>
      <c r="V512" s="1703"/>
      <c r="W512" s="1703"/>
      <c r="X512" s="1703"/>
      <c r="Y512" s="1703"/>
      <c r="Z512" s="1703"/>
      <c r="AA512" s="1704"/>
      <c r="AB512" s="1704"/>
      <c r="AC512" s="1704"/>
      <c r="AD512" s="1704"/>
      <c r="AE512" s="1704"/>
      <c r="AF512" s="1704"/>
      <c r="AG512" s="1704"/>
      <c r="AH512" s="1704"/>
      <c r="AI512" s="1704"/>
      <c r="AJ512" s="1704"/>
      <c r="AK512" s="1704"/>
      <c r="AL512" s="1704"/>
      <c r="AM512" s="1704"/>
      <c r="AN512" s="1704"/>
      <c r="AO512" s="1704"/>
      <c r="AP512" s="1704"/>
      <c r="AQ512" s="1704"/>
      <c r="AR512" s="1704"/>
      <c r="AS512" s="1704"/>
      <c r="AT512" s="1704"/>
      <c r="AU512" s="1704"/>
    </row>
    <row r="513">
      <c r="A513" s="1440" t="s">
        <v>2461</v>
      </c>
      <c r="B513" s="1701"/>
      <c r="C513" s="1702"/>
      <c r="D513" s="1702"/>
      <c r="E513" s="1702"/>
      <c r="F513" s="1703"/>
      <c r="G513" s="1703"/>
      <c r="H513" s="1703"/>
      <c r="I513" s="1703"/>
      <c r="J513" s="1703"/>
      <c r="K513" s="1703"/>
      <c r="L513" s="1703"/>
      <c r="M513" s="1703"/>
      <c r="N513" s="1703"/>
      <c r="O513" s="1703"/>
      <c r="P513" s="1703"/>
      <c r="Q513" s="1703"/>
      <c r="R513" s="1703"/>
      <c r="S513" s="1703"/>
      <c r="T513" s="1703"/>
      <c r="U513" s="1703"/>
      <c r="V513" s="1703"/>
      <c r="W513" s="1703"/>
      <c r="X513" s="1703"/>
      <c r="Y513" s="1703"/>
      <c r="Z513" s="1703"/>
      <c r="AA513" s="1707"/>
      <c r="AB513" s="1707"/>
      <c r="AC513" s="1707"/>
      <c r="AD513" s="1707"/>
      <c r="AE513" s="1707"/>
      <c r="AF513" s="1707"/>
      <c r="AG513" s="1707"/>
      <c r="AH513" s="1707"/>
      <c r="AI513" s="1707"/>
      <c r="AJ513" s="1707"/>
      <c r="AK513" s="1707"/>
      <c r="AL513" s="1707"/>
      <c r="AM513" s="1707"/>
      <c r="AN513" s="1707"/>
      <c r="AO513" s="1707"/>
      <c r="AP513" s="1707"/>
      <c r="AQ513" s="1707"/>
      <c r="AR513" s="1707"/>
      <c r="AS513" s="1707"/>
      <c r="AT513" s="1707"/>
      <c r="AU513" s="1707"/>
    </row>
    <row r="514">
      <c r="A514" s="1461" t="s">
        <v>2461</v>
      </c>
      <c r="B514" s="1708"/>
      <c r="C514" s="1709"/>
      <c r="D514" s="1709"/>
      <c r="E514" s="1709"/>
      <c r="F514" s="1710"/>
      <c r="G514" s="1710"/>
      <c r="H514" s="1710"/>
      <c r="I514" s="1710"/>
      <c r="J514" s="1710"/>
      <c r="K514" s="1710"/>
      <c r="L514" s="1710"/>
      <c r="M514" s="1710"/>
      <c r="N514" s="1711"/>
      <c r="O514" s="1711"/>
      <c r="P514" s="1711"/>
      <c r="Q514" s="1711"/>
      <c r="R514" s="1711"/>
      <c r="S514" s="1711"/>
      <c r="T514" s="1711"/>
      <c r="U514" s="1711"/>
      <c r="V514" s="1711"/>
      <c r="W514" s="1711"/>
      <c r="X514" s="1711"/>
      <c r="Y514" s="1711"/>
      <c r="Z514" s="1711"/>
      <c r="AA514" s="1711"/>
      <c r="AB514" s="1711"/>
      <c r="AC514" s="1711"/>
      <c r="AD514" s="1711"/>
      <c r="AE514" s="1711"/>
      <c r="AF514" s="1711"/>
      <c r="AG514" s="1711"/>
      <c r="AH514" s="1711"/>
      <c r="AI514" s="1711"/>
      <c r="AJ514" s="1711"/>
      <c r="AK514" s="1711"/>
      <c r="AL514" s="1711"/>
      <c r="AM514" s="1711"/>
      <c r="AN514" s="1711"/>
      <c r="AO514" s="1711"/>
      <c r="AP514" s="1711"/>
      <c r="AQ514" s="1711"/>
      <c r="AR514" s="1711"/>
      <c r="AS514" s="1711"/>
      <c r="AT514" s="1711"/>
      <c r="AU514" s="1711"/>
    </row>
    <row r="515">
      <c r="A515" s="1461" t="s">
        <v>2461</v>
      </c>
      <c r="B515" s="1708"/>
      <c r="C515" s="1709"/>
      <c r="D515" s="1709"/>
      <c r="E515" s="1709"/>
      <c r="F515" s="1710"/>
      <c r="G515" s="1710"/>
      <c r="H515" s="1710"/>
      <c r="I515" s="1710"/>
      <c r="J515" s="1710"/>
      <c r="K515" s="1710"/>
      <c r="L515" s="1710"/>
      <c r="M515" s="1710"/>
      <c r="N515" s="1711"/>
      <c r="O515" s="1711"/>
      <c r="P515" s="1711"/>
      <c r="Q515" s="1711"/>
      <c r="R515" s="1711"/>
      <c r="S515" s="1711"/>
      <c r="T515" s="1711"/>
      <c r="U515" s="1711"/>
      <c r="V515" s="1711"/>
      <c r="W515" s="1711"/>
      <c r="X515" s="1711"/>
      <c r="Y515" s="1711"/>
      <c r="Z515" s="1711"/>
      <c r="AA515" s="1711"/>
      <c r="AB515" s="1711"/>
      <c r="AC515" s="1711"/>
      <c r="AD515" s="1711"/>
      <c r="AE515" s="1711"/>
      <c r="AF515" s="1711"/>
      <c r="AG515" s="1711"/>
      <c r="AH515" s="1711"/>
      <c r="AI515" s="1711"/>
      <c r="AJ515" s="1711"/>
      <c r="AK515" s="1711"/>
      <c r="AL515" s="1711"/>
      <c r="AM515" s="1711"/>
      <c r="AN515" s="1711"/>
      <c r="AO515" s="1711"/>
      <c r="AP515" s="1711"/>
      <c r="AQ515" s="1711"/>
      <c r="AR515" s="1711"/>
      <c r="AS515" s="1711"/>
      <c r="AT515" s="1711"/>
      <c r="AU515" s="1711"/>
    </row>
    <row r="516">
      <c r="A516" s="1461" t="s">
        <v>2461</v>
      </c>
      <c r="B516" s="1708"/>
      <c r="C516" s="1709"/>
      <c r="D516" s="1709"/>
      <c r="E516" s="1709"/>
      <c r="F516" s="1710"/>
      <c r="G516" s="1710"/>
      <c r="H516" s="1710"/>
      <c r="I516" s="1710"/>
      <c r="J516" s="1710"/>
      <c r="K516" s="1710"/>
      <c r="L516" s="1710"/>
      <c r="M516" s="1710"/>
      <c r="N516" s="1711"/>
      <c r="O516" s="1711"/>
      <c r="P516" s="1711"/>
      <c r="Q516" s="1711"/>
      <c r="R516" s="1711"/>
      <c r="S516" s="1711"/>
      <c r="T516" s="1711"/>
      <c r="U516" s="1711"/>
      <c r="V516" s="1711"/>
      <c r="W516" s="1711"/>
      <c r="X516" s="1711"/>
      <c r="Y516" s="1711"/>
      <c r="Z516" s="1711"/>
      <c r="AA516" s="1711"/>
      <c r="AB516" s="1711"/>
      <c r="AC516" s="1711"/>
      <c r="AD516" s="1711"/>
      <c r="AE516" s="1711"/>
      <c r="AF516" s="1711"/>
      <c r="AG516" s="1711"/>
      <c r="AH516" s="1711"/>
      <c r="AI516" s="1711"/>
      <c r="AJ516" s="1711"/>
      <c r="AK516" s="1711"/>
      <c r="AL516" s="1711"/>
      <c r="AM516" s="1711"/>
      <c r="AN516" s="1711"/>
      <c r="AO516" s="1711"/>
      <c r="AP516" s="1711"/>
      <c r="AQ516" s="1711"/>
      <c r="AR516" s="1711"/>
      <c r="AS516" s="1711"/>
      <c r="AT516" s="1711"/>
      <c r="AU516" s="1711"/>
    </row>
    <row r="517">
      <c r="A517" s="1461" t="s">
        <v>2461</v>
      </c>
      <c r="B517" s="1708"/>
      <c r="C517" s="1709"/>
      <c r="D517" s="1709"/>
      <c r="E517" s="1709"/>
      <c r="F517" s="1710"/>
      <c r="G517" s="1710"/>
      <c r="H517" s="1710"/>
      <c r="I517" s="1710"/>
      <c r="J517" s="1710"/>
      <c r="K517" s="1710"/>
      <c r="L517" s="1710"/>
      <c r="M517" s="1710"/>
      <c r="N517" s="1711"/>
      <c r="O517" s="1711"/>
      <c r="P517" s="1711"/>
      <c r="Q517" s="1711"/>
      <c r="R517" s="1711"/>
      <c r="S517" s="1711"/>
      <c r="T517" s="1711"/>
      <c r="U517" s="1711"/>
      <c r="V517" s="1711"/>
      <c r="W517" s="1711"/>
      <c r="X517" s="1711"/>
      <c r="Y517" s="1711"/>
      <c r="Z517" s="1711"/>
      <c r="AA517" s="1711"/>
      <c r="AB517" s="1711"/>
      <c r="AC517" s="1711"/>
      <c r="AD517" s="1711"/>
      <c r="AE517" s="1711"/>
      <c r="AF517" s="1711"/>
      <c r="AG517" s="1711"/>
      <c r="AH517" s="1711"/>
      <c r="AI517" s="1711"/>
      <c r="AJ517" s="1711"/>
      <c r="AK517" s="1711"/>
      <c r="AL517" s="1711"/>
      <c r="AM517" s="1711"/>
      <c r="AN517" s="1711"/>
      <c r="AO517" s="1711"/>
      <c r="AP517" s="1711"/>
      <c r="AQ517" s="1711"/>
      <c r="AR517" s="1711"/>
      <c r="AS517" s="1711"/>
      <c r="AT517" s="1711"/>
      <c r="AU517" s="1711"/>
    </row>
    <row r="518">
      <c r="A518" s="1461" t="s">
        <v>2461</v>
      </c>
      <c r="B518" s="1708"/>
      <c r="C518" s="1709"/>
      <c r="D518" s="1709"/>
      <c r="E518" s="1709"/>
      <c r="F518" s="1710"/>
      <c r="G518" s="1710"/>
      <c r="H518" s="1710"/>
      <c r="I518" s="1710"/>
      <c r="J518" s="1710"/>
      <c r="K518" s="1710"/>
      <c r="L518" s="1710"/>
      <c r="M518" s="1710"/>
      <c r="N518" s="1711"/>
      <c r="O518" s="1711"/>
      <c r="P518" s="1711"/>
      <c r="Q518" s="1711"/>
      <c r="R518" s="1711"/>
      <c r="S518" s="1711"/>
      <c r="T518" s="1711"/>
      <c r="U518" s="1711"/>
      <c r="V518" s="1711"/>
      <c r="W518" s="1711"/>
      <c r="X518" s="1711"/>
      <c r="Y518" s="1711"/>
      <c r="Z518" s="1711"/>
      <c r="AA518" s="1711"/>
      <c r="AB518" s="1711"/>
      <c r="AC518" s="1711"/>
      <c r="AD518" s="1711"/>
      <c r="AE518" s="1711"/>
      <c r="AF518" s="1711"/>
      <c r="AG518" s="1711"/>
      <c r="AH518" s="1711"/>
      <c r="AI518" s="1711"/>
      <c r="AJ518" s="1711"/>
      <c r="AK518" s="1711"/>
      <c r="AL518" s="1711"/>
      <c r="AM518" s="1711"/>
      <c r="AN518" s="1711"/>
      <c r="AO518" s="1711"/>
      <c r="AP518" s="1711"/>
      <c r="AQ518" s="1711"/>
      <c r="AR518" s="1711"/>
      <c r="AS518" s="1711"/>
      <c r="AT518" s="1711"/>
      <c r="AU518" s="1711"/>
    </row>
    <row r="519">
      <c r="A519" s="1461" t="s">
        <v>2461</v>
      </c>
      <c r="B519" s="1708"/>
      <c r="C519" s="1709"/>
      <c r="D519" s="1709"/>
      <c r="E519" s="1709"/>
      <c r="F519" s="1710"/>
      <c r="G519" s="1710"/>
      <c r="H519" s="1710"/>
      <c r="I519" s="1710"/>
      <c r="J519" s="1710"/>
      <c r="K519" s="1710"/>
      <c r="L519" s="1710"/>
      <c r="M519" s="1710"/>
      <c r="N519" s="1711"/>
      <c r="O519" s="1711"/>
      <c r="P519" s="1711"/>
      <c r="Q519" s="1711"/>
      <c r="R519" s="1711"/>
      <c r="S519" s="1711"/>
      <c r="T519" s="1711"/>
      <c r="U519" s="1711"/>
      <c r="V519" s="1711"/>
      <c r="W519" s="1711"/>
      <c r="X519" s="1711"/>
      <c r="Y519" s="1711"/>
      <c r="Z519" s="1711"/>
      <c r="AA519" s="1711"/>
      <c r="AB519" s="1711"/>
      <c r="AC519" s="1711"/>
      <c r="AD519" s="1711"/>
      <c r="AE519" s="1711"/>
      <c r="AF519" s="1711"/>
      <c r="AG519" s="1711"/>
      <c r="AH519" s="1711"/>
      <c r="AI519" s="1711"/>
      <c r="AJ519" s="1711"/>
      <c r="AK519" s="1711"/>
      <c r="AL519" s="1711"/>
      <c r="AM519" s="1711"/>
      <c r="AN519" s="1711"/>
      <c r="AO519" s="1711"/>
      <c r="AP519" s="1711"/>
      <c r="AQ519" s="1711"/>
      <c r="AR519" s="1711"/>
      <c r="AS519" s="1711"/>
      <c r="AT519" s="1711"/>
      <c r="AU519" s="1711"/>
    </row>
    <row r="520">
      <c r="A520" s="1461" t="s">
        <v>2461</v>
      </c>
      <c r="B520" s="1708"/>
      <c r="C520" s="1709"/>
      <c r="D520" s="1709"/>
      <c r="E520" s="1709"/>
      <c r="F520" s="1710"/>
      <c r="G520" s="1710"/>
      <c r="H520" s="1710"/>
      <c r="I520" s="1710"/>
      <c r="J520" s="1710"/>
      <c r="K520" s="1710"/>
      <c r="L520" s="1710"/>
      <c r="M520" s="1710"/>
      <c r="N520" s="1711"/>
      <c r="O520" s="1711"/>
      <c r="P520" s="1711"/>
      <c r="Q520" s="1711"/>
      <c r="R520" s="1711"/>
      <c r="S520" s="1711"/>
      <c r="T520" s="1711"/>
      <c r="U520" s="1711"/>
      <c r="V520" s="1711"/>
      <c r="W520" s="1711"/>
      <c r="X520" s="1711"/>
      <c r="Y520" s="1711"/>
      <c r="Z520" s="1711"/>
      <c r="AA520" s="1711"/>
      <c r="AB520" s="1711"/>
      <c r="AC520" s="1711"/>
      <c r="AD520" s="1711"/>
      <c r="AE520" s="1711"/>
      <c r="AF520" s="1711"/>
      <c r="AG520" s="1711"/>
      <c r="AH520" s="1711"/>
      <c r="AI520" s="1711"/>
      <c r="AJ520" s="1711"/>
      <c r="AK520" s="1711"/>
      <c r="AL520" s="1711"/>
      <c r="AM520" s="1711"/>
      <c r="AN520" s="1711"/>
      <c r="AO520" s="1711"/>
      <c r="AP520" s="1711"/>
      <c r="AQ520" s="1711"/>
      <c r="AR520" s="1711"/>
      <c r="AS520" s="1711"/>
      <c r="AT520" s="1711"/>
      <c r="AU520" s="1711"/>
    </row>
    <row r="521">
      <c r="A521" s="1461" t="s">
        <v>2461</v>
      </c>
      <c r="B521" s="1708"/>
      <c r="C521" s="1709"/>
      <c r="D521" s="1709"/>
      <c r="E521" s="1709"/>
      <c r="F521" s="1710"/>
      <c r="G521" s="1710"/>
      <c r="H521" s="1710"/>
      <c r="I521" s="1710"/>
      <c r="J521" s="1710"/>
      <c r="K521" s="1710"/>
      <c r="L521" s="1710"/>
      <c r="M521" s="1710"/>
      <c r="N521" s="1711"/>
      <c r="O521" s="1711"/>
      <c r="P521" s="1711"/>
      <c r="Q521" s="1711"/>
      <c r="R521" s="1711"/>
      <c r="S521" s="1711"/>
      <c r="T521" s="1711"/>
      <c r="U521" s="1711"/>
      <c r="V521" s="1711"/>
      <c r="W521" s="1711"/>
      <c r="X521" s="1711"/>
      <c r="Y521" s="1711"/>
      <c r="Z521" s="1711"/>
      <c r="AA521" s="1711"/>
      <c r="AB521" s="1711"/>
      <c r="AC521" s="1711"/>
      <c r="AD521" s="1711"/>
      <c r="AE521" s="1711"/>
      <c r="AF521" s="1711"/>
      <c r="AG521" s="1711"/>
      <c r="AH521" s="1711"/>
      <c r="AI521" s="1711"/>
      <c r="AJ521" s="1711"/>
      <c r="AK521" s="1711"/>
      <c r="AL521" s="1711"/>
      <c r="AM521" s="1711"/>
      <c r="AN521" s="1711"/>
      <c r="AO521" s="1711"/>
      <c r="AP521" s="1711"/>
      <c r="AQ521" s="1711"/>
      <c r="AR521" s="1711"/>
      <c r="AS521" s="1711"/>
      <c r="AT521" s="1711"/>
      <c r="AU521" s="1711"/>
    </row>
    <row r="522">
      <c r="A522" s="1461" t="s">
        <v>2461</v>
      </c>
      <c r="B522" s="1708"/>
      <c r="C522" s="1709"/>
      <c r="D522" s="1709"/>
      <c r="E522" s="1709"/>
      <c r="F522" s="1710"/>
      <c r="G522" s="1710"/>
      <c r="H522" s="1710"/>
      <c r="I522" s="1710"/>
      <c r="J522" s="1710"/>
      <c r="K522" s="1710"/>
      <c r="L522" s="1710"/>
      <c r="M522" s="1710"/>
      <c r="N522" s="1711"/>
      <c r="O522" s="1711"/>
      <c r="P522" s="1711"/>
      <c r="Q522" s="1711"/>
      <c r="R522" s="1711"/>
      <c r="S522" s="1711"/>
      <c r="T522" s="1711"/>
      <c r="U522" s="1711"/>
      <c r="V522" s="1711"/>
      <c r="W522" s="1711"/>
      <c r="X522" s="1711"/>
      <c r="Y522" s="1711"/>
      <c r="Z522" s="1711"/>
      <c r="AA522" s="1711"/>
      <c r="AB522" s="1711"/>
      <c r="AC522" s="1711"/>
      <c r="AD522" s="1711"/>
      <c r="AE522" s="1711"/>
      <c r="AF522" s="1711"/>
      <c r="AG522" s="1711"/>
      <c r="AH522" s="1711"/>
      <c r="AI522" s="1711"/>
      <c r="AJ522" s="1711"/>
      <c r="AK522" s="1711"/>
      <c r="AL522" s="1711"/>
      <c r="AM522" s="1711"/>
      <c r="AN522" s="1711"/>
      <c r="AO522" s="1711"/>
      <c r="AP522" s="1711"/>
      <c r="AQ522" s="1711"/>
      <c r="AR522" s="1711"/>
      <c r="AS522" s="1711"/>
      <c r="AT522" s="1711"/>
      <c r="AU522" s="1711"/>
    </row>
    <row r="523">
      <c r="A523" s="1461" t="s">
        <v>2461</v>
      </c>
      <c r="B523" s="1708"/>
      <c r="C523" s="1709"/>
      <c r="D523" s="1709"/>
      <c r="E523" s="1709"/>
      <c r="F523" s="1710"/>
      <c r="G523" s="1710"/>
      <c r="H523" s="1710"/>
      <c r="I523" s="1710"/>
      <c r="J523" s="1710"/>
      <c r="K523" s="1710"/>
      <c r="L523" s="1710"/>
      <c r="M523" s="1710"/>
      <c r="N523" s="1711"/>
      <c r="O523" s="1711"/>
      <c r="P523" s="1711"/>
      <c r="Q523" s="1711"/>
      <c r="R523" s="1711"/>
      <c r="S523" s="1711"/>
      <c r="T523" s="1711"/>
      <c r="U523" s="1711"/>
      <c r="V523" s="1711"/>
      <c r="W523" s="1711"/>
      <c r="X523" s="1711"/>
      <c r="Y523" s="1711"/>
      <c r="Z523" s="1711"/>
      <c r="AA523" s="1711"/>
      <c r="AB523" s="1711"/>
      <c r="AC523" s="1711"/>
      <c r="AD523" s="1711"/>
      <c r="AE523" s="1711"/>
      <c r="AF523" s="1711"/>
      <c r="AG523" s="1711"/>
      <c r="AH523" s="1711"/>
      <c r="AI523" s="1711"/>
      <c r="AJ523" s="1711"/>
      <c r="AK523" s="1711"/>
      <c r="AL523" s="1711"/>
      <c r="AM523" s="1711"/>
      <c r="AN523" s="1711"/>
      <c r="AO523" s="1711"/>
      <c r="AP523" s="1711"/>
      <c r="AQ523" s="1711"/>
      <c r="AR523" s="1711"/>
      <c r="AS523" s="1711"/>
      <c r="AT523" s="1711"/>
      <c r="AU523" s="1711"/>
    </row>
    <row r="524">
      <c r="A524" s="1461" t="s">
        <v>2461</v>
      </c>
      <c r="B524" s="1708"/>
      <c r="C524" s="1709"/>
      <c r="D524" s="1709"/>
      <c r="E524" s="1709"/>
      <c r="F524" s="1710"/>
      <c r="G524" s="1710"/>
      <c r="H524" s="1710"/>
      <c r="I524" s="1710"/>
      <c r="J524" s="1710"/>
      <c r="K524" s="1710"/>
      <c r="L524" s="1710"/>
      <c r="M524" s="1710"/>
      <c r="N524" s="1711"/>
      <c r="O524" s="1711"/>
      <c r="P524" s="1711"/>
      <c r="Q524" s="1711"/>
      <c r="R524" s="1711"/>
      <c r="S524" s="1711"/>
      <c r="T524" s="1711"/>
      <c r="U524" s="1711"/>
      <c r="V524" s="1711"/>
      <c r="W524" s="1711"/>
      <c r="X524" s="1711"/>
      <c r="Y524" s="1711"/>
      <c r="Z524" s="1711"/>
      <c r="AA524" s="1711"/>
      <c r="AB524" s="1711"/>
      <c r="AC524" s="1711"/>
      <c r="AD524" s="1711"/>
      <c r="AE524" s="1711"/>
      <c r="AF524" s="1711"/>
      <c r="AG524" s="1711"/>
      <c r="AH524" s="1711"/>
      <c r="AI524" s="1711"/>
      <c r="AJ524" s="1711"/>
      <c r="AK524" s="1711"/>
      <c r="AL524" s="1711"/>
      <c r="AM524" s="1711"/>
      <c r="AN524" s="1711"/>
      <c r="AO524" s="1711"/>
      <c r="AP524" s="1711"/>
      <c r="AQ524" s="1711"/>
      <c r="AR524" s="1711"/>
      <c r="AS524" s="1711"/>
      <c r="AT524" s="1711"/>
      <c r="AU524" s="1711"/>
    </row>
    <row r="525">
      <c r="A525" s="1461" t="s">
        <v>2461</v>
      </c>
      <c r="B525" s="1708"/>
      <c r="C525" s="1709"/>
      <c r="D525" s="1709"/>
      <c r="E525" s="1709"/>
      <c r="F525" s="1710"/>
      <c r="G525" s="1710"/>
      <c r="H525" s="1710"/>
      <c r="I525" s="1710"/>
      <c r="J525" s="1710"/>
      <c r="K525" s="1710"/>
      <c r="L525" s="1710"/>
      <c r="M525" s="1710"/>
      <c r="N525" s="1711"/>
      <c r="O525" s="1711"/>
      <c r="P525" s="1711"/>
      <c r="Q525" s="1711"/>
      <c r="R525" s="1711"/>
      <c r="S525" s="1711"/>
      <c r="T525" s="1711"/>
      <c r="U525" s="1711"/>
      <c r="V525" s="1711"/>
      <c r="W525" s="1711"/>
      <c r="X525" s="1711"/>
      <c r="Y525" s="1711"/>
      <c r="Z525" s="1711"/>
      <c r="AA525" s="1711"/>
      <c r="AB525" s="1711"/>
      <c r="AC525" s="1711"/>
      <c r="AD525" s="1711"/>
      <c r="AE525" s="1711"/>
      <c r="AF525" s="1711"/>
      <c r="AG525" s="1711"/>
      <c r="AH525" s="1711"/>
      <c r="AI525" s="1711"/>
      <c r="AJ525" s="1711"/>
      <c r="AK525" s="1711"/>
      <c r="AL525" s="1711"/>
      <c r="AM525" s="1711"/>
      <c r="AN525" s="1711"/>
      <c r="AO525" s="1711"/>
      <c r="AP525" s="1711"/>
      <c r="AQ525" s="1711"/>
      <c r="AR525" s="1711"/>
      <c r="AS525" s="1711"/>
      <c r="AT525" s="1711"/>
      <c r="AU525" s="1711"/>
    </row>
    <row r="526">
      <c r="A526" s="1461" t="s">
        <v>2461</v>
      </c>
      <c r="B526" s="1708"/>
      <c r="C526" s="1709"/>
      <c r="D526" s="1709"/>
      <c r="E526" s="1709"/>
      <c r="F526" s="1710"/>
      <c r="G526" s="1710"/>
      <c r="H526" s="1710"/>
      <c r="I526" s="1710"/>
      <c r="J526" s="1710"/>
      <c r="K526" s="1710"/>
      <c r="L526" s="1710"/>
      <c r="M526" s="1710"/>
      <c r="N526" s="1711"/>
      <c r="O526" s="1711"/>
      <c r="P526" s="1711"/>
      <c r="Q526" s="1711"/>
      <c r="R526" s="1711"/>
      <c r="S526" s="1711"/>
      <c r="T526" s="1711"/>
      <c r="U526" s="1711"/>
      <c r="V526" s="1711"/>
      <c r="W526" s="1711"/>
      <c r="X526" s="1711"/>
      <c r="Y526" s="1711"/>
      <c r="Z526" s="1711"/>
      <c r="AA526" s="1711"/>
      <c r="AB526" s="1711"/>
      <c r="AC526" s="1711"/>
      <c r="AD526" s="1711"/>
      <c r="AE526" s="1711"/>
      <c r="AF526" s="1711"/>
      <c r="AG526" s="1711"/>
      <c r="AH526" s="1711"/>
      <c r="AI526" s="1711"/>
      <c r="AJ526" s="1711"/>
      <c r="AK526" s="1711"/>
      <c r="AL526" s="1711"/>
      <c r="AM526" s="1711"/>
      <c r="AN526" s="1711"/>
      <c r="AO526" s="1711"/>
      <c r="AP526" s="1711"/>
      <c r="AQ526" s="1711"/>
      <c r="AR526" s="1711"/>
      <c r="AS526" s="1711"/>
      <c r="AT526" s="1711"/>
      <c r="AU526" s="1711"/>
    </row>
    <row r="527">
      <c r="A527" s="1461" t="s">
        <v>2461</v>
      </c>
      <c r="B527" s="1708"/>
      <c r="C527" s="1709"/>
      <c r="D527" s="1709"/>
      <c r="E527" s="1709"/>
      <c r="F527" s="1710"/>
      <c r="G527" s="1710"/>
      <c r="H527" s="1710"/>
      <c r="I527" s="1710"/>
      <c r="J527" s="1710"/>
      <c r="K527" s="1710"/>
      <c r="L527" s="1710"/>
      <c r="M527" s="1710"/>
      <c r="N527" s="1711"/>
      <c r="O527" s="1711"/>
      <c r="P527" s="1711"/>
      <c r="Q527" s="1711"/>
      <c r="R527" s="1711"/>
      <c r="S527" s="1711"/>
      <c r="T527" s="1711"/>
      <c r="U527" s="1711"/>
      <c r="V527" s="1711"/>
      <c r="W527" s="1711"/>
      <c r="X527" s="1711"/>
      <c r="Y527" s="1711"/>
      <c r="Z527" s="1711"/>
      <c r="AA527" s="1711"/>
      <c r="AB527" s="1711"/>
      <c r="AC527" s="1711"/>
      <c r="AD527" s="1711"/>
      <c r="AE527" s="1711"/>
      <c r="AF527" s="1711"/>
      <c r="AG527" s="1711"/>
      <c r="AH527" s="1711"/>
      <c r="AI527" s="1711"/>
      <c r="AJ527" s="1711"/>
      <c r="AK527" s="1711"/>
      <c r="AL527" s="1711"/>
      <c r="AM527" s="1711"/>
      <c r="AN527" s="1711"/>
      <c r="AO527" s="1711"/>
      <c r="AP527" s="1711"/>
      <c r="AQ527" s="1711"/>
      <c r="AR527" s="1711"/>
      <c r="AS527" s="1711"/>
      <c r="AT527" s="1711"/>
      <c r="AU527" s="1711"/>
    </row>
    <row r="528">
      <c r="A528" s="1461" t="s">
        <v>2461</v>
      </c>
      <c r="B528" s="1708"/>
      <c r="C528" s="1709"/>
      <c r="D528" s="1709"/>
      <c r="E528" s="1709"/>
      <c r="F528" s="1710"/>
      <c r="G528" s="1710"/>
      <c r="H528" s="1710"/>
      <c r="I528" s="1710"/>
      <c r="J528" s="1710"/>
      <c r="K528" s="1710"/>
      <c r="L528" s="1710"/>
      <c r="M528" s="1710"/>
      <c r="N528" s="1711"/>
      <c r="O528" s="1711"/>
      <c r="P528" s="1711"/>
      <c r="Q528" s="1711"/>
      <c r="R528" s="1711"/>
      <c r="S528" s="1711"/>
      <c r="T528" s="1711"/>
      <c r="U528" s="1711"/>
      <c r="V528" s="1711"/>
      <c r="W528" s="1711"/>
      <c r="X528" s="1711"/>
      <c r="Y528" s="1711"/>
      <c r="Z528" s="1711"/>
      <c r="AA528" s="1711"/>
      <c r="AB528" s="1711"/>
      <c r="AC528" s="1711"/>
      <c r="AD528" s="1711"/>
      <c r="AE528" s="1711"/>
      <c r="AF528" s="1711"/>
      <c r="AG528" s="1711"/>
      <c r="AH528" s="1711"/>
      <c r="AI528" s="1711"/>
      <c r="AJ528" s="1711"/>
      <c r="AK528" s="1711"/>
      <c r="AL528" s="1711"/>
      <c r="AM528" s="1711"/>
      <c r="AN528" s="1711"/>
      <c r="AO528" s="1711"/>
      <c r="AP528" s="1711"/>
      <c r="AQ528" s="1711"/>
      <c r="AR528" s="1711"/>
      <c r="AS528" s="1711"/>
      <c r="AT528" s="1711"/>
      <c r="AU528" s="1711"/>
    </row>
    <row r="529">
      <c r="A529" s="1461" t="s">
        <v>2461</v>
      </c>
      <c r="B529" s="1708"/>
      <c r="C529" s="1709"/>
      <c r="D529" s="1709"/>
      <c r="E529" s="1709"/>
      <c r="F529" s="1710"/>
      <c r="G529" s="1710"/>
      <c r="H529" s="1710"/>
      <c r="I529" s="1710"/>
      <c r="J529" s="1710"/>
      <c r="K529" s="1710"/>
      <c r="L529" s="1710"/>
      <c r="M529" s="1710"/>
      <c r="N529" s="1711"/>
      <c r="O529" s="1711"/>
      <c r="P529" s="1711"/>
      <c r="Q529" s="1711"/>
      <c r="R529" s="1711"/>
      <c r="S529" s="1711"/>
      <c r="T529" s="1711"/>
      <c r="U529" s="1711"/>
      <c r="V529" s="1711"/>
      <c r="W529" s="1711"/>
      <c r="X529" s="1711"/>
      <c r="Y529" s="1711"/>
      <c r="Z529" s="1711"/>
      <c r="AA529" s="1711"/>
      <c r="AB529" s="1711"/>
      <c r="AC529" s="1711"/>
      <c r="AD529" s="1711"/>
      <c r="AE529" s="1711"/>
      <c r="AF529" s="1711"/>
      <c r="AG529" s="1711"/>
      <c r="AH529" s="1711"/>
      <c r="AI529" s="1711"/>
      <c r="AJ529" s="1711"/>
      <c r="AK529" s="1711"/>
      <c r="AL529" s="1711"/>
      <c r="AM529" s="1711"/>
      <c r="AN529" s="1711"/>
      <c r="AO529" s="1711"/>
      <c r="AP529" s="1711"/>
      <c r="AQ529" s="1711"/>
      <c r="AR529" s="1711"/>
      <c r="AS529" s="1711"/>
      <c r="AT529" s="1711"/>
      <c r="AU529" s="1711"/>
    </row>
    <row r="530">
      <c r="A530" s="1461" t="s">
        <v>2461</v>
      </c>
      <c r="B530" s="1708"/>
      <c r="C530" s="1709"/>
      <c r="D530" s="1709"/>
      <c r="E530" s="1709"/>
      <c r="F530" s="1710"/>
      <c r="G530" s="1710"/>
      <c r="H530" s="1710"/>
      <c r="I530" s="1710"/>
      <c r="J530" s="1710"/>
      <c r="K530" s="1710"/>
      <c r="L530" s="1710"/>
      <c r="M530" s="1710"/>
      <c r="N530" s="1711"/>
      <c r="O530" s="1711"/>
      <c r="P530" s="1711"/>
      <c r="Q530" s="1711"/>
      <c r="R530" s="1711"/>
      <c r="S530" s="1711"/>
      <c r="T530" s="1711"/>
      <c r="U530" s="1711"/>
      <c r="V530" s="1711"/>
      <c r="W530" s="1711"/>
      <c r="X530" s="1711"/>
      <c r="Y530" s="1711"/>
      <c r="Z530" s="1711"/>
      <c r="AA530" s="1711"/>
      <c r="AB530" s="1711"/>
      <c r="AC530" s="1711"/>
      <c r="AD530" s="1711"/>
      <c r="AE530" s="1711"/>
      <c r="AF530" s="1711"/>
      <c r="AG530" s="1711"/>
      <c r="AH530" s="1711"/>
      <c r="AI530" s="1711"/>
      <c r="AJ530" s="1711"/>
      <c r="AK530" s="1711"/>
      <c r="AL530" s="1711"/>
      <c r="AM530" s="1711"/>
      <c r="AN530" s="1711"/>
      <c r="AO530" s="1711"/>
      <c r="AP530" s="1711"/>
      <c r="AQ530" s="1711"/>
      <c r="AR530" s="1711"/>
      <c r="AS530" s="1711"/>
      <c r="AT530" s="1711"/>
      <c r="AU530" s="1711"/>
    </row>
    <row r="531">
      <c r="A531" s="1461" t="s">
        <v>2461</v>
      </c>
      <c r="B531" s="1708"/>
      <c r="C531" s="1709"/>
      <c r="D531" s="1709"/>
      <c r="E531" s="1709"/>
      <c r="F531" s="1710"/>
      <c r="G531" s="1710"/>
      <c r="H531" s="1710"/>
      <c r="I531" s="1710"/>
      <c r="J531" s="1710"/>
      <c r="K531" s="1710"/>
      <c r="L531" s="1710"/>
      <c r="M531" s="1710"/>
      <c r="N531" s="1711"/>
      <c r="O531" s="1711"/>
      <c r="P531" s="1711"/>
      <c r="Q531" s="1711"/>
      <c r="R531" s="1711"/>
      <c r="S531" s="1711"/>
      <c r="T531" s="1711"/>
      <c r="U531" s="1711"/>
      <c r="V531" s="1711"/>
      <c r="W531" s="1711"/>
      <c r="X531" s="1711"/>
      <c r="Y531" s="1711"/>
      <c r="Z531" s="1711"/>
      <c r="AA531" s="1712"/>
      <c r="AB531" s="1712"/>
      <c r="AC531" s="1712"/>
      <c r="AD531" s="1712"/>
      <c r="AE531" s="1712"/>
      <c r="AF531" s="1712"/>
      <c r="AG531" s="1712"/>
      <c r="AH531" s="1712"/>
      <c r="AI531" s="1712"/>
      <c r="AJ531" s="1712"/>
      <c r="AK531" s="1712"/>
      <c r="AL531" s="1712"/>
      <c r="AM531" s="1712"/>
      <c r="AN531" s="1712"/>
      <c r="AO531" s="1712"/>
      <c r="AP531" s="1712"/>
      <c r="AQ531" s="1712"/>
      <c r="AR531" s="1712"/>
      <c r="AS531" s="1712"/>
      <c r="AT531" s="1712"/>
      <c r="AU531" s="1712"/>
    </row>
    <row r="532">
      <c r="A532" s="1461" t="s">
        <v>2461</v>
      </c>
      <c r="B532" s="1708"/>
      <c r="C532" s="1709"/>
      <c r="D532" s="1709"/>
      <c r="E532" s="1709"/>
      <c r="F532" s="1710"/>
      <c r="G532" s="1710"/>
      <c r="H532" s="1710"/>
      <c r="I532" s="1710"/>
      <c r="J532" s="1710"/>
      <c r="K532" s="1710"/>
      <c r="L532" s="1710"/>
      <c r="M532" s="1710"/>
      <c r="N532" s="1711"/>
      <c r="O532" s="1711"/>
      <c r="P532" s="1711"/>
      <c r="Q532" s="1711"/>
      <c r="R532" s="1711"/>
      <c r="S532" s="1711"/>
      <c r="T532" s="1711"/>
      <c r="U532" s="1711"/>
      <c r="V532" s="1711"/>
      <c r="W532" s="1711"/>
      <c r="X532" s="1711"/>
      <c r="Y532" s="1711"/>
      <c r="Z532" s="1711"/>
      <c r="AA532" s="1712"/>
      <c r="AB532" s="1712"/>
      <c r="AC532" s="1712"/>
      <c r="AD532" s="1712"/>
      <c r="AE532" s="1712"/>
      <c r="AF532" s="1712"/>
      <c r="AG532" s="1712"/>
      <c r="AH532" s="1712"/>
      <c r="AI532" s="1712"/>
      <c r="AJ532" s="1712"/>
      <c r="AK532" s="1712"/>
      <c r="AL532" s="1712"/>
      <c r="AM532" s="1712"/>
      <c r="AN532" s="1712"/>
      <c r="AO532" s="1712"/>
      <c r="AP532" s="1712"/>
      <c r="AQ532" s="1712"/>
      <c r="AR532" s="1712"/>
      <c r="AS532" s="1712"/>
      <c r="AT532" s="1712"/>
      <c r="AU532" s="1712"/>
    </row>
    <row r="533">
      <c r="A533" s="1461" t="s">
        <v>2461</v>
      </c>
      <c r="B533" s="1708"/>
      <c r="C533" s="1709"/>
      <c r="D533" s="1709"/>
      <c r="E533" s="1709"/>
      <c r="F533" s="1710"/>
      <c r="G533" s="1710"/>
      <c r="H533" s="1710"/>
      <c r="I533" s="1710"/>
      <c r="J533" s="1710"/>
      <c r="K533" s="1710"/>
      <c r="L533" s="1710"/>
      <c r="M533" s="1710"/>
      <c r="N533" s="1711"/>
      <c r="O533" s="1711"/>
      <c r="P533" s="1711"/>
      <c r="Q533" s="1711"/>
      <c r="R533" s="1711"/>
      <c r="S533" s="1711"/>
      <c r="T533" s="1711"/>
      <c r="U533" s="1711"/>
      <c r="V533" s="1711"/>
      <c r="W533" s="1711"/>
      <c r="X533" s="1711"/>
      <c r="Y533" s="1711"/>
      <c r="Z533" s="1711"/>
      <c r="AA533" s="1712"/>
      <c r="AB533" s="1712"/>
      <c r="AC533" s="1712"/>
      <c r="AD533" s="1712"/>
      <c r="AE533" s="1712"/>
      <c r="AF533" s="1712"/>
      <c r="AG533" s="1712"/>
      <c r="AH533" s="1712"/>
      <c r="AI533" s="1712"/>
      <c r="AJ533" s="1712"/>
      <c r="AK533" s="1712"/>
      <c r="AL533" s="1712"/>
      <c r="AM533" s="1712"/>
      <c r="AN533" s="1712"/>
      <c r="AO533" s="1712"/>
      <c r="AP533" s="1712"/>
      <c r="AQ533" s="1712"/>
      <c r="AR533" s="1712"/>
      <c r="AS533" s="1712"/>
      <c r="AT533" s="1712"/>
      <c r="AU533" s="1712"/>
    </row>
    <row r="534">
      <c r="A534" s="1461" t="s">
        <v>2461</v>
      </c>
      <c r="B534" s="1708"/>
      <c r="C534" s="1709"/>
      <c r="D534" s="1709"/>
      <c r="E534" s="1709"/>
      <c r="F534" s="1710"/>
      <c r="G534" s="1710"/>
      <c r="H534" s="1710"/>
      <c r="I534" s="1710"/>
      <c r="J534" s="1710"/>
      <c r="K534" s="1710"/>
      <c r="L534" s="1710"/>
      <c r="M534" s="1710"/>
      <c r="N534" s="1711"/>
      <c r="O534" s="1711"/>
      <c r="P534" s="1711"/>
      <c r="Q534" s="1711"/>
      <c r="R534" s="1711"/>
      <c r="S534" s="1711"/>
      <c r="T534" s="1711"/>
      <c r="U534" s="1711"/>
      <c r="V534" s="1711"/>
      <c r="W534" s="1711"/>
      <c r="X534" s="1711"/>
      <c r="Y534" s="1711"/>
      <c r="Z534" s="1711"/>
      <c r="AA534" s="1712"/>
      <c r="AB534" s="1712"/>
      <c r="AC534" s="1712"/>
      <c r="AD534" s="1712"/>
      <c r="AE534" s="1712"/>
      <c r="AF534" s="1712"/>
      <c r="AG534" s="1712"/>
      <c r="AH534" s="1712"/>
      <c r="AI534" s="1712"/>
      <c r="AJ534" s="1712"/>
      <c r="AK534" s="1712"/>
      <c r="AL534" s="1712"/>
      <c r="AM534" s="1712"/>
      <c r="AN534" s="1712"/>
      <c r="AO534" s="1712"/>
      <c r="AP534" s="1712"/>
      <c r="AQ534" s="1712"/>
      <c r="AR534" s="1712"/>
      <c r="AS534" s="1712"/>
      <c r="AT534" s="1712"/>
      <c r="AU534" s="1712"/>
    </row>
    <row r="535">
      <c r="A535" s="1461" t="s">
        <v>2461</v>
      </c>
      <c r="B535" s="1708"/>
      <c r="C535" s="1709"/>
      <c r="D535" s="1709"/>
      <c r="E535" s="1709"/>
      <c r="F535" s="1710"/>
      <c r="G535" s="1710"/>
      <c r="H535" s="1710"/>
      <c r="I535" s="1710"/>
      <c r="J535" s="1710"/>
      <c r="K535" s="1710"/>
      <c r="L535" s="1710"/>
      <c r="M535" s="1710"/>
      <c r="N535" s="1711"/>
      <c r="O535" s="1711"/>
      <c r="P535" s="1711"/>
      <c r="Q535" s="1711"/>
      <c r="R535" s="1711"/>
      <c r="S535" s="1711"/>
      <c r="T535" s="1711"/>
      <c r="U535" s="1711"/>
      <c r="V535" s="1711"/>
      <c r="W535" s="1711"/>
      <c r="X535" s="1711"/>
      <c r="Y535" s="1711"/>
      <c r="Z535" s="1711"/>
      <c r="AA535" s="1712"/>
      <c r="AB535" s="1712"/>
      <c r="AC535" s="1712"/>
      <c r="AD535" s="1712"/>
      <c r="AE535" s="1712"/>
      <c r="AF535" s="1712"/>
      <c r="AG535" s="1712"/>
      <c r="AH535" s="1712"/>
      <c r="AI535" s="1712"/>
      <c r="AJ535" s="1712"/>
      <c r="AK535" s="1712"/>
      <c r="AL535" s="1712"/>
      <c r="AM535" s="1712"/>
      <c r="AN535" s="1712"/>
      <c r="AO535" s="1712"/>
      <c r="AP535" s="1712"/>
      <c r="AQ535" s="1712"/>
      <c r="AR535" s="1712"/>
      <c r="AS535" s="1712"/>
      <c r="AT535" s="1712"/>
      <c r="AU535" s="1712"/>
    </row>
    <row r="536">
      <c r="A536" s="1474" t="s">
        <v>2461</v>
      </c>
      <c r="B536" s="1708"/>
      <c r="C536" s="1709"/>
      <c r="D536" s="1709"/>
      <c r="E536" s="1709"/>
      <c r="F536" s="1710"/>
      <c r="G536" s="1710"/>
      <c r="H536" s="1710"/>
      <c r="I536" s="1710"/>
      <c r="J536" s="1710"/>
      <c r="K536" s="1710"/>
      <c r="L536" s="1710"/>
      <c r="M536" s="1710"/>
      <c r="N536" s="1711"/>
      <c r="O536" s="1711"/>
      <c r="P536" s="1711"/>
      <c r="Q536" s="1711"/>
      <c r="R536" s="1711"/>
      <c r="S536" s="1711"/>
      <c r="T536" s="1711"/>
      <c r="U536" s="1711"/>
      <c r="V536" s="1711"/>
      <c r="W536" s="1711"/>
      <c r="X536" s="1711"/>
      <c r="Y536" s="1711"/>
      <c r="Z536" s="1711"/>
      <c r="AA536" s="1712"/>
      <c r="AB536" s="1712"/>
      <c r="AC536" s="1712"/>
      <c r="AD536" s="1712"/>
      <c r="AE536" s="1712"/>
      <c r="AF536" s="1712"/>
      <c r="AG536" s="1712"/>
      <c r="AH536" s="1712"/>
      <c r="AI536" s="1712"/>
      <c r="AJ536" s="1712"/>
      <c r="AK536" s="1712"/>
      <c r="AL536" s="1712"/>
      <c r="AM536" s="1712"/>
      <c r="AN536" s="1712"/>
      <c r="AO536" s="1712"/>
      <c r="AP536" s="1712"/>
      <c r="AQ536" s="1712"/>
      <c r="AR536" s="1712"/>
      <c r="AS536" s="1712"/>
      <c r="AT536" s="1712"/>
      <c r="AU536" s="1712"/>
    </row>
    <row r="537">
      <c r="A537" s="1474" t="s">
        <v>2461</v>
      </c>
      <c r="B537" s="1708"/>
      <c r="C537" s="1709"/>
      <c r="D537" s="1709"/>
      <c r="E537" s="1709"/>
      <c r="F537" s="1710"/>
      <c r="G537" s="1710"/>
      <c r="H537" s="1710"/>
      <c r="I537" s="1710"/>
      <c r="J537" s="1710"/>
      <c r="K537" s="1710"/>
      <c r="L537" s="1710"/>
      <c r="M537" s="1710"/>
      <c r="N537" s="1711"/>
      <c r="O537" s="1711"/>
      <c r="P537" s="1711"/>
      <c r="Q537" s="1711"/>
      <c r="R537" s="1711"/>
      <c r="S537" s="1711"/>
      <c r="T537" s="1711"/>
      <c r="U537" s="1711"/>
      <c r="V537" s="1711"/>
      <c r="W537" s="1711"/>
      <c r="X537" s="1711"/>
      <c r="Y537" s="1711"/>
      <c r="Z537" s="1711"/>
      <c r="AA537" s="1712"/>
      <c r="AB537" s="1712"/>
      <c r="AC537" s="1712"/>
      <c r="AD537" s="1712"/>
      <c r="AE537" s="1712"/>
      <c r="AF537" s="1712"/>
      <c r="AG537" s="1712"/>
      <c r="AH537" s="1712"/>
      <c r="AI537" s="1712"/>
      <c r="AJ537" s="1712"/>
      <c r="AK537" s="1712"/>
      <c r="AL537" s="1712"/>
      <c r="AM537" s="1712"/>
      <c r="AN537" s="1712"/>
      <c r="AO537" s="1712"/>
      <c r="AP537" s="1712"/>
      <c r="AQ537" s="1712"/>
      <c r="AR537" s="1712"/>
      <c r="AS537" s="1712"/>
      <c r="AT537" s="1712"/>
      <c r="AU537" s="1712"/>
    </row>
    <row r="538">
      <c r="A538" s="1474" t="s">
        <v>2461</v>
      </c>
      <c r="B538" s="1708"/>
      <c r="C538" s="1709"/>
      <c r="D538" s="1709"/>
      <c r="E538" s="1709"/>
      <c r="F538" s="1710"/>
      <c r="G538" s="1710"/>
      <c r="H538" s="1710"/>
      <c r="I538" s="1710"/>
      <c r="J538" s="1710"/>
      <c r="K538" s="1710"/>
      <c r="L538" s="1710"/>
      <c r="M538" s="1710"/>
      <c r="N538" s="1711"/>
      <c r="O538" s="1711"/>
      <c r="P538" s="1711"/>
      <c r="Q538" s="1711"/>
      <c r="R538" s="1711"/>
      <c r="S538" s="1711"/>
      <c r="T538" s="1711"/>
      <c r="U538" s="1711"/>
      <c r="V538" s="1711"/>
      <c r="W538" s="1711"/>
      <c r="X538" s="1711"/>
      <c r="Y538" s="1711"/>
      <c r="Z538" s="1711"/>
      <c r="AA538" s="1712"/>
      <c r="AB538" s="1712"/>
      <c r="AC538" s="1712"/>
      <c r="AD538" s="1712"/>
      <c r="AE538" s="1712"/>
      <c r="AF538" s="1712"/>
      <c r="AG538" s="1712"/>
      <c r="AH538" s="1712"/>
      <c r="AI538" s="1712"/>
      <c r="AJ538" s="1712"/>
      <c r="AK538" s="1712"/>
      <c r="AL538" s="1712"/>
      <c r="AM538" s="1712"/>
      <c r="AN538" s="1712"/>
      <c r="AO538" s="1712"/>
      <c r="AP538" s="1712"/>
      <c r="AQ538" s="1712"/>
      <c r="AR538" s="1712"/>
      <c r="AS538" s="1712"/>
      <c r="AT538" s="1712"/>
      <c r="AU538" s="1712"/>
    </row>
    <row r="539">
      <c r="A539" s="1474" t="s">
        <v>2461</v>
      </c>
      <c r="B539" s="1708"/>
      <c r="C539" s="1709"/>
      <c r="D539" s="1709"/>
      <c r="E539" s="1709"/>
      <c r="F539" s="1710"/>
      <c r="G539" s="1710"/>
      <c r="H539" s="1710"/>
      <c r="I539" s="1710"/>
      <c r="J539" s="1710"/>
      <c r="K539" s="1710"/>
      <c r="L539" s="1710"/>
      <c r="M539" s="1710"/>
      <c r="N539" s="1711"/>
      <c r="O539" s="1711"/>
      <c r="P539" s="1711"/>
      <c r="Q539" s="1711"/>
      <c r="R539" s="1711"/>
      <c r="S539" s="1711"/>
      <c r="T539" s="1711"/>
      <c r="U539" s="1711"/>
      <c r="V539" s="1711"/>
      <c r="W539" s="1711"/>
      <c r="X539" s="1711"/>
      <c r="Y539" s="1711"/>
      <c r="Z539" s="1711"/>
      <c r="AA539" s="1712"/>
      <c r="AB539" s="1712"/>
      <c r="AC539" s="1712"/>
      <c r="AD539" s="1712"/>
      <c r="AE539" s="1712"/>
      <c r="AF539" s="1712"/>
      <c r="AG539" s="1712"/>
      <c r="AH539" s="1712"/>
      <c r="AI539" s="1712"/>
      <c r="AJ539" s="1712"/>
      <c r="AK539" s="1712"/>
      <c r="AL539" s="1712"/>
      <c r="AM539" s="1712"/>
      <c r="AN539" s="1712"/>
      <c r="AO539" s="1712"/>
      <c r="AP539" s="1712"/>
      <c r="AQ539" s="1712"/>
      <c r="AR539" s="1712"/>
      <c r="AS539" s="1712"/>
      <c r="AT539" s="1712"/>
      <c r="AU539" s="1712"/>
    </row>
    <row r="540">
      <c r="A540" s="1474" t="s">
        <v>2461</v>
      </c>
      <c r="B540" s="1708"/>
      <c r="C540" s="1709"/>
      <c r="D540" s="1709"/>
      <c r="E540" s="1709"/>
      <c r="F540" s="1710"/>
      <c r="G540" s="1710"/>
      <c r="H540" s="1710"/>
      <c r="I540" s="1710"/>
      <c r="J540" s="1710"/>
      <c r="K540" s="1710"/>
      <c r="L540" s="1710"/>
      <c r="M540" s="1710"/>
      <c r="N540" s="1711"/>
      <c r="O540" s="1711"/>
      <c r="P540" s="1711"/>
      <c r="Q540" s="1711"/>
      <c r="R540" s="1711"/>
      <c r="S540" s="1711"/>
      <c r="T540" s="1711"/>
      <c r="U540" s="1711"/>
      <c r="V540" s="1711"/>
      <c r="W540" s="1711"/>
      <c r="X540" s="1711"/>
      <c r="Y540" s="1711"/>
      <c r="Z540" s="1711"/>
      <c r="AA540" s="1712"/>
      <c r="AB540" s="1712"/>
      <c r="AC540" s="1712"/>
      <c r="AD540" s="1712"/>
      <c r="AE540" s="1712"/>
      <c r="AF540" s="1712"/>
      <c r="AG540" s="1712"/>
      <c r="AH540" s="1712"/>
      <c r="AI540" s="1712"/>
      <c r="AJ540" s="1712"/>
      <c r="AK540" s="1712"/>
      <c r="AL540" s="1712"/>
      <c r="AM540" s="1712"/>
      <c r="AN540" s="1712"/>
      <c r="AO540" s="1712"/>
      <c r="AP540" s="1712"/>
      <c r="AQ540" s="1712"/>
      <c r="AR540" s="1712"/>
      <c r="AS540" s="1712"/>
      <c r="AT540" s="1712"/>
      <c r="AU540" s="1712"/>
    </row>
    <row r="541">
      <c r="A541" s="1474" t="s">
        <v>2461</v>
      </c>
      <c r="B541" s="1708"/>
      <c r="C541" s="1709"/>
      <c r="D541" s="1709"/>
      <c r="E541" s="1709"/>
      <c r="F541" s="1710"/>
      <c r="G541" s="1710"/>
      <c r="H541" s="1710"/>
      <c r="I541" s="1710"/>
      <c r="J541" s="1710"/>
      <c r="K541" s="1710"/>
      <c r="L541" s="1710"/>
      <c r="M541" s="1710"/>
      <c r="N541" s="1711"/>
      <c r="O541" s="1711"/>
      <c r="P541" s="1711"/>
      <c r="Q541" s="1711"/>
      <c r="R541" s="1711"/>
      <c r="S541" s="1711"/>
      <c r="T541" s="1711"/>
      <c r="U541" s="1711"/>
      <c r="V541" s="1711"/>
      <c r="W541" s="1711"/>
      <c r="X541" s="1711"/>
      <c r="Y541" s="1711"/>
      <c r="Z541" s="1711"/>
      <c r="AA541" s="1712"/>
      <c r="AB541" s="1712"/>
      <c r="AC541" s="1712"/>
      <c r="AD541" s="1712"/>
      <c r="AE541" s="1712"/>
      <c r="AF541" s="1712"/>
      <c r="AG541" s="1712"/>
      <c r="AH541" s="1712"/>
      <c r="AI541" s="1712"/>
      <c r="AJ541" s="1712"/>
      <c r="AK541" s="1712"/>
      <c r="AL541" s="1712"/>
      <c r="AM541" s="1712"/>
      <c r="AN541" s="1712"/>
      <c r="AO541" s="1712"/>
      <c r="AP541" s="1712"/>
      <c r="AQ541" s="1712"/>
      <c r="AR541" s="1712"/>
      <c r="AS541" s="1712"/>
      <c r="AT541" s="1712"/>
      <c r="AU541" s="1712"/>
    </row>
    <row r="542">
      <c r="A542" s="1474" t="s">
        <v>2461</v>
      </c>
      <c r="B542" s="1708"/>
      <c r="C542" s="1709"/>
      <c r="D542" s="1709"/>
      <c r="E542" s="1709"/>
      <c r="F542" s="1710"/>
      <c r="G542" s="1710"/>
      <c r="H542" s="1710"/>
      <c r="I542" s="1710"/>
      <c r="J542" s="1710"/>
      <c r="K542" s="1710"/>
      <c r="L542" s="1710"/>
      <c r="M542" s="1710"/>
      <c r="N542" s="1711"/>
      <c r="O542" s="1711"/>
      <c r="P542" s="1711"/>
      <c r="Q542" s="1711"/>
      <c r="R542" s="1711"/>
      <c r="S542" s="1711"/>
      <c r="T542" s="1711"/>
      <c r="U542" s="1711"/>
      <c r="V542" s="1711"/>
      <c r="W542" s="1711"/>
      <c r="X542" s="1711"/>
      <c r="Y542" s="1711"/>
      <c r="Z542" s="1711"/>
      <c r="AA542" s="1712"/>
      <c r="AB542" s="1712"/>
      <c r="AC542" s="1712"/>
      <c r="AD542" s="1712"/>
      <c r="AE542" s="1712"/>
      <c r="AF542" s="1712"/>
      <c r="AG542" s="1712"/>
      <c r="AH542" s="1712"/>
      <c r="AI542" s="1712"/>
      <c r="AJ542" s="1712"/>
      <c r="AK542" s="1712"/>
      <c r="AL542" s="1712"/>
      <c r="AM542" s="1712"/>
      <c r="AN542" s="1712"/>
      <c r="AO542" s="1712"/>
      <c r="AP542" s="1712"/>
      <c r="AQ542" s="1712"/>
      <c r="AR542" s="1712"/>
      <c r="AS542" s="1712"/>
      <c r="AT542" s="1712"/>
      <c r="AU542" s="1712"/>
    </row>
    <row r="543">
      <c r="A543" s="1474" t="s">
        <v>2461</v>
      </c>
      <c r="B543" s="1708"/>
      <c r="C543" s="1709"/>
      <c r="D543" s="1709"/>
      <c r="E543" s="1709"/>
      <c r="F543" s="1710"/>
      <c r="G543" s="1710"/>
      <c r="H543" s="1710"/>
      <c r="I543" s="1710"/>
      <c r="J543" s="1710"/>
      <c r="K543" s="1710"/>
      <c r="L543" s="1710"/>
      <c r="M543" s="1710"/>
      <c r="N543" s="1711"/>
      <c r="O543" s="1711"/>
      <c r="P543" s="1711"/>
      <c r="Q543" s="1711"/>
      <c r="R543" s="1711"/>
      <c r="S543" s="1711"/>
      <c r="T543" s="1711"/>
      <c r="U543" s="1711"/>
      <c r="V543" s="1711"/>
      <c r="W543" s="1711"/>
      <c r="X543" s="1711"/>
      <c r="Y543" s="1711"/>
      <c r="Z543" s="1711"/>
      <c r="AA543" s="1712"/>
      <c r="AB543" s="1712"/>
      <c r="AC543" s="1712"/>
      <c r="AD543" s="1712"/>
      <c r="AE543" s="1712"/>
      <c r="AF543" s="1712"/>
      <c r="AG543" s="1712"/>
      <c r="AH543" s="1712"/>
      <c r="AI543" s="1712"/>
      <c r="AJ543" s="1712"/>
      <c r="AK543" s="1712"/>
      <c r="AL543" s="1712"/>
      <c r="AM543" s="1712"/>
      <c r="AN543" s="1712"/>
      <c r="AO543" s="1712"/>
      <c r="AP543" s="1712"/>
      <c r="AQ543" s="1712"/>
      <c r="AR543" s="1712"/>
      <c r="AS543" s="1712"/>
      <c r="AT543" s="1712"/>
      <c r="AU543" s="1712"/>
    </row>
    <row r="544">
      <c r="A544" s="1474" t="s">
        <v>2461</v>
      </c>
      <c r="B544" s="1708"/>
      <c r="C544" s="1709"/>
      <c r="D544" s="1709"/>
      <c r="E544" s="1709"/>
      <c r="F544" s="1710"/>
      <c r="G544" s="1710"/>
      <c r="H544" s="1710"/>
      <c r="I544" s="1710"/>
      <c r="J544" s="1710"/>
      <c r="K544" s="1710"/>
      <c r="L544" s="1710"/>
      <c r="M544" s="1710"/>
      <c r="N544" s="1711"/>
      <c r="O544" s="1711"/>
      <c r="P544" s="1711"/>
      <c r="Q544" s="1711"/>
      <c r="R544" s="1711"/>
      <c r="S544" s="1711"/>
      <c r="T544" s="1711"/>
      <c r="U544" s="1711"/>
      <c r="V544" s="1711"/>
      <c r="W544" s="1711"/>
      <c r="X544" s="1711"/>
      <c r="Y544" s="1711"/>
      <c r="Z544" s="1711"/>
      <c r="AA544" s="1712"/>
      <c r="AB544" s="1712"/>
      <c r="AC544" s="1712"/>
      <c r="AD544" s="1712"/>
      <c r="AE544" s="1712"/>
      <c r="AF544" s="1712"/>
      <c r="AG544" s="1712"/>
      <c r="AH544" s="1712"/>
      <c r="AI544" s="1712"/>
      <c r="AJ544" s="1712"/>
      <c r="AK544" s="1712"/>
      <c r="AL544" s="1712"/>
      <c r="AM544" s="1712"/>
      <c r="AN544" s="1712"/>
      <c r="AO544" s="1712"/>
      <c r="AP544" s="1712"/>
      <c r="AQ544" s="1712"/>
      <c r="AR544" s="1712"/>
      <c r="AS544" s="1712"/>
      <c r="AT544" s="1712"/>
      <c r="AU544" s="1712"/>
    </row>
    <row r="545">
      <c r="A545" s="1474" t="s">
        <v>2461</v>
      </c>
      <c r="B545" s="1708"/>
      <c r="C545" s="1709"/>
      <c r="D545" s="1709"/>
      <c r="E545" s="1709"/>
      <c r="F545" s="1710"/>
      <c r="G545" s="1710"/>
      <c r="H545" s="1710"/>
      <c r="I545" s="1710"/>
      <c r="J545" s="1710"/>
      <c r="K545" s="1710"/>
      <c r="L545" s="1710"/>
      <c r="M545" s="1710"/>
      <c r="N545" s="1711"/>
      <c r="O545" s="1711"/>
      <c r="P545" s="1711"/>
      <c r="Q545" s="1711"/>
      <c r="R545" s="1711"/>
      <c r="S545" s="1711"/>
      <c r="T545" s="1711"/>
      <c r="U545" s="1711"/>
      <c r="V545" s="1711"/>
      <c r="W545" s="1711"/>
      <c r="X545" s="1711"/>
      <c r="Y545" s="1711"/>
      <c r="Z545" s="1711"/>
      <c r="AA545" s="1712"/>
      <c r="AB545" s="1712"/>
      <c r="AC545" s="1712"/>
      <c r="AD545" s="1712"/>
      <c r="AE545" s="1712"/>
      <c r="AF545" s="1712"/>
      <c r="AG545" s="1712"/>
      <c r="AH545" s="1712"/>
      <c r="AI545" s="1712"/>
      <c r="AJ545" s="1712"/>
      <c r="AK545" s="1712"/>
      <c r="AL545" s="1712"/>
      <c r="AM545" s="1712"/>
      <c r="AN545" s="1712"/>
      <c r="AO545" s="1712"/>
      <c r="AP545" s="1712"/>
      <c r="AQ545" s="1712"/>
      <c r="AR545" s="1712"/>
      <c r="AS545" s="1712"/>
      <c r="AT545" s="1712"/>
      <c r="AU545" s="1712"/>
    </row>
    <row r="546">
      <c r="A546" s="1474" t="s">
        <v>2461</v>
      </c>
      <c r="B546" s="1708"/>
      <c r="C546" s="1709"/>
      <c r="D546" s="1709"/>
      <c r="E546" s="1709"/>
      <c r="F546" s="1710"/>
      <c r="G546" s="1710"/>
      <c r="H546" s="1710"/>
      <c r="I546" s="1710"/>
      <c r="J546" s="1710"/>
      <c r="K546" s="1710"/>
      <c r="L546" s="1710"/>
      <c r="M546" s="1710"/>
      <c r="N546" s="1711"/>
      <c r="O546" s="1711"/>
      <c r="P546" s="1711"/>
      <c r="Q546" s="1711"/>
      <c r="R546" s="1711"/>
      <c r="S546" s="1711"/>
      <c r="T546" s="1711"/>
      <c r="U546" s="1711"/>
      <c r="V546" s="1711"/>
      <c r="W546" s="1711"/>
      <c r="X546" s="1711"/>
      <c r="Y546" s="1711"/>
      <c r="Z546" s="1711"/>
      <c r="AA546" s="1712"/>
      <c r="AB546" s="1712"/>
      <c r="AC546" s="1712"/>
      <c r="AD546" s="1712"/>
      <c r="AE546" s="1712"/>
      <c r="AF546" s="1712"/>
      <c r="AG546" s="1712"/>
      <c r="AH546" s="1712"/>
      <c r="AI546" s="1712"/>
      <c r="AJ546" s="1712"/>
      <c r="AK546" s="1712"/>
      <c r="AL546" s="1712"/>
      <c r="AM546" s="1712"/>
      <c r="AN546" s="1712"/>
      <c r="AO546" s="1712"/>
      <c r="AP546" s="1712"/>
      <c r="AQ546" s="1712"/>
      <c r="AR546" s="1712"/>
      <c r="AS546" s="1712"/>
      <c r="AT546" s="1712"/>
      <c r="AU546" s="1712"/>
    </row>
    <row r="547">
      <c r="A547" s="1474" t="s">
        <v>2461</v>
      </c>
      <c r="B547" s="1708"/>
      <c r="C547" s="1709"/>
      <c r="D547" s="1709"/>
      <c r="E547" s="1709"/>
      <c r="F547" s="1710"/>
      <c r="G547" s="1710"/>
      <c r="H547" s="1710"/>
      <c r="I547" s="1710"/>
      <c r="J547" s="1710"/>
      <c r="K547" s="1710"/>
      <c r="L547" s="1710"/>
      <c r="M547" s="1710"/>
      <c r="N547" s="1711"/>
      <c r="O547" s="1711"/>
      <c r="P547" s="1711"/>
      <c r="Q547" s="1711"/>
      <c r="R547" s="1711"/>
      <c r="S547" s="1711"/>
      <c r="T547" s="1711"/>
      <c r="U547" s="1711"/>
      <c r="V547" s="1711"/>
      <c r="W547" s="1711"/>
      <c r="X547" s="1711"/>
      <c r="Y547" s="1711"/>
      <c r="Z547" s="1711"/>
      <c r="AA547" s="1712"/>
      <c r="AB547" s="1712"/>
      <c r="AC547" s="1712"/>
      <c r="AD547" s="1712"/>
      <c r="AE547" s="1712"/>
      <c r="AF547" s="1712"/>
      <c r="AG547" s="1712"/>
      <c r="AH547" s="1712"/>
      <c r="AI547" s="1712"/>
      <c r="AJ547" s="1712"/>
      <c r="AK547" s="1712"/>
      <c r="AL547" s="1712"/>
      <c r="AM547" s="1712"/>
      <c r="AN547" s="1712"/>
      <c r="AO547" s="1712"/>
      <c r="AP547" s="1712"/>
      <c r="AQ547" s="1712"/>
      <c r="AR547" s="1712"/>
      <c r="AS547" s="1712"/>
      <c r="AT547" s="1712"/>
      <c r="AU547" s="1712"/>
    </row>
    <row r="548">
      <c r="A548" s="1474" t="s">
        <v>2461</v>
      </c>
      <c r="B548" s="1708"/>
      <c r="C548" s="1709"/>
      <c r="D548" s="1709"/>
      <c r="E548" s="1709"/>
      <c r="F548" s="1710"/>
      <c r="G548" s="1710"/>
      <c r="H548" s="1710"/>
      <c r="I548" s="1710"/>
      <c r="J548" s="1710"/>
      <c r="K548" s="1710"/>
      <c r="L548" s="1710"/>
      <c r="M548" s="1710"/>
      <c r="N548" s="1711"/>
      <c r="O548" s="1711"/>
      <c r="P548" s="1711"/>
      <c r="Q548" s="1711"/>
      <c r="R548" s="1711"/>
      <c r="S548" s="1711"/>
      <c r="T548" s="1711"/>
      <c r="U548" s="1711"/>
      <c r="V548" s="1711"/>
      <c r="W548" s="1711"/>
      <c r="X548" s="1711"/>
      <c r="Y548" s="1711"/>
      <c r="Z548" s="1711"/>
      <c r="AA548" s="1712"/>
      <c r="AB548" s="1712"/>
      <c r="AC548" s="1712"/>
      <c r="AD548" s="1712"/>
      <c r="AE548" s="1712"/>
      <c r="AF548" s="1712"/>
      <c r="AG548" s="1712"/>
      <c r="AH548" s="1712"/>
      <c r="AI548" s="1712"/>
      <c r="AJ548" s="1712"/>
      <c r="AK548" s="1712"/>
      <c r="AL548" s="1712"/>
      <c r="AM548" s="1712"/>
      <c r="AN548" s="1712"/>
      <c r="AO548" s="1712"/>
      <c r="AP548" s="1712"/>
      <c r="AQ548" s="1712"/>
      <c r="AR548" s="1712"/>
      <c r="AS548" s="1712"/>
      <c r="AT548" s="1712"/>
      <c r="AU548" s="1712"/>
    </row>
    <row r="549">
      <c r="A549" s="1474" t="s">
        <v>2461</v>
      </c>
      <c r="B549" s="1708"/>
      <c r="C549" s="1709"/>
      <c r="D549" s="1709"/>
      <c r="E549" s="1709"/>
      <c r="F549" s="1710"/>
      <c r="G549" s="1710"/>
      <c r="H549" s="1710"/>
      <c r="I549" s="1710"/>
      <c r="J549" s="1710"/>
      <c r="K549" s="1710"/>
      <c r="L549" s="1710"/>
      <c r="M549" s="1710"/>
      <c r="N549" s="1711"/>
      <c r="O549" s="1711"/>
      <c r="P549" s="1711"/>
      <c r="Q549" s="1711"/>
      <c r="R549" s="1711"/>
      <c r="S549" s="1711"/>
      <c r="T549" s="1711"/>
      <c r="U549" s="1711"/>
      <c r="V549" s="1711"/>
      <c r="W549" s="1711"/>
      <c r="X549" s="1711"/>
      <c r="Y549" s="1711"/>
      <c r="Z549" s="1711"/>
      <c r="AA549" s="1712"/>
      <c r="AB549" s="1712"/>
      <c r="AC549" s="1712"/>
      <c r="AD549" s="1712"/>
      <c r="AE549" s="1712"/>
      <c r="AF549" s="1712"/>
      <c r="AG549" s="1712"/>
      <c r="AH549" s="1712"/>
      <c r="AI549" s="1712"/>
      <c r="AJ549" s="1712"/>
      <c r="AK549" s="1712"/>
      <c r="AL549" s="1712"/>
      <c r="AM549" s="1712"/>
      <c r="AN549" s="1712"/>
      <c r="AO549" s="1712"/>
      <c r="AP549" s="1712"/>
      <c r="AQ549" s="1712"/>
      <c r="AR549" s="1712"/>
      <c r="AS549" s="1712"/>
      <c r="AT549" s="1712"/>
      <c r="AU549" s="1712"/>
    </row>
    <row r="550">
      <c r="A550" s="1474" t="s">
        <v>2461</v>
      </c>
      <c r="B550" s="1708"/>
      <c r="C550" s="1709"/>
      <c r="D550" s="1709"/>
      <c r="E550" s="1709"/>
      <c r="F550" s="1710"/>
      <c r="G550" s="1710"/>
      <c r="H550" s="1710"/>
      <c r="I550" s="1710"/>
      <c r="J550" s="1710"/>
      <c r="K550" s="1710"/>
      <c r="L550" s="1710"/>
      <c r="M550" s="1710"/>
      <c r="N550" s="1711"/>
      <c r="O550" s="1711"/>
      <c r="P550" s="1711"/>
      <c r="Q550" s="1711"/>
      <c r="R550" s="1711"/>
      <c r="S550" s="1711"/>
      <c r="T550" s="1711"/>
      <c r="U550" s="1711"/>
      <c r="V550" s="1711"/>
      <c r="W550" s="1711"/>
      <c r="X550" s="1711"/>
      <c r="Y550" s="1711"/>
      <c r="Z550" s="1711"/>
      <c r="AA550" s="1712"/>
      <c r="AB550" s="1712"/>
      <c r="AC550" s="1712"/>
      <c r="AD550" s="1712"/>
      <c r="AE550" s="1712"/>
      <c r="AF550" s="1712"/>
      <c r="AG550" s="1712"/>
      <c r="AH550" s="1712"/>
      <c r="AI550" s="1712"/>
      <c r="AJ550" s="1712"/>
      <c r="AK550" s="1712"/>
      <c r="AL550" s="1712"/>
      <c r="AM550" s="1712"/>
      <c r="AN550" s="1712"/>
      <c r="AO550" s="1712"/>
      <c r="AP550" s="1712"/>
      <c r="AQ550" s="1712"/>
      <c r="AR550" s="1712"/>
      <c r="AS550" s="1712"/>
      <c r="AT550" s="1712"/>
      <c r="AU550" s="1712"/>
    </row>
    <row r="551">
      <c r="A551" s="1474" t="s">
        <v>2461</v>
      </c>
      <c r="B551" s="1708"/>
      <c r="C551" s="1709"/>
      <c r="D551" s="1709"/>
      <c r="E551" s="1709"/>
      <c r="F551" s="1710"/>
      <c r="G551" s="1710"/>
      <c r="H551" s="1710"/>
      <c r="I551" s="1710"/>
      <c r="J551" s="1710"/>
      <c r="K551" s="1710"/>
      <c r="L551" s="1710"/>
      <c r="M551" s="1710"/>
      <c r="N551" s="1711"/>
      <c r="O551" s="1711"/>
      <c r="P551" s="1711"/>
      <c r="Q551" s="1711"/>
      <c r="R551" s="1711"/>
      <c r="S551" s="1711"/>
      <c r="T551" s="1711"/>
      <c r="U551" s="1711"/>
      <c r="V551" s="1711"/>
      <c r="W551" s="1711"/>
      <c r="X551" s="1711"/>
      <c r="Y551" s="1711"/>
      <c r="Z551" s="1711"/>
      <c r="AA551" s="1712"/>
      <c r="AB551" s="1712"/>
      <c r="AC551" s="1712"/>
      <c r="AD551" s="1712"/>
      <c r="AE551" s="1712"/>
      <c r="AF551" s="1712"/>
      <c r="AG551" s="1712"/>
      <c r="AH551" s="1712"/>
      <c r="AI551" s="1712"/>
      <c r="AJ551" s="1712"/>
      <c r="AK551" s="1712"/>
      <c r="AL551" s="1712"/>
      <c r="AM551" s="1712"/>
      <c r="AN551" s="1712"/>
      <c r="AO551" s="1712"/>
      <c r="AP551" s="1712"/>
      <c r="AQ551" s="1712"/>
      <c r="AR551" s="1712"/>
      <c r="AS551" s="1712"/>
      <c r="AT551" s="1712"/>
      <c r="AU551" s="1712"/>
    </row>
    <row r="552">
      <c r="A552" s="1474" t="s">
        <v>2461</v>
      </c>
      <c r="B552" s="1708"/>
      <c r="C552" s="1709"/>
      <c r="D552" s="1709"/>
      <c r="E552" s="1709"/>
      <c r="F552" s="1710"/>
      <c r="G552" s="1710"/>
      <c r="H552" s="1710"/>
      <c r="I552" s="1710"/>
      <c r="J552" s="1710"/>
      <c r="K552" s="1710"/>
      <c r="L552" s="1710"/>
      <c r="M552" s="1710"/>
      <c r="N552" s="1711"/>
      <c r="O552" s="1711"/>
      <c r="P552" s="1711"/>
      <c r="Q552" s="1711"/>
      <c r="R552" s="1711"/>
      <c r="S552" s="1711"/>
      <c r="T552" s="1711"/>
      <c r="U552" s="1711"/>
      <c r="V552" s="1711"/>
      <c r="W552" s="1711"/>
      <c r="X552" s="1711"/>
      <c r="Y552" s="1711"/>
      <c r="Z552" s="1711"/>
      <c r="AA552" s="1712"/>
      <c r="AB552" s="1712"/>
      <c r="AC552" s="1712"/>
      <c r="AD552" s="1712"/>
      <c r="AE552" s="1712"/>
      <c r="AF552" s="1712"/>
      <c r="AG552" s="1712"/>
      <c r="AH552" s="1712"/>
      <c r="AI552" s="1712"/>
      <c r="AJ552" s="1712"/>
      <c r="AK552" s="1712"/>
      <c r="AL552" s="1712"/>
      <c r="AM552" s="1712"/>
      <c r="AN552" s="1712"/>
      <c r="AO552" s="1712"/>
      <c r="AP552" s="1712"/>
      <c r="AQ552" s="1712"/>
      <c r="AR552" s="1712"/>
      <c r="AS552" s="1712"/>
      <c r="AT552" s="1712"/>
      <c r="AU552" s="1712"/>
    </row>
    <row r="553">
      <c r="A553" s="1474" t="s">
        <v>2461</v>
      </c>
      <c r="B553" s="1708"/>
      <c r="C553" s="1709"/>
      <c r="D553" s="1709"/>
      <c r="E553" s="1709"/>
      <c r="F553" s="1710"/>
      <c r="G553" s="1710"/>
      <c r="H553" s="1710"/>
      <c r="I553" s="1710"/>
      <c r="J553" s="1710"/>
      <c r="K553" s="1710"/>
      <c r="L553" s="1710"/>
      <c r="M553" s="1710"/>
      <c r="N553" s="1711"/>
      <c r="O553" s="1711"/>
      <c r="P553" s="1711"/>
      <c r="Q553" s="1711"/>
      <c r="R553" s="1711"/>
      <c r="S553" s="1711"/>
      <c r="T553" s="1711"/>
      <c r="U553" s="1711"/>
      <c r="V553" s="1711"/>
      <c r="W553" s="1711"/>
      <c r="X553" s="1711"/>
      <c r="Y553" s="1711"/>
      <c r="Z553" s="1711"/>
      <c r="AA553" s="1712"/>
      <c r="AB553" s="1712"/>
      <c r="AC553" s="1712"/>
      <c r="AD553" s="1712"/>
      <c r="AE553" s="1712"/>
      <c r="AF553" s="1712"/>
      <c r="AG553" s="1712"/>
      <c r="AH553" s="1712"/>
      <c r="AI553" s="1712"/>
      <c r="AJ553" s="1712"/>
      <c r="AK553" s="1712"/>
      <c r="AL553" s="1712"/>
      <c r="AM553" s="1712"/>
      <c r="AN553" s="1712"/>
      <c r="AO553" s="1712"/>
      <c r="AP553" s="1712"/>
      <c r="AQ553" s="1712"/>
      <c r="AR553" s="1712"/>
      <c r="AS553" s="1712"/>
      <c r="AT553" s="1712"/>
      <c r="AU553" s="1712"/>
    </row>
    <row r="554">
      <c r="A554" s="1474" t="s">
        <v>2461</v>
      </c>
      <c r="B554" s="1708"/>
      <c r="C554" s="1709"/>
      <c r="D554" s="1709"/>
      <c r="E554" s="1709"/>
      <c r="F554" s="1710"/>
      <c r="G554" s="1710"/>
      <c r="H554" s="1710"/>
      <c r="I554" s="1710"/>
      <c r="J554" s="1710"/>
      <c r="K554" s="1710"/>
      <c r="L554" s="1710"/>
      <c r="M554" s="1710"/>
      <c r="N554" s="1711"/>
      <c r="O554" s="1711"/>
      <c r="P554" s="1711"/>
      <c r="Q554" s="1711"/>
      <c r="R554" s="1711"/>
      <c r="S554" s="1711"/>
      <c r="T554" s="1711"/>
      <c r="U554" s="1711"/>
      <c r="V554" s="1711"/>
      <c r="W554" s="1711"/>
      <c r="X554" s="1711"/>
      <c r="Y554" s="1711"/>
      <c r="Z554" s="1711"/>
      <c r="AA554" s="1712"/>
      <c r="AB554" s="1712"/>
      <c r="AC554" s="1712"/>
      <c r="AD554" s="1712"/>
      <c r="AE554" s="1712"/>
      <c r="AF554" s="1712"/>
      <c r="AG554" s="1712"/>
      <c r="AH554" s="1712"/>
      <c r="AI554" s="1712"/>
      <c r="AJ554" s="1712"/>
      <c r="AK554" s="1712"/>
      <c r="AL554" s="1712"/>
      <c r="AM554" s="1712"/>
      <c r="AN554" s="1712"/>
      <c r="AO554" s="1712"/>
      <c r="AP554" s="1712"/>
      <c r="AQ554" s="1712"/>
      <c r="AR554" s="1712"/>
      <c r="AS554" s="1712"/>
      <c r="AT554" s="1712"/>
      <c r="AU554" s="1712"/>
    </row>
    <row r="555">
      <c r="A555" s="1474" t="s">
        <v>2461</v>
      </c>
      <c r="B555" s="1708"/>
      <c r="C555" s="1709"/>
      <c r="D555" s="1709"/>
      <c r="E555" s="1709"/>
      <c r="F555" s="1710"/>
      <c r="G555" s="1710"/>
      <c r="H555" s="1710"/>
      <c r="I555" s="1710"/>
      <c r="J555" s="1710"/>
      <c r="K555" s="1710"/>
      <c r="L555" s="1710"/>
      <c r="M555" s="1710"/>
      <c r="N555" s="1711"/>
      <c r="O555" s="1711"/>
      <c r="P555" s="1711"/>
      <c r="Q555" s="1711"/>
      <c r="R555" s="1711"/>
      <c r="S555" s="1711"/>
      <c r="T555" s="1711"/>
      <c r="U555" s="1711"/>
      <c r="V555" s="1711"/>
      <c r="W555" s="1711"/>
      <c r="X555" s="1711"/>
      <c r="Y555" s="1711"/>
      <c r="Z555" s="1711"/>
      <c r="AA555" s="1712"/>
      <c r="AB555" s="1712"/>
      <c r="AC555" s="1712"/>
      <c r="AD555" s="1712"/>
      <c r="AE555" s="1712"/>
      <c r="AF555" s="1712"/>
      <c r="AG555" s="1712"/>
      <c r="AH555" s="1712"/>
      <c r="AI555" s="1712"/>
      <c r="AJ555" s="1712"/>
      <c r="AK555" s="1712"/>
      <c r="AL555" s="1712"/>
      <c r="AM555" s="1712"/>
      <c r="AN555" s="1712"/>
      <c r="AO555" s="1712"/>
      <c r="AP555" s="1712"/>
      <c r="AQ555" s="1712"/>
      <c r="AR555" s="1712"/>
      <c r="AS555" s="1712"/>
      <c r="AT555" s="1712"/>
      <c r="AU555" s="1712"/>
    </row>
    <row r="556">
      <c r="A556" s="1474" t="s">
        <v>2461</v>
      </c>
      <c r="B556" s="1708"/>
      <c r="C556" s="1709"/>
      <c r="D556" s="1709"/>
      <c r="E556" s="1709"/>
      <c r="F556" s="1710"/>
      <c r="G556" s="1710"/>
      <c r="H556" s="1710"/>
      <c r="I556" s="1710"/>
      <c r="J556" s="1710"/>
      <c r="K556" s="1710"/>
      <c r="L556" s="1710"/>
      <c r="M556" s="1710"/>
      <c r="N556" s="1711"/>
      <c r="O556" s="1711"/>
      <c r="P556" s="1711"/>
      <c r="Q556" s="1711"/>
      <c r="R556" s="1711"/>
      <c r="S556" s="1711"/>
      <c r="T556" s="1711"/>
      <c r="U556" s="1711"/>
      <c r="V556" s="1711"/>
      <c r="W556" s="1711"/>
      <c r="X556" s="1711"/>
      <c r="Y556" s="1711"/>
      <c r="Z556" s="1711"/>
      <c r="AA556" s="1712"/>
      <c r="AB556" s="1712"/>
      <c r="AC556" s="1712"/>
      <c r="AD556" s="1712"/>
      <c r="AE556" s="1712"/>
      <c r="AF556" s="1712"/>
      <c r="AG556" s="1712"/>
      <c r="AH556" s="1712"/>
      <c r="AI556" s="1712"/>
      <c r="AJ556" s="1712"/>
      <c r="AK556" s="1712"/>
      <c r="AL556" s="1712"/>
      <c r="AM556" s="1712"/>
      <c r="AN556" s="1712"/>
      <c r="AO556" s="1712"/>
      <c r="AP556" s="1712"/>
      <c r="AQ556" s="1712"/>
      <c r="AR556" s="1712"/>
      <c r="AS556" s="1712"/>
      <c r="AT556" s="1712"/>
      <c r="AU556" s="1712"/>
    </row>
    <row r="557">
      <c r="A557" s="1474" t="s">
        <v>2461</v>
      </c>
      <c r="B557" s="1708"/>
      <c r="C557" s="1709"/>
      <c r="D557" s="1709"/>
      <c r="E557" s="1709"/>
      <c r="F557" s="1710"/>
      <c r="G557" s="1710"/>
      <c r="H557" s="1710"/>
      <c r="I557" s="1710"/>
      <c r="J557" s="1710"/>
      <c r="K557" s="1710"/>
      <c r="L557" s="1710"/>
      <c r="M557" s="1710"/>
      <c r="N557" s="1711"/>
      <c r="O557" s="1711"/>
      <c r="P557" s="1711"/>
      <c r="Q557" s="1711"/>
      <c r="R557" s="1711"/>
      <c r="S557" s="1711"/>
      <c r="T557" s="1711"/>
      <c r="U557" s="1711"/>
      <c r="V557" s="1711"/>
      <c r="W557" s="1711"/>
      <c r="X557" s="1711"/>
      <c r="Y557" s="1711"/>
      <c r="Z557" s="1711"/>
      <c r="AA557" s="1712"/>
      <c r="AB557" s="1712"/>
      <c r="AC557" s="1712"/>
      <c r="AD557" s="1712"/>
      <c r="AE557" s="1712"/>
      <c r="AF557" s="1712"/>
      <c r="AG557" s="1712"/>
      <c r="AH557" s="1712"/>
      <c r="AI557" s="1712"/>
      <c r="AJ557" s="1712"/>
      <c r="AK557" s="1712"/>
      <c r="AL557" s="1712"/>
      <c r="AM557" s="1712"/>
      <c r="AN557" s="1712"/>
      <c r="AO557" s="1712"/>
      <c r="AP557" s="1712"/>
      <c r="AQ557" s="1712"/>
      <c r="AR557" s="1712"/>
      <c r="AS557" s="1712"/>
      <c r="AT557" s="1712"/>
      <c r="AU557" s="1712"/>
    </row>
    <row r="558">
      <c r="A558" s="1474" t="s">
        <v>2461</v>
      </c>
      <c r="B558" s="1708"/>
      <c r="C558" s="1709"/>
      <c r="D558" s="1709"/>
      <c r="E558" s="1709"/>
      <c r="F558" s="1710"/>
      <c r="G558" s="1710"/>
      <c r="H558" s="1710"/>
      <c r="I558" s="1710"/>
      <c r="J558" s="1710"/>
      <c r="K558" s="1710"/>
      <c r="L558" s="1710"/>
      <c r="M558" s="1710"/>
      <c r="N558" s="1711"/>
      <c r="O558" s="1711"/>
      <c r="P558" s="1711"/>
      <c r="Q558" s="1711"/>
      <c r="R558" s="1711"/>
      <c r="S558" s="1711"/>
      <c r="T558" s="1711"/>
      <c r="U558" s="1711"/>
      <c r="V558" s="1711"/>
      <c r="W558" s="1711"/>
      <c r="X558" s="1711"/>
      <c r="Y558" s="1711"/>
      <c r="Z558" s="1711"/>
      <c r="AA558" s="1712"/>
      <c r="AB558" s="1712"/>
      <c r="AC558" s="1712"/>
      <c r="AD558" s="1712"/>
      <c r="AE558" s="1712"/>
      <c r="AF558" s="1712"/>
      <c r="AG558" s="1712"/>
      <c r="AH558" s="1712"/>
      <c r="AI558" s="1712"/>
      <c r="AJ558" s="1712"/>
      <c r="AK558" s="1712"/>
      <c r="AL558" s="1712"/>
      <c r="AM558" s="1712"/>
      <c r="AN558" s="1712"/>
      <c r="AO558" s="1712"/>
      <c r="AP558" s="1712"/>
      <c r="AQ558" s="1712"/>
      <c r="AR558" s="1712"/>
      <c r="AS558" s="1712"/>
      <c r="AT558" s="1712"/>
      <c r="AU558" s="1712"/>
    </row>
    <row r="559">
      <c r="A559" s="1474" t="s">
        <v>2461</v>
      </c>
      <c r="B559" s="1708"/>
      <c r="C559" s="1709"/>
      <c r="D559" s="1709"/>
      <c r="E559" s="1709"/>
      <c r="F559" s="1710"/>
      <c r="G559" s="1710"/>
      <c r="H559" s="1710"/>
      <c r="I559" s="1710"/>
      <c r="J559" s="1710"/>
      <c r="K559" s="1710"/>
      <c r="L559" s="1710"/>
      <c r="M559" s="1710"/>
      <c r="N559" s="1711"/>
      <c r="O559" s="1711"/>
      <c r="P559" s="1711"/>
      <c r="Q559" s="1711"/>
      <c r="R559" s="1711"/>
      <c r="S559" s="1711"/>
      <c r="T559" s="1711"/>
      <c r="U559" s="1711"/>
      <c r="V559" s="1711"/>
      <c r="W559" s="1711"/>
      <c r="X559" s="1711"/>
      <c r="Y559" s="1711"/>
      <c r="Z559" s="1711"/>
      <c r="AA559" s="1712"/>
      <c r="AB559" s="1712"/>
      <c r="AC559" s="1712"/>
      <c r="AD559" s="1712"/>
      <c r="AE559" s="1712"/>
      <c r="AF559" s="1712"/>
      <c r="AG559" s="1712"/>
      <c r="AH559" s="1712"/>
      <c r="AI559" s="1712"/>
      <c r="AJ559" s="1712"/>
      <c r="AK559" s="1712"/>
      <c r="AL559" s="1712"/>
      <c r="AM559" s="1712"/>
      <c r="AN559" s="1712"/>
      <c r="AO559" s="1712"/>
      <c r="AP559" s="1712"/>
      <c r="AQ559" s="1712"/>
      <c r="AR559" s="1712"/>
      <c r="AS559" s="1712"/>
      <c r="AT559" s="1712"/>
      <c r="AU559" s="1712"/>
    </row>
    <row r="560">
      <c r="A560" s="1474" t="s">
        <v>2461</v>
      </c>
      <c r="B560" s="1708"/>
      <c r="C560" s="1709"/>
      <c r="D560" s="1709"/>
      <c r="E560" s="1709"/>
      <c r="F560" s="1710"/>
      <c r="G560" s="1710"/>
      <c r="H560" s="1710"/>
      <c r="I560" s="1710"/>
      <c r="J560" s="1710"/>
      <c r="K560" s="1710"/>
      <c r="L560" s="1710"/>
      <c r="M560" s="1710"/>
      <c r="N560" s="1711"/>
      <c r="O560" s="1711"/>
      <c r="P560" s="1711"/>
      <c r="Q560" s="1711"/>
      <c r="R560" s="1711"/>
      <c r="S560" s="1711"/>
      <c r="T560" s="1711"/>
      <c r="U560" s="1711"/>
      <c r="V560" s="1711"/>
      <c r="W560" s="1711"/>
      <c r="X560" s="1711"/>
      <c r="Y560" s="1711"/>
      <c r="Z560" s="1711"/>
      <c r="AA560" s="1712"/>
      <c r="AB560" s="1712"/>
      <c r="AC560" s="1712"/>
      <c r="AD560" s="1712"/>
      <c r="AE560" s="1712"/>
      <c r="AF560" s="1712"/>
      <c r="AG560" s="1712"/>
      <c r="AH560" s="1712"/>
      <c r="AI560" s="1712"/>
      <c r="AJ560" s="1712"/>
      <c r="AK560" s="1712"/>
      <c r="AL560" s="1712"/>
      <c r="AM560" s="1712"/>
      <c r="AN560" s="1712"/>
      <c r="AO560" s="1712"/>
      <c r="AP560" s="1712"/>
      <c r="AQ560" s="1712"/>
      <c r="AR560" s="1712"/>
      <c r="AS560" s="1712"/>
      <c r="AT560" s="1712"/>
      <c r="AU560" s="1712"/>
    </row>
    <row r="561">
      <c r="A561" s="1474" t="s">
        <v>2461</v>
      </c>
      <c r="B561" s="1708"/>
      <c r="C561" s="1709"/>
      <c r="D561" s="1709"/>
      <c r="E561" s="1709"/>
      <c r="F561" s="1710"/>
      <c r="G561" s="1710"/>
      <c r="H561" s="1710"/>
      <c r="I561" s="1710"/>
      <c r="J561" s="1710"/>
      <c r="K561" s="1710"/>
      <c r="L561" s="1710"/>
      <c r="M561" s="1710"/>
      <c r="N561" s="1711"/>
      <c r="O561" s="1711"/>
      <c r="P561" s="1711"/>
      <c r="Q561" s="1711"/>
      <c r="R561" s="1711"/>
      <c r="S561" s="1711"/>
      <c r="T561" s="1711"/>
      <c r="U561" s="1711"/>
      <c r="V561" s="1711"/>
      <c r="W561" s="1711"/>
      <c r="X561" s="1711"/>
      <c r="Y561" s="1711"/>
      <c r="Z561" s="1711"/>
      <c r="AA561" s="1712"/>
      <c r="AB561" s="1712"/>
      <c r="AC561" s="1712"/>
      <c r="AD561" s="1712"/>
      <c r="AE561" s="1712"/>
      <c r="AF561" s="1712"/>
      <c r="AG561" s="1712"/>
      <c r="AH561" s="1712"/>
      <c r="AI561" s="1712"/>
      <c r="AJ561" s="1712"/>
      <c r="AK561" s="1712"/>
      <c r="AL561" s="1712"/>
      <c r="AM561" s="1712"/>
      <c r="AN561" s="1712"/>
      <c r="AO561" s="1712"/>
      <c r="AP561" s="1712"/>
      <c r="AQ561" s="1712"/>
      <c r="AR561" s="1712"/>
      <c r="AS561" s="1712"/>
      <c r="AT561" s="1712"/>
      <c r="AU561" s="1712"/>
    </row>
    <row r="562">
      <c r="A562" s="1474" t="s">
        <v>2461</v>
      </c>
      <c r="B562" s="1708"/>
      <c r="C562" s="1709"/>
      <c r="D562" s="1709"/>
      <c r="E562" s="1709"/>
      <c r="F562" s="1710"/>
      <c r="G562" s="1710"/>
      <c r="H562" s="1710"/>
      <c r="I562" s="1710"/>
      <c r="J562" s="1710"/>
      <c r="K562" s="1710"/>
      <c r="L562" s="1710"/>
      <c r="M562" s="1710"/>
      <c r="N562" s="1711"/>
      <c r="O562" s="1711"/>
      <c r="P562" s="1711"/>
      <c r="Q562" s="1711"/>
      <c r="R562" s="1711"/>
      <c r="S562" s="1711"/>
      <c r="T562" s="1711"/>
      <c r="U562" s="1711"/>
      <c r="V562" s="1711"/>
      <c r="W562" s="1711"/>
      <c r="X562" s="1711"/>
      <c r="Y562" s="1711"/>
      <c r="Z562" s="1711"/>
      <c r="AA562" s="1712"/>
      <c r="AB562" s="1712"/>
      <c r="AC562" s="1712"/>
      <c r="AD562" s="1712"/>
      <c r="AE562" s="1712"/>
      <c r="AF562" s="1712"/>
      <c r="AG562" s="1712"/>
      <c r="AH562" s="1712"/>
      <c r="AI562" s="1712"/>
      <c r="AJ562" s="1712"/>
      <c r="AK562" s="1712"/>
      <c r="AL562" s="1712"/>
      <c r="AM562" s="1712"/>
      <c r="AN562" s="1712"/>
      <c r="AO562" s="1712"/>
      <c r="AP562" s="1712"/>
      <c r="AQ562" s="1712"/>
      <c r="AR562" s="1712"/>
      <c r="AS562" s="1712"/>
      <c r="AT562" s="1712"/>
      <c r="AU562" s="1712"/>
    </row>
    <row r="563">
      <c r="A563" s="1474" t="s">
        <v>2461</v>
      </c>
      <c r="B563" s="1708"/>
      <c r="C563" s="1709"/>
      <c r="D563" s="1709"/>
      <c r="E563" s="1709"/>
      <c r="F563" s="1710"/>
      <c r="G563" s="1710"/>
      <c r="H563" s="1710"/>
      <c r="I563" s="1710"/>
      <c r="J563" s="1710"/>
      <c r="K563" s="1710"/>
      <c r="L563" s="1710"/>
      <c r="M563" s="1710"/>
      <c r="N563" s="1711"/>
      <c r="O563" s="1711"/>
      <c r="P563" s="1711"/>
      <c r="Q563" s="1711"/>
      <c r="R563" s="1711"/>
      <c r="S563" s="1711"/>
      <c r="T563" s="1711"/>
      <c r="U563" s="1711"/>
      <c r="V563" s="1711"/>
      <c r="W563" s="1711"/>
      <c r="X563" s="1711"/>
      <c r="Y563" s="1711"/>
      <c r="Z563" s="1711"/>
      <c r="AA563" s="1712"/>
      <c r="AB563" s="1712"/>
      <c r="AC563" s="1712"/>
      <c r="AD563" s="1712"/>
      <c r="AE563" s="1712"/>
      <c r="AF563" s="1712"/>
      <c r="AG563" s="1712"/>
      <c r="AH563" s="1712"/>
      <c r="AI563" s="1712"/>
      <c r="AJ563" s="1712"/>
      <c r="AK563" s="1712"/>
      <c r="AL563" s="1712"/>
      <c r="AM563" s="1712"/>
      <c r="AN563" s="1712"/>
      <c r="AO563" s="1712"/>
      <c r="AP563" s="1712"/>
      <c r="AQ563" s="1712"/>
      <c r="AR563" s="1712"/>
      <c r="AS563" s="1712"/>
      <c r="AT563" s="1712"/>
      <c r="AU563" s="1712"/>
    </row>
    <row r="564">
      <c r="A564" s="1474" t="s">
        <v>2461</v>
      </c>
      <c r="B564" s="1708"/>
      <c r="C564" s="1709"/>
      <c r="D564" s="1709"/>
      <c r="E564" s="1709"/>
      <c r="F564" s="1710"/>
      <c r="G564" s="1710"/>
      <c r="H564" s="1710"/>
      <c r="I564" s="1710"/>
      <c r="J564" s="1710"/>
      <c r="K564" s="1710"/>
      <c r="L564" s="1710"/>
      <c r="M564" s="1710"/>
      <c r="N564" s="1711"/>
      <c r="O564" s="1711"/>
      <c r="P564" s="1711"/>
      <c r="Q564" s="1711"/>
      <c r="R564" s="1711"/>
      <c r="S564" s="1711"/>
      <c r="T564" s="1711"/>
      <c r="U564" s="1711"/>
      <c r="V564" s="1711"/>
      <c r="W564" s="1711"/>
      <c r="X564" s="1711"/>
      <c r="Y564" s="1711"/>
      <c r="Z564" s="1711"/>
      <c r="AA564" s="1712"/>
      <c r="AB564" s="1712"/>
      <c r="AC564" s="1712"/>
      <c r="AD564" s="1712"/>
      <c r="AE564" s="1712"/>
      <c r="AF564" s="1712"/>
      <c r="AG564" s="1712"/>
      <c r="AH564" s="1712"/>
      <c r="AI564" s="1712"/>
      <c r="AJ564" s="1712"/>
      <c r="AK564" s="1712"/>
      <c r="AL564" s="1712"/>
      <c r="AM564" s="1712"/>
      <c r="AN564" s="1712"/>
      <c r="AO564" s="1712"/>
      <c r="AP564" s="1712"/>
      <c r="AQ564" s="1712"/>
      <c r="AR564" s="1712"/>
      <c r="AS564" s="1712"/>
      <c r="AT564" s="1712"/>
      <c r="AU564" s="1712"/>
    </row>
    <row r="565">
      <c r="A565" s="1474" t="s">
        <v>2461</v>
      </c>
      <c r="B565" s="1708"/>
      <c r="C565" s="1709"/>
      <c r="D565" s="1709"/>
      <c r="E565" s="1709"/>
      <c r="F565" s="1710"/>
      <c r="G565" s="1710"/>
      <c r="H565" s="1710"/>
      <c r="I565" s="1710"/>
      <c r="J565" s="1710"/>
      <c r="K565" s="1710"/>
      <c r="L565" s="1710"/>
      <c r="M565" s="1710"/>
      <c r="N565" s="1711"/>
      <c r="O565" s="1711"/>
      <c r="P565" s="1711"/>
      <c r="Q565" s="1711"/>
      <c r="R565" s="1711"/>
      <c r="S565" s="1711"/>
      <c r="T565" s="1711"/>
      <c r="U565" s="1711"/>
      <c r="V565" s="1711"/>
      <c r="W565" s="1711"/>
      <c r="X565" s="1711"/>
      <c r="Y565" s="1711"/>
      <c r="Z565" s="1711"/>
      <c r="AA565" s="1712"/>
      <c r="AB565" s="1712"/>
      <c r="AC565" s="1712"/>
      <c r="AD565" s="1712"/>
      <c r="AE565" s="1712"/>
      <c r="AF565" s="1712"/>
      <c r="AG565" s="1712"/>
      <c r="AH565" s="1712"/>
      <c r="AI565" s="1712"/>
      <c r="AJ565" s="1712"/>
      <c r="AK565" s="1712"/>
      <c r="AL565" s="1712"/>
      <c r="AM565" s="1712"/>
      <c r="AN565" s="1712"/>
      <c r="AO565" s="1712"/>
      <c r="AP565" s="1712"/>
      <c r="AQ565" s="1712"/>
      <c r="AR565" s="1712"/>
      <c r="AS565" s="1712"/>
      <c r="AT565" s="1712"/>
      <c r="AU565" s="1712"/>
    </row>
    <row r="566">
      <c r="A566" s="1474" t="s">
        <v>2461</v>
      </c>
      <c r="B566" s="1708"/>
      <c r="C566" s="1709"/>
      <c r="D566" s="1709"/>
      <c r="E566" s="1709"/>
      <c r="F566" s="1710"/>
      <c r="G566" s="1710"/>
      <c r="H566" s="1710"/>
      <c r="I566" s="1710"/>
      <c r="J566" s="1710"/>
      <c r="K566" s="1710"/>
      <c r="L566" s="1710"/>
      <c r="M566" s="1710"/>
      <c r="N566" s="1711"/>
      <c r="O566" s="1711"/>
      <c r="P566" s="1711"/>
      <c r="Q566" s="1711"/>
      <c r="R566" s="1711"/>
      <c r="S566" s="1711"/>
      <c r="T566" s="1711"/>
      <c r="U566" s="1711"/>
      <c r="V566" s="1711"/>
      <c r="W566" s="1711"/>
      <c r="X566" s="1711"/>
      <c r="Y566" s="1711"/>
      <c r="Z566" s="1711"/>
      <c r="AA566" s="1712"/>
      <c r="AB566" s="1712"/>
      <c r="AC566" s="1712"/>
      <c r="AD566" s="1712"/>
      <c r="AE566" s="1712"/>
      <c r="AF566" s="1712"/>
      <c r="AG566" s="1712"/>
      <c r="AH566" s="1712"/>
      <c r="AI566" s="1712"/>
      <c r="AJ566" s="1712"/>
      <c r="AK566" s="1712"/>
      <c r="AL566" s="1712"/>
      <c r="AM566" s="1712"/>
      <c r="AN566" s="1712"/>
      <c r="AO566" s="1712"/>
      <c r="AP566" s="1712"/>
      <c r="AQ566" s="1712"/>
      <c r="AR566" s="1712"/>
      <c r="AS566" s="1712"/>
      <c r="AT566" s="1712"/>
      <c r="AU566" s="1712"/>
    </row>
    <row r="567">
      <c r="A567" s="1474" t="s">
        <v>2461</v>
      </c>
      <c r="B567" s="1708"/>
      <c r="C567" s="1709"/>
      <c r="D567" s="1709"/>
      <c r="E567" s="1709"/>
      <c r="F567" s="1710"/>
      <c r="G567" s="1710"/>
      <c r="H567" s="1710"/>
      <c r="I567" s="1710"/>
      <c r="J567" s="1710"/>
      <c r="K567" s="1710"/>
      <c r="L567" s="1710"/>
      <c r="M567" s="1710"/>
      <c r="N567" s="1711"/>
      <c r="O567" s="1711"/>
      <c r="P567" s="1711"/>
      <c r="Q567" s="1711"/>
      <c r="R567" s="1711"/>
      <c r="S567" s="1711"/>
      <c r="T567" s="1711"/>
      <c r="U567" s="1711"/>
      <c r="V567" s="1711"/>
      <c r="W567" s="1711"/>
      <c r="X567" s="1711"/>
      <c r="Y567" s="1711"/>
      <c r="Z567" s="1711"/>
      <c r="AA567" s="1712"/>
      <c r="AB567" s="1712"/>
      <c r="AC567" s="1712"/>
      <c r="AD567" s="1712"/>
      <c r="AE567" s="1712"/>
      <c r="AF567" s="1712"/>
      <c r="AG567" s="1712"/>
      <c r="AH567" s="1712"/>
      <c r="AI567" s="1712"/>
      <c r="AJ567" s="1712"/>
      <c r="AK567" s="1712"/>
      <c r="AL567" s="1712"/>
      <c r="AM567" s="1712"/>
      <c r="AN567" s="1712"/>
      <c r="AO567" s="1712"/>
      <c r="AP567" s="1712"/>
      <c r="AQ567" s="1712"/>
      <c r="AR567" s="1712"/>
      <c r="AS567" s="1712"/>
      <c r="AT567" s="1712"/>
      <c r="AU567" s="1712"/>
    </row>
    <row r="568">
      <c r="A568" s="1474" t="s">
        <v>2461</v>
      </c>
      <c r="B568" s="1708"/>
      <c r="C568" s="1709"/>
      <c r="D568" s="1709"/>
      <c r="E568" s="1709"/>
      <c r="F568" s="1710"/>
      <c r="G568" s="1710"/>
      <c r="H568" s="1710"/>
      <c r="I568" s="1710"/>
      <c r="J568" s="1710"/>
      <c r="K568" s="1710"/>
      <c r="L568" s="1710"/>
      <c r="M568" s="1710"/>
      <c r="N568" s="1711"/>
      <c r="O568" s="1711"/>
      <c r="P568" s="1711"/>
      <c r="Q568" s="1711"/>
      <c r="R568" s="1711"/>
      <c r="S568" s="1711"/>
      <c r="T568" s="1711"/>
      <c r="U568" s="1711"/>
      <c r="V568" s="1711"/>
      <c r="W568" s="1711"/>
      <c r="X568" s="1711"/>
      <c r="Y568" s="1711"/>
      <c r="Z568" s="1711"/>
      <c r="AA568" s="1712"/>
      <c r="AB568" s="1712"/>
      <c r="AC568" s="1712"/>
      <c r="AD568" s="1712"/>
      <c r="AE568" s="1712"/>
      <c r="AF568" s="1712"/>
      <c r="AG568" s="1712"/>
      <c r="AH568" s="1712"/>
      <c r="AI568" s="1712"/>
      <c r="AJ568" s="1712"/>
      <c r="AK568" s="1712"/>
      <c r="AL568" s="1712"/>
      <c r="AM568" s="1712"/>
      <c r="AN568" s="1712"/>
      <c r="AO568" s="1712"/>
      <c r="AP568" s="1712"/>
      <c r="AQ568" s="1712"/>
      <c r="AR568" s="1712"/>
      <c r="AS568" s="1712"/>
      <c r="AT568" s="1712"/>
      <c r="AU568" s="1712"/>
    </row>
    <row r="569">
      <c r="A569" s="1474" t="s">
        <v>2461</v>
      </c>
      <c r="B569" s="1708"/>
      <c r="C569" s="1709"/>
      <c r="D569" s="1709"/>
      <c r="E569" s="1709"/>
      <c r="F569" s="1710"/>
      <c r="G569" s="1710"/>
      <c r="H569" s="1710"/>
      <c r="I569" s="1710"/>
      <c r="J569" s="1710"/>
      <c r="K569" s="1710"/>
      <c r="L569" s="1710"/>
      <c r="M569" s="1710"/>
      <c r="N569" s="1711"/>
      <c r="O569" s="1711"/>
      <c r="P569" s="1711"/>
      <c r="Q569" s="1711"/>
      <c r="R569" s="1711"/>
      <c r="S569" s="1711"/>
      <c r="T569" s="1711"/>
      <c r="U569" s="1711"/>
      <c r="V569" s="1711"/>
      <c r="W569" s="1711"/>
      <c r="X569" s="1711"/>
      <c r="Y569" s="1711"/>
      <c r="Z569" s="1711"/>
      <c r="AA569" s="1712"/>
      <c r="AB569" s="1712"/>
      <c r="AC569" s="1712"/>
      <c r="AD569" s="1712"/>
      <c r="AE569" s="1712"/>
      <c r="AF569" s="1712"/>
      <c r="AG569" s="1712"/>
      <c r="AH569" s="1712"/>
      <c r="AI569" s="1712"/>
      <c r="AJ569" s="1712"/>
      <c r="AK569" s="1712"/>
      <c r="AL569" s="1712"/>
      <c r="AM569" s="1712"/>
      <c r="AN569" s="1712"/>
      <c r="AO569" s="1712"/>
      <c r="AP569" s="1712"/>
      <c r="AQ569" s="1712"/>
      <c r="AR569" s="1712"/>
      <c r="AS569" s="1712"/>
      <c r="AT569" s="1712"/>
      <c r="AU569" s="1712"/>
    </row>
    <row r="570">
      <c r="A570" s="1474" t="s">
        <v>2461</v>
      </c>
      <c r="B570" s="1708"/>
      <c r="C570" s="1709"/>
      <c r="D570" s="1709"/>
      <c r="E570" s="1709"/>
      <c r="F570" s="1710"/>
      <c r="G570" s="1710"/>
      <c r="H570" s="1710"/>
      <c r="I570" s="1710"/>
      <c r="J570" s="1710"/>
      <c r="K570" s="1710"/>
      <c r="L570" s="1710"/>
      <c r="M570" s="1710"/>
      <c r="N570" s="1711"/>
      <c r="O570" s="1711"/>
      <c r="P570" s="1711"/>
      <c r="Q570" s="1711"/>
      <c r="R570" s="1711"/>
      <c r="S570" s="1711"/>
      <c r="T570" s="1711"/>
      <c r="U570" s="1711"/>
      <c r="V570" s="1711"/>
      <c r="W570" s="1711"/>
      <c r="X570" s="1711"/>
      <c r="Y570" s="1711"/>
      <c r="Z570" s="1711"/>
      <c r="AA570" s="1712"/>
      <c r="AB570" s="1712"/>
      <c r="AC570" s="1712"/>
      <c r="AD570" s="1712"/>
      <c r="AE570" s="1712"/>
      <c r="AF570" s="1712"/>
      <c r="AG570" s="1712"/>
      <c r="AH570" s="1712"/>
      <c r="AI570" s="1712"/>
      <c r="AJ570" s="1712"/>
      <c r="AK570" s="1712"/>
      <c r="AL570" s="1712"/>
      <c r="AM570" s="1712"/>
      <c r="AN570" s="1712"/>
      <c r="AO570" s="1712"/>
      <c r="AP570" s="1712"/>
      <c r="AQ570" s="1712"/>
      <c r="AR570" s="1712"/>
      <c r="AS570" s="1712"/>
      <c r="AT570" s="1712"/>
      <c r="AU570" s="1712"/>
    </row>
    <row r="571">
      <c r="A571" s="1474" t="s">
        <v>2461</v>
      </c>
      <c r="B571" s="1708"/>
      <c r="C571" s="1709"/>
      <c r="D571" s="1709"/>
      <c r="E571" s="1709"/>
      <c r="F571" s="1710"/>
      <c r="G571" s="1710"/>
      <c r="H571" s="1710"/>
      <c r="I571" s="1710"/>
      <c r="J571" s="1710"/>
      <c r="K571" s="1710"/>
      <c r="L571" s="1710"/>
      <c r="M571" s="1710"/>
      <c r="N571" s="1711"/>
      <c r="O571" s="1711"/>
      <c r="P571" s="1711"/>
      <c r="Q571" s="1711"/>
      <c r="R571" s="1711"/>
      <c r="S571" s="1711"/>
      <c r="T571" s="1711"/>
      <c r="U571" s="1711"/>
      <c r="V571" s="1711"/>
      <c r="W571" s="1711"/>
      <c r="X571" s="1711"/>
      <c r="Y571" s="1711"/>
      <c r="Z571" s="1711"/>
      <c r="AA571" s="1712"/>
      <c r="AB571" s="1712"/>
      <c r="AC571" s="1712"/>
      <c r="AD571" s="1712"/>
      <c r="AE571" s="1712"/>
      <c r="AF571" s="1712"/>
      <c r="AG571" s="1712"/>
      <c r="AH571" s="1712"/>
      <c r="AI571" s="1712"/>
      <c r="AJ571" s="1712"/>
      <c r="AK571" s="1712"/>
      <c r="AL571" s="1712"/>
      <c r="AM571" s="1712"/>
      <c r="AN571" s="1712"/>
      <c r="AO571" s="1712"/>
      <c r="AP571" s="1712"/>
      <c r="AQ571" s="1712"/>
      <c r="AR571" s="1712"/>
      <c r="AS571" s="1712"/>
      <c r="AT571" s="1712"/>
      <c r="AU571" s="1712"/>
    </row>
    <row r="572">
      <c r="A572" s="1474" t="s">
        <v>2461</v>
      </c>
      <c r="B572" s="1708"/>
      <c r="C572" s="1709"/>
      <c r="D572" s="1709"/>
      <c r="E572" s="1709"/>
      <c r="F572" s="1710"/>
      <c r="G572" s="1710"/>
      <c r="H572" s="1710"/>
      <c r="I572" s="1710"/>
      <c r="J572" s="1710"/>
      <c r="K572" s="1710"/>
      <c r="L572" s="1710"/>
      <c r="M572" s="1710"/>
      <c r="N572" s="1711"/>
      <c r="O572" s="1711"/>
      <c r="P572" s="1711"/>
      <c r="Q572" s="1711"/>
      <c r="R572" s="1711"/>
      <c r="S572" s="1711"/>
      <c r="T572" s="1711"/>
      <c r="U572" s="1711"/>
      <c r="V572" s="1711"/>
      <c r="W572" s="1711"/>
      <c r="X572" s="1711"/>
      <c r="Y572" s="1711"/>
      <c r="Z572" s="1711"/>
      <c r="AA572" s="1712"/>
      <c r="AB572" s="1712"/>
      <c r="AC572" s="1712"/>
      <c r="AD572" s="1712"/>
      <c r="AE572" s="1712"/>
      <c r="AF572" s="1712"/>
      <c r="AG572" s="1712"/>
      <c r="AH572" s="1712"/>
      <c r="AI572" s="1712"/>
      <c r="AJ572" s="1712"/>
      <c r="AK572" s="1712"/>
      <c r="AL572" s="1712"/>
      <c r="AM572" s="1712"/>
      <c r="AN572" s="1712"/>
      <c r="AO572" s="1712"/>
      <c r="AP572" s="1712"/>
      <c r="AQ572" s="1712"/>
      <c r="AR572" s="1712"/>
      <c r="AS572" s="1712"/>
      <c r="AT572" s="1712"/>
      <c r="AU572" s="1712"/>
    </row>
    <row r="573">
      <c r="A573" s="1474" t="s">
        <v>2461</v>
      </c>
      <c r="B573" s="1708"/>
      <c r="C573" s="1709"/>
      <c r="D573" s="1709"/>
      <c r="E573" s="1709"/>
      <c r="F573" s="1710"/>
      <c r="G573" s="1710"/>
      <c r="H573" s="1710"/>
      <c r="I573" s="1710"/>
      <c r="J573" s="1710"/>
      <c r="K573" s="1710"/>
      <c r="L573" s="1710"/>
      <c r="M573" s="1710"/>
      <c r="N573" s="1711"/>
      <c r="O573" s="1711"/>
      <c r="P573" s="1711"/>
      <c r="Q573" s="1711"/>
      <c r="R573" s="1711"/>
      <c r="S573" s="1711"/>
      <c r="T573" s="1711"/>
      <c r="U573" s="1711"/>
      <c r="V573" s="1711"/>
      <c r="W573" s="1711"/>
      <c r="X573" s="1711"/>
      <c r="Y573" s="1711"/>
      <c r="Z573" s="1711"/>
      <c r="AA573" s="1712"/>
      <c r="AB573" s="1712"/>
      <c r="AC573" s="1712"/>
      <c r="AD573" s="1712"/>
      <c r="AE573" s="1712"/>
      <c r="AF573" s="1712"/>
      <c r="AG573" s="1712"/>
      <c r="AH573" s="1712"/>
      <c r="AI573" s="1712"/>
      <c r="AJ573" s="1712"/>
      <c r="AK573" s="1712"/>
      <c r="AL573" s="1712"/>
      <c r="AM573" s="1712"/>
      <c r="AN573" s="1712"/>
      <c r="AO573" s="1712"/>
      <c r="AP573" s="1712"/>
      <c r="AQ573" s="1712"/>
      <c r="AR573" s="1712"/>
      <c r="AS573" s="1712"/>
      <c r="AT573" s="1712"/>
      <c r="AU573" s="1712"/>
    </row>
    <row r="574">
      <c r="A574" s="1474" t="s">
        <v>2461</v>
      </c>
      <c r="B574" s="1708"/>
      <c r="C574" s="1709"/>
      <c r="D574" s="1709"/>
      <c r="E574" s="1709"/>
      <c r="F574" s="1710"/>
      <c r="G574" s="1710"/>
      <c r="H574" s="1710"/>
      <c r="I574" s="1710"/>
      <c r="J574" s="1710"/>
      <c r="K574" s="1710"/>
      <c r="L574" s="1710"/>
      <c r="M574" s="1710"/>
      <c r="N574" s="1711"/>
      <c r="O574" s="1711"/>
      <c r="P574" s="1711"/>
      <c r="Q574" s="1711"/>
      <c r="R574" s="1711"/>
      <c r="S574" s="1711"/>
      <c r="T574" s="1711"/>
      <c r="U574" s="1711"/>
      <c r="V574" s="1711"/>
      <c r="W574" s="1711"/>
      <c r="X574" s="1711"/>
      <c r="Y574" s="1711"/>
      <c r="Z574" s="1711"/>
      <c r="AA574" s="1712"/>
      <c r="AB574" s="1712"/>
      <c r="AC574" s="1712"/>
      <c r="AD574" s="1712"/>
      <c r="AE574" s="1712"/>
      <c r="AF574" s="1712"/>
      <c r="AG574" s="1712"/>
      <c r="AH574" s="1712"/>
      <c r="AI574" s="1712"/>
      <c r="AJ574" s="1712"/>
      <c r="AK574" s="1712"/>
      <c r="AL574" s="1712"/>
      <c r="AM574" s="1712"/>
      <c r="AN574" s="1712"/>
      <c r="AO574" s="1712"/>
      <c r="AP574" s="1712"/>
      <c r="AQ574" s="1712"/>
      <c r="AR574" s="1712"/>
      <c r="AS574" s="1712"/>
      <c r="AT574" s="1712"/>
      <c r="AU574" s="1712"/>
    </row>
    <row r="575">
      <c r="A575" s="1474" t="s">
        <v>2461</v>
      </c>
      <c r="B575" s="1708"/>
      <c r="C575" s="1709"/>
      <c r="D575" s="1709"/>
      <c r="E575" s="1709"/>
      <c r="F575" s="1710"/>
      <c r="G575" s="1710"/>
      <c r="H575" s="1710"/>
      <c r="I575" s="1710"/>
      <c r="J575" s="1710"/>
      <c r="K575" s="1710"/>
      <c r="L575" s="1710"/>
      <c r="M575" s="1710"/>
      <c r="N575" s="1711"/>
      <c r="O575" s="1711"/>
      <c r="P575" s="1711"/>
      <c r="Q575" s="1711"/>
      <c r="R575" s="1711"/>
      <c r="S575" s="1711"/>
      <c r="T575" s="1711"/>
      <c r="U575" s="1711"/>
      <c r="V575" s="1711"/>
      <c r="W575" s="1711"/>
      <c r="X575" s="1711"/>
      <c r="Y575" s="1711"/>
      <c r="Z575" s="1711"/>
      <c r="AA575" s="1712"/>
      <c r="AB575" s="1712"/>
      <c r="AC575" s="1712"/>
      <c r="AD575" s="1712"/>
      <c r="AE575" s="1712"/>
      <c r="AF575" s="1712"/>
      <c r="AG575" s="1712"/>
      <c r="AH575" s="1712"/>
      <c r="AI575" s="1712"/>
      <c r="AJ575" s="1712"/>
      <c r="AK575" s="1712"/>
      <c r="AL575" s="1712"/>
      <c r="AM575" s="1712"/>
      <c r="AN575" s="1712"/>
      <c r="AO575" s="1712"/>
      <c r="AP575" s="1712"/>
      <c r="AQ575" s="1712"/>
      <c r="AR575" s="1712"/>
      <c r="AS575" s="1712"/>
      <c r="AT575" s="1712"/>
      <c r="AU575" s="1712"/>
    </row>
    <row r="576">
      <c r="A576" s="1474" t="s">
        <v>2461</v>
      </c>
      <c r="B576" s="1708"/>
      <c r="C576" s="1709"/>
      <c r="D576" s="1709"/>
      <c r="E576" s="1709"/>
      <c r="F576" s="1710"/>
      <c r="G576" s="1710"/>
      <c r="H576" s="1710"/>
      <c r="I576" s="1710"/>
      <c r="J576" s="1710"/>
      <c r="K576" s="1710"/>
      <c r="L576" s="1710"/>
      <c r="M576" s="1710"/>
      <c r="N576" s="1711"/>
      <c r="O576" s="1711"/>
      <c r="P576" s="1711"/>
      <c r="Q576" s="1711"/>
      <c r="R576" s="1711"/>
      <c r="S576" s="1711"/>
      <c r="T576" s="1711"/>
      <c r="U576" s="1711"/>
      <c r="V576" s="1711"/>
      <c r="W576" s="1711"/>
      <c r="X576" s="1711"/>
      <c r="Y576" s="1711"/>
      <c r="Z576" s="1711"/>
      <c r="AA576" s="1712"/>
      <c r="AB576" s="1712"/>
      <c r="AC576" s="1712"/>
      <c r="AD576" s="1712"/>
      <c r="AE576" s="1712"/>
      <c r="AF576" s="1712"/>
      <c r="AG576" s="1712"/>
      <c r="AH576" s="1712"/>
      <c r="AI576" s="1712"/>
      <c r="AJ576" s="1712"/>
      <c r="AK576" s="1712"/>
      <c r="AL576" s="1712"/>
      <c r="AM576" s="1712"/>
      <c r="AN576" s="1712"/>
      <c r="AO576" s="1712"/>
      <c r="AP576" s="1712"/>
      <c r="AQ576" s="1712"/>
      <c r="AR576" s="1712"/>
      <c r="AS576" s="1712"/>
      <c r="AT576" s="1712"/>
      <c r="AU576" s="1712"/>
    </row>
    <row r="577">
      <c r="A577" s="1474" t="s">
        <v>2461</v>
      </c>
      <c r="B577" s="1708"/>
      <c r="C577" s="1709"/>
      <c r="D577" s="1709"/>
      <c r="E577" s="1709"/>
      <c r="F577" s="1710"/>
      <c r="G577" s="1710"/>
      <c r="H577" s="1710"/>
      <c r="I577" s="1710"/>
      <c r="J577" s="1710"/>
      <c r="K577" s="1710"/>
      <c r="L577" s="1710"/>
      <c r="M577" s="1710"/>
      <c r="N577" s="1711"/>
      <c r="O577" s="1711"/>
      <c r="P577" s="1711"/>
      <c r="Q577" s="1711"/>
      <c r="R577" s="1711"/>
      <c r="S577" s="1711"/>
      <c r="T577" s="1711"/>
      <c r="U577" s="1711"/>
      <c r="V577" s="1711"/>
      <c r="W577" s="1711"/>
      <c r="X577" s="1711"/>
      <c r="Y577" s="1711"/>
      <c r="Z577" s="1711"/>
      <c r="AA577" s="1712"/>
      <c r="AB577" s="1712"/>
      <c r="AC577" s="1712"/>
      <c r="AD577" s="1712"/>
      <c r="AE577" s="1712"/>
      <c r="AF577" s="1712"/>
      <c r="AG577" s="1712"/>
      <c r="AH577" s="1712"/>
      <c r="AI577" s="1712"/>
      <c r="AJ577" s="1712"/>
      <c r="AK577" s="1712"/>
      <c r="AL577" s="1712"/>
      <c r="AM577" s="1712"/>
      <c r="AN577" s="1712"/>
      <c r="AO577" s="1712"/>
      <c r="AP577" s="1712"/>
      <c r="AQ577" s="1712"/>
      <c r="AR577" s="1712"/>
      <c r="AS577" s="1712"/>
      <c r="AT577" s="1712"/>
      <c r="AU577" s="1712"/>
    </row>
    <row r="578">
      <c r="A578" s="1474" t="s">
        <v>2461</v>
      </c>
      <c r="B578" s="1708"/>
      <c r="C578" s="1709"/>
      <c r="D578" s="1709"/>
      <c r="E578" s="1709"/>
      <c r="F578" s="1710"/>
      <c r="G578" s="1710"/>
      <c r="H578" s="1710"/>
      <c r="I578" s="1710"/>
      <c r="J578" s="1710"/>
      <c r="K578" s="1710"/>
      <c r="L578" s="1710"/>
      <c r="M578" s="1710"/>
      <c r="N578" s="1711"/>
      <c r="O578" s="1711"/>
      <c r="P578" s="1711"/>
      <c r="Q578" s="1711"/>
      <c r="R578" s="1711"/>
      <c r="S578" s="1711"/>
      <c r="T578" s="1711"/>
      <c r="U578" s="1711"/>
      <c r="V578" s="1711"/>
      <c r="W578" s="1711"/>
      <c r="X578" s="1711"/>
      <c r="Y578" s="1711"/>
      <c r="Z578" s="1711"/>
      <c r="AA578" s="1712"/>
      <c r="AB578" s="1712"/>
      <c r="AC578" s="1712"/>
      <c r="AD578" s="1712"/>
      <c r="AE578" s="1712"/>
      <c r="AF578" s="1712"/>
      <c r="AG578" s="1712"/>
      <c r="AH578" s="1712"/>
      <c r="AI578" s="1712"/>
      <c r="AJ578" s="1712"/>
      <c r="AK578" s="1712"/>
      <c r="AL578" s="1712"/>
      <c r="AM578" s="1712"/>
      <c r="AN578" s="1712"/>
      <c r="AO578" s="1712"/>
      <c r="AP578" s="1712"/>
      <c r="AQ578" s="1712"/>
      <c r="AR578" s="1712"/>
      <c r="AS578" s="1712"/>
      <c r="AT578" s="1712"/>
      <c r="AU578" s="1712"/>
    </row>
    <row r="579">
      <c r="A579" s="1474" t="s">
        <v>2461</v>
      </c>
      <c r="B579" s="1708"/>
      <c r="C579" s="1709"/>
      <c r="D579" s="1709"/>
      <c r="E579" s="1709"/>
      <c r="F579" s="1710"/>
      <c r="G579" s="1710"/>
      <c r="H579" s="1710"/>
      <c r="I579" s="1710"/>
      <c r="J579" s="1710"/>
      <c r="K579" s="1710"/>
      <c r="L579" s="1710"/>
      <c r="M579" s="1710"/>
      <c r="N579" s="1711"/>
      <c r="O579" s="1711"/>
      <c r="P579" s="1711"/>
      <c r="Q579" s="1711"/>
      <c r="R579" s="1711"/>
      <c r="S579" s="1711"/>
      <c r="T579" s="1711"/>
      <c r="U579" s="1711"/>
      <c r="V579" s="1711"/>
      <c r="W579" s="1711"/>
      <c r="X579" s="1711"/>
      <c r="Y579" s="1711"/>
      <c r="Z579" s="1711"/>
      <c r="AA579" s="1712"/>
      <c r="AB579" s="1712"/>
      <c r="AC579" s="1712"/>
      <c r="AD579" s="1712"/>
      <c r="AE579" s="1712"/>
      <c r="AF579" s="1712"/>
      <c r="AG579" s="1712"/>
      <c r="AH579" s="1712"/>
      <c r="AI579" s="1712"/>
      <c r="AJ579" s="1712"/>
      <c r="AK579" s="1712"/>
      <c r="AL579" s="1712"/>
      <c r="AM579" s="1712"/>
      <c r="AN579" s="1712"/>
      <c r="AO579" s="1712"/>
      <c r="AP579" s="1712"/>
      <c r="AQ579" s="1712"/>
      <c r="AR579" s="1712"/>
      <c r="AS579" s="1712"/>
      <c r="AT579" s="1712"/>
      <c r="AU579" s="1712"/>
    </row>
    <row r="580">
      <c r="A580" s="1474" t="s">
        <v>2461</v>
      </c>
      <c r="B580" s="1708"/>
      <c r="C580" s="1709"/>
      <c r="D580" s="1709"/>
      <c r="E580" s="1709"/>
      <c r="F580" s="1710"/>
      <c r="G580" s="1710"/>
      <c r="H580" s="1710"/>
      <c r="I580" s="1710"/>
      <c r="J580" s="1710"/>
      <c r="K580" s="1710"/>
      <c r="L580" s="1710"/>
      <c r="M580" s="1710"/>
      <c r="N580" s="1711"/>
      <c r="O580" s="1711"/>
      <c r="P580" s="1711"/>
      <c r="Q580" s="1711"/>
      <c r="R580" s="1711"/>
      <c r="S580" s="1711"/>
      <c r="T580" s="1711"/>
      <c r="U580" s="1711"/>
      <c r="V580" s="1711"/>
      <c r="W580" s="1711"/>
      <c r="X580" s="1711"/>
      <c r="Y580" s="1711"/>
      <c r="Z580" s="1711"/>
      <c r="AA580" s="1712"/>
      <c r="AB580" s="1712"/>
      <c r="AC580" s="1712"/>
      <c r="AD580" s="1712"/>
      <c r="AE580" s="1712"/>
      <c r="AF580" s="1712"/>
      <c r="AG580" s="1712"/>
      <c r="AH580" s="1712"/>
      <c r="AI580" s="1712"/>
      <c r="AJ580" s="1712"/>
      <c r="AK580" s="1712"/>
      <c r="AL580" s="1712"/>
      <c r="AM580" s="1712"/>
      <c r="AN580" s="1712"/>
      <c r="AO580" s="1712"/>
      <c r="AP580" s="1712"/>
      <c r="AQ580" s="1712"/>
      <c r="AR580" s="1712"/>
      <c r="AS580" s="1712"/>
      <c r="AT580" s="1712"/>
      <c r="AU580" s="1712"/>
    </row>
    <row r="581">
      <c r="A581" s="1474" t="s">
        <v>2461</v>
      </c>
      <c r="B581" s="1708"/>
      <c r="C581" s="1709"/>
      <c r="D581" s="1709"/>
      <c r="E581" s="1709"/>
      <c r="F581" s="1710"/>
      <c r="G581" s="1710"/>
      <c r="H581" s="1710"/>
      <c r="I581" s="1710"/>
      <c r="J581" s="1710"/>
      <c r="K581" s="1710"/>
      <c r="L581" s="1710"/>
      <c r="M581" s="1710"/>
      <c r="N581" s="1711"/>
      <c r="O581" s="1711"/>
      <c r="P581" s="1711"/>
      <c r="Q581" s="1711"/>
      <c r="R581" s="1711"/>
      <c r="S581" s="1711"/>
      <c r="T581" s="1711"/>
      <c r="U581" s="1711"/>
      <c r="V581" s="1711"/>
      <c r="W581" s="1711"/>
      <c r="X581" s="1711"/>
      <c r="Y581" s="1711"/>
      <c r="Z581" s="1711"/>
      <c r="AA581" s="1712"/>
      <c r="AB581" s="1712"/>
      <c r="AC581" s="1712"/>
      <c r="AD581" s="1712"/>
      <c r="AE581" s="1712"/>
      <c r="AF581" s="1712"/>
      <c r="AG581" s="1712"/>
      <c r="AH581" s="1712"/>
      <c r="AI581" s="1712"/>
      <c r="AJ581" s="1712"/>
      <c r="AK581" s="1712"/>
      <c r="AL581" s="1712"/>
      <c r="AM581" s="1712"/>
      <c r="AN581" s="1712"/>
      <c r="AO581" s="1712"/>
      <c r="AP581" s="1712"/>
      <c r="AQ581" s="1712"/>
      <c r="AR581" s="1712"/>
      <c r="AS581" s="1712"/>
      <c r="AT581" s="1712"/>
      <c r="AU581" s="1712"/>
    </row>
    <row r="582">
      <c r="A582" s="1474" t="s">
        <v>2461</v>
      </c>
      <c r="B582" s="1708"/>
      <c r="C582" s="1709"/>
      <c r="D582" s="1709"/>
      <c r="E582" s="1709"/>
      <c r="F582" s="1710"/>
      <c r="G582" s="1710"/>
      <c r="H582" s="1710"/>
      <c r="I582" s="1710"/>
      <c r="J582" s="1710"/>
      <c r="K582" s="1710"/>
      <c r="L582" s="1710"/>
      <c r="M582" s="1710"/>
      <c r="N582" s="1711"/>
      <c r="O582" s="1711"/>
      <c r="P582" s="1711"/>
      <c r="Q582" s="1711"/>
      <c r="R582" s="1711"/>
      <c r="S582" s="1711"/>
      <c r="T582" s="1711"/>
      <c r="U582" s="1711"/>
      <c r="V582" s="1711"/>
      <c r="W582" s="1711"/>
      <c r="X582" s="1711"/>
      <c r="Y582" s="1711"/>
      <c r="Z582" s="1711"/>
      <c r="AA582" s="1712"/>
      <c r="AB582" s="1712"/>
      <c r="AC582" s="1712"/>
      <c r="AD582" s="1712"/>
      <c r="AE582" s="1712"/>
      <c r="AF582" s="1712"/>
      <c r="AG582" s="1712"/>
      <c r="AH582" s="1712"/>
      <c r="AI582" s="1712"/>
      <c r="AJ582" s="1712"/>
      <c r="AK582" s="1712"/>
      <c r="AL582" s="1712"/>
      <c r="AM582" s="1712"/>
      <c r="AN582" s="1712"/>
      <c r="AO582" s="1712"/>
      <c r="AP582" s="1712"/>
      <c r="AQ582" s="1712"/>
      <c r="AR582" s="1712"/>
      <c r="AS582" s="1712"/>
      <c r="AT582" s="1712"/>
      <c r="AU582" s="1712"/>
    </row>
    <row r="583">
      <c r="A583" s="1474" t="s">
        <v>2461</v>
      </c>
      <c r="B583" s="1708"/>
      <c r="C583" s="1709"/>
      <c r="D583" s="1709"/>
      <c r="E583" s="1709"/>
      <c r="F583" s="1710"/>
      <c r="G583" s="1710"/>
      <c r="H583" s="1710"/>
      <c r="I583" s="1710"/>
      <c r="J583" s="1710"/>
      <c r="K583" s="1710"/>
      <c r="L583" s="1710"/>
      <c r="M583" s="1710"/>
      <c r="N583" s="1711"/>
      <c r="O583" s="1711"/>
      <c r="P583" s="1711"/>
      <c r="Q583" s="1711"/>
      <c r="R583" s="1711"/>
      <c r="S583" s="1711"/>
      <c r="T583" s="1711"/>
      <c r="U583" s="1711"/>
      <c r="V583" s="1711"/>
      <c r="W583" s="1711"/>
      <c r="X583" s="1711"/>
      <c r="Y583" s="1711"/>
      <c r="Z583" s="1711"/>
      <c r="AA583" s="1712"/>
      <c r="AB583" s="1712"/>
      <c r="AC583" s="1712"/>
      <c r="AD583" s="1712"/>
      <c r="AE583" s="1712"/>
      <c r="AF583" s="1712"/>
      <c r="AG583" s="1712"/>
      <c r="AH583" s="1712"/>
      <c r="AI583" s="1712"/>
      <c r="AJ583" s="1712"/>
      <c r="AK583" s="1712"/>
      <c r="AL583" s="1712"/>
      <c r="AM583" s="1712"/>
      <c r="AN583" s="1712"/>
      <c r="AO583" s="1712"/>
      <c r="AP583" s="1712"/>
      <c r="AQ583" s="1712"/>
      <c r="AR583" s="1712"/>
      <c r="AS583" s="1712"/>
      <c r="AT583" s="1712"/>
      <c r="AU583" s="1712"/>
    </row>
    <row r="584">
      <c r="A584" s="1474" t="s">
        <v>2461</v>
      </c>
      <c r="B584" s="1708"/>
      <c r="C584" s="1709"/>
      <c r="D584" s="1709"/>
      <c r="E584" s="1709"/>
      <c r="F584" s="1710"/>
      <c r="G584" s="1710"/>
      <c r="H584" s="1710"/>
      <c r="I584" s="1710"/>
      <c r="J584" s="1710"/>
      <c r="K584" s="1710"/>
      <c r="L584" s="1710"/>
      <c r="M584" s="1710"/>
      <c r="N584" s="1711"/>
      <c r="O584" s="1711"/>
      <c r="P584" s="1711"/>
      <c r="Q584" s="1711"/>
      <c r="R584" s="1711"/>
      <c r="S584" s="1711"/>
      <c r="T584" s="1711"/>
      <c r="U584" s="1711"/>
      <c r="V584" s="1711"/>
      <c r="W584" s="1711"/>
      <c r="X584" s="1711"/>
      <c r="Y584" s="1711"/>
      <c r="Z584" s="1711"/>
      <c r="AA584" s="1712"/>
      <c r="AB584" s="1712"/>
      <c r="AC584" s="1712"/>
      <c r="AD584" s="1712"/>
      <c r="AE584" s="1712"/>
      <c r="AF584" s="1712"/>
      <c r="AG584" s="1712"/>
      <c r="AH584" s="1712"/>
      <c r="AI584" s="1712"/>
      <c r="AJ584" s="1712"/>
      <c r="AK584" s="1712"/>
      <c r="AL584" s="1712"/>
      <c r="AM584" s="1712"/>
      <c r="AN584" s="1712"/>
      <c r="AO584" s="1712"/>
      <c r="AP584" s="1712"/>
      <c r="AQ584" s="1712"/>
      <c r="AR584" s="1712"/>
      <c r="AS584" s="1712"/>
      <c r="AT584" s="1712"/>
      <c r="AU584" s="1712"/>
    </row>
    <row r="585">
      <c r="A585" s="1474" t="s">
        <v>2461</v>
      </c>
      <c r="B585" s="1708"/>
      <c r="C585" s="1709"/>
      <c r="D585" s="1709"/>
      <c r="E585" s="1709"/>
      <c r="F585" s="1710"/>
      <c r="G585" s="1710"/>
      <c r="H585" s="1710"/>
      <c r="I585" s="1710"/>
      <c r="J585" s="1710"/>
      <c r="K585" s="1710"/>
      <c r="L585" s="1710"/>
      <c r="M585" s="1710"/>
      <c r="N585" s="1711"/>
      <c r="O585" s="1711"/>
      <c r="P585" s="1711"/>
      <c r="Q585" s="1711"/>
      <c r="R585" s="1711"/>
      <c r="S585" s="1711"/>
      <c r="T585" s="1711"/>
      <c r="U585" s="1711"/>
      <c r="V585" s="1711"/>
      <c r="W585" s="1711"/>
      <c r="X585" s="1711"/>
      <c r="Y585" s="1711"/>
      <c r="Z585" s="1711"/>
      <c r="AA585" s="1712"/>
      <c r="AB585" s="1712"/>
      <c r="AC585" s="1712"/>
      <c r="AD585" s="1712"/>
      <c r="AE585" s="1712"/>
      <c r="AF585" s="1712"/>
      <c r="AG585" s="1712"/>
      <c r="AH585" s="1712"/>
      <c r="AI585" s="1712"/>
      <c r="AJ585" s="1712"/>
      <c r="AK585" s="1712"/>
      <c r="AL585" s="1712"/>
      <c r="AM585" s="1712"/>
      <c r="AN585" s="1712"/>
      <c r="AO585" s="1712"/>
      <c r="AP585" s="1712"/>
      <c r="AQ585" s="1712"/>
      <c r="AR585" s="1712"/>
      <c r="AS585" s="1712"/>
      <c r="AT585" s="1712"/>
      <c r="AU585" s="1712"/>
    </row>
    <row r="586">
      <c r="A586" s="1474" t="s">
        <v>2461</v>
      </c>
      <c r="B586" s="1708"/>
      <c r="C586" s="1709"/>
      <c r="D586" s="1709"/>
      <c r="E586" s="1709"/>
      <c r="F586" s="1710"/>
      <c r="G586" s="1710"/>
      <c r="H586" s="1710"/>
      <c r="I586" s="1710"/>
      <c r="J586" s="1710"/>
      <c r="K586" s="1710"/>
      <c r="L586" s="1710"/>
      <c r="M586" s="1710"/>
      <c r="N586" s="1711"/>
      <c r="O586" s="1711"/>
      <c r="P586" s="1711"/>
      <c r="Q586" s="1711"/>
      <c r="R586" s="1711"/>
      <c r="S586" s="1711"/>
      <c r="T586" s="1711"/>
      <c r="U586" s="1711"/>
      <c r="V586" s="1711"/>
      <c r="W586" s="1711"/>
      <c r="X586" s="1711"/>
      <c r="Y586" s="1711"/>
      <c r="Z586" s="1711"/>
      <c r="AA586" s="1712"/>
      <c r="AB586" s="1712"/>
      <c r="AC586" s="1712"/>
      <c r="AD586" s="1712"/>
      <c r="AE586" s="1712"/>
      <c r="AF586" s="1712"/>
      <c r="AG586" s="1712"/>
      <c r="AH586" s="1712"/>
      <c r="AI586" s="1712"/>
      <c r="AJ586" s="1712"/>
      <c r="AK586" s="1712"/>
      <c r="AL586" s="1712"/>
      <c r="AM586" s="1712"/>
      <c r="AN586" s="1712"/>
      <c r="AO586" s="1712"/>
      <c r="AP586" s="1712"/>
      <c r="AQ586" s="1712"/>
      <c r="AR586" s="1712"/>
      <c r="AS586" s="1712"/>
      <c r="AT586" s="1712"/>
      <c r="AU586" s="1712"/>
    </row>
    <row r="587">
      <c r="A587" s="1474" t="s">
        <v>2461</v>
      </c>
      <c r="B587" s="1708"/>
      <c r="C587" s="1709"/>
      <c r="D587" s="1709"/>
      <c r="E587" s="1709"/>
      <c r="F587" s="1710"/>
      <c r="G587" s="1710"/>
      <c r="H587" s="1710"/>
      <c r="I587" s="1710"/>
      <c r="J587" s="1710"/>
      <c r="K587" s="1710"/>
      <c r="L587" s="1710"/>
      <c r="M587" s="1710"/>
      <c r="N587" s="1711"/>
      <c r="O587" s="1711"/>
      <c r="P587" s="1711"/>
      <c r="Q587" s="1711"/>
      <c r="R587" s="1711"/>
      <c r="S587" s="1711"/>
      <c r="T587" s="1711"/>
      <c r="U587" s="1711"/>
      <c r="V587" s="1711"/>
      <c r="W587" s="1711"/>
      <c r="X587" s="1711"/>
      <c r="Y587" s="1711"/>
      <c r="Z587" s="1711"/>
      <c r="AA587" s="1712"/>
      <c r="AB587" s="1712"/>
      <c r="AC587" s="1712"/>
      <c r="AD587" s="1712"/>
      <c r="AE587" s="1712"/>
      <c r="AF587" s="1712"/>
      <c r="AG587" s="1712"/>
      <c r="AH587" s="1712"/>
      <c r="AI587" s="1712"/>
      <c r="AJ587" s="1712"/>
      <c r="AK587" s="1712"/>
      <c r="AL587" s="1712"/>
      <c r="AM587" s="1712"/>
      <c r="AN587" s="1712"/>
      <c r="AO587" s="1712"/>
      <c r="AP587" s="1712"/>
      <c r="AQ587" s="1712"/>
      <c r="AR587" s="1712"/>
      <c r="AS587" s="1712"/>
      <c r="AT587" s="1712"/>
      <c r="AU587" s="1712"/>
    </row>
    <row r="588">
      <c r="A588" s="1474" t="s">
        <v>2461</v>
      </c>
      <c r="B588" s="1708"/>
      <c r="C588" s="1709"/>
      <c r="D588" s="1709"/>
      <c r="E588" s="1709"/>
      <c r="F588" s="1710"/>
      <c r="G588" s="1710"/>
      <c r="H588" s="1710"/>
      <c r="I588" s="1710"/>
      <c r="J588" s="1710"/>
      <c r="K588" s="1710"/>
      <c r="L588" s="1710"/>
      <c r="M588" s="1710"/>
      <c r="N588" s="1711"/>
      <c r="O588" s="1711"/>
      <c r="P588" s="1711"/>
      <c r="Q588" s="1711"/>
      <c r="R588" s="1711"/>
      <c r="S588" s="1711"/>
      <c r="T588" s="1711"/>
      <c r="U588" s="1711"/>
      <c r="V588" s="1711"/>
      <c r="W588" s="1711"/>
      <c r="X588" s="1711"/>
      <c r="Y588" s="1711"/>
      <c r="Z588" s="1711"/>
      <c r="AA588" s="1712"/>
      <c r="AB588" s="1712"/>
      <c r="AC588" s="1712"/>
      <c r="AD588" s="1712"/>
      <c r="AE588" s="1712"/>
      <c r="AF588" s="1712"/>
      <c r="AG588" s="1712"/>
      <c r="AH588" s="1712"/>
      <c r="AI588" s="1712"/>
      <c r="AJ588" s="1712"/>
      <c r="AK588" s="1712"/>
      <c r="AL588" s="1712"/>
      <c r="AM588" s="1712"/>
      <c r="AN588" s="1712"/>
      <c r="AO588" s="1712"/>
      <c r="AP588" s="1712"/>
      <c r="AQ588" s="1712"/>
      <c r="AR588" s="1712"/>
      <c r="AS588" s="1712"/>
      <c r="AT588" s="1712"/>
      <c r="AU588" s="1712"/>
    </row>
    <row r="589">
      <c r="A589" s="1474" t="s">
        <v>2461</v>
      </c>
      <c r="B589" s="1708"/>
      <c r="C589" s="1709"/>
      <c r="D589" s="1709"/>
      <c r="E589" s="1709"/>
      <c r="F589" s="1710"/>
      <c r="G589" s="1710"/>
      <c r="H589" s="1710"/>
      <c r="I589" s="1710"/>
      <c r="J589" s="1710"/>
      <c r="K589" s="1710"/>
      <c r="L589" s="1710"/>
      <c r="M589" s="1710"/>
      <c r="N589" s="1711"/>
      <c r="O589" s="1711"/>
      <c r="P589" s="1711"/>
      <c r="Q589" s="1711"/>
      <c r="R589" s="1711"/>
      <c r="S589" s="1711"/>
      <c r="T589" s="1711"/>
      <c r="U589" s="1711"/>
      <c r="V589" s="1711"/>
      <c r="W589" s="1711"/>
      <c r="X589" s="1711"/>
      <c r="Y589" s="1711"/>
      <c r="Z589" s="1711"/>
      <c r="AA589" s="1712"/>
      <c r="AB589" s="1712"/>
      <c r="AC589" s="1712"/>
      <c r="AD589" s="1712"/>
      <c r="AE589" s="1712"/>
      <c r="AF589" s="1712"/>
      <c r="AG589" s="1712"/>
      <c r="AH589" s="1712"/>
      <c r="AI589" s="1712"/>
      <c r="AJ589" s="1712"/>
      <c r="AK589" s="1712"/>
      <c r="AL589" s="1712"/>
      <c r="AM589" s="1712"/>
      <c r="AN589" s="1712"/>
      <c r="AO589" s="1712"/>
      <c r="AP589" s="1712"/>
      <c r="AQ589" s="1712"/>
      <c r="AR589" s="1712"/>
      <c r="AS589" s="1712"/>
      <c r="AT589" s="1712"/>
      <c r="AU589" s="1712"/>
    </row>
    <row r="590">
      <c r="A590" s="1474" t="s">
        <v>2461</v>
      </c>
      <c r="B590" s="1708"/>
      <c r="C590" s="1709"/>
      <c r="D590" s="1709"/>
      <c r="E590" s="1709"/>
      <c r="F590" s="1710"/>
      <c r="G590" s="1710"/>
      <c r="H590" s="1710"/>
      <c r="I590" s="1710"/>
      <c r="J590" s="1710"/>
      <c r="K590" s="1710"/>
      <c r="L590" s="1710"/>
      <c r="M590" s="1710"/>
      <c r="N590" s="1711"/>
      <c r="O590" s="1711"/>
      <c r="P590" s="1711"/>
      <c r="Q590" s="1711"/>
      <c r="R590" s="1711"/>
      <c r="S590" s="1711"/>
      <c r="T590" s="1711"/>
      <c r="U590" s="1711"/>
      <c r="V590" s="1711"/>
      <c r="W590" s="1711"/>
      <c r="X590" s="1711"/>
      <c r="Y590" s="1711"/>
      <c r="Z590" s="1711"/>
      <c r="AA590" s="1712"/>
      <c r="AB590" s="1712"/>
      <c r="AC590" s="1712"/>
      <c r="AD590" s="1712"/>
      <c r="AE590" s="1712"/>
      <c r="AF590" s="1712"/>
      <c r="AG590" s="1712"/>
      <c r="AH590" s="1712"/>
      <c r="AI590" s="1712"/>
      <c r="AJ590" s="1712"/>
      <c r="AK590" s="1712"/>
      <c r="AL590" s="1712"/>
      <c r="AM590" s="1712"/>
      <c r="AN590" s="1712"/>
      <c r="AO590" s="1712"/>
      <c r="AP590" s="1712"/>
      <c r="AQ590" s="1712"/>
      <c r="AR590" s="1712"/>
      <c r="AS590" s="1712"/>
      <c r="AT590" s="1712"/>
      <c r="AU590" s="1712"/>
    </row>
    <row r="591">
      <c r="A591" s="1474" t="s">
        <v>2461</v>
      </c>
      <c r="B591" s="1708"/>
      <c r="C591" s="1709"/>
      <c r="D591" s="1709"/>
      <c r="E591" s="1709"/>
      <c r="F591" s="1710"/>
      <c r="G591" s="1710"/>
      <c r="H591" s="1710"/>
      <c r="I591" s="1710"/>
      <c r="J591" s="1710"/>
      <c r="K591" s="1710"/>
      <c r="L591" s="1710"/>
      <c r="M591" s="1710"/>
      <c r="N591" s="1711"/>
      <c r="O591" s="1711"/>
      <c r="P591" s="1711"/>
      <c r="Q591" s="1711"/>
      <c r="R591" s="1711"/>
      <c r="S591" s="1711"/>
      <c r="T591" s="1711"/>
      <c r="U591" s="1711"/>
      <c r="V591" s="1711"/>
      <c r="W591" s="1711"/>
      <c r="X591" s="1711"/>
      <c r="Y591" s="1711"/>
      <c r="Z591" s="1711"/>
      <c r="AA591" s="1712"/>
      <c r="AB591" s="1712"/>
      <c r="AC591" s="1712"/>
      <c r="AD591" s="1712"/>
      <c r="AE591" s="1712"/>
      <c r="AF591" s="1712"/>
      <c r="AG591" s="1712"/>
      <c r="AH591" s="1712"/>
      <c r="AI591" s="1712"/>
      <c r="AJ591" s="1712"/>
      <c r="AK591" s="1712"/>
      <c r="AL591" s="1712"/>
      <c r="AM591" s="1712"/>
      <c r="AN591" s="1712"/>
      <c r="AO591" s="1712"/>
      <c r="AP591" s="1712"/>
      <c r="AQ591" s="1712"/>
      <c r="AR591" s="1712"/>
      <c r="AS591" s="1712"/>
      <c r="AT591" s="1712"/>
      <c r="AU591" s="1712"/>
    </row>
    <row r="592">
      <c r="A592" s="1474" t="s">
        <v>2461</v>
      </c>
      <c r="B592" s="1708"/>
      <c r="C592" s="1709"/>
      <c r="D592" s="1709"/>
      <c r="E592" s="1709"/>
      <c r="F592" s="1710"/>
      <c r="G592" s="1710"/>
      <c r="H592" s="1710"/>
      <c r="I592" s="1710"/>
      <c r="J592" s="1710"/>
      <c r="K592" s="1710"/>
      <c r="L592" s="1710"/>
      <c r="M592" s="1710"/>
      <c r="N592" s="1711"/>
      <c r="O592" s="1711"/>
      <c r="P592" s="1711"/>
      <c r="Q592" s="1711"/>
      <c r="R592" s="1711"/>
      <c r="S592" s="1711"/>
      <c r="T592" s="1711"/>
      <c r="U592" s="1711"/>
      <c r="V592" s="1711"/>
      <c r="W592" s="1711"/>
      <c r="X592" s="1711"/>
      <c r="Y592" s="1711"/>
      <c r="Z592" s="1711"/>
      <c r="AA592" s="1712"/>
      <c r="AB592" s="1712"/>
      <c r="AC592" s="1712"/>
      <c r="AD592" s="1712"/>
      <c r="AE592" s="1712"/>
      <c r="AF592" s="1712"/>
      <c r="AG592" s="1712"/>
      <c r="AH592" s="1712"/>
      <c r="AI592" s="1712"/>
      <c r="AJ592" s="1712"/>
      <c r="AK592" s="1712"/>
      <c r="AL592" s="1712"/>
      <c r="AM592" s="1712"/>
      <c r="AN592" s="1712"/>
      <c r="AO592" s="1712"/>
      <c r="AP592" s="1712"/>
      <c r="AQ592" s="1712"/>
      <c r="AR592" s="1712"/>
      <c r="AS592" s="1712"/>
      <c r="AT592" s="1712"/>
      <c r="AU592" s="1712"/>
    </row>
    <row r="593">
      <c r="A593" s="1474" t="s">
        <v>2461</v>
      </c>
      <c r="B593" s="1708"/>
      <c r="C593" s="1709"/>
      <c r="D593" s="1709"/>
      <c r="E593" s="1709"/>
      <c r="F593" s="1710"/>
      <c r="G593" s="1710"/>
      <c r="H593" s="1710"/>
      <c r="I593" s="1710"/>
      <c r="J593" s="1710"/>
      <c r="K593" s="1710"/>
      <c r="L593" s="1710"/>
      <c r="M593" s="1710"/>
      <c r="N593" s="1711"/>
      <c r="O593" s="1711"/>
      <c r="P593" s="1711"/>
      <c r="Q593" s="1711"/>
      <c r="R593" s="1711"/>
      <c r="S593" s="1711"/>
      <c r="T593" s="1711"/>
      <c r="U593" s="1711"/>
      <c r="V593" s="1711"/>
      <c r="W593" s="1711"/>
      <c r="X593" s="1711"/>
      <c r="Y593" s="1711"/>
      <c r="Z593" s="1711"/>
      <c r="AA593" s="1712"/>
      <c r="AB593" s="1712"/>
      <c r="AC593" s="1712"/>
      <c r="AD593" s="1712"/>
      <c r="AE593" s="1712"/>
      <c r="AF593" s="1712"/>
      <c r="AG593" s="1712"/>
      <c r="AH593" s="1712"/>
      <c r="AI593" s="1712"/>
      <c r="AJ593" s="1712"/>
      <c r="AK593" s="1712"/>
      <c r="AL593" s="1712"/>
      <c r="AM593" s="1712"/>
      <c r="AN593" s="1712"/>
      <c r="AO593" s="1712"/>
      <c r="AP593" s="1712"/>
      <c r="AQ593" s="1712"/>
      <c r="AR593" s="1712"/>
      <c r="AS593" s="1712"/>
      <c r="AT593" s="1712"/>
      <c r="AU593" s="1712"/>
    </row>
    <row r="594">
      <c r="A594" s="1474" t="s">
        <v>2461</v>
      </c>
      <c r="B594" s="1708"/>
      <c r="C594" s="1709"/>
      <c r="D594" s="1709"/>
      <c r="E594" s="1709"/>
      <c r="F594" s="1710"/>
      <c r="G594" s="1710"/>
      <c r="H594" s="1710"/>
      <c r="I594" s="1710"/>
      <c r="J594" s="1710"/>
      <c r="K594" s="1710"/>
      <c r="L594" s="1710"/>
      <c r="M594" s="1710"/>
      <c r="N594" s="1711"/>
      <c r="O594" s="1711"/>
      <c r="P594" s="1711"/>
      <c r="Q594" s="1711"/>
      <c r="R594" s="1711"/>
      <c r="S594" s="1711"/>
      <c r="T594" s="1711"/>
      <c r="U594" s="1711"/>
      <c r="V594" s="1711"/>
      <c r="W594" s="1711"/>
      <c r="X594" s="1711"/>
      <c r="Y594" s="1711"/>
      <c r="Z594" s="1711"/>
      <c r="AA594" s="1712"/>
      <c r="AB594" s="1712"/>
      <c r="AC594" s="1712"/>
      <c r="AD594" s="1712"/>
      <c r="AE594" s="1712"/>
      <c r="AF594" s="1712"/>
      <c r="AG594" s="1712"/>
      <c r="AH594" s="1712"/>
      <c r="AI594" s="1712"/>
      <c r="AJ594" s="1712"/>
      <c r="AK594" s="1712"/>
      <c r="AL594" s="1712"/>
      <c r="AM594" s="1712"/>
      <c r="AN594" s="1712"/>
      <c r="AO594" s="1712"/>
      <c r="AP594" s="1712"/>
      <c r="AQ594" s="1712"/>
      <c r="AR594" s="1712"/>
      <c r="AS594" s="1712"/>
      <c r="AT594" s="1712"/>
      <c r="AU594" s="1712"/>
    </row>
    <row r="595">
      <c r="A595" s="1474" t="s">
        <v>2461</v>
      </c>
      <c r="B595" s="1708"/>
      <c r="C595" s="1709"/>
      <c r="D595" s="1709"/>
      <c r="E595" s="1709"/>
      <c r="F595" s="1710"/>
      <c r="G595" s="1710"/>
      <c r="H595" s="1710"/>
      <c r="I595" s="1710"/>
      <c r="J595" s="1710"/>
      <c r="K595" s="1710"/>
      <c r="L595" s="1710"/>
      <c r="M595" s="1710"/>
      <c r="N595" s="1711"/>
      <c r="O595" s="1711"/>
      <c r="P595" s="1711"/>
      <c r="Q595" s="1711"/>
      <c r="R595" s="1711"/>
      <c r="S595" s="1711"/>
      <c r="T595" s="1711"/>
      <c r="U595" s="1711"/>
      <c r="V595" s="1711"/>
      <c r="W595" s="1711"/>
      <c r="X595" s="1711"/>
      <c r="Y595" s="1711"/>
      <c r="Z595" s="1711"/>
      <c r="AA595" s="1712"/>
      <c r="AB595" s="1712"/>
      <c r="AC595" s="1712"/>
      <c r="AD595" s="1712"/>
      <c r="AE595" s="1712"/>
      <c r="AF595" s="1712"/>
      <c r="AG595" s="1712"/>
      <c r="AH595" s="1712"/>
      <c r="AI595" s="1712"/>
      <c r="AJ595" s="1712"/>
      <c r="AK595" s="1712"/>
      <c r="AL595" s="1712"/>
      <c r="AM595" s="1712"/>
      <c r="AN595" s="1712"/>
      <c r="AO595" s="1712"/>
      <c r="AP595" s="1712"/>
      <c r="AQ595" s="1712"/>
      <c r="AR595" s="1712"/>
      <c r="AS595" s="1712"/>
      <c r="AT595" s="1712"/>
      <c r="AU595" s="1712"/>
    </row>
    <row r="596">
      <c r="A596" s="1474" t="s">
        <v>2461</v>
      </c>
      <c r="B596" s="1708"/>
      <c r="C596" s="1709"/>
      <c r="D596" s="1709"/>
      <c r="E596" s="1709"/>
      <c r="F596" s="1710"/>
      <c r="G596" s="1710"/>
      <c r="H596" s="1710"/>
      <c r="I596" s="1710"/>
      <c r="J596" s="1710"/>
      <c r="K596" s="1710"/>
      <c r="L596" s="1710"/>
      <c r="M596" s="1710"/>
      <c r="N596" s="1711"/>
      <c r="O596" s="1711"/>
      <c r="P596" s="1711"/>
      <c r="Q596" s="1711"/>
      <c r="R596" s="1711"/>
      <c r="S596" s="1711"/>
      <c r="T596" s="1711"/>
      <c r="U596" s="1711"/>
      <c r="V596" s="1711"/>
      <c r="W596" s="1711"/>
      <c r="X596" s="1711"/>
      <c r="Y596" s="1711"/>
      <c r="Z596" s="1711"/>
      <c r="AA596" s="1712"/>
      <c r="AB596" s="1712"/>
      <c r="AC596" s="1712"/>
      <c r="AD596" s="1712"/>
      <c r="AE596" s="1712"/>
      <c r="AF596" s="1712"/>
      <c r="AG596" s="1712"/>
      <c r="AH596" s="1712"/>
      <c r="AI596" s="1712"/>
      <c r="AJ596" s="1712"/>
      <c r="AK596" s="1712"/>
      <c r="AL596" s="1712"/>
      <c r="AM596" s="1712"/>
      <c r="AN596" s="1712"/>
      <c r="AO596" s="1712"/>
      <c r="AP596" s="1712"/>
      <c r="AQ596" s="1712"/>
      <c r="AR596" s="1712"/>
      <c r="AS596" s="1712"/>
      <c r="AT596" s="1712"/>
      <c r="AU596" s="1712"/>
    </row>
    <row r="597">
      <c r="A597" s="1474" t="s">
        <v>2461</v>
      </c>
      <c r="B597" s="1708"/>
      <c r="C597" s="1709"/>
      <c r="D597" s="1709"/>
      <c r="E597" s="1709"/>
      <c r="F597" s="1710"/>
      <c r="G597" s="1710"/>
      <c r="H597" s="1710"/>
      <c r="I597" s="1710"/>
      <c r="J597" s="1710"/>
      <c r="K597" s="1710"/>
      <c r="L597" s="1710"/>
      <c r="M597" s="1710"/>
      <c r="N597" s="1711"/>
      <c r="O597" s="1711"/>
      <c r="P597" s="1711"/>
      <c r="Q597" s="1711"/>
      <c r="R597" s="1711"/>
      <c r="S597" s="1711"/>
      <c r="T597" s="1711"/>
      <c r="U597" s="1711"/>
      <c r="V597" s="1711"/>
      <c r="W597" s="1711"/>
      <c r="X597" s="1711"/>
      <c r="Y597" s="1711"/>
      <c r="Z597" s="1711"/>
      <c r="AA597" s="1712"/>
      <c r="AB597" s="1712"/>
      <c r="AC597" s="1712"/>
      <c r="AD597" s="1712"/>
      <c r="AE597" s="1712"/>
      <c r="AF597" s="1712"/>
      <c r="AG597" s="1712"/>
      <c r="AH597" s="1712"/>
      <c r="AI597" s="1712"/>
      <c r="AJ597" s="1712"/>
      <c r="AK597" s="1712"/>
      <c r="AL597" s="1712"/>
      <c r="AM597" s="1712"/>
      <c r="AN597" s="1712"/>
      <c r="AO597" s="1712"/>
      <c r="AP597" s="1712"/>
      <c r="AQ597" s="1712"/>
      <c r="AR597" s="1712"/>
      <c r="AS597" s="1712"/>
      <c r="AT597" s="1712"/>
      <c r="AU597" s="1712"/>
    </row>
    <row r="598">
      <c r="A598" s="1474" t="s">
        <v>2461</v>
      </c>
      <c r="B598" s="1708"/>
      <c r="C598" s="1709"/>
      <c r="D598" s="1709"/>
      <c r="E598" s="1709"/>
      <c r="F598" s="1710"/>
      <c r="G598" s="1710"/>
      <c r="H598" s="1710"/>
      <c r="I598" s="1710"/>
      <c r="J598" s="1710"/>
      <c r="K598" s="1710"/>
      <c r="L598" s="1710"/>
      <c r="M598" s="1710"/>
      <c r="N598" s="1711"/>
      <c r="O598" s="1711"/>
      <c r="P598" s="1711"/>
      <c r="Q598" s="1711"/>
      <c r="R598" s="1711"/>
      <c r="S598" s="1711"/>
      <c r="T598" s="1711"/>
      <c r="U598" s="1711"/>
      <c r="V598" s="1711"/>
      <c r="W598" s="1711"/>
      <c r="X598" s="1711"/>
      <c r="Y598" s="1711"/>
      <c r="Z598" s="1711"/>
      <c r="AA598" s="1712"/>
      <c r="AB598" s="1712"/>
      <c r="AC598" s="1712"/>
      <c r="AD598" s="1712"/>
      <c r="AE598" s="1712"/>
      <c r="AF598" s="1712"/>
      <c r="AG598" s="1712"/>
      <c r="AH598" s="1712"/>
      <c r="AI598" s="1712"/>
      <c r="AJ598" s="1712"/>
      <c r="AK598" s="1712"/>
      <c r="AL598" s="1712"/>
      <c r="AM598" s="1712"/>
      <c r="AN598" s="1712"/>
      <c r="AO598" s="1712"/>
      <c r="AP598" s="1712"/>
      <c r="AQ598" s="1712"/>
      <c r="AR598" s="1712"/>
      <c r="AS598" s="1712"/>
      <c r="AT598" s="1712"/>
      <c r="AU598" s="1712"/>
    </row>
    <row r="599">
      <c r="A599" s="1474" t="s">
        <v>2461</v>
      </c>
      <c r="B599" s="1708"/>
      <c r="C599" s="1709"/>
      <c r="D599" s="1709"/>
      <c r="E599" s="1709"/>
      <c r="F599" s="1710"/>
      <c r="G599" s="1710"/>
      <c r="H599" s="1710"/>
      <c r="I599" s="1710"/>
      <c r="J599" s="1710"/>
      <c r="K599" s="1710"/>
      <c r="L599" s="1710"/>
      <c r="M599" s="1710"/>
      <c r="N599" s="1711"/>
      <c r="O599" s="1711"/>
      <c r="P599" s="1711"/>
      <c r="Q599" s="1711"/>
      <c r="R599" s="1711"/>
      <c r="S599" s="1711"/>
      <c r="T599" s="1711"/>
      <c r="U599" s="1711"/>
      <c r="V599" s="1711"/>
      <c r="W599" s="1711"/>
      <c r="X599" s="1711"/>
      <c r="Y599" s="1711"/>
      <c r="Z599" s="1711"/>
      <c r="AA599" s="1712"/>
      <c r="AB599" s="1712"/>
      <c r="AC599" s="1712"/>
      <c r="AD599" s="1712"/>
      <c r="AE599" s="1712"/>
      <c r="AF599" s="1712"/>
      <c r="AG599" s="1712"/>
      <c r="AH599" s="1712"/>
      <c r="AI599" s="1712"/>
      <c r="AJ599" s="1712"/>
      <c r="AK599" s="1712"/>
      <c r="AL599" s="1712"/>
      <c r="AM599" s="1712"/>
      <c r="AN599" s="1712"/>
      <c r="AO599" s="1712"/>
      <c r="AP599" s="1712"/>
      <c r="AQ599" s="1712"/>
      <c r="AR599" s="1712"/>
      <c r="AS599" s="1712"/>
      <c r="AT599" s="1712"/>
      <c r="AU599" s="1712"/>
    </row>
    <row r="600">
      <c r="A600" s="1474" t="s">
        <v>2461</v>
      </c>
      <c r="B600" s="1708"/>
      <c r="C600" s="1709"/>
      <c r="D600" s="1709"/>
      <c r="E600" s="1709"/>
      <c r="F600" s="1710"/>
      <c r="G600" s="1710"/>
      <c r="H600" s="1710"/>
      <c r="I600" s="1710"/>
      <c r="J600" s="1710"/>
      <c r="K600" s="1710"/>
      <c r="L600" s="1710"/>
      <c r="M600" s="1710"/>
      <c r="N600" s="1711"/>
      <c r="O600" s="1711"/>
      <c r="P600" s="1711"/>
      <c r="Q600" s="1711"/>
      <c r="R600" s="1711"/>
      <c r="S600" s="1711"/>
      <c r="T600" s="1711"/>
      <c r="U600" s="1711"/>
      <c r="V600" s="1711"/>
      <c r="W600" s="1711"/>
      <c r="X600" s="1711"/>
      <c r="Y600" s="1711"/>
      <c r="Z600" s="1711"/>
      <c r="AA600" s="1712"/>
      <c r="AB600" s="1712"/>
      <c r="AC600" s="1712"/>
      <c r="AD600" s="1712"/>
      <c r="AE600" s="1712"/>
      <c r="AF600" s="1712"/>
      <c r="AG600" s="1712"/>
      <c r="AH600" s="1712"/>
      <c r="AI600" s="1712"/>
      <c r="AJ600" s="1712"/>
      <c r="AK600" s="1712"/>
      <c r="AL600" s="1712"/>
      <c r="AM600" s="1712"/>
      <c r="AN600" s="1712"/>
      <c r="AO600" s="1712"/>
      <c r="AP600" s="1712"/>
      <c r="AQ600" s="1712"/>
      <c r="AR600" s="1712"/>
      <c r="AS600" s="1712"/>
      <c r="AT600" s="1712"/>
      <c r="AU600" s="1712"/>
    </row>
    <row r="601">
      <c r="A601" s="1474" t="s">
        <v>2461</v>
      </c>
      <c r="B601" s="1708"/>
      <c r="C601" s="1709"/>
      <c r="D601" s="1709"/>
      <c r="E601" s="1709"/>
      <c r="F601" s="1710"/>
      <c r="G601" s="1710"/>
      <c r="H601" s="1710"/>
      <c r="I601" s="1710"/>
      <c r="J601" s="1710"/>
      <c r="K601" s="1710"/>
      <c r="L601" s="1710"/>
      <c r="M601" s="1710"/>
      <c r="N601" s="1711"/>
      <c r="O601" s="1711"/>
      <c r="P601" s="1711"/>
      <c r="Q601" s="1711"/>
      <c r="R601" s="1711"/>
      <c r="S601" s="1711"/>
      <c r="T601" s="1711"/>
      <c r="U601" s="1711"/>
      <c r="V601" s="1711"/>
      <c r="W601" s="1711"/>
      <c r="X601" s="1711"/>
      <c r="Y601" s="1711"/>
      <c r="Z601" s="1711"/>
      <c r="AA601" s="1712"/>
      <c r="AB601" s="1712"/>
      <c r="AC601" s="1712"/>
      <c r="AD601" s="1712"/>
      <c r="AE601" s="1712"/>
      <c r="AF601" s="1712"/>
      <c r="AG601" s="1712"/>
      <c r="AH601" s="1712"/>
      <c r="AI601" s="1712"/>
      <c r="AJ601" s="1712"/>
      <c r="AK601" s="1712"/>
      <c r="AL601" s="1712"/>
      <c r="AM601" s="1712"/>
      <c r="AN601" s="1712"/>
      <c r="AO601" s="1712"/>
      <c r="AP601" s="1712"/>
      <c r="AQ601" s="1712"/>
      <c r="AR601" s="1712"/>
      <c r="AS601" s="1712"/>
      <c r="AT601" s="1712"/>
      <c r="AU601" s="1712"/>
    </row>
    <row r="602">
      <c r="A602" s="1474" t="s">
        <v>2461</v>
      </c>
      <c r="B602" s="1708"/>
      <c r="C602" s="1709"/>
      <c r="D602" s="1709"/>
      <c r="E602" s="1709"/>
      <c r="F602" s="1710"/>
      <c r="G602" s="1710"/>
      <c r="H602" s="1710"/>
      <c r="I602" s="1710"/>
      <c r="J602" s="1710"/>
      <c r="K602" s="1710"/>
      <c r="L602" s="1710"/>
      <c r="M602" s="1710"/>
      <c r="N602" s="1711"/>
      <c r="O602" s="1711"/>
      <c r="P602" s="1711"/>
      <c r="Q602" s="1711"/>
      <c r="R602" s="1711"/>
      <c r="S602" s="1711"/>
      <c r="T602" s="1711"/>
      <c r="U602" s="1711"/>
      <c r="V602" s="1711"/>
      <c r="W602" s="1711"/>
      <c r="X602" s="1711"/>
      <c r="Y602" s="1711"/>
      <c r="Z602" s="1711"/>
      <c r="AA602" s="1712"/>
      <c r="AB602" s="1712"/>
      <c r="AC602" s="1712"/>
      <c r="AD602" s="1712"/>
      <c r="AE602" s="1712"/>
      <c r="AF602" s="1712"/>
      <c r="AG602" s="1712"/>
      <c r="AH602" s="1712"/>
      <c r="AI602" s="1712"/>
      <c r="AJ602" s="1712"/>
      <c r="AK602" s="1712"/>
      <c r="AL602" s="1712"/>
      <c r="AM602" s="1712"/>
      <c r="AN602" s="1712"/>
      <c r="AO602" s="1712"/>
      <c r="AP602" s="1712"/>
      <c r="AQ602" s="1712"/>
      <c r="AR602" s="1712"/>
      <c r="AS602" s="1712"/>
      <c r="AT602" s="1712"/>
      <c r="AU602" s="1712"/>
    </row>
    <row r="603">
      <c r="A603" s="1474" t="s">
        <v>2461</v>
      </c>
      <c r="B603" s="1708"/>
      <c r="C603" s="1709"/>
      <c r="D603" s="1709"/>
      <c r="E603" s="1709"/>
      <c r="F603" s="1710"/>
      <c r="G603" s="1710"/>
      <c r="H603" s="1710"/>
      <c r="I603" s="1710"/>
      <c r="J603" s="1710"/>
      <c r="K603" s="1710"/>
      <c r="L603" s="1710"/>
      <c r="M603" s="1710"/>
      <c r="N603" s="1711"/>
      <c r="O603" s="1711"/>
      <c r="P603" s="1711"/>
      <c r="Q603" s="1711"/>
      <c r="R603" s="1711"/>
      <c r="S603" s="1711"/>
      <c r="T603" s="1711"/>
      <c r="U603" s="1711"/>
      <c r="V603" s="1711"/>
      <c r="W603" s="1711"/>
      <c r="X603" s="1711"/>
      <c r="Y603" s="1711"/>
      <c r="Z603" s="1711"/>
      <c r="AA603" s="1712"/>
      <c r="AB603" s="1712"/>
      <c r="AC603" s="1712"/>
      <c r="AD603" s="1712"/>
      <c r="AE603" s="1712"/>
      <c r="AF603" s="1712"/>
      <c r="AG603" s="1712"/>
      <c r="AH603" s="1712"/>
      <c r="AI603" s="1712"/>
      <c r="AJ603" s="1712"/>
      <c r="AK603" s="1712"/>
      <c r="AL603" s="1712"/>
      <c r="AM603" s="1712"/>
      <c r="AN603" s="1712"/>
      <c r="AO603" s="1712"/>
      <c r="AP603" s="1712"/>
      <c r="AQ603" s="1712"/>
      <c r="AR603" s="1712"/>
      <c r="AS603" s="1712"/>
      <c r="AT603" s="1712"/>
      <c r="AU603" s="1712"/>
    </row>
    <row r="604">
      <c r="A604" s="1474" t="s">
        <v>2461</v>
      </c>
      <c r="B604" s="1708"/>
      <c r="C604" s="1709"/>
      <c r="D604" s="1709"/>
      <c r="E604" s="1709"/>
      <c r="F604" s="1710"/>
      <c r="G604" s="1710"/>
      <c r="H604" s="1710"/>
      <c r="I604" s="1710"/>
      <c r="J604" s="1710"/>
      <c r="K604" s="1710"/>
      <c r="L604" s="1710"/>
      <c r="M604" s="1710"/>
      <c r="N604" s="1711"/>
      <c r="O604" s="1711"/>
      <c r="P604" s="1711"/>
      <c r="Q604" s="1711"/>
      <c r="R604" s="1711"/>
      <c r="S604" s="1711"/>
      <c r="T604" s="1711"/>
      <c r="U604" s="1711"/>
      <c r="V604" s="1711"/>
      <c r="W604" s="1711"/>
      <c r="X604" s="1711"/>
      <c r="Y604" s="1711"/>
      <c r="Z604" s="1711"/>
      <c r="AA604" s="1712"/>
      <c r="AB604" s="1712"/>
      <c r="AC604" s="1712"/>
      <c r="AD604" s="1712"/>
      <c r="AE604" s="1712"/>
      <c r="AF604" s="1712"/>
      <c r="AG604" s="1712"/>
      <c r="AH604" s="1712"/>
      <c r="AI604" s="1712"/>
      <c r="AJ604" s="1712"/>
      <c r="AK604" s="1712"/>
      <c r="AL604" s="1712"/>
      <c r="AM604" s="1712"/>
      <c r="AN604" s="1712"/>
      <c r="AO604" s="1712"/>
      <c r="AP604" s="1712"/>
      <c r="AQ604" s="1712"/>
      <c r="AR604" s="1712"/>
      <c r="AS604" s="1712"/>
      <c r="AT604" s="1712"/>
      <c r="AU604" s="1712"/>
    </row>
    <row r="605">
      <c r="A605" s="1474" t="s">
        <v>2461</v>
      </c>
      <c r="B605" s="1708"/>
      <c r="C605" s="1709"/>
      <c r="D605" s="1709"/>
      <c r="E605" s="1709"/>
      <c r="F605" s="1710"/>
      <c r="G605" s="1710"/>
      <c r="H605" s="1710"/>
      <c r="I605" s="1710"/>
      <c r="J605" s="1710"/>
      <c r="K605" s="1710"/>
      <c r="L605" s="1710"/>
      <c r="M605" s="1710"/>
      <c r="N605" s="1711"/>
      <c r="O605" s="1711"/>
      <c r="P605" s="1711"/>
      <c r="Q605" s="1711"/>
      <c r="R605" s="1711"/>
      <c r="S605" s="1711"/>
      <c r="T605" s="1711"/>
      <c r="U605" s="1711"/>
      <c r="V605" s="1711"/>
      <c r="W605" s="1711"/>
      <c r="X605" s="1711"/>
      <c r="Y605" s="1711"/>
      <c r="Z605" s="1711"/>
      <c r="AA605" s="1712"/>
      <c r="AB605" s="1712"/>
      <c r="AC605" s="1712"/>
      <c r="AD605" s="1712"/>
      <c r="AE605" s="1712"/>
      <c r="AF605" s="1712"/>
      <c r="AG605" s="1712"/>
      <c r="AH605" s="1712"/>
      <c r="AI605" s="1712"/>
      <c r="AJ605" s="1712"/>
      <c r="AK605" s="1712"/>
      <c r="AL605" s="1712"/>
      <c r="AM605" s="1712"/>
      <c r="AN605" s="1712"/>
      <c r="AO605" s="1712"/>
      <c r="AP605" s="1712"/>
      <c r="AQ605" s="1712"/>
      <c r="AR605" s="1712"/>
      <c r="AS605" s="1712"/>
      <c r="AT605" s="1712"/>
      <c r="AU605" s="1712"/>
    </row>
    <row r="606">
      <c r="A606" s="1474" t="s">
        <v>2461</v>
      </c>
      <c r="B606" s="1708"/>
      <c r="C606" s="1709"/>
      <c r="D606" s="1709"/>
      <c r="E606" s="1709"/>
      <c r="F606" s="1710"/>
      <c r="G606" s="1710"/>
      <c r="H606" s="1710"/>
      <c r="I606" s="1710"/>
      <c r="J606" s="1710"/>
      <c r="K606" s="1710"/>
      <c r="L606" s="1710"/>
      <c r="M606" s="1710"/>
      <c r="N606" s="1711"/>
      <c r="O606" s="1711"/>
      <c r="P606" s="1711"/>
      <c r="Q606" s="1711"/>
      <c r="R606" s="1711"/>
      <c r="S606" s="1711"/>
      <c r="T606" s="1711"/>
      <c r="U606" s="1711"/>
      <c r="V606" s="1711"/>
      <c r="W606" s="1711"/>
      <c r="X606" s="1711"/>
      <c r="Y606" s="1711"/>
      <c r="Z606" s="1711"/>
      <c r="AA606" s="1712"/>
      <c r="AB606" s="1712"/>
      <c r="AC606" s="1712"/>
      <c r="AD606" s="1712"/>
      <c r="AE606" s="1712"/>
      <c r="AF606" s="1712"/>
      <c r="AG606" s="1712"/>
      <c r="AH606" s="1712"/>
      <c r="AI606" s="1712"/>
      <c r="AJ606" s="1712"/>
      <c r="AK606" s="1712"/>
      <c r="AL606" s="1712"/>
      <c r="AM606" s="1712"/>
      <c r="AN606" s="1712"/>
      <c r="AO606" s="1712"/>
      <c r="AP606" s="1712"/>
      <c r="AQ606" s="1712"/>
      <c r="AR606" s="1712"/>
      <c r="AS606" s="1712"/>
      <c r="AT606" s="1712"/>
      <c r="AU606" s="1712"/>
    </row>
    <row r="607">
      <c r="A607" s="1474" t="s">
        <v>2461</v>
      </c>
      <c r="B607" s="1708"/>
      <c r="C607" s="1709"/>
      <c r="D607" s="1709"/>
      <c r="E607" s="1709"/>
      <c r="F607" s="1710"/>
      <c r="G607" s="1710"/>
      <c r="H607" s="1710"/>
      <c r="I607" s="1710"/>
      <c r="J607" s="1710"/>
      <c r="K607" s="1710"/>
      <c r="L607" s="1710"/>
      <c r="M607" s="1710"/>
      <c r="N607" s="1711"/>
      <c r="O607" s="1711"/>
      <c r="P607" s="1711"/>
      <c r="Q607" s="1711"/>
      <c r="R607" s="1711"/>
      <c r="S607" s="1711"/>
      <c r="T607" s="1711"/>
      <c r="U607" s="1711"/>
      <c r="V607" s="1711"/>
      <c r="W607" s="1711"/>
      <c r="X607" s="1711"/>
      <c r="Y607" s="1711"/>
      <c r="Z607" s="1711"/>
      <c r="AA607" s="1712"/>
      <c r="AB607" s="1712"/>
      <c r="AC607" s="1712"/>
      <c r="AD607" s="1712"/>
      <c r="AE607" s="1712"/>
      <c r="AF607" s="1712"/>
      <c r="AG607" s="1712"/>
      <c r="AH607" s="1712"/>
      <c r="AI607" s="1712"/>
      <c r="AJ607" s="1712"/>
      <c r="AK607" s="1712"/>
      <c r="AL607" s="1712"/>
      <c r="AM607" s="1712"/>
      <c r="AN607" s="1712"/>
      <c r="AO607" s="1712"/>
      <c r="AP607" s="1712"/>
      <c r="AQ607" s="1712"/>
      <c r="AR607" s="1712"/>
      <c r="AS607" s="1712"/>
      <c r="AT607" s="1712"/>
      <c r="AU607" s="1712"/>
    </row>
    <row r="608">
      <c r="A608" s="1474" t="s">
        <v>2461</v>
      </c>
      <c r="B608" s="1708"/>
      <c r="C608" s="1709"/>
      <c r="D608" s="1709"/>
      <c r="E608" s="1709"/>
      <c r="F608" s="1710"/>
      <c r="G608" s="1710"/>
      <c r="H608" s="1710"/>
      <c r="I608" s="1710"/>
      <c r="J608" s="1710"/>
      <c r="K608" s="1710"/>
      <c r="L608" s="1710"/>
      <c r="M608" s="1710"/>
      <c r="N608" s="1711"/>
      <c r="O608" s="1711"/>
      <c r="P608" s="1711"/>
      <c r="Q608" s="1711"/>
      <c r="R608" s="1711"/>
      <c r="S608" s="1711"/>
      <c r="T608" s="1711"/>
      <c r="U608" s="1711"/>
      <c r="V608" s="1711"/>
      <c r="W608" s="1711"/>
      <c r="X608" s="1711"/>
      <c r="Y608" s="1711"/>
      <c r="Z608" s="1711"/>
      <c r="AA608" s="1712"/>
      <c r="AB608" s="1712"/>
      <c r="AC608" s="1712"/>
      <c r="AD608" s="1712"/>
      <c r="AE608" s="1712"/>
      <c r="AF608" s="1712"/>
      <c r="AG608" s="1712"/>
      <c r="AH608" s="1712"/>
      <c r="AI608" s="1712"/>
      <c r="AJ608" s="1712"/>
      <c r="AK608" s="1712"/>
      <c r="AL608" s="1712"/>
      <c r="AM608" s="1712"/>
      <c r="AN608" s="1712"/>
      <c r="AO608" s="1712"/>
      <c r="AP608" s="1712"/>
      <c r="AQ608" s="1712"/>
      <c r="AR608" s="1712"/>
      <c r="AS608" s="1712"/>
      <c r="AT608" s="1712"/>
      <c r="AU608" s="1712"/>
    </row>
    <row r="609">
      <c r="A609" s="1474" t="s">
        <v>2461</v>
      </c>
      <c r="B609" s="1708"/>
      <c r="C609" s="1709"/>
      <c r="D609" s="1709"/>
      <c r="E609" s="1709"/>
      <c r="F609" s="1710"/>
      <c r="G609" s="1710"/>
      <c r="H609" s="1710"/>
      <c r="I609" s="1710"/>
      <c r="J609" s="1710"/>
      <c r="K609" s="1710"/>
      <c r="L609" s="1710"/>
      <c r="M609" s="1710"/>
      <c r="N609" s="1711"/>
      <c r="O609" s="1711"/>
      <c r="P609" s="1711"/>
      <c r="Q609" s="1711"/>
      <c r="R609" s="1711"/>
      <c r="S609" s="1711"/>
      <c r="T609" s="1711"/>
      <c r="U609" s="1711"/>
      <c r="V609" s="1711"/>
      <c r="W609" s="1711"/>
      <c r="X609" s="1711"/>
      <c r="Y609" s="1711"/>
      <c r="Z609" s="1711"/>
      <c r="AA609" s="1712"/>
      <c r="AB609" s="1712"/>
      <c r="AC609" s="1712"/>
      <c r="AD609" s="1712"/>
      <c r="AE609" s="1712"/>
      <c r="AF609" s="1712"/>
      <c r="AG609" s="1712"/>
      <c r="AH609" s="1712"/>
      <c r="AI609" s="1712"/>
      <c r="AJ609" s="1712"/>
      <c r="AK609" s="1712"/>
      <c r="AL609" s="1712"/>
      <c r="AM609" s="1712"/>
      <c r="AN609" s="1712"/>
      <c r="AO609" s="1712"/>
      <c r="AP609" s="1712"/>
      <c r="AQ609" s="1712"/>
      <c r="AR609" s="1712"/>
      <c r="AS609" s="1712"/>
      <c r="AT609" s="1712"/>
      <c r="AU609" s="1712"/>
    </row>
    <row r="610">
      <c r="A610" s="1474" t="s">
        <v>2461</v>
      </c>
      <c r="B610" s="1708"/>
      <c r="C610" s="1709"/>
      <c r="D610" s="1709"/>
      <c r="E610" s="1709"/>
      <c r="F610" s="1710"/>
      <c r="G610" s="1710"/>
      <c r="H610" s="1710"/>
      <c r="I610" s="1710"/>
      <c r="J610" s="1710"/>
      <c r="K610" s="1710"/>
      <c r="L610" s="1710"/>
      <c r="M610" s="1710"/>
      <c r="N610" s="1711"/>
      <c r="O610" s="1711"/>
      <c r="P610" s="1711"/>
      <c r="Q610" s="1711"/>
      <c r="R610" s="1711"/>
      <c r="S610" s="1711"/>
      <c r="T610" s="1711"/>
      <c r="U610" s="1711"/>
      <c r="V610" s="1711"/>
      <c r="W610" s="1711"/>
      <c r="X610" s="1711"/>
      <c r="Y610" s="1711"/>
      <c r="Z610" s="1711"/>
      <c r="AA610" s="1712"/>
      <c r="AB610" s="1712"/>
      <c r="AC610" s="1712"/>
      <c r="AD610" s="1712"/>
      <c r="AE610" s="1712"/>
      <c r="AF610" s="1712"/>
      <c r="AG610" s="1712"/>
      <c r="AH610" s="1712"/>
      <c r="AI610" s="1712"/>
      <c r="AJ610" s="1712"/>
      <c r="AK610" s="1712"/>
      <c r="AL610" s="1712"/>
      <c r="AM610" s="1712"/>
      <c r="AN610" s="1712"/>
      <c r="AO610" s="1712"/>
      <c r="AP610" s="1712"/>
      <c r="AQ610" s="1712"/>
      <c r="AR610" s="1712"/>
      <c r="AS610" s="1712"/>
      <c r="AT610" s="1712"/>
      <c r="AU610" s="1712"/>
    </row>
    <row r="611">
      <c r="A611" s="1474" t="s">
        <v>2461</v>
      </c>
      <c r="B611" s="1708"/>
      <c r="C611" s="1709"/>
      <c r="D611" s="1709"/>
      <c r="E611" s="1709"/>
      <c r="F611" s="1710"/>
      <c r="G611" s="1710"/>
      <c r="H611" s="1710"/>
      <c r="I611" s="1710"/>
      <c r="J611" s="1710"/>
      <c r="K611" s="1710"/>
      <c r="L611" s="1710"/>
      <c r="M611" s="1710"/>
      <c r="N611" s="1711"/>
      <c r="O611" s="1711"/>
      <c r="P611" s="1711"/>
      <c r="Q611" s="1711"/>
      <c r="R611" s="1711"/>
      <c r="S611" s="1711"/>
      <c r="T611" s="1711"/>
      <c r="U611" s="1711"/>
      <c r="V611" s="1711"/>
      <c r="W611" s="1711"/>
      <c r="X611" s="1711"/>
      <c r="Y611" s="1711"/>
      <c r="Z611" s="1711"/>
      <c r="AA611" s="1712"/>
      <c r="AB611" s="1712"/>
      <c r="AC611" s="1712"/>
      <c r="AD611" s="1712"/>
      <c r="AE611" s="1712"/>
      <c r="AF611" s="1712"/>
      <c r="AG611" s="1712"/>
      <c r="AH611" s="1712"/>
      <c r="AI611" s="1712"/>
      <c r="AJ611" s="1712"/>
      <c r="AK611" s="1712"/>
      <c r="AL611" s="1712"/>
      <c r="AM611" s="1712"/>
      <c r="AN611" s="1712"/>
      <c r="AO611" s="1712"/>
      <c r="AP611" s="1712"/>
      <c r="AQ611" s="1712"/>
      <c r="AR611" s="1712"/>
      <c r="AS611" s="1712"/>
      <c r="AT611" s="1712"/>
      <c r="AU611" s="1712"/>
    </row>
    <row r="612">
      <c r="A612" s="1474" t="s">
        <v>2461</v>
      </c>
      <c r="B612" s="1708"/>
      <c r="C612" s="1709"/>
      <c r="D612" s="1709"/>
      <c r="E612" s="1709"/>
      <c r="F612" s="1710"/>
      <c r="G612" s="1710"/>
      <c r="H612" s="1710"/>
      <c r="I612" s="1710"/>
      <c r="J612" s="1710"/>
      <c r="K612" s="1710"/>
      <c r="L612" s="1710"/>
      <c r="M612" s="1710"/>
      <c r="N612" s="1711"/>
      <c r="O612" s="1711"/>
      <c r="P612" s="1711"/>
      <c r="Q612" s="1711"/>
      <c r="R612" s="1711"/>
      <c r="S612" s="1711"/>
      <c r="T612" s="1711"/>
      <c r="U612" s="1711"/>
      <c r="V612" s="1711"/>
      <c r="W612" s="1711"/>
      <c r="X612" s="1711"/>
      <c r="Y612" s="1711"/>
      <c r="Z612" s="1711"/>
      <c r="AA612" s="1712"/>
      <c r="AB612" s="1712"/>
      <c r="AC612" s="1712"/>
      <c r="AD612" s="1712"/>
      <c r="AE612" s="1712"/>
      <c r="AF612" s="1712"/>
      <c r="AG612" s="1712"/>
      <c r="AH612" s="1712"/>
      <c r="AI612" s="1712"/>
      <c r="AJ612" s="1712"/>
      <c r="AK612" s="1712"/>
      <c r="AL612" s="1712"/>
      <c r="AM612" s="1712"/>
      <c r="AN612" s="1712"/>
      <c r="AO612" s="1712"/>
      <c r="AP612" s="1712"/>
      <c r="AQ612" s="1712"/>
      <c r="AR612" s="1712"/>
      <c r="AS612" s="1712"/>
      <c r="AT612" s="1712"/>
      <c r="AU612" s="1712"/>
    </row>
    <row r="613">
      <c r="A613" s="1474" t="s">
        <v>2461</v>
      </c>
      <c r="B613" s="1708"/>
      <c r="C613" s="1709"/>
      <c r="D613" s="1709"/>
      <c r="E613" s="1709"/>
      <c r="F613" s="1710"/>
      <c r="G613" s="1710"/>
      <c r="H613" s="1710"/>
      <c r="I613" s="1710"/>
      <c r="J613" s="1710"/>
      <c r="K613" s="1710"/>
      <c r="L613" s="1710"/>
      <c r="M613" s="1710"/>
      <c r="N613" s="1711"/>
      <c r="O613" s="1711"/>
      <c r="P613" s="1711"/>
      <c r="Q613" s="1711"/>
      <c r="R613" s="1711"/>
      <c r="S613" s="1711"/>
      <c r="T613" s="1711"/>
      <c r="U613" s="1711"/>
      <c r="V613" s="1711"/>
      <c r="W613" s="1711"/>
      <c r="X613" s="1711"/>
      <c r="Y613" s="1711"/>
      <c r="Z613" s="1711"/>
      <c r="AA613" s="1712"/>
      <c r="AB613" s="1712"/>
      <c r="AC613" s="1712"/>
      <c r="AD613" s="1712"/>
      <c r="AE613" s="1712"/>
      <c r="AF613" s="1712"/>
      <c r="AG613" s="1712"/>
      <c r="AH613" s="1712"/>
      <c r="AI613" s="1712"/>
      <c r="AJ613" s="1712"/>
      <c r="AK613" s="1712"/>
      <c r="AL613" s="1712"/>
      <c r="AM613" s="1712"/>
      <c r="AN613" s="1712"/>
      <c r="AO613" s="1712"/>
      <c r="AP613" s="1712"/>
      <c r="AQ613" s="1712"/>
      <c r="AR613" s="1712"/>
      <c r="AS613" s="1712"/>
      <c r="AT613" s="1712"/>
      <c r="AU613" s="1712"/>
    </row>
    <row r="614">
      <c r="A614" s="1474" t="s">
        <v>2461</v>
      </c>
      <c r="B614" s="1708"/>
      <c r="C614" s="1709"/>
      <c r="D614" s="1709"/>
      <c r="E614" s="1709"/>
      <c r="F614" s="1710"/>
      <c r="G614" s="1710"/>
      <c r="H614" s="1710"/>
      <c r="I614" s="1710"/>
      <c r="J614" s="1710"/>
      <c r="K614" s="1710"/>
      <c r="L614" s="1710"/>
      <c r="M614" s="1710"/>
      <c r="N614" s="1711"/>
      <c r="O614" s="1711"/>
      <c r="P614" s="1711"/>
      <c r="Q614" s="1711"/>
      <c r="R614" s="1711"/>
      <c r="S614" s="1711"/>
      <c r="T614" s="1711"/>
      <c r="U614" s="1711"/>
      <c r="V614" s="1711"/>
      <c r="W614" s="1711"/>
      <c r="X614" s="1711"/>
      <c r="Y614" s="1711"/>
      <c r="Z614" s="1711"/>
      <c r="AA614" s="1712"/>
      <c r="AB614" s="1712"/>
      <c r="AC614" s="1712"/>
      <c r="AD614" s="1712"/>
      <c r="AE614" s="1712"/>
      <c r="AF614" s="1712"/>
      <c r="AG614" s="1712"/>
      <c r="AH614" s="1712"/>
      <c r="AI614" s="1712"/>
      <c r="AJ614" s="1712"/>
      <c r="AK614" s="1712"/>
      <c r="AL614" s="1712"/>
      <c r="AM614" s="1712"/>
      <c r="AN614" s="1712"/>
      <c r="AO614" s="1712"/>
      <c r="AP614" s="1712"/>
      <c r="AQ614" s="1712"/>
      <c r="AR614" s="1712"/>
      <c r="AS614" s="1712"/>
      <c r="AT614" s="1712"/>
      <c r="AU614" s="1712"/>
    </row>
    <row r="615">
      <c r="A615" s="1474" t="s">
        <v>2461</v>
      </c>
      <c r="B615" s="1708"/>
      <c r="C615" s="1709"/>
      <c r="D615" s="1709"/>
      <c r="E615" s="1709"/>
      <c r="F615" s="1710"/>
      <c r="G615" s="1710"/>
      <c r="H615" s="1710"/>
      <c r="I615" s="1710"/>
      <c r="J615" s="1710"/>
      <c r="K615" s="1710"/>
      <c r="L615" s="1710"/>
      <c r="M615" s="1710"/>
      <c r="N615" s="1711"/>
      <c r="O615" s="1711"/>
      <c r="P615" s="1711"/>
      <c r="Q615" s="1711"/>
      <c r="R615" s="1711"/>
      <c r="S615" s="1711"/>
      <c r="T615" s="1711"/>
      <c r="U615" s="1711"/>
      <c r="V615" s="1711"/>
      <c r="W615" s="1711"/>
      <c r="X615" s="1711"/>
      <c r="Y615" s="1711"/>
      <c r="Z615" s="1711"/>
      <c r="AA615" s="1712"/>
      <c r="AB615" s="1712"/>
      <c r="AC615" s="1712"/>
      <c r="AD615" s="1712"/>
      <c r="AE615" s="1712"/>
      <c r="AF615" s="1712"/>
      <c r="AG615" s="1712"/>
      <c r="AH615" s="1712"/>
      <c r="AI615" s="1712"/>
      <c r="AJ615" s="1712"/>
      <c r="AK615" s="1712"/>
      <c r="AL615" s="1712"/>
      <c r="AM615" s="1712"/>
      <c r="AN615" s="1712"/>
      <c r="AO615" s="1712"/>
      <c r="AP615" s="1712"/>
      <c r="AQ615" s="1712"/>
      <c r="AR615" s="1712"/>
      <c r="AS615" s="1712"/>
      <c r="AT615" s="1712"/>
      <c r="AU615" s="1712"/>
    </row>
    <row r="616">
      <c r="A616" s="1474" t="s">
        <v>2461</v>
      </c>
      <c r="B616" s="1708"/>
      <c r="C616" s="1709"/>
      <c r="D616" s="1709"/>
      <c r="E616" s="1709"/>
      <c r="F616" s="1710"/>
      <c r="G616" s="1710"/>
      <c r="H616" s="1710"/>
      <c r="I616" s="1710"/>
      <c r="J616" s="1710"/>
      <c r="K616" s="1710"/>
      <c r="L616" s="1710"/>
      <c r="M616" s="1710"/>
      <c r="N616" s="1711"/>
      <c r="O616" s="1711"/>
      <c r="P616" s="1711"/>
      <c r="Q616" s="1711"/>
      <c r="R616" s="1711"/>
      <c r="S616" s="1711"/>
      <c r="T616" s="1711"/>
      <c r="U616" s="1711"/>
      <c r="V616" s="1711"/>
      <c r="W616" s="1711"/>
      <c r="X616" s="1711"/>
      <c r="Y616" s="1711"/>
      <c r="Z616" s="1711"/>
      <c r="AA616" s="1712"/>
      <c r="AB616" s="1712"/>
      <c r="AC616" s="1712"/>
      <c r="AD616" s="1712"/>
      <c r="AE616" s="1712"/>
      <c r="AF616" s="1712"/>
      <c r="AG616" s="1712"/>
      <c r="AH616" s="1712"/>
      <c r="AI616" s="1712"/>
      <c r="AJ616" s="1712"/>
      <c r="AK616" s="1712"/>
      <c r="AL616" s="1712"/>
      <c r="AM616" s="1712"/>
      <c r="AN616" s="1712"/>
      <c r="AO616" s="1712"/>
      <c r="AP616" s="1712"/>
      <c r="AQ616" s="1712"/>
      <c r="AR616" s="1712"/>
      <c r="AS616" s="1712"/>
      <c r="AT616" s="1712"/>
      <c r="AU616" s="1712"/>
    </row>
    <row r="617">
      <c r="A617" s="1474" t="s">
        <v>2461</v>
      </c>
      <c r="B617" s="1708"/>
      <c r="C617" s="1709"/>
      <c r="D617" s="1709"/>
      <c r="E617" s="1709"/>
      <c r="F617" s="1710"/>
      <c r="G617" s="1710"/>
      <c r="H617" s="1710"/>
      <c r="I617" s="1710"/>
      <c r="J617" s="1710"/>
      <c r="K617" s="1710"/>
      <c r="L617" s="1710"/>
      <c r="M617" s="1710"/>
      <c r="N617" s="1711"/>
      <c r="O617" s="1711"/>
      <c r="P617" s="1711"/>
      <c r="Q617" s="1711"/>
      <c r="R617" s="1711"/>
      <c r="S617" s="1711"/>
      <c r="T617" s="1711"/>
      <c r="U617" s="1711"/>
      <c r="V617" s="1711"/>
      <c r="W617" s="1711"/>
      <c r="X617" s="1711"/>
      <c r="Y617" s="1711"/>
      <c r="Z617" s="1711"/>
      <c r="AA617" s="1712"/>
      <c r="AB617" s="1712"/>
      <c r="AC617" s="1712"/>
      <c r="AD617" s="1712"/>
      <c r="AE617" s="1712"/>
      <c r="AF617" s="1712"/>
      <c r="AG617" s="1712"/>
      <c r="AH617" s="1712"/>
      <c r="AI617" s="1712"/>
      <c r="AJ617" s="1712"/>
      <c r="AK617" s="1712"/>
      <c r="AL617" s="1712"/>
      <c r="AM617" s="1712"/>
      <c r="AN617" s="1712"/>
      <c r="AO617" s="1712"/>
      <c r="AP617" s="1712"/>
      <c r="AQ617" s="1712"/>
      <c r="AR617" s="1712"/>
      <c r="AS617" s="1712"/>
      <c r="AT617" s="1712"/>
      <c r="AU617" s="1712"/>
    </row>
    <row r="618">
      <c r="A618" s="1474" t="s">
        <v>2461</v>
      </c>
      <c r="B618" s="1708"/>
      <c r="C618" s="1709"/>
      <c r="D618" s="1709"/>
      <c r="E618" s="1709"/>
      <c r="F618" s="1710"/>
      <c r="G618" s="1710"/>
      <c r="H618" s="1710"/>
      <c r="I618" s="1710"/>
      <c r="J618" s="1710"/>
      <c r="K618" s="1710"/>
      <c r="L618" s="1710"/>
      <c r="M618" s="1710"/>
      <c r="N618" s="1711"/>
      <c r="O618" s="1711"/>
      <c r="P618" s="1711"/>
      <c r="Q618" s="1711"/>
      <c r="R618" s="1711"/>
      <c r="S618" s="1711"/>
      <c r="T618" s="1711"/>
      <c r="U618" s="1711"/>
      <c r="V618" s="1711"/>
      <c r="W618" s="1711"/>
      <c r="X618" s="1711"/>
      <c r="Y618" s="1711"/>
      <c r="Z618" s="1711"/>
      <c r="AA618" s="1712"/>
      <c r="AB618" s="1712"/>
      <c r="AC618" s="1712"/>
      <c r="AD618" s="1712"/>
      <c r="AE618" s="1712"/>
      <c r="AF618" s="1712"/>
      <c r="AG618" s="1712"/>
      <c r="AH618" s="1712"/>
      <c r="AI618" s="1712"/>
      <c r="AJ618" s="1712"/>
      <c r="AK618" s="1712"/>
      <c r="AL618" s="1712"/>
      <c r="AM618" s="1712"/>
      <c r="AN618" s="1712"/>
      <c r="AO618" s="1712"/>
      <c r="AP618" s="1712"/>
      <c r="AQ618" s="1712"/>
      <c r="AR618" s="1712"/>
      <c r="AS618" s="1712"/>
      <c r="AT618" s="1712"/>
      <c r="AU618" s="1712"/>
    </row>
    <row r="619">
      <c r="A619" s="1474" t="s">
        <v>2461</v>
      </c>
      <c r="B619" s="1708"/>
      <c r="C619" s="1709"/>
      <c r="D619" s="1709"/>
      <c r="E619" s="1709"/>
      <c r="F619" s="1710"/>
      <c r="G619" s="1710"/>
      <c r="H619" s="1710"/>
      <c r="I619" s="1710"/>
      <c r="J619" s="1710"/>
      <c r="K619" s="1710"/>
      <c r="L619" s="1710"/>
      <c r="M619" s="1710"/>
      <c r="N619" s="1711"/>
      <c r="O619" s="1711"/>
      <c r="P619" s="1711"/>
      <c r="Q619" s="1711"/>
      <c r="R619" s="1711"/>
      <c r="S619" s="1711"/>
      <c r="T619" s="1711"/>
      <c r="U619" s="1711"/>
      <c r="V619" s="1711"/>
      <c r="W619" s="1711"/>
      <c r="X619" s="1711"/>
      <c r="Y619" s="1711"/>
      <c r="Z619" s="1711"/>
      <c r="AA619" s="1712"/>
      <c r="AB619" s="1712"/>
      <c r="AC619" s="1712"/>
      <c r="AD619" s="1712"/>
      <c r="AE619" s="1712"/>
      <c r="AF619" s="1712"/>
      <c r="AG619" s="1712"/>
      <c r="AH619" s="1712"/>
      <c r="AI619" s="1712"/>
      <c r="AJ619" s="1712"/>
      <c r="AK619" s="1712"/>
      <c r="AL619" s="1712"/>
      <c r="AM619" s="1712"/>
      <c r="AN619" s="1712"/>
      <c r="AO619" s="1712"/>
      <c r="AP619" s="1712"/>
      <c r="AQ619" s="1712"/>
      <c r="AR619" s="1712"/>
      <c r="AS619" s="1712"/>
      <c r="AT619" s="1712"/>
      <c r="AU619" s="1712"/>
    </row>
    <row r="620">
      <c r="A620" s="1474" t="s">
        <v>2461</v>
      </c>
      <c r="B620" s="1708"/>
      <c r="C620" s="1709"/>
      <c r="D620" s="1709"/>
      <c r="E620" s="1709"/>
      <c r="F620" s="1710"/>
      <c r="G620" s="1710"/>
      <c r="H620" s="1710"/>
      <c r="I620" s="1710"/>
      <c r="J620" s="1710"/>
      <c r="K620" s="1710"/>
      <c r="L620" s="1710"/>
      <c r="M620" s="1710"/>
      <c r="N620" s="1711"/>
      <c r="O620" s="1711"/>
      <c r="P620" s="1711"/>
      <c r="Q620" s="1711"/>
      <c r="R620" s="1711"/>
      <c r="S620" s="1711"/>
      <c r="T620" s="1711"/>
      <c r="U620" s="1711"/>
      <c r="V620" s="1711"/>
      <c r="W620" s="1711"/>
      <c r="X620" s="1711"/>
      <c r="Y620" s="1711"/>
      <c r="Z620" s="1711"/>
      <c r="AA620" s="1712"/>
      <c r="AB620" s="1712"/>
      <c r="AC620" s="1712"/>
      <c r="AD620" s="1712"/>
      <c r="AE620" s="1712"/>
      <c r="AF620" s="1712"/>
      <c r="AG620" s="1712"/>
      <c r="AH620" s="1712"/>
      <c r="AI620" s="1712"/>
      <c r="AJ620" s="1712"/>
      <c r="AK620" s="1712"/>
      <c r="AL620" s="1712"/>
      <c r="AM620" s="1712"/>
      <c r="AN620" s="1712"/>
      <c r="AO620" s="1712"/>
      <c r="AP620" s="1712"/>
      <c r="AQ620" s="1712"/>
      <c r="AR620" s="1712"/>
      <c r="AS620" s="1712"/>
      <c r="AT620" s="1712"/>
      <c r="AU620" s="1712"/>
    </row>
    <row r="621">
      <c r="A621" s="1474" t="s">
        <v>2461</v>
      </c>
      <c r="B621" s="1708"/>
      <c r="C621" s="1709"/>
      <c r="D621" s="1709"/>
      <c r="E621" s="1709"/>
      <c r="F621" s="1710"/>
      <c r="G621" s="1710"/>
      <c r="H621" s="1710"/>
      <c r="I621" s="1710"/>
      <c r="J621" s="1710"/>
      <c r="K621" s="1710"/>
      <c r="L621" s="1710"/>
      <c r="M621" s="1710"/>
      <c r="N621" s="1711"/>
      <c r="O621" s="1711"/>
      <c r="P621" s="1711"/>
      <c r="Q621" s="1711"/>
      <c r="R621" s="1711"/>
      <c r="S621" s="1711"/>
      <c r="T621" s="1711"/>
      <c r="U621" s="1711"/>
      <c r="V621" s="1711"/>
      <c r="W621" s="1711"/>
      <c r="X621" s="1711"/>
      <c r="Y621" s="1711"/>
      <c r="Z621" s="1711"/>
      <c r="AA621" s="1712"/>
      <c r="AB621" s="1712"/>
      <c r="AC621" s="1712"/>
      <c r="AD621" s="1712"/>
      <c r="AE621" s="1712"/>
      <c r="AF621" s="1712"/>
      <c r="AG621" s="1712"/>
      <c r="AH621" s="1712"/>
      <c r="AI621" s="1712"/>
      <c r="AJ621" s="1712"/>
      <c r="AK621" s="1712"/>
      <c r="AL621" s="1712"/>
      <c r="AM621" s="1712"/>
      <c r="AN621" s="1712"/>
      <c r="AO621" s="1712"/>
      <c r="AP621" s="1712"/>
      <c r="AQ621" s="1712"/>
      <c r="AR621" s="1712"/>
      <c r="AS621" s="1712"/>
      <c r="AT621" s="1712"/>
      <c r="AU621" s="1712"/>
    </row>
    <row r="622">
      <c r="A622" s="1474" t="s">
        <v>2461</v>
      </c>
      <c r="B622" s="1708"/>
      <c r="C622" s="1709"/>
      <c r="D622" s="1709"/>
      <c r="E622" s="1709"/>
      <c r="F622" s="1710"/>
      <c r="G622" s="1710"/>
      <c r="H622" s="1710"/>
      <c r="I622" s="1710"/>
      <c r="J622" s="1710"/>
      <c r="K622" s="1710"/>
      <c r="L622" s="1710"/>
      <c r="M622" s="1710"/>
      <c r="N622" s="1711"/>
      <c r="O622" s="1711"/>
      <c r="P622" s="1711"/>
      <c r="Q622" s="1711"/>
      <c r="R622" s="1711"/>
      <c r="S622" s="1711"/>
      <c r="T622" s="1711"/>
      <c r="U622" s="1711"/>
      <c r="V622" s="1711"/>
      <c r="W622" s="1711"/>
      <c r="X622" s="1711"/>
      <c r="Y622" s="1711"/>
      <c r="Z622" s="1711"/>
      <c r="AA622" s="1712"/>
      <c r="AB622" s="1712"/>
      <c r="AC622" s="1712"/>
      <c r="AD622" s="1712"/>
      <c r="AE622" s="1712"/>
      <c r="AF622" s="1712"/>
      <c r="AG622" s="1712"/>
      <c r="AH622" s="1712"/>
      <c r="AI622" s="1712"/>
      <c r="AJ622" s="1712"/>
      <c r="AK622" s="1712"/>
      <c r="AL622" s="1712"/>
      <c r="AM622" s="1712"/>
      <c r="AN622" s="1712"/>
      <c r="AO622" s="1712"/>
      <c r="AP622" s="1712"/>
      <c r="AQ622" s="1712"/>
      <c r="AR622" s="1712"/>
      <c r="AS622" s="1712"/>
      <c r="AT622" s="1712"/>
      <c r="AU622" s="1712"/>
    </row>
    <row r="623">
      <c r="A623" s="1474" t="s">
        <v>2461</v>
      </c>
      <c r="B623" s="1708"/>
      <c r="C623" s="1709"/>
      <c r="D623" s="1709"/>
      <c r="E623" s="1709"/>
      <c r="F623" s="1710"/>
      <c r="G623" s="1710"/>
      <c r="H623" s="1710"/>
      <c r="I623" s="1710"/>
      <c r="J623" s="1710"/>
      <c r="K623" s="1710"/>
      <c r="L623" s="1710"/>
      <c r="M623" s="1710"/>
      <c r="N623" s="1711"/>
      <c r="O623" s="1711"/>
      <c r="P623" s="1711"/>
      <c r="Q623" s="1711"/>
      <c r="R623" s="1711"/>
      <c r="S623" s="1711"/>
      <c r="T623" s="1711"/>
      <c r="U623" s="1711"/>
      <c r="V623" s="1711"/>
      <c r="W623" s="1711"/>
      <c r="X623" s="1711"/>
      <c r="Y623" s="1711"/>
      <c r="Z623" s="1711"/>
      <c r="AA623" s="1712"/>
      <c r="AB623" s="1712"/>
      <c r="AC623" s="1712"/>
      <c r="AD623" s="1712"/>
      <c r="AE623" s="1712"/>
      <c r="AF623" s="1712"/>
      <c r="AG623" s="1712"/>
      <c r="AH623" s="1712"/>
      <c r="AI623" s="1712"/>
      <c r="AJ623" s="1712"/>
      <c r="AK623" s="1712"/>
      <c r="AL623" s="1712"/>
      <c r="AM623" s="1712"/>
      <c r="AN623" s="1712"/>
      <c r="AO623" s="1712"/>
      <c r="AP623" s="1712"/>
      <c r="AQ623" s="1712"/>
      <c r="AR623" s="1712"/>
      <c r="AS623" s="1712"/>
      <c r="AT623" s="1712"/>
      <c r="AU623" s="1712"/>
    </row>
    <row r="624">
      <c r="A624" s="1474" t="s">
        <v>2461</v>
      </c>
      <c r="B624" s="1708"/>
      <c r="C624" s="1709"/>
      <c r="D624" s="1709"/>
      <c r="E624" s="1709"/>
      <c r="F624" s="1710"/>
      <c r="G624" s="1710"/>
      <c r="H624" s="1710"/>
      <c r="I624" s="1710"/>
      <c r="J624" s="1710"/>
      <c r="K624" s="1710"/>
      <c r="L624" s="1710"/>
      <c r="M624" s="1710"/>
      <c r="N624" s="1711"/>
      <c r="O624" s="1711"/>
      <c r="P624" s="1711"/>
      <c r="Q624" s="1711"/>
      <c r="R624" s="1711"/>
      <c r="S624" s="1711"/>
      <c r="T624" s="1711"/>
      <c r="U624" s="1711"/>
      <c r="V624" s="1711"/>
      <c r="W624" s="1711"/>
      <c r="X624" s="1711"/>
      <c r="Y624" s="1711"/>
      <c r="Z624" s="1711"/>
      <c r="AA624" s="1712"/>
      <c r="AB624" s="1712"/>
      <c r="AC624" s="1712"/>
      <c r="AD624" s="1712"/>
      <c r="AE624" s="1712"/>
      <c r="AF624" s="1712"/>
      <c r="AG624" s="1712"/>
      <c r="AH624" s="1712"/>
      <c r="AI624" s="1712"/>
      <c r="AJ624" s="1712"/>
      <c r="AK624" s="1712"/>
      <c r="AL624" s="1712"/>
      <c r="AM624" s="1712"/>
      <c r="AN624" s="1712"/>
      <c r="AO624" s="1712"/>
      <c r="AP624" s="1712"/>
      <c r="AQ624" s="1712"/>
      <c r="AR624" s="1712"/>
      <c r="AS624" s="1712"/>
      <c r="AT624" s="1712"/>
      <c r="AU624" s="1712"/>
    </row>
    <row r="625">
      <c r="A625" s="1474" t="s">
        <v>2461</v>
      </c>
      <c r="B625" s="1708"/>
      <c r="C625" s="1709"/>
      <c r="D625" s="1709"/>
      <c r="E625" s="1709"/>
      <c r="F625" s="1710"/>
      <c r="G625" s="1710"/>
      <c r="H625" s="1710"/>
      <c r="I625" s="1710"/>
      <c r="J625" s="1710"/>
      <c r="K625" s="1710"/>
      <c r="L625" s="1710"/>
      <c r="M625" s="1710"/>
      <c r="N625" s="1711"/>
      <c r="O625" s="1711"/>
      <c r="P625" s="1711"/>
      <c r="Q625" s="1711"/>
      <c r="R625" s="1711"/>
      <c r="S625" s="1711"/>
      <c r="T625" s="1711"/>
      <c r="U625" s="1711"/>
      <c r="V625" s="1711"/>
      <c r="W625" s="1711"/>
      <c r="X625" s="1711"/>
      <c r="Y625" s="1711"/>
      <c r="Z625" s="1711"/>
      <c r="AA625" s="1712"/>
      <c r="AB625" s="1712"/>
      <c r="AC625" s="1712"/>
      <c r="AD625" s="1712"/>
      <c r="AE625" s="1712"/>
      <c r="AF625" s="1712"/>
      <c r="AG625" s="1712"/>
      <c r="AH625" s="1712"/>
      <c r="AI625" s="1712"/>
      <c r="AJ625" s="1712"/>
      <c r="AK625" s="1712"/>
      <c r="AL625" s="1712"/>
      <c r="AM625" s="1712"/>
      <c r="AN625" s="1712"/>
      <c r="AO625" s="1712"/>
      <c r="AP625" s="1712"/>
      <c r="AQ625" s="1712"/>
      <c r="AR625" s="1712"/>
      <c r="AS625" s="1712"/>
      <c r="AT625" s="1712"/>
      <c r="AU625" s="1712"/>
    </row>
    <row r="626">
      <c r="A626" s="1474" t="s">
        <v>2461</v>
      </c>
      <c r="B626" s="1708"/>
      <c r="C626" s="1709"/>
      <c r="D626" s="1709"/>
      <c r="E626" s="1709"/>
      <c r="F626" s="1710"/>
      <c r="G626" s="1710"/>
      <c r="H626" s="1710"/>
      <c r="I626" s="1710"/>
      <c r="J626" s="1710"/>
      <c r="K626" s="1710"/>
      <c r="L626" s="1710"/>
      <c r="M626" s="1710"/>
      <c r="N626" s="1711"/>
      <c r="O626" s="1711"/>
      <c r="P626" s="1711"/>
      <c r="Q626" s="1711"/>
      <c r="R626" s="1711"/>
      <c r="S626" s="1711"/>
      <c r="T626" s="1711"/>
      <c r="U626" s="1711"/>
      <c r="V626" s="1711"/>
      <c r="W626" s="1711"/>
      <c r="X626" s="1711"/>
      <c r="Y626" s="1711"/>
      <c r="Z626" s="1711"/>
      <c r="AA626" s="1712"/>
      <c r="AB626" s="1712"/>
      <c r="AC626" s="1712"/>
      <c r="AD626" s="1712"/>
      <c r="AE626" s="1712"/>
      <c r="AF626" s="1712"/>
      <c r="AG626" s="1712"/>
      <c r="AH626" s="1712"/>
      <c r="AI626" s="1712"/>
      <c r="AJ626" s="1712"/>
      <c r="AK626" s="1712"/>
      <c r="AL626" s="1712"/>
      <c r="AM626" s="1712"/>
      <c r="AN626" s="1712"/>
      <c r="AO626" s="1712"/>
      <c r="AP626" s="1712"/>
      <c r="AQ626" s="1712"/>
      <c r="AR626" s="1712"/>
      <c r="AS626" s="1712"/>
      <c r="AT626" s="1712"/>
      <c r="AU626" s="1712"/>
    </row>
    <row r="627">
      <c r="A627" s="1474" t="s">
        <v>2461</v>
      </c>
      <c r="B627" s="1708"/>
      <c r="C627" s="1709"/>
      <c r="D627" s="1709"/>
      <c r="E627" s="1709"/>
      <c r="F627" s="1710"/>
      <c r="G627" s="1710"/>
      <c r="H627" s="1710"/>
      <c r="I627" s="1710"/>
      <c r="J627" s="1710"/>
      <c r="K627" s="1710"/>
      <c r="L627" s="1710"/>
      <c r="M627" s="1710"/>
      <c r="N627" s="1711"/>
      <c r="O627" s="1711"/>
      <c r="P627" s="1711"/>
      <c r="Q627" s="1711"/>
      <c r="R627" s="1711"/>
      <c r="S627" s="1711"/>
      <c r="T627" s="1711"/>
      <c r="U627" s="1711"/>
      <c r="V627" s="1711"/>
      <c r="W627" s="1711"/>
      <c r="X627" s="1711"/>
      <c r="Y627" s="1711"/>
      <c r="Z627" s="1711"/>
      <c r="AA627" s="1712"/>
      <c r="AB627" s="1712"/>
      <c r="AC627" s="1712"/>
      <c r="AD627" s="1712"/>
      <c r="AE627" s="1712"/>
      <c r="AF627" s="1712"/>
      <c r="AG627" s="1712"/>
      <c r="AH627" s="1712"/>
      <c r="AI627" s="1712"/>
      <c r="AJ627" s="1712"/>
      <c r="AK627" s="1712"/>
      <c r="AL627" s="1712"/>
      <c r="AM627" s="1712"/>
      <c r="AN627" s="1712"/>
      <c r="AO627" s="1712"/>
      <c r="AP627" s="1712"/>
      <c r="AQ627" s="1712"/>
      <c r="AR627" s="1712"/>
      <c r="AS627" s="1712"/>
      <c r="AT627" s="1712"/>
      <c r="AU627" s="1712"/>
    </row>
    <row r="628">
      <c r="A628" s="1474" t="s">
        <v>2461</v>
      </c>
      <c r="B628" s="1708"/>
      <c r="C628" s="1709"/>
      <c r="D628" s="1709"/>
      <c r="E628" s="1709"/>
      <c r="F628" s="1710"/>
      <c r="G628" s="1710"/>
      <c r="H628" s="1710"/>
      <c r="I628" s="1710"/>
      <c r="J628" s="1710"/>
      <c r="K628" s="1710"/>
      <c r="L628" s="1710"/>
      <c r="M628" s="1710"/>
      <c r="N628" s="1711"/>
      <c r="O628" s="1711"/>
      <c r="P628" s="1711"/>
      <c r="Q628" s="1711"/>
      <c r="R628" s="1711"/>
      <c r="S628" s="1711"/>
      <c r="T628" s="1711"/>
      <c r="U628" s="1711"/>
      <c r="V628" s="1711"/>
      <c r="W628" s="1711"/>
      <c r="X628" s="1711"/>
      <c r="Y628" s="1711"/>
      <c r="Z628" s="1711"/>
      <c r="AA628" s="1712"/>
      <c r="AB628" s="1712"/>
      <c r="AC628" s="1712"/>
      <c r="AD628" s="1712"/>
      <c r="AE628" s="1712"/>
      <c r="AF628" s="1712"/>
      <c r="AG628" s="1712"/>
      <c r="AH628" s="1712"/>
      <c r="AI628" s="1712"/>
      <c r="AJ628" s="1712"/>
      <c r="AK628" s="1712"/>
      <c r="AL628" s="1712"/>
      <c r="AM628" s="1712"/>
      <c r="AN628" s="1712"/>
      <c r="AO628" s="1712"/>
      <c r="AP628" s="1712"/>
      <c r="AQ628" s="1712"/>
      <c r="AR628" s="1712"/>
      <c r="AS628" s="1712"/>
      <c r="AT628" s="1712"/>
      <c r="AU628" s="1712"/>
    </row>
    <row r="629">
      <c r="A629" s="1474" t="s">
        <v>2461</v>
      </c>
      <c r="B629" s="1708"/>
      <c r="C629" s="1709"/>
      <c r="D629" s="1709"/>
      <c r="E629" s="1709"/>
      <c r="F629" s="1710"/>
      <c r="G629" s="1710"/>
      <c r="H629" s="1710"/>
      <c r="I629" s="1710"/>
      <c r="J629" s="1710"/>
      <c r="K629" s="1710"/>
      <c r="L629" s="1710"/>
      <c r="M629" s="1710"/>
      <c r="N629" s="1711"/>
      <c r="O629" s="1711"/>
      <c r="P629" s="1711"/>
      <c r="Q629" s="1711"/>
      <c r="R629" s="1711"/>
      <c r="S629" s="1711"/>
      <c r="T629" s="1711"/>
      <c r="U629" s="1711"/>
      <c r="V629" s="1711"/>
      <c r="W629" s="1711"/>
      <c r="X629" s="1711"/>
      <c r="Y629" s="1711"/>
      <c r="Z629" s="1711"/>
      <c r="AA629" s="1712"/>
      <c r="AB629" s="1712"/>
      <c r="AC629" s="1712"/>
      <c r="AD629" s="1712"/>
      <c r="AE629" s="1712"/>
      <c r="AF629" s="1712"/>
      <c r="AG629" s="1712"/>
      <c r="AH629" s="1712"/>
      <c r="AI629" s="1712"/>
      <c r="AJ629" s="1712"/>
      <c r="AK629" s="1712"/>
      <c r="AL629" s="1712"/>
      <c r="AM629" s="1712"/>
      <c r="AN629" s="1712"/>
      <c r="AO629" s="1712"/>
      <c r="AP629" s="1712"/>
      <c r="AQ629" s="1712"/>
      <c r="AR629" s="1712"/>
      <c r="AS629" s="1712"/>
      <c r="AT629" s="1712"/>
      <c r="AU629" s="1712"/>
    </row>
    <row r="630">
      <c r="A630" s="1474" t="s">
        <v>2461</v>
      </c>
      <c r="B630" s="1708"/>
      <c r="C630" s="1709"/>
      <c r="D630" s="1709"/>
      <c r="E630" s="1709"/>
      <c r="F630" s="1710"/>
      <c r="G630" s="1710"/>
      <c r="H630" s="1710"/>
      <c r="I630" s="1710"/>
      <c r="J630" s="1710"/>
      <c r="K630" s="1710"/>
      <c r="L630" s="1710"/>
      <c r="M630" s="1710"/>
      <c r="N630" s="1711"/>
      <c r="O630" s="1711"/>
      <c r="P630" s="1711"/>
      <c r="Q630" s="1711"/>
      <c r="R630" s="1711"/>
      <c r="S630" s="1711"/>
      <c r="T630" s="1711"/>
      <c r="U630" s="1711"/>
      <c r="V630" s="1711"/>
      <c r="W630" s="1711"/>
      <c r="X630" s="1711"/>
      <c r="Y630" s="1711"/>
      <c r="Z630" s="1711"/>
      <c r="AA630" s="1712"/>
      <c r="AB630" s="1712"/>
      <c r="AC630" s="1712"/>
      <c r="AD630" s="1712"/>
      <c r="AE630" s="1712"/>
      <c r="AF630" s="1712"/>
      <c r="AG630" s="1712"/>
      <c r="AH630" s="1712"/>
      <c r="AI630" s="1712"/>
      <c r="AJ630" s="1712"/>
      <c r="AK630" s="1712"/>
      <c r="AL630" s="1712"/>
      <c r="AM630" s="1712"/>
      <c r="AN630" s="1712"/>
      <c r="AO630" s="1712"/>
      <c r="AP630" s="1712"/>
      <c r="AQ630" s="1712"/>
      <c r="AR630" s="1712"/>
      <c r="AS630" s="1712"/>
      <c r="AT630" s="1712"/>
      <c r="AU630" s="1712"/>
    </row>
    <row r="631">
      <c r="A631" s="1474" t="s">
        <v>2461</v>
      </c>
      <c r="B631" s="1708"/>
      <c r="C631" s="1709"/>
      <c r="D631" s="1709"/>
      <c r="E631" s="1709"/>
      <c r="F631" s="1710"/>
      <c r="G631" s="1710"/>
      <c r="H631" s="1710"/>
      <c r="I631" s="1710"/>
      <c r="J631" s="1710"/>
      <c r="K631" s="1710"/>
      <c r="L631" s="1710"/>
      <c r="M631" s="1710"/>
      <c r="N631" s="1711"/>
      <c r="O631" s="1711"/>
      <c r="P631" s="1711"/>
      <c r="Q631" s="1711"/>
      <c r="R631" s="1711"/>
      <c r="S631" s="1711"/>
      <c r="T631" s="1711"/>
      <c r="U631" s="1711"/>
      <c r="V631" s="1711"/>
      <c r="W631" s="1711"/>
      <c r="X631" s="1711"/>
      <c r="Y631" s="1711"/>
      <c r="Z631" s="1711"/>
      <c r="AA631" s="1712"/>
      <c r="AB631" s="1712"/>
      <c r="AC631" s="1712"/>
      <c r="AD631" s="1712"/>
      <c r="AE631" s="1712"/>
      <c r="AF631" s="1712"/>
      <c r="AG631" s="1712"/>
      <c r="AH631" s="1712"/>
      <c r="AI631" s="1712"/>
      <c r="AJ631" s="1712"/>
      <c r="AK631" s="1712"/>
      <c r="AL631" s="1712"/>
      <c r="AM631" s="1712"/>
      <c r="AN631" s="1712"/>
      <c r="AO631" s="1712"/>
      <c r="AP631" s="1712"/>
      <c r="AQ631" s="1712"/>
      <c r="AR631" s="1712"/>
      <c r="AS631" s="1712"/>
      <c r="AT631" s="1712"/>
      <c r="AU631" s="1712"/>
    </row>
    <row r="632">
      <c r="A632" s="1474" t="s">
        <v>2461</v>
      </c>
      <c r="B632" s="1708"/>
      <c r="C632" s="1709"/>
      <c r="D632" s="1709"/>
      <c r="E632" s="1709"/>
      <c r="F632" s="1710"/>
      <c r="G632" s="1710"/>
      <c r="H632" s="1710"/>
      <c r="I632" s="1710"/>
      <c r="J632" s="1710"/>
      <c r="K632" s="1710"/>
      <c r="L632" s="1710"/>
      <c r="M632" s="1710"/>
      <c r="N632" s="1711"/>
      <c r="O632" s="1711"/>
      <c r="P632" s="1711"/>
      <c r="Q632" s="1711"/>
      <c r="R632" s="1711"/>
      <c r="S632" s="1711"/>
      <c r="T632" s="1711"/>
      <c r="U632" s="1711"/>
      <c r="V632" s="1711"/>
      <c r="W632" s="1711"/>
      <c r="X632" s="1711"/>
      <c r="Y632" s="1711"/>
      <c r="Z632" s="1711"/>
      <c r="AA632" s="1712"/>
      <c r="AB632" s="1712"/>
      <c r="AC632" s="1712"/>
      <c r="AD632" s="1712"/>
      <c r="AE632" s="1712"/>
      <c r="AF632" s="1712"/>
      <c r="AG632" s="1712"/>
      <c r="AH632" s="1712"/>
      <c r="AI632" s="1712"/>
      <c r="AJ632" s="1712"/>
      <c r="AK632" s="1712"/>
      <c r="AL632" s="1712"/>
      <c r="AM632" s="1712"/>
      <c r="AN632" s="1712"/>
      <c r="AO632" s="1712"/>
      <c r="AP632" s="1712"/>
      <c r="AQ632" s="1712"/>
      <c r="AR632" s="1712"/>
      <c r="AS632" s="1712"/>
      <c r="AT632" s="1712"/>
      <c r="AU632" s="1712"/>
    </row>
    <row r="633">
      <c r="A633" s="1474" t="s">
        <v>2461</v>
      </c>
      <c r="B633" s="1708"/>
      <c r="C633" s="1709"/>
      <c r="D633" s="1709"/>
      <c r="E633" s="1709"/>
      <c r="F633" s="1710"/>
      <c r="G633" s="1710"/>
      <c r="H633" s="1710"/>
      <c r="I633" s="1710"/>
      <c r="J633" s="1710"/>
      <c r="K633" s="1710"/>
      <c r="L633" s="1710"/>
      <c r="M633" s="1710"/>
      <c r="N633" s="1711"/>
      <c r="O633" s="1711"/>
      <c r="P633" s="1711"/>
      <c r="Q633" s="1711"/>
      <c r="R633" s="1711"/>
      <c r="S633" s="1711"/>
      <c r="T633" s="1711"/>
      <c r="U633" s="1711"/>
      <c r="V633" s="1711"/>
      <c r="W633" s="1711"/>
      <c r="X633" s="1711"/>
      <c r="Y633" s="1711"/>
      <c r="Z633" s="1711"/>
      <c r="AA633" s="1712"/>
      <c r="AB633" s="1712"/>
      <c r="AC633" s="1712"/>
      <c r="AD633" s="1712"/>
      <c r="AE633" s="1712"/>
      <c r="AF633" s="1712"/>
      <c r="AG633" s="1712"/>
      <c r="AH633" s="1712"/>
      <c r="AI633" s="1712"/>
      <c r="AJ633" s="1712"/>
      <c r="AK633" s="1712"/>
      <c r="AL633" s="1712"/>
      <c r="AM633" s="1712"/>
      <c r="AN633" s="1712"/>
      <c r="AO633" s="1712"/>
      <c r="AP633" s="1712"/>
      <c r="AQ633" s="1712"/>
      <c r="AR633" s="1712"/>
      <c r="AS633" s="1712"/>
      <c r="AT633" s="1712"/>
      <c r="AU633" s="1712"/>
    </row>
    <row r="634">
      <c r="A634" s="1474" t="s">
        <v>2461</v>
      </c>
      <c r="B634" s="1708"/>
      <c r="C634" s="1709"/>
      <c r="D634" s="1709"/>
      <c r="E634" s="1709"/>
      <c r="F634" s="1710"/>
      <c r="G634" s="1710"/>
      <c r="H634" s="1710"/>
      <c r="I634" s="1710"/>
      <c r="J634" s="1710"/>
      <c r="K634" s="1710"/>
      <c r="L634" s="1710"/>
      <c r="M634" s="1710"/>
      <c r="N634" s="1711"/>
      <c r="O634" s="1711"/>
      <c r="P634" s="1711"/>
      <c r="Q634" s="1711"/>
      <c r="R634" s="1711"/>
      <c r="S634" s="1711"/>
      <c r="T634" s="1711"/>
      <c r="U634" s="1711"/>
      <c r="V634" s="1711"/>
      <c r="W634" s="1711"/>
      <c r="X634" s="1711"/>
      <c r="Y634" s="1711"/>
      <c r="Z634" s="1711"/>
      <c r="AA634" s="1712"/>
      <c r="AB634" s="1712"/>
      <c r="AC634" s="1712"/>
      <c r="AD634" s="1712"/>
      <c r="AE634" s="1712"/>
      <c r="AF634" s="1712"/>
      <c r="AG634" s="1712"/>
      <c r="AH634" s="1712"/>
      <c r="AI634" s="1712"/>
      <c r="AJ634" s="1712"/>
      <c r="AK634" s="1712"/>
      <c r="AL634" s="1712"/>
      <c r="AM634" s="1712"/>
      <c r="AN634" s="1712"/>
      <c r="AO634" s="1712"/>
      <c r="AP634" s="1712"/>
      <c r="AQ634" s="1712"/>
      <c r="AR634" s="1712"/>
      <c r="AS634" s="1712"/>
      <c r="AT634" s="1712"/>
      <c r="AU634" s="1712"/>
    </row>
    <row r="635">
      <c r="A635" s="1474" t="s">
        <v>2461</v>
      </c>
      <c r="B635" s="1708"/>
      <c r="C635" s="1709"/>
      <c r="D635" s="1709"/>
      <c r="E635" s="1709"/>
      <c r="F635" s="1710"/>
      <c r="G635" s="1710"/>
      <c r="H635" s="1710"/>
      <c r="I635" s="1710"/>
      <c r="J635" s="1710"/>
      <c r="K635" s="1710"/>
      <c r="L635" s="1710"/>
      <c r="M635" s="1710"/>
      <c r="N635" s="1711"/>
      <c r="O635" s="1711"/>
      <c r="P635" s="1711"/>
      <c r="Q635" s="1711"/>
      <c r="R635" s="1711"/>
      <c r="S635" s="1711"/>
      <c r="T635" s="1711"/>
      <c r="U635" s="1711"/>
      <c r="V635" s="1711"/>
      <c r="W635" s="1711"/>
      <c r="X635" s="1711"/>
      <c r="Y635" s="1711"/>
      <c r="Z635" s="1711"/>
      <c r="AA635" s="1712"/>
      <c r="AB635" s="1712"/>
      <c r="AC635" s="1712"/>
      <c r="AD635" s="1712"/>
      <c r="AE635" s="1712"/>
      <c r="AF635" s="1712"/>
      <c r="AG635" s="1712"/>
      <c r="AH635" s="1712"/>
      <c r="AI635" s="1712"/>
      <c r="AJ635" s="1712"/>
      <c r="AK635" s="1712"/>
      <c r="AL635" s="1712"/>
      <c r="AM635" s="1712"/>
      <c r="AN635" s="1712"/>
      <c r="AO635" s="1712"/>
      <c r="AP635" s="1712"/>
      <c r="AQ635" s="1712"/>
      <c r="AR635" s="1712"/>
      <c r="AS635" s="1712"/>
      <c r="AT635" s="1712"/>
      <c r="AU635" s="1712"/>
    </row>
    <row r="636">
      <c r="A636" s="1474" t="s">
        <v>2461</v>
      </c>
      <c r="B636" s="1708"/>
      <c r="C636" s="1709"/>
      <c r="D636" s="1709"/>
      <c r="E636" s="1709"/>
      <c r="F636" s="1710"/>
      <c r="G636" s="1710"/>
      <c r="H636" s="1710"/>
      <c r="I636" s="1710"/>
      <c r="J636" s="1710"/>
      <c r="K636" s="1710"/>
      <c r="L636" s="1710"/>
      <c r="M636" s="1710"/>
      <c r="N636" s="1711"/>
      <c r="O636" s="1711"/>
      <c r="P636" s="1711"/>
      <c r="Q636" s="1711"/>
      <c r="R636" s="1711"/>
      <c r="S636" s="1711"/>
      <c r="T636" s="1711"/>
      <c r="U636" s="1711"/>
      <c r="V636" s="1711"/>
      <c r="W636" s="1711"/>
      <c r="X636" s="1711"/>
      <c r="Y636" s="1711"/>
      <c r="Z636" s="1711"/>
      <c r="AA636" s="1712"/>
      <c r="AB636" s="1712"/>
      <c r="AC636" s="1712"/>
      <c r="AD636" s="1712"/>
      <c r="AE636" s="1712"/>
      <c r="AF636" s="1712"/>
      <c r="AG636" s="1712"/>
      <c r="AH636" s="1712"/>
      <c r="AI636" s="1712"/>
      <c r="AJ636" s="1712"/>
      <c r="AK636" s="1712"/>
      <c r="AL636" s="1712"/>
      <c r="AM636" s="1712"/>
      <c r="AN636" s="1712"/>
      <c r="AO636" s="1712"/>
      <c r="AP636" s="1712"/>
      <c r="AQ636" s="1712"/>
      <c r="AR636" s="1712"/>
      <c r="AS636" s="1712"/>
      <c r="AT636" s="1712"/>
      <c r="AU636" s="1712"/>
    </row>
    <row r="637">
      <c r="A637" s="1474" t="s">
        <v>2461</v>
      </c>
      <c r="B637" s="1708"/>
      <c r="C637" s="1709"/>
      <c r="D637" s="1709"/>
      <c r="E637" s="1709"/>
      <c r="F637" s="1710"/>
      <c r="G637" s="1710"/>
      <c r="H637" s="1710"/>
      <c r="I637" s="1710"/>
      <c r="J637" s="1710"/>
      <c r="K637" s="1710"/>
      <c r="L637" s="1710"/>
      <c r="M637" s="1710"/>
      <c r="N637" s="1711"/>
      <c r="O637" s="1711"/>
      <c r="P637" s="1711"/>
      <c r="Q637" s="1711"/>
      <c r="R637" s="1711"/>
      <c r="S637" s="1711"/>
      <c r="T637" s="1711"/>
      <c r="U637" s="1711"/>
      <c r="V637" s="1711"/>
      <c r="W637" s="1711"/>
      <c r="X637" s="1711"/>
      <c r="Y637" s="1711"/>
      <c r="Z637" s="1711"/>
      <c r="AA637" s="1712"/>
      <c r="AB637" s="1712"/>
      <c r="AC637" s="1712"/>
      <c r="AD637" s="1712"/>
      <c r="AE637" s="1712"/>
      <c r="AF637" s="1712"/>
      <c r="AG637" s="1712"/>
      <c r="AH637" s="1712"/>
      <c r="AI637" s="1712"/>
      <c r="AJ637" s="1712"/>
      <c r="AK637" s="1712"/>
      <c r="AL637" s="1712"/>
      <c r="AM637" s="1712"/>
      <c r="AN637" s="1712"/>
      <c r="AO637" s="1712"/>
      <c r="AP637" s="1712"/>
      <c r="AQ637" s="1712"/>
      <c r="AR637" s="1712"/>
      <c r="AS637" s="1712"/>
      <c r="AT637" s="1712"/>
      <c r="AU637" s="1712"/>
    </row>
    <row r="638">
      <c r="A638" s="1474" t="s">
        <v>2461</v>
      </c>
      <c r="B638" s="1708"/>
      <c r="C638" s="1709"/>
      <c r="D638" s="1709"/>
      <c r="E638" s="1709"/>
      <c r="F638" s="1710"/>
      <c r="G638" s="1710"/>
      <c r="H638" s="1710"/>
      <c r="I638" s="1710"/>
      <c r="J638" s="1710"/>
      <c r="K638" s="1710"/>
      <c r="L638" s="1710"/>
      <c r="M638" s="1710"/>
      <c r="N638" s="1711"/>
      <c r="O638" s="1711"/>
      <c r="P638" s="1711"/>
      <c r="Q638" s="1711"/>
      <c r="R638" s="1711"/>
      <c r="S638" s="1711"/>
      <c r="T638" s="1711"/>
      <c r="U638" s="1711"/>
      <c r="V638" s="1711"/>
      <c r="W638" s="1711"/>
      <c r="X638" s="1711"/>
      <c r="Y638" s="1711"/>
      <c r="Z638" s="1711"/>
      <c r="AA638" s="1712"/>
      <c r="AB638" s="1712"/>
      <c r="AC638" s="1712"/>
      <c r="AD638" s="1712"/>
      <c r="AE638" s="1712"/>
      <c r="AF638" s="1712"/>
      <c r="AG638" s="1712"/>
      <c r="AH638" s="1712"/>
      <c r="AI638" s="1712"/>
      <c r="AJ638" s="1712"/>
      <c r="AK638" s="1712"/>
      <c r="AL638" s="1712"/>
      <c r="AM638" s="1712"/>
      <c r="AN638" s="1712"/>
      <c r="AO638" s="1712"/>
      <c r="AP638" s="1712"/>
      <c r="AQ638" s="1712"/>
      <c r="AR638" s="1712"/>
      <c r="AS638" s="1712"/>
      <c r="AT638" s="1712"/>
      <c r="AU638" s="1712"/>
    </row>
    <row r="639">
      <c r="A639" s="1474" t="s">
        <v>2461</v>
      </c>
      <c r="B639" s="1708"/>
      <c r="C639" s="1709"/>
      <c r="D639" s="1709"/>
      <c r="E639" s="1709"/>
      <c r="F639" s="1710"/>
      <c r="G639" s="1710"/>
      <c r="H639" s="1710"/>
      <c r="I639" s="1710"/>
      <c r="J639" s="1710"/>
      <c r="K639" s="1710"/>
      <c r="L639" s="1710"/>
      <c r="M639" s="1710"/>
      <c r="N639" s="1711"/>
      <c r="O639" s="1711"/>
      <c r="P639" s="1711"/>
      <c r="Q639" s="1711"/>
      <c r="R639" s="1711"/>
      <c r="S639" s="1711"/>
      <c r="T639" s="1711"/>
      <c r="U639" s="1711"/>
      <c r="V639" s="1711"/>
      <c r="W639" s="1711"/>
      <c r="X639" s="1711"/>
      <c r="Y639" s="1711"/>
      <c r="Z639" s="1711"/>
      <c r="AA639" s="1712"/>
      <c r="AB639" s="1712"/>
      <c r="AC639" s="1712"/>
      <c r="AD639" s="1712"/>
      <c r="AE639" s="1712"/>
      <c r="AF639" s="1712"/>
      <c r="AG639" s="1712"/>
      <c r="AH639" s="1712"/>
      <c r="AI639" s="1712"/>
      <c r="AJ639" s="1712"/>
      <c r="AK639" s="1712"/>
      <c r="AL639" s="1712"/>
      <c r="AM639" s="1712"/>
      <c r="AN639" s="1712"/>
      <c r="AO639" s="1712"/>
      <c r="AP639" s="1712"/>
      <c r="AQ639" s="1712"/>
      <c r="AR639" s="1712"/>
      <c r="AS639" s="1712"/>
      <c r="AT639" s="1712"/>
      <c r="AU639" s="1712"/>
    </row>
    <row r="640">
      <c r="A640" s="1474" t="s">
        <v>2461</v>
      </c>
      <c r="B640" s="1708"/>
      <c r="C640" s="1709"/>
      <c r="D640" s="1709"/>
      <c r="E640" s="1709"/>
      <c r="F640" s="1710"/>
      <c r="G640" s="1710"/>
      <c r="H640" s="1710"/>
      <c r="I640" s="1710"/>
      <c r="J640" s="1710"/>
      <c r="K640" s="1710"/>
      <c r="L640" s="1710"/>
      <c r="M640" s="1710"/>
      <c r="N640" s="1711"/>
      <c r="O640" s="1711"/>
      <c r="P640" s="1711"/>
      <c r="Q640" s="1711"/>
      <c r="R640" s="1711"/>
      <c r="S640" s="1711"/>
      <c r="T640" s="1711"/>
      <c r="U640" s="1711"/>
      <c r="V640" s="1711"/>
      <c r="W640" s="1711"/>
      <c r="X640" s="1711"/>
      <c r="Y640" s="1711"/>
      <c r="Z640" s="1711"/>
      <c r="AA640" s="1712"/>
      <c r="AB640" s="1712"/>
      <c r="AC640" s="1712"/>
      <c r="AD640" s="1712"/>
      <c r="AE640" s="1712"/>
      <c r="AF640" s="1712"/>
      <c r="AG640" s="1712"/>
      <c r="AH640" s="1712"/>
      <c r="AI640" s="1712"/>
      <c r="AJ640" s="1712"/>
      <c r="AK640" s="1712"/>
      <c r="AL640" s="1712"/>
      <c r="AM640" s="1712"/>
      <c r="AN640" s="1712"/>
      <c r="AO640" s="1712"/>
      <c r="AP640" s="1712"/>
      <c r="AQ640" s="1712"/>
      <c r="AR640" s="1712"/>
      <c r="AS640" s="1712"/>
      <c r="AT640" s="1712"/>
      <c r="AU640" s="1712"/>
    </row>
    <row r="641">
      <c r="A641" s="1474" t="s">
        <v>2461</v>
      </c>
      <c r="B641" s="1708"/>
      <c r="C641" s="1709"/>
      <c r="D641" s="1709"/>
      <c r="E641" s="1709"/>
      <c r="F641" s="1710"/>
      <c r="G641" s="1710"/>
      <c r="H641" s="1710"/>
      <c r="I641" s="1710"/>
      <c r="J641" s="1710"/>
      <c r="K641" s="1710"/>
      <c r="L641" s="1710"/>
      <c r="M641" s="1710"/>
      <c r="N641" s="1711"/>
      <c r="O641" s="1711"/>
      <c r="P641" s="1711"/>
      <c r="Q641" s="1711"/>
      <c r="R641" s="1711"/>
      <c r="S641" s="1711"/>
      <c r="T641" s="1711"/>
      <c r="U641" s="1711"/>
      <c r="V641" s="1711"/>
      <c r="W641" s="1711"/>
      <c r="X641" s="1711"/>
      <c r="Y641" s="1711"/>
      <c r="Z641" s="1711"/>
      <c r="AA641" s="1712"/>
      <c r="AB641" s="1712"/>
      <c r="AC641" s="1712"/>
      <c r="AD641" s="1712"/>
      <c r="AE641" s="1712"/>
      <c r="AF641" s="1712"/>
      <c r="AG641" s="1712"/>
      <c r="AH641" s="1712"/>
      <c r="AI641" s="1712"/>
      <c r="AJ641" s="1712"/>
      <c r="AK641" s="1712"/>
      <c r="AL641" s="1712"/>
      <c r="AM641" s="1712"/>
      <c r="AN641" s="1712"/>
      <c r="AO641" s="1712"/>
      <c r="AP641" s="1712"/>
      <c r="AQ641" s="1712"/>
      <c r="AR641" s="1712"/>
      <c r="AS641" s="1712"/>
      <c r="AT641" s="1712"/>
      <c r="AU641" s="1712"/>
    </row>
    <row r="642">
      <c r="A642" s="1474" t="s">
        <v>2461</v>
      </c>
      <c r="B642" s="1708"/>
      <c r="C642" s="1709"/>
      <c r="D642" s="1709"/>
      <c r="E642" s="1709"/>
      <c r="F642" s="1710"/>
      <c r="G642" s="1710"/>
      <c r="H642" s="1710"/>
      <c r="I642" s="1710"/>
      <c r="J642" s="1710"/>
      <c r="K642" s="1710"/>
      <c r="L642" s="1710"/>
      <c r="M642" s="1710"/>
      <c r="N642" s="1711"/>
      <c r="O642" s="1711"/>
      <c r="P642" s="1711"/>
      <c r="Q642" s="1711"/>
      <c r="R642" s="1711"/>
      <c r="S642" s="1711"/>
      <c r="T642" s="1711"/>
      <c r="U642" s="1711"/>
      <c r="V642" s="1711"/>
      <c r="W642" s="1711"/>
      <c r="X642" s="1711"/>
      <c r="Y642" s="1711"/>
      <c r="Z642" s="1711"/>
      <c r="AA642" s="1712"/>
      <c r="AB642" s="1712"/>
      <c r="AC642" s="1712"/>
      <c r="AD642" s="1712"/>
      <c r="AE642" s="1712"/>
      <c r="AF642" s="1712"/>
      <c r="AG642" s="1712"/>
      <c r="AH642" s="1712"/>
      <c r="AI642" s="1712"/>
      <c r="AJ642" s="1712"/>
      <c r="AK642" s="1712"/>
      <c r="AL642" s="1712"/>
      <c r="AM642" s="1712"/>
      <c r="AN642" s="1712"/>
      <c r="AO642" s="1712"/>
      <c r="AP642" s="1712"/>
      <c r="AQ642" s="1712"/>
      <c r="AR642" s="1712"/>
      <c r="AS642" s="1712"/>
      <c r="AT642" s="1712"/>
      <c r="AU642" s="1712"/>
    </row>
    <row r="643">
      <c r="A643" s="1474" t="s">
        <v>2461</v>
      </c>
      <c r="B643" s="1708"/>
      <c r="C643" s="1709"/>
      <c r="D643" s="1709"/>
      <c r="E643" s="1709"/>
      <c r="F643" s="1710"/>
      <c r="G643" s="1710"/>
      <c r="H643" s="1710"/>
      <c r="I643" s="1710"/>
      <c r="J643" s="1710"/>
      <c r="K643" s="1710"/>
      <c r="L643" s="1710"/>
      <c r="M643" s="1710"/>
      <c r="N643" s="1711"/>
      <c r="O643" s="1711"/>
      <c r="P643" s="1711"/>
      <c r="Q643" s="1711"/>
      <c r="R643" s="1711"/>
      <c r="S643" s="1711"/>
      <c r="T643" s="1711"/>
      <c r="U643" s="1711"/>
      <c r="V643" s="1711"/>
      <c r="W643" s="1711"/>
      <c r="X643" s="1711"/>
      <c r="Y643" s="1711"/>
      <c r="Z643" s="1711"/>
      <c r="AA643" s="1712"/>
      <c r="AB643" s="1712"/>
      <c r="AC643" s="1712"/>
      <c r="AD643" s="1712"/>
      <c r="AE643" s="1712"/>
      <c r="AF643" s="1712"/>
      <c r="AG643" s="1712"/>
      <c r="AH643" s="1712"/>
      <c r="AI643" s="1712"/>
      <c r="AJ643" s="1712"/>
      <c r="AK643" s="1712"/>
      <c r="AL643" s="1712"/>
      <c r="AM643" s="1712"/>
      <c r="AN643" s="1712"/>
      <c r="AO643" s="1712"/>
      <c r="AP643" s="1712"/>
      <c r="AQ643" s="1712"/>
      <c r="AR643" s="1712"/>
      <c r="AS643" s="1712"/>
      <c r="AT643" s="1712"/>
      <c r="AU643" s="1712"/>
    </row>
    <row r="644">
      <c r="A644" s="1474" t="s">
        <v>2461</v>
      </c>
      <c r="B644" s="1708"/>
      <c r="C644" s="1709"/>
      <c r="D644" s="1709"/>
      <c r="E644" s="1709"/>
      <c r="F644" s="1710"/>
      <c r="G644" s="1710"/>
      <c r="H644" s="1710"/>
      <c r="I644" s="1710"/>
      <c r="J644" s="1710"/>
      <c r="K644" s="1710"/>
      <c r="L644" s="1710"/>
      <c r="M644" s="1710"/>
      <c r="N644" s="1711"/>
      <c r="O644" s="1711"/>
      <c r="P644" s="1711"/>
      <c r="Q644" s="1711"/>
      <c r="R644" s="1711"/>
      <c r="S644" s="1711"/>
      <c r="T644" s="1711"/>
      <c r="U644" s="1711"/>
      <c r="V644" s="1711"/>
      <c r="W644" s="1711"/>
      <c r="X644" s="1711"/>
      <c r="Y644" s="1711"/>
      <c r="Z644" s="1711"/>
      <c r="AA644" s="1712"/>
      <c r="AB644" s="1712"/>
      <c r="AC644" s="1712"/>
      <c r="AD644" s="1712"/>
      <c r="AE644" s="1712"/>
      <c r="AF644" s="1712"/>
      <c r="AG644" s="1712"/>
      <c r="AH644" s="1712"/>
      <c r="AI644" s="1712"/>
      <c r="AJ644" s="1712"/>
      <c r="AK644" s="1712"/>
      <c r="AL644" s="1712"/>
      <c r="AM644" s="1712"/>
      <c r="AN644" s="1712"/>
      <c r="AO644" s="1712"/>
      <c r="AP644" s="1712"/>
      <c r="AQ644" s="1712"/>
      <c r="AR644" s="1712"/>
      <c r="AS644" s="1712"/>
      <c r="AT644" s="1712"/>
      <c r="AU644" s="1712"/>
    </row>
    <row r="645">
      <c r="A645" s="1474" t="s">
        <v>2461</v>
      </c>
      <c r="B645" s="1708"/>
      <c r="C645" s="1709"/>
      <c r="D645" s="1709"/>
      <c r="E645" s="1709"/>
      <c r="F645" s="1710"/>
      <c r="G645" s="1710"/>
      <c r="H645" s="1710"/>
      <c r="I645" s="1710"/>
      <c r="J645" s="1710"/>
      <c r="K645" s="1710"/>
      <c r="L645" s="1710"/>
      <c r="M645" s="1710"/>
      <c r="N645" s="1711"/>
      <c r="O645" s="1711"/>
      <c r="P645" s="1711"/>
      <c r="Q645" s="1711"/>
      <c r="R645" s="1711"/>
      <c r="S645" s="1711"/>
      <c r="T645" s="1711"/>
      <c r="U645" s="1711"/>
      <c r="V645" s="1711"/>
      <c r="W645" s="1711"/>
      <c r="X645" s="1711"/>
      <c r="Y645" s="1711"/>
      <c r="Z645" s="1711"/>
      <c r="AA645" s="1712"/>
      <c r="AB645" s="1712"/>
      <c r="AC645" s="1712"/>
      <c r="AD645" s="1712"/>
      <c r="AE645" s="1712"/>
      <c r="AF645" s="1712"/>
      <c r="AG645" s="1712"/>
      <c r="AH645" s="1712"/>
      <c r="AI645" s="1712"/>
      <c r="AJ645" s="1712"/>
      <c r="AK645" s="1712"/>
      <c r="AL645" s="1712"/>
      <c r="AM645" s="1712"/>
      <c r="AN645" s="1712"/>
      <c r="AO645" s="1712"/>
      <c r="AP645" s="1712"/>
      <c r="AQ645" s="1712"/>
      <c r="AR645" s="1712"/>
      <c r="AS645" s="1712"/>
      <c r="AT645" s="1712"/>
      <c r="AU645" s="1712"/>
    </row>
    <row r="646">
      <c r="A646" s="1474" t="s">
        <v>2461</v>
      </c>
      <c r="B646" s="1708"/>
      <c r="C646" s="1709"/>
      <c r="D646" s="1709"/>
      <c r="E646" s="1709"/>
      <c r="F646" s="1710"/>
      <c r="G646" s="1710"/>
      <c r="H646" s="1710"/>
      <c r="I646" s="1710"/>
      <c r="J646" s="1710"/>
      <c r="K646" s="1710"/>
      <c r="L646" s="1710"/>
      <c r="M646" s="1710"/>
      <c r="N646" s="1711"/>
      <c r="O646" s="1711"/>
      <c r="P646" s="1711"/>
      <c r="Q646" s="1711"/>
      <c r="R646" s="1711"/>
      <c r="S646" s="1711"/>
      <c r="T646" s="1711"/>
      <c r="U646" s="1711"/>
      <c r="V646" s="1711"/>
      <c r="W646" s="1711"/>
      <c r="X646" s="1711"/>
      <c r="Y646" s="1711"/>
      <c r="Z646" s="1711"/>
      <c r="AA646" s="1712"/>
      <c r="AB646" s="1712"/>
      <c r="AC646" s="1712"/>
      <c r="AD646" s="1712"/>
      <c r="AE646" s="1712"/>
      <c r="AF646" s="1712"/>
      <c r="AG646" s="1712"/>
      <c r="AH646" s="1712"/>
      <c r="AI646" s="1712"/>
      <c r="AJ646" s="1712"/>
      <c r="AK646" s="1712"/>
      <c r="AL646" s="1712"/>
      <c r="AM646" s="1712"/>
      <c r="AN646" s="1712"/>
      <c r="AO646" s="1712"/>
      <c r="AP646" s="1712"/>
      <c r="AQ646" s="1712"/>
      <c r="AR646" s="1712"/>
      <c r="AS646" s="1712"/>
      <c r="AT646" s="1712"/>
      <c r="AU646" s="1712"/>
    </row>
    <row r="647">
      <c r="A647" s="1474" t="s">
        <v>2461</v>
      </c>
      <c r="B647" s="1708"/>
      <c r="C647" s="1709"/>
      <c r="D647" s="1709"/>
      <c r="E647" s="1709"/>
      <c r="F647" s="1710"/>
      <c r="G647" s="1710"/>
      <c r="H647" s="1710"/>
      <c r="I647" s="1710"/>
      <c r="J647" s="1710"/>
      <c r="K647" s="1710"/>
      <c r="L647" s="1710"/>
      <c r="M647" s="1710"/>
      <c r="N647" s="1711"/>
      <c r="O647" s="1711"/>
      <c r="P647" s="1711"/>
      <c r="Q647" s="1711"/>
      <c r="R647" s="1711"/>
      <c r="S647" s="1711"/>
      <c r="T647" s="1711"/>
      <c r="U647" s="1711"/>
      <c r="V647" s="1711"/>
      <c r="W647" s="1711"/>
      <c r="X647" s="1711"/>
      <c r="Y647" s="1711"/>
      <c r="Z647" s="1711"/>
      <c r="AA647" s="1712"/>
      <c r="AB647" s="1712"/>
      <c r="AC647" s="1712"/>
      <c r="AD647" s="1712"/>
      <c r="AE647" s="1712"/>
      <c r="AF647" s="1712"/>
      <c r="AG647" s="1712"/>
      <c r="AH647" s="1712"/>
      <c r="AI647" s="1712"/>
      <c r="AJ647" s="1712"/>
      <c r="AK647" s="1712"/>
      <c r="AL647" s="1712"/>
      <c r="AM647" s="1712"/>
      <c r="AN647" s="1712"/>
      <c r="AO647" s="1712"/>
      <c r="AP647" s="1712"/>
      <c r="AQ647" s="1712"/>
      <c r="AR647" s="1712"/>
      <c r="AS647" s="1712"/>
      <c r="AT647" s="1712"/>
      <c r="AU647" s="1712"/>
    </row>
    <row r="648">
      <c r="A648" s="1474" t="s">
        <v>2461</v>
      </c>
      <c r="B648" s="1708"/>
      <c r="C648" s="1709"/>
      <c r="D648" s="1709"/>
      <c r="E648" s="1709"/>
      <c r="F648" s="1710"/>
      <c r="G648" s="1710"/>
      <c r="H648" s="1710"/>
      <c r="I648" s="1710"/>
      <c r="J648" s="1710"/>
      <c r="K648" s="1710"/>
      <c r="L648" s="1710"/>
      <c r="M648" s="1710"/>
      <c r="N648" s="1711"/>
      <c r="O648" s="1711"/>
      <c r="P648" s="1711"/>
      <c r="Q648" s="1711"/>
      <c r="R648" s="1711"/>
      <c r="S648" s="1711"/>
      <c r="T648" s="1711"/>
      <c r="U648" s="1711"/>
      <c r="V648" s="1711"/>
      <c r="W648" s="1711"/>
      <c r="X648" s="1711"/>
      <c r="Y648" s="1711"/>
      <c r="Z648" s="1711"/>
      <c r="AA648" s="1712"/>
      <c r="AB648" s="1712"/>
      <c r="AC648" s="1712"/>
      <c r="AD648" s="1712"/>
      <c r="AE648" s="1712"/>
      <c r="AF648" s="1712"/>
      <c r="AG648" s="1712"/>
      <c r="AH648" s="1712"/>
      <c r="AI648" s="1712"/>
      <c r="AJ648" s="1712"/>
      <c r="AK648" s="1712"/>
      <c r="AL648" s="1712"/>
      <c r="AM648" s="1712"/>
      <c r="AN648" s="1712"/>
      <c r="AO648" s="1712"/>
      <c r="AP648" s="1712"/>
      <c r="AQ648" s="1712"/>
      <c r="AR648" s="1712"/>
      <c r="AS648" s="1712"/>
      <c r="AT648" s="1712"/>
      <c r="AU648" s="1712"/>
    </row>
    <row r="649">
      <c r="A649" s="1474" t="s">
        <v>2461</v>
      </c>
      <c r="B649" s="1708"/>
      <c r="C649" s="1709"/>
      <c r="D649" s="1709"/>
      <c r="E649" s="1709"/>
      <c r="F649" s="1710"/>
      <c r="G649" s="1710"/>
      <c r="H649" s="1710"/>
      <c r="I649" s="1710"/>
      <c r="J649" s="1710"/>
      <c r="K649" s="1710"/>
      <c r="L649" s="1710"/>
      <c r="M649" s="1710"/>
      <c r="N649" s="1711"/>
      <c r="O649" s="1711"/>
      <c r="P649" s="1711"/>
      <c r="Q649" s="1711"/>
      <c r="R649" s="1711"/>
      <c r="S649" s="1711"/>
      <c r="T649" s="1711"/>
      <c r="U649" s="1711"/>
      <c r="V649" s="1711"/>
      <c r="W649" s="1711"/>
      <c r="X649" s="1711"/>
      <c r="Y649" s="1711"/>
      <c r="Z649" s="1711"/>
      <c r="AA649" s="1712"/>
      <c r="AB649" s="1712"/>
      <c r="AC649" s="1712"/>
      <c r="AD649" s="1712"/>
      <c r="AE649" s="1712"/>
      <c r="AF649" s="1712"/>
      <c r="AG649" s="1712"/>
      <c r="AH649" s="1712"/>
      <c r="AI649" s="1712"/>
      <c r="AJ649" s="1712"/>
      <c r="AK649" s="1712"/>
      <c r="AL649" s="1712"/>
      <c r="AM649" s="1712"/>
      <c r="AN649" s="1712"/>
      <c r="AO649" s="1712"/>
      <c r="AP649" s="1712"/>
      <c r="AQ649" s="1712"/>
      <c r="AR649" s="1712"/>
      <c r="AS649" s="1712"/>
      <c r="AT649" s="1712"/>
      <c r="AU649" s="1712"/>
    </row>
    <row r="650">
      <c r="A650" s="1474" t="s">
        <v>2461</v>
      </c>
      <c r="B650" s="1708"/>
      <c r="C650" s="1709"/>
      <c r="D650" s="1709"/>
      <c r="E650" s="1709"/>
      <c r="F650" s="1710"/>
      <c r="G650" s="1710"/>
      <c r="H650" s="1710"/>
      <c r="I650" s="1710"/>
      <c r="J650" s="1710"/>
      <c r="K650" s="1710"/>
      <c r="L650" s="1710"/>
      <c r="M650" s="1710"/>
      <c r="N650" s="1711"/>
      <c r="O650" s="1711"/>
      <c r="P650" s="1711"/>
      <c r="Q650" s="1711"/>
      <c r="R650" s="1711"/>
      <c r="S650" s="1711"/>
      <c r="T650" s="1711"/>
      <c r="U650" s="1711"/>
      <c r="V650" s="1711"/>
      <c r="W650" s="1711"/>
      <c r="X650" s="1711"/>
      <c r="Y650" s="1711"/>
      <c r="Z650" s="1711"/>
      <c r="AA650" s="1712"/>
      <c r="AB650" s="1712"/>
      <c r="AC650" s="1712"/>
      <c r="AD650" s="1712"/>
      <c r="AE650" s="1712"/>
      <c r="AF650" s="1712"/>
      <c r="AG650" s="1712"/>
      <c r="AH650" s="1712"/>
      <c r="AI650" s="1712"/>
      <c r="AJ650" s="1712"/>
      <c r="AK650" s="1712"/>
      <c r="AL650" s="1712"/>
      <c r="AM650" s="1712"/>
      <c r="AN650" s="1712"/>
      <c r="AO650" s="1712"/>
      <c r="AP650" s="1712"/>
      <c r="AQ650" s="1712"/>
      <c r="AR650" s="1712"/>
      <c r="AS650" s="1712"/>
      <c r="AT650" s="1712"/>
      <c r="AU650" s="1712"/>
    </row>
    <row r="651">
      <c r="A651" s="1474" t="s">
        <v>2461</v>
      </c>
      <c r="B651" s="1708"/>
      <c r="C651" s="1709"/>
      <c r="D651" s="1709"/>
      <c r="E651" s="1709"/>
      <c r="F651" s="1710"/>
      <c r="G651" s="1710"/>
      <c r="H651" s="1710"/>
      <c r="I651" s="1710"/>
      <c r="J651" s="1710"/>
      <c r="K651" s="1710"/>
      <c r="L651" s="1710"/>
      <c r="M651" s="1710"/>
      <c r="N651" s="1711"/>
      <c r="O651" s="1711"/>
      <c r="P651" s="1711"/>
      <c r="Q651" s="1711"/>
      <c r="R651" s="1711"/>
      <c r="S651" s="1711"/>
      <c r="T651" s="1711"/>
      <c r="U651" s="1711"/>
      <c r="V651" s="1711"/>
      <c r="W651" s="1711"/>
      <c r="X651" s="1711"/>
      <c r="Y651" s="1711"/>
      <c r="Z651" s="1711"/>
      <c r="AA651" s="1712"/>
      <c r="AB651" s="1712"/>
      <c r="AC651" s="1712"/>
      <c r="AD651" s="1712"/>
      <c r="AE651" s="1712"/>
      <c r="AF651" s="1712"/>
      <c r="AG651" s="1712"/>
      <c r="AH651" s="1712"/>
      <c r="AI651" s="1712"/>
      <c r="AJ651" s="1712"/>
      <c r="AK651" s="1712"/>
      <c r="AL651" s="1712"/>
      <c r="AM651" s="1712"/>
      <c r="AN651" s="1712"/>
      <c r="AO651" s="1712"/>
      <c r="AP651" s="1712"/>
      <c r="AQ651" s="1712"/>
      <c r="AR651" s="1712"/>
      <c r="AS651" s="1712"/>
      <c r="AT651" s="1712"/>
      <c r="AU651" s="1712"/>
    </row>
    <row r="652">
      <c r="A652" s="1474" t="s">
        <v>2461</v>
      </c>
      <c r="B652" s="1708"/>
      <c r="C652" s="1709"/>
      <c r="D652" s="1709"/>
      <c r="E652" s="1709"/>
      <c r="F652" s="1710"/>
      <c r="G652" s="1710"/>
      <c r="H652" s="1710"/>
      <c r="I652" s="1710"/>
      <c r="J652" s="1710"/>
      <c r="K652" s="1710"/>
      <c r="L652" s="1710"/>
      <c r="M652" s="1710"/>
      <c r="N652" s="1711"/>
      <c r="O652" s="1711"/>
      <c r="P652" s="1711"/>
      <c r="Q652" s="1711"/>
      <c r="R652" s="1711"/>
      <c r="S652" s="1711"/>
      <c r="T652" s="1711"/>
      <c r="U652" s="1711"/>
      <c r="V652" s="1711"/>
      <c r="W652" s="1711"/>
      <c r="X652" s="1711"/>
      <c r="Y652" s="1711"/>
      <c r="Z652" s="1711"/>
      <c r="AA652" s="1712"/>
      <c r="AB652" s="1712"/>
      <c r="AC652" s="1712"/>
      <c r="AD652" s="1712"/>
      <c r="AE652" s="1712"/>
      <c r="AF652" s="1712"/>
      <c r="AG652" s="1712"/>
      <c r="AH652" s="1712"/>
      <c r="AI652" s="1712"/>
      <c r="AJ652" s="1712"/>
      <c r="AK652" s="1712"/>
      <c r="AL652" s="1712"/>
      <c r="AM652" s="1712"/>
      <c r="AN652" s="1712"/>
      <c r="AO652" s="1712"/>
      <c r="AP652" s="1712"/>
      <c r="AQ652" s="1712"/>
      <c r="AR652" s="1712"/>
      <c r="AS652" s="1712"/>
      <c r="AT652" s="1712"/>
      <c r="AU652" s="1712"/>
    </row>
    <row r="653">
      <c r="A653" s="1474" t="s">
        <v>2461</v>
      </c>
      <c r="B653" s="1708"/>
      <c r="C653" s="1709"/>
      <c r="D653" s="1709"/>
      <c r="E653" s="1709"/>
      <c r="F653" s="1710"/>
      <c r="G653" s="1710"/>
      <c r="H653" s="1710"/>
      <c r="I653" s="1710"/>
      <c r="J653" s="1710"/>
      <c r="K653" s="1710"/>
      <c r="L653" s="1710"/>
      <c r="M653" s="1710"/>
      <c r="N653" s="1711"/>
      <c r="O653" s="1711"/>
      <c r="P653" s="1711"/>
      <c r="Q653" s="1711"/>
      <c r="R653" s="1711"/>
      <c r="S653" s="1711"/>
      <c r="T653" s="1711"/>
      <c r="U653" s="1711"/>
      <c r="V653" s="1711"/>
      <c r="W653" s="1711"/>
      <c r="X653" s="1711"/>
      <c r="Y653" s="1711"/>
      <c r="Z653" s="1711"/>
      <c r="AA653" s="1712"/>
      <c r="AB653" s="1712"/>
      <c r="AC653" s="1712"/>
      <c r="AD653" s="1712"/>
      <c r="AE653" s="1712"/>
      <c r="AF653" s="1712"/>
      <c r="AG653" s="1712"/>
      <c r="AH653" s="1712"/>
      <c r="AI653" s="1712"/>
      <c r="AJ653" s="1712"/>
      <c r="AK653" s="1712"/>
      <c r="AL653" s="1712"/>
      <c r="AM653" s="1712"/>
      <c r="AN653" s="1712"/>
      <c r="AO653" s="1712"/>
      <c r="AP653" s="1712"/>
      <c r="AQ653" s="1712"/>
      <c r="AR653" s="1712"/>
      <c r="AS653" s="1712"/>
      <c r="AT653" s="1712"/>
      <c r="AU653" s="1712"/>
    </row>
    <row r="654">
      <c r="A654" s="1474" t="s">
        <v>2461</v>
      </c>
      <c r="B654" s="1708"/>
      <c r="C654" s="1709"/>
      <c r="D654" s="1709"/>
      <c r="E654" s="1709"/>
      <c r="F654" s="1710"/>
      <c r="G654" s="1710"/>
      <c r="H654" s="1710"/>
      <c r="I654" s="1710"/>
      <c r="J654" s="1710"/>
      <c r="K654" s="1710"/>
      <c r="L654" s="1710"/>
      <c r="M654" s="1710"/>
      <c r="N654" s="1711"/>
      <c r="O654" s="1711"/>
      <c r="P654" s="1711"/>
      <c r="Q654" s="1711"/>
      <c r="R654" s="1711"/>
      <c r="S654" s="1711"/>
      <c r="T654" s="1711"/>
      <c r="U654" s="1711"/>
      <c r="V654" s="1711"/>
      <c r="W654" s="1711"/>
      <c r="X654" s="1711"/>
      <c r="Y654" s="1711"/>
      <c r="Z654" s="1711"/>
      <c r="AA654" s="1712"/>
      <c r="AB654" s="1712"/>
      <c r="AC654" s="1712"/>
      <c r="AD654" s="1712"/>
      <c r="AE654" s="1712"/>
      <c r="AF654" s="1712"/>
      <c r="AG654" s="1712"/>
      <c r="AH654" s="1712"/>
      <c r="AI654" s="1712"/>
      <c r="AJ654" s="1712"/>
      <c r="AK654" s="1712"/>
      <c r="AL654" s="1712"/>
      <c r="AM654" s="1712"/>
      <c r="AN654" s="1712"/>
      <c r="AO654" s="1712"/>
      <c r="AP654" s="1712"/>
      <c r="AQ654" s="1712"/>
      <c r="AR654" s="1712"/>
      <c r="AS654" s="1712"/>
      <c r="AT654" s="1712"/>
      <c r="AU654" s="1712"/>
    </row>
    <row r="655">
      <c r="A655" s="1474" t="s">
        <v>2461</v>
      </c>
      <c r="B655" s="1708"/>
      <c r="C655" s="1709"/>
      <c r="D655" s="1709"/>
      <c r="E655" s="1709"/>
      <c r="F655" s="1710"/>
      <c r="G655" s="1710"/>
      <c r="H655" s="1710"/>
      <c r="I655" s="1710"/>
      <c r="J655" s="1710"/>
      <c r="K655" s="1710"/>
      <c r="L655" s="1710"/>
      <c r="M655" s="1710"/>
      <c r="N655" s="1711"/>
      <c r="O655" s="1711"/>
      <c r="P655" s="1711"/>
      <c r="Q655" s="1711"/>
      <c r="R655" s="1711"/>
      <c r="S655" s="1711"/>
      <c r="T655" s="1711"/>
      <c r="U655" s="1711"/>
      <c r="V655" s="1711"/>
      <c r="W655" s="1711"/>
      <c r="X655" s="1711"/>
      <c r="Y655" s="1711"/>
      <c r="Z655" s="1711"/>
      <c r="AA655" s="1712"/>
      <c r="AB655" s="1712"/>
      <c r="AC655" s="1712"/>
      <c r="AD655" s="1712"/>
      <c r="AE655" s="1712"/>
      <c r="AF655" s="1712"/>
      <c r="AG655" s="1712"/>
      <c r="AH655" s="1712"/>
      <c r="AI655" s="1712"/>
      <c r="AJ655" s="1712"/>
      <c r="AK655" s="1712"/>
      <c r="AL655" s="1712"/>
      <c r="AM655" s="1712"/>
      <c r="AN655" s="1712"/>
      <c r="AO655" s="1712"/>
      <c r="AP655" s="1712"/>
      <c r="AQ655" s="1712"/>
      <c r="AR655" s="1712"/>
      <c r="AS655" s="1712"/>
      <c r="AT655" s="1712"/>
      <c r="AU655" s="1712"/>
    </row>
    <row r="656">
      <c r="A656" s="1474" t="s">
        <v>2461</v>
      </c>
      <c r="B656" s="1708"/>
      <c r="C656" s="1709"/>
      <c r="D656" s="1709"/>
      <c r="E656" s="1709"/>
      <c r="F656" s="1710"/>
      <c r="G656" s="1710"/>
      <c r="H656" s="1710"/>
      <c r="I656" s="1710"/>
      <c r="J656" s="1710"/>
      <c r="K656" s="1710"/>
      <c r="L656" s="1710"/>
      <c r="M656" s="1710"/>
      <c r="N656" s="1711"/>
      <c r="O656" s="1711"/>
      <c r="P656" s="1711"/>
      <c r="Q656" s="1711"/>
      <c r="R656" s="1711"/>
      <c r="S656" s="1711"/>
      <c r="T656" s="1711"/>
      <c r="U656" s="1711"/>
      <c r="V656" s="1711"/>
      <c r="W656" s="1711"/>
      <c r="X656" s="1711"/>
      <c r="Y656" s="1711"/>
      <c r="Z656" s="1711"/>
      <c r="AA656" s="1712"/>
      <c r="AB656" s="1712"/>
      <c r="AC656" s="1712"/>
      <c r="AD656" s="1712"/>
      <c r="AE656" s="1712"/>
      <c r="AF656" s="1712"/>
      <c r="AG656" s="1712"/>
      <c r="AH656" s="1712"/>
      <c r="AI656" s="1712"/>
      <c r="AJ656" s="1712"/>
      <c r="AK656" s="1712"/>
      <c r="AL656" s="1712"/>
      <c r="AM656" s="1712"/>
      <c r="AN656" s="1712"/>
      <c r="AO656" s="1712"/>
      <c r="AP656" s="1712"/>
      <c r="AQ656" s="1712"/>
      <c r="AR656" s="1712"/>
      <c r="AS656" s="1712"/>
      <c r="AT656" s="1712"/>
      <c r="AU656" s="1712"/>
    </row>
    <row r="657">
      <c r="A657" s="1474" t="s">
        <v>2461</v>
      </c>
      <c r="B657" s="1708"/>
      <c r="C657" s="1709"/>
      <c r="D657" s="1709"/>
      <c r="E657" s="1709"/>
      <c r="F657" s="1710"/>
      <c r="G657" s="1710"/>
      <c r="H657" s="1710"/>
      <c r="I657" s="1710"/>
      <c r="J657" s="1710"/>
      <c r="K657" s="1710"/>
      <c r="L657" s="1710"/>
      <c r="M657" s="1710"/>
      <c r="N657" s="1711"/>
      <c r="O657" s="1711"/>
      <c r="P657" s="1711"/>
      <c r="Q657" s="1711"/>
      <c r="R657" s="1711"/>
      <c r="S657" s="1711"/>
      <c r="T657" s="1711"/>
      <c r="U657" s="1711"/>
      <c r="V657" s="1711"/>
      <c r="W657" s="1711"/>
      <c r="X657" s="1711"/>
      <c r="Y657" s="1711"/>
      <c r="Z657" s="1711"/>
      <c r="AA657" s="1712"/>
      <c r="AB657" s="1712"/>
      <c r="AC657" s="1712"/>
      <c r="AD657" s="1712"/>
      <c r="AE657" s="1712"/>
      <c r="AF657" s="1712"/>
      <c r="AG657" s="1712"/>
      <c r="AH657" s="1712"/>
      <c r="AI657" s="1712"/>
      <c r="AJ657" s="1712"/>
      <c r="AK657" s="1712"/>
      <c r="AL657" s="1712"/>
      <c r="AM657" s="1712"/>
      <c r="AN657" s="1712"/>
      <c r="AO657" s="1712"/>
      <c r="AP657" s="1712"/>
      <c r="AQ657" s="1712"/>
      <c r="AR657" s="1712"/>
      <c r="AS657" s="1712"/>
      <c r="AT657" s="1712"/>
      <c r="AU657" s="1712"/>
    </row>
    <row r="658">
      <c r="A658" s="1474" t="s">
        <v>2461</v>
      </c>
      <c r="B658" s="1708"/>
      <c r="C658" s="1709"/>
      <c r="D658" s="1709"/>
      <c r="E658" s="1709"/>
      <c r="F658" s="1710"/>
      <c r="G658" s="1710"/>
      <c r="H658" s="1710"/>
      <c r="I658" s="1710"/>
      <c r="J658" s="1710"/>
      <c r="K658" s="1710"/>
      <c r="L658" s="1710"/>
      <c r="M658" s="1710"/>
      <c r="N658" s="1711"/>
      <c r="O658" s="1711"/>
      <c r="P658" s="1711"/>
      <c r="Q658" s="1711"/>
      <c r="R658" s="1711"/>
      <c r="S658" s="1711"/>
      <c r="T658" s="1711"/>
      <c r="U658" s="1711"/>
      <c r="V658" s="1711"/>
      <c r="W658" s="1711"/>
      <c r="X658" s="1711"/>
      <c r="Y658" s="1711"/>
      <c r="Z658" s="1711"/>
      <c r="AA658" s="1712"/>
      <c r="AB658" s="1712"/>
      <c r="AC658" s="1712"/>
      <c r="AD658" s="1712"/>
      <c r="AE658" s="1712"/>
      <c r="AF658" s="1712"/>
      <c r="AG658" s="1712"/>
      <c r="AH658" s="1712"/>
      <c r="AI658" s="1712"/>
      <c r="AJ658" s="1712"/>
      <c r="AK658" s="1712"/>
      <c r="AL658" s="1712"/>
      <c r="AM658" s="1712"/>
      <c r="AN658" s="1712"/>
      <c r="AO658" s="1712"/>
      <c r="AP658" s="1712"/>
      <c r="AQ658" s="1712"/>
      <c r="AR658" s="1712"/>
      <c r="AS658" s="1712"/>
      <c r="AT658" s="1712"/>
      <c r="AU658" s="1712"/>
    </row>
    <row r="659">
      <c r="A659" s="1474" t="s">
        <v>2461</v>
      </c>
      <c r="B659" s="1708"/>
      <c r="C659" s="1709"/>
      <c r="D659" s="1709"/>
      <c r="E659" s="1709"/>
      <c r="F659" s="1710"/>
      <c r="G659" s="1710"/>
      <c r="H659" s="1710"/>
      <c r="I659" s="1710"/>
      <c r="J659" s="1710"/>
      <c r="K659" s="1710"/>
      <c r="L659" s="1710"/>
      <c r="M659" s="1710"/>
      <c r="N659" s="1711"/>
      <c r="O659" s="1711"/>
      <c r="P659" s="1711"/>
      <c r="Q659" s="1711"/>
      <c r="R659" s="1711"/>
      <c r="S659" s="1711"/>
      <c r="T659" s="1711"/>
      <c r="U659" s="1711"/>
      <c r="V659" s="1711"/>
      <c r="W659" s="1711"/>
      <c r="X659" s="1711"/>
      <c r="Y659" s="1711"/>
      <c r="Z659" s="1711"/>
      <c r="AA659" s="1712"/>
      <c r="AB659" s="1712"/>
      <c r="AC659" s="1712"/>
      <c r="AD659" s="1712"/>
      <c r="AE659" s="1712"/>
      <c r="AF659" s="1712"/>
      <c r="AG659" s="1712"/>
      <c r="AH659" s="1712"/>
      <c r="AI659" s="1712"/>
      <c r="AJ659" s="1712"/>
      <c r="AK659" s="1712"/>
      <c r="AL659" s="1712"/>
      <c r="AM659" s="1712"/>
      <c r="AN659" s="1712"/>
      <c r="AO659" s="1712"/>
      <c r="AP659" s="1712"/>
      <c r="AQ659" s="1712"/>
      <c r="AR659" s="1712"/>
      <c r="AS659" s="1712"/>
      <c r="AT659" s="1712"/>
      <c r="AU659" s="1712"/>
    </row>
    <row r="660">
      <c r="A660" s="1474" t="s">
        <v>2461</v>
      </c>
      <c r="B660" s="1708"/>
      <c r="C660" s="1709"/>
      <c r="D660" s="1709"/>
      <c r="E660" s="1709"/>
      <c r="F660" s="1710"/>
      <c r="G660" s="1710"/>
      <c r="H660" s="1710"/>
      <c r="I660" s="1710"/>
      <c r="J660" s="1710"/>
      <c r="K660" s="1710"/>
      <c r="L660" s="1710"/>
      <c r="M660" s="1710"/>
      <c r="N660" s="1711"/>
      <c r="O660" s="1711"/>
      <c r="P660" s="1711"/>
      <c r="Q660" s="1711"/>
      <c r="R660" s="1711"/>
      <c r="S660" s="1711"/>
      <c r="T660" s="1711"/>
      <c r="U660" s="1711"/>
      <c r="V660" s="1711"/>
      <c r="W660" s="1711"/>
      <c r="X660" s="1711"/>
      <c r="Y660" s="1711"/>
      <c r="Z660" s="1711"/>
      <c r="AA660" s="1712"/>
      <c r="AB660" s="1712"/>
      <c r="AC660" s="1712"/>
      <c r="AD660" s="1712"/>
      <c r="AE660" s="1712"/>
      <c r="AF660" s="1712"/>
      <c r="AG660" s="1712"/>
      <c r="AH660" s="1712"/>
      <c r="AI660" s="1712"/>
      <c r="AJ660" s="1712"/>
      <c r="AK660" s="1712"/>
      <c r="AL660" s="1712"/>
      <c r="AM660" s="1712"/>
      <c r="AN660" s="1712"/>
      <c r="AO660" s="1712"/>
      <c r="AP660" s="1712"/>
      <c r="AQ660" s="1712"/>
      <c r="AR660" s="1712"/>
      <c r="AS660" s="1712"/>
      <c r="AT660" s="1712"/>
      <c r="AU660" s="1712"/>
    </row>
    <row r="661">
      <c r="A661" s="1474" t="s">
        <v>2461</v>
      </c>
      <c r="B661" s="1708"/>
      <c r="C661" s="1709"/>
      <c r="D661" s="1709"/>
      <c r="E661" s="1709"/>
      <c r="F661" s="1710"/>
      <c r="G661" s="1710"/>
      <c r="H661" s="1710"/>
      <c r="I661" s="1710"/>
      <c r="J661" s="1710"/>
      <c r="K661" s="1710"/>
      <c r="L661" s="1710"/>
      <c r="M661" s="1710"/>
      <c r="N661" s="1711"/>
      <c r="O661" s="1711"/>
      <c r="P661" s="1711"/>
      <c r="Q661" s="1711"/>
      <c r="R661" s="1711"/>
      <c r="S661" s="1711"/>
      <c r="T661" s="1711"/>
      <c r="U661" s="1711"/>
      <c r="V661" s="1711"/>
      <c r="W661" s="1711"/>
      <c r="X661" s="1711"/>
      <c r="Y661" s="1711"/>
      <c r="Z661" s="1711"/>
      <c r="AA661" s="1712"/>
      <c r="AB661" s="1712"/>
      <c r="AC661" s="1712"/>
      <c r="AD661" s="1712"/>
      <c r="AE661" s="1712"/>
      <c r="AF661" s="1712"/>
      <c r="AG661" s="1712"/>
      <c r="AH661" s="1712"/>
      <c r="AI661" s="1712"/>
      <c r="AJ661" s="1712"/>
      <c r="AK661" s="1712"/>
      <c r="AL661" s="1712"/>
      <c r="AM661" s="1712"/>
      <c r="AN661" s="1712"/>
      <c r="AO661" s="1712"/>
      <c r="AP661" s="1712"/>
      <c r="AQ661" s="1712"/>
      <c r="AR661" s="1712"/>
      <c r="AS661" s="1712"/>
      <c r="AT661" s="1712"/>
      <c r="AU661" s="1712"/>
    </row>
    <row r="662">
      <c r="A662" s="1474" t="s">
        <v>2461</v>
      </c>
      <c r="B662" s="1708"/>
      <c r="C662" s="1709"/>
      <c r="D662" s="1709"/>
      <c r="E662" s="1709"/>
      <c r="F662" s="1710"/>
      <c r="G662" s="1710"/>
      <c r="H662" s="1710"/>
      <c r="I662" s="1710"/>
      <c r="J662" s="1710"/>
      <c r="K662" s="1710"/>
      <c r="L662" s="1710"/>
      <c r="M662" s="1710"/>
      <c r="N662" s="1711"/>
      <c r="O662" s="1711"/>
      <c r="P662" s="1711"/>
      <c r="Q662" s="1711"/>
      <c r="R662" s="1711"/>
      <c r="S662" s="1711"/>
      <c r="T662" s="1711"/>
      <c r="U662" s="1711"/>
      <c r="V662" s="1711"/>
      <c r="W662" s="1711"/>
      <c r="X662" s="1711"/>
      <c r="Y662" s="1711"/>
      <c r="Z662" s="1711"/>
      <c r="AA662" s="1712"/>
      <c r="AB662" s="1712"/>
      <c r="AC662" s="1712"/>
      <c r="AD662" s="1712"/>
      <c r="AE662" s="1712"/>
      <c r="AF662" s="1712"/>
      <c r="AG662" s="1712"/>
      <c r="AH662" s="1712"/>
      <c r="AI662" s="1712"/>
      <c r="AJ662" s="1712"/>
      <c r="AK662" s="1712"/>
      <c r="AL662" s="1712"/>
      <c r="AM662" s="1712"/>
      <c r="AN662" s="1712"/>
      <c r="AO662" s="1712"/>
      <c r="AP662" s="1712"/>
      <c r="AQ662" s="1712"/>
      <c r="AR662" s="1712"/>
      <c r="AS662" s="1712"/>
      <c r="AT662" s="1712"/>
      <c r="AU662" s="1712"/>
    </row>
    <row r="663">
      <c r="A663" s="1474" t="s">
        <v>2461</v>
      </c>
      <c r="B663" s="1708"/>
      <c r="C663" s="1709"/>
      <c r="D663" s="1709"/>
      <c r="E663" s="1709"/>
      <c r="F663" s="1710"/>
      <c r="G663" s="1710"/>
      <c r="H663" s="1710"/>
      <c r="I663" s="1710"/>
      <c r="J663" s="1710"/>
      <c r="K663" s="1710"/>
      <c r="L663" s="1710"/>
      <c r="M663" s="1710"/>
      <c r="N663" s="1711"/>
      <c r="O663" s="1711"/>
      <c r="P663" s="1711"/>
      <c r="Q663" s="1711"/>
      <c r="R663" s="1711"/>
      <c r="S663" s="1711"/>
      <c r="T663" s="1711"/>
      <c r="U663" s="1711"/>
      <c r="V663" s="1711"/>
      <c r="W663" s="1711"/>
      <c r="X663" s="1711"/>
      <c r="Y663" s="1711"/>
      <c r="Z663" s="1711"/>
      <c r="AA663" s="1712"/>
      <c r="AB663" s="1712"/>
      <c r="AC663" s="1712"/>
      <c r="AD663" s="1712"/>
      <c r="AE663" s="1712"/>
      <c r="AF663" s="1712"/>
      <c r="AG663" s="1712"/>
      <c r="AH663" s="1712"/>
      <c r="AI663" s="1712"/>
      <c r="AJ663" s="1712"/>
      <c r="AK663" s="1712"/>
      <c r="AL663" s="1712"/>
      <c r="AM663" s="1712"/>
      <c r="AN663" s="1712"/>
      <c r="AO663" s="1712"/>
      <c r="AP663" s="1712"/>
      <c r="AQ663" s="1712"/>
      <c r="AR663" s="1712"/>
      <c r="AS663" s="1712"/>
      <c r="AT663" s="1712"/>
      <c r="AU663" s="1712"/>
    </row>
    <row r="664">
      <c r="A664" s="1474" t="s">
        <v>2461</v>
      </c>
      <c r="B664" s="1708"/>
      <c r="C664" s="1709"/>
      <c r="D664" s="1709"/>
      <c r="E664" s="1709"/>
      <c r="F664" s="1710"/>
      <c r="G664" s="1710"/>
      <c r="H664" s="1710"/>
      <c r="I664" s="1710"/>
      <c r="J664" s="1710"/>
      <c r="K664" s="1710"/>
      <c r="L664" s="1710"/>
      <c r="M664" s="1710"/>
      <c r="N664" s="1711"/>
      <c r="O664" s="1711"/>
      <c r="P664" s="1711"/>
      <c r="Q664" s="1711"/>
      <c r="R664" s="1711"/>
      <c r="S664" s="1711"/>
      <c r="T664" s="1711"/>
      <c r="U664" s="1711"/>
      <c r="V664" s="1711"/>
      <c r="W664" s="1711"/>
      <c r="X664" s="1711"/>
      <c r="Y664" s="1711"/>
      <c r="Z664" s="1711"/>
      <c r="AA664" s="1712"/>
      <c r="AB664" s="1712"/>
      <c r="AC664" s="1712"/>
      <c r="AD664" s="1712"/>
      <c r="AE664" s="1712"/>
      <c r="AF664" s="1712"/>
      <c r="AG664" s="1712"/>
      <c r="AH664" s="1712"/>
      <c r="AI664" s="1712"/>
      <c r="AJ664" s="1712"/>
      <c r="AK664" s="1712"/>
      <c r="AL664" s="1712"/>
      <c r="AM664" s="1712"/>
      <c r="AN664" s="1712"/>
      <c r="AO664" s="1712"/>
      <c r="AP664" s="1712"/>
      <c r="AQ664" s="1712"/>
      <c r="AR664" s="1712"/>
      <c r="AS664" s="1712"/>
      <c r="AT664" s="1712"/>
      <c r="AU664" s="1712"/>
    </row>
    <row r="665">
      <c r="A665" s="1474" t="s">
        <v>2461</v>
      </c>
      <c r="B665" s="1708"/>
      <c r="C665" s="1709"/>
      <c r="D665" s="1709"/>
      <c r="E665" s="1709"/>
      <c r="F665" s="1710"/>
      <c r="G665" s="1710"/>
      <c r="H665" s="1710"/>
      <c r="I665" s="1710"/>
      <c r="J665" s="1710"/>
      <c r="K665" s="1710"/>
      <c r="L665" s="1710"/>
      <c r="M665" s="1710"/>
      <c r="N665" s="1711"/>
      <c r="O665" s="1711"/>
      <c r="P665" s="1711"/>
      <c r="Q665" s="1711"/>
      <c r="R665" s="1711"/>
      <c r="S665" s="1711"/>
      <c r="T665" s="1711"/>
      <c r="U665" s="1711"/>
      <c r="V665" s="1711"/>
      <c r="W665" s="1711"/>
      <c r="X665" s="1711"/>
      <c r="Y665" s="1711"/>
      <c r="Z665" s="1711"/>
      <c r="AA665" s="1712"/>
      <c r="AB665" s="1712"/>
      <c r="AC665" s="1712"/>
      <c r="AD665" s="1712"/>
      <c r="AE665" s="1712"/>
      <c r="AF665" s="1712"/>
      <c r="AG665" s="1712"/>
      <c r="AH665" s="1712"/>
      <c r="AI665" s="1712"/>
      <c r="AJ665" s="1712"/>
      <c r="AK665" s="1712"/>
      <c r="AL665" s="1712"/>
      <c r="AM665" s="1712"/>
      <c r="AN665" s="1712"/>
      <c r="AO665" s="1712"/>
      <c r="AP665" s="1712"/>
      <c r="AQ665" s="1712"/>
      <c r="AR665" s="1712"/>
      <c r="AS665" s="1712"/>
      <c r="AT665" s="1712"/>
      <c r="AU665" s="1712"/>
    </row>
    <row r="666">
      <c r="A666" s="1474" t="s">
        <v>2461</v>
      </c>
      <c r="B666" s="1708"/>
      <c r="C666" s="1709"/>
      <c r="D666" s="1709"/>
      <c r="E666" s="1709"/>
      <c r="F666" s="1710"/>
      <c r="G666" s="1710"/>
      <c r="H666" s="1710"/>
      <c r="I666" s="1710"/>
      <c r="J666" s="1710"/>
      <c r="K666" s="1710"/>
      <c r="L666" s="1710"/>
      <c r="M666" s="1710"/>
      <c r="N666" s="1711"/>
      <c r="O666" s="1711"/>
      <c r="P666" s="1711"/>
      <c r="Q666" s="1711"/>
      <c r="R666" s="1711"/>
      <c r="S666" s="1711"/>
      <c r="T666" s="1711"/>
      <c r="U666" s="1711"/>
      <c r="V666" s="1711"/>
      <c r="W666" s="1711"/>
      <c r="X666" s="1711"/>
      <c r="Y666" s="1711"/>
      <c r="Z666" s="1711"/>
      <c r="AA666" s="1712"/>
      <c r="AB666" s="1712"/>
      <c r="AC666" s="1712"/>
      <c r="AD666" s="1712"/>
      <c r="AE666" s="1712"/>
      <c r="AF666" s="1712"/>
      <c r="AG666" s="1712"/>
      <c r="AH666" s="1712"/>
      <c r="AI666" s="1712"/>
      <c r="AJ666" s="1712"/>
      <c r="AK666" s="1712"/>
      <c r="AL666" s="1712"/>
      <c r="AM666" s="1712"/>
      <c r="AN666" s="1712"/>
      <c r="AO666" s="1712"/>
      <c r="AP666" s="1712"/>
      <c r="AQ666" s="1712"/>
      <c r="AR666" s="1712"/>
      <c r="AS666" s="1712"/>
      <c r="AT666" s="1712"/>
      <c r="AU666" s="1712"/>
    </row>
    <row r="667">
      <c r="A667" s="1474" t="s">
        <v>2461</v>
      </c>
      <c r="B667" s="1708"/>
      <c r="C667" s="1709"/>
      <c r="D667" s="1709"/>
      <c r="E667" s="1709"/>
      <c r="F667" s="1710"/>
      <c r="G667" s="1710"/>
      <c r="H667" s="1710"/>
      <c r="I667" s="1710"/>
      <c r="J667" s="1710"/>
      <c r="K667" s="1710"/>
      <c r="L667" s="1710"/>
      <c r="M667" s="1710"/>
      <c r="N667" s="1711"/>
      <c r="O667" s="1711"/>
      <c r="P667" s="1711"/>
      <c r="Q667" s="1711"/>
      <c r="R667" s="1711"/>
      <c r="S667" s="1711"/>
      <c r="T667" s="1711"/>
      <c r="U667" s="1711"/>
      <c r="V667" s="1711"/>
      <c r="W667" s="1711"/>
      <c r="X667" s="1711"/>
      <c r="Y667" s="1711"/>
      <c r="Z667" s="1711"/>
      <c r="AA667" s="1712"/>
      <c r="AB667" s="1712"/>
      <c r="AC667" s="1712"/>
      <c r="AD667" s="1712"/>
      <c r="AE667" s="1712"/>
      <c r="AF667" s="1712"/>
      <c r="AG667" s="1712"/>
      <c r="AH667" s="1712"/>
      <c r="AI667" s="1712"/>
      <c r="AJ667" s="1712"/>
      <c r="AK667" s="1712"/>
      <c r="AL667" s="1712"/>
      <c r="AM667" s="1712"/>
      <c r="AN667" s="1712"/>
      <c r="AO667" s="1712"/>
      <c r="AP667" s="1712"/>
      <c r="AQ667" s="1712"/>
      <c r="AR667" s="1712"/>
      <c r="AS667" s="1712"/>
      <c r="AT667" s="1712"/>
      <c r="AU667" s="1712"/>
    </row>
    <row r="668">
      <c r="A668" s="1474" t="s">
        <v>2461</v>
      </c>
      <c r="B668" s="1708"/>
      <c r="C668" s="1709"/>
      <c r="D668" s="1709"/>
      <c r="E668" s="1709"/>
      <c r="F668" s="1710"/>
      <c r="G668" s="1710"/>
      <c r="H668" s="1710"/>
      <c r="I668" s="1710"/>
      <c r="J668" s="1710"/>
      <c r="K668" s="1710"/>
      <c r="L668" s="1710"/>
      <c r="M668" s="1710"/>
      <c r="N668" s="1711"/>
      <c r="O668" s="1711"/>
      <c r="P668" s="1711"/>
      <c r="Q668" s="1711"/>
      <c r="R668" s="1711"/>
      <c r="S668" s="1711"/>
      <c r="T668" s="1711"/>
      <c r="U668" s="1711"/>
      <c r="V668" s="1711"/>
      <c r="W668" s="1711"/>
      <c r="X668" s="1711"/>
      <c r="Y668" s="1711"/>
      <c r="Z668" s="1711"/>
      <c r="AA668" s="1712"/>
      <c r="AB668" s="1712"/>
      <c r="AC668" s="1712"/>
      <c r="AD668" s="1712"/>
      <c r="AE668" s="1712"/>
      <c r="AF668" s="1712"/>
      <c r="AG668" s="1712"/>
      <c r="AH668" s="1712"/>
      <c r="AI668" s="1712"/>
      <c r="AJ668" s="1712"/>
      <c r="AK668" s="1712"/>
      <c r="AL668" s="1712"/>
      <c r="AM668" s="1712"/>
      <c r="AN668" s="1712"/>
      <c r="AO668" s="1712"/>
      <c r="AP668" s="1712"/>
      <c r="AQ668" s="1712"/>
      <c r="AR668" s="1712"/>
      <c r="AS668" s="1712"/>
      <c r="AT668" s="1712"/>
      <c r="AU668" s="1712"/>
    </row>
    <row r="669">
      <c r="A669" s="1474" t="s">
        <v>2461</v>
      </c>
      <c r="B669" s="1708"/>
      <c r="C669" s="1709"/>
      <c r="D669" s="1709"/>
      <c r="E669" s="1709"/>
      <c r="F669" s="1710"/>
      <c r="G669" s="1710"/>
      <c r="H669" s="1710"/>
      <c r="I669" s="1710"/>
      <c r="J669" s="1710"/>
      <c r="K669" s="1710"/>
      <c r="L669" s="1710"/>
      <c r="M669" s="1710"/>
      <c r="N669" s="1711"/>
      <c r="O669" s="1711"/>
      <c r="P669" s="1711"/>
      <c r="Q669" s="1711"/>
      <c r="R669" s="1711"/>
      <c r="S669" s="1711"/>
      <c r="T669" s="1711"/>
      <c r="U669" s="1711"/>
      <c r="V669" s="1711"/>
      <c r="W669" s="1711"/>
      <c r="X669" s="1711"/>
      <c r="Y669" s="1711"/>
      <c r="Z669" s="1711"/>
      <c r="AA669" s="1712"/>
      <c r="AB669" s="1712"/>
      <c r="AC669" s="1712"/>
      <c r="AD669" s="1712"/>
      <c r="AE669" s="1712"/>
      <c r="AF669" s="1712"/>
      <c r="AG669" s="1712"/>
      <c r="AH669" s="1712"/>
      <c r="AI669" s="1712"/>
      <c r="AJ669" s="1712"/>
      <c r="AK669" s="1712"/>
      <c r="AL669" s="1712"/>
      <c r="AM669" s="1712"/>
      <c r="AN669" s="1712"/>
      <c r="AO669" s="1712"/>
      <c r="AP669" s="1712"/>
      <c r="AQ669" s="1712"/>
      <c r="AR669" s="1712"/>
      <c r="AS669" s="1712"/>
      <c r="AT669" s="1712"/>
      <c r="AU669" s="1712"/>
    </row>
    <row r="670">
      <c r="A670" s="1474" t="s">
        <v>2461</v>
      </c>
      <c r="B670" s="1708"/>
      <c r="C670" s="1709"/>
      <c r="D670" s="1709"/>
      <c r="E670" s="1709"/>
      <c r="F670" s="1710"/>
      <c r="G670" s="1710"/>
      <c r="H670" s="1710"/>
      <c r="I670" s="1710"/>
      <c r="J670" s="1710"/>
      <c r="K670" s="1710"/>
      <c r="L670" s="1710"/>
      <c r="M670" s="1710"/>
      <c r="N670" s="1711"/>
      <c r="O670" s="1711"/>
      <c r="P670" s="1711"/>
      <c r="Q670" s="1711"/>
      <c r="R670" s="1711"/>
      <c r="S670" s="1711"/>
      <c r="T670" s="1711"/>
      <c r="U670" s="1711"/>
      <c r="V670" s="1711"/>
      <c r="W670" s="1711"/>
      <c r="X670" s="1711"/>
      <c r="Y670" s="1711"/>
      <c r="Z670" s="1711"/>
      <c r="AA670" s="1712"/>
      <c r="AB670" s="1712"/>
      <c r="AC670" s="1712"/>
      <c r="AD670" s="1712"/>
      <c r="AE670" s="1712"/>
      <c r="AF670" s="1712"/>
      <c r="AG670" s="1712"/>
      <c r="AH670" s="1712"/>
      <c r="AI670" s="1712"/>
      <c r="AJ670" s="1712"/>
      <c r="AK670" s="1712"/>
      <c r="AL670" s="1712"/>
      <c r="AM670" s="1712"/>
      <c r="AN670" s="1712"/>
      <c r="AO670" s="1712"/>
      <c r="AP670" s="1712"/>
      <c r="AQ670" s="1712"/>
      <c r="AR670" s="1712"/>
      <c r="AS670" s="1712"/>
      <c r="AT670" s="1712"/>
      <c r="AU670" s="1712"/>
    </row>
    <row r="671">
      <c r="A671" s="1474" t="s">
        <v>2461</v>
      </c>
      <c r="B671" s="1708"/>
      <c r="C671" s="1709"/>
      <c r="D671" s="1709"/>
      <c r="E671" s="1709"/>
      <c r="F671" s="1710"/>
      <c r="G671" s="1710"/>
      <c r="H671" s="1710"/>
      <c r="I671" s="1710"/>
      <c r="J671" s="1710"/>
      <c r="K671" s="1710"/>
      <c r="L671" s="1710"/>
      <c r="M671" s="1710"/>
      <c r="N671" s="1711"/>
      <c r="O671" s="1711"/>
      <c r="P671" s="1711"/>
      <c r="Q671" s="1711"/>
      <c r="R671" s="1711"/>
      <c r="S671" s="1711"/>
      <c r="T671" s="1711"/>
      <c r="U671" s="1711"/>
      <c r="V671" s="1711"/>
      <c r="W671" s="1711"/>
      <c r="X671" s="1711"/>
      <c r="Y671" s="1711"/>
      <c r="Z671" s="1711"/>
      <c r="AA671" s="1712"/>
      <c r="AB671" s="1712"/>
      <c r="AC671" s="1712"/>
      <c r="AD671" s="1712"/>
      <c r="AE671" s="1712"/>
      <c r="AF671" s="1712"/>
      <c r="AG671" s="1712"/>
      <c r="AH671" s="1712"/>
      <c r="AI671" s="1712"/>
      <c r="AJ671" s="1712"/>
      <c r="AK671" s="1712"/>
      <c r="AL671" s="1712"/>
      <c r="AM671" s="1712"/>
      <c r="AN671" s="1712"/>
      <c r="AO671" s="1712"/>
      <c r="AP671" s="1712"/>
      <c r="AQ671" s="1712"/>
      <c r="AR671" s="1712"/>
      <c r="AS671" s="1712"/>
      <c r="AT671" s="1712"/>
      <c r="AU671" s="1712"/>
    </row>
    <row r="672">
      <c r="A672" s="1474" t="s">
        <v>2461</v>
      </c>
      <c r="B672" s="1708"/>
      <c r="C672" s="1709"/>
      <c r="D672" s="1709"/>
      <c r="E672" s="1709"/>
      <c r="F672" s="1710"/>
      <c r="G672" s="1710"/>
      <c r="H672" s="1710"/>
      <c r="I672" s="1710"/>
      <c r="J672" s="1710"/>
      <c r="K672" s="1710"/>
      <c r="L672" s="1710"/>
      <c r="M672" s="1710"/>
      <c r="N672" s="1711"/>
      <c r="O672" s="1711"/>
      <c r="P672" s="1711"/>
      <c r="Q672" s="1711"/>
      <c r="R672" s="1711"/>
      <c r="S672" s="1711"/>
      <c r="T672" s="1711"/>
      <c r="U672" s="1711"/>
      <c r="V672" s="1711"/>
      <c r="W672" s="1711"/>
      <c r="X672" s="1711"/>
      <c r="Y672" s="1711"/>
      <c r="Z672" s="1711"/>
      <c r="AA672" s="1712"/>
      <c r="AB672" s="1712"/>
      <c r="AC672" s="1712"/>
      <c r="AD672" s="1712"/>
      <c r="AE672" s="1712"/>
      <c r="AF672" s="1712"/>
      <c r="AG672" s="1712"/>
      <c r="AH672" s="1712"/>
      <c r="AI672" s="1712"/>
      <c r="AJ672" s="1712"/>
      <c r="AK672" s="1712"/>
      <c r="AL672" s="1712"/>
      <c r="AM672" s="1712"/>
      <c r="AN672" s="1712"/>
      <c r="AO672" s="1712"/>
      <c r="AP672" s="1712"/>
      <c r="AQ672" s="1712"/>
      <c r="AR672" s="1712"/>
      <c r="AS672" s="1712"/>
      <c r="AT672" s="1712"/>
      <c r="AU672" s="1712"/>
    </row>
    <row r="673">
      <c r="A673" s="1474" t="s">
        <v>2461</v>
      </c>
      <c r="B673" s="1708"/>
      <c r="C673" s="1709"/>
      <c r="D673" s="1709"/>
      <c r="E673" s="1709"/>
      <c r="F673" s="1710"/>
      <c r="G673" s="1710"/>
      <c r="H673" s="1710"/>
      <c r="I673" s="1710"/>
      <c r="J673" s="1710"/>
      <c r="K673" s="1710"/>
      <c r="L673" s="1710"/>
      <c r="M673" s="1710"/>
      <c r="N673" s="1711"/>
      <c r="O673" s="1711"/>
      <c r="P673" s="1711"/>
      <c r="Q673" s="1711"/>
      <c r="R673" s="1711"/>
      <c r="S673" s="1711"/>
      <c r="T673" s="1711"/>
      <c r="U673" s="1711"/>
      <c r="V673" s="1711"/>
      <c r="W673" s="1711"/>
      <c r="X673" s="1711"/>
      <c r="Y673" s="1711"/>
      <c r="Z673" s="1711"/>
      <c r="AA673" s="1712"/>
      <c r="AB673" s="1712"/>
      <c r="AC673" s="1712"/>
      <c r="AD673" s="1712"/>
      <c r="AE673" s="1712"/>
      <c r="AF673" s="1712"/>
      <c r="AG673" s="1712"/>
      <c r="AH673" s="1712"/>
      <c r="AI673" s="1712"/>
      <c r="AJ673" s="1712"/>
      <c r="AK673" s="1712"/>
      <c r="AL673" s="1712"/>
      <c r="AM673" s="1712"/>
      <c r="AN673" s="1712"/>
      <c r="AO673" s="1712"/>
      <c r="AP673" s="1712"/>
      <c r="AQ673" s="1712"/>
      <c r="AR673" s="1712"/>
      <c r="AS673" s="1712"/>
      <c r="AT673" s="1712"/>
      <c r="AU673" s="1712"/>
    </row>
    <row r="674">
      <c r="A674" s="1474" t="s">
        <v>2461</v>
      </c>
      <c r="B674" s="1708"/>
      <c r="C674" s="1709"/>
      <c r="D674" s="1709"/>
      <c r="E674" s="1709"/>
      <c r="F674" s="1710"/>
      <c r="G674" s="1710"/>
      <c r="H674" s="1710"/>
      <c r="I674" s="1710"/>
      <c r="J674" s="1710"/>
      <c r="K674" s="1710"/>
      <c r="L674" s="1710"/>
      <c r="M674" s="1710"/>
      <c r="N674" s="1711"/>
      <c r="O674" s="1711"/>
      <c r="P674" s="1711"/>
      <c r="Q674" s="1711"/>
      <c r="R674" s="1711"/>
      <c r="S674" s="1711"/>
      <c r="T674" s="1711"/>
      <c r="U674" s="1711"/>
      <c r="V674" s="1711"/>
      <c r="W674" s="1711"/>
      <c r="X674" s="1711"/>
      <c r="Y674" s="1711"/>
      <c r="Z674" s="1711"/>
      <c r="AA674" s="1712"/>
      <c r="AB674" s="1712"/>
      <c r="AC674" s="1712"/>
      <c r="AD674" s="1712"/>
      <c r="AE674" s="1712"/>
      <c r="AF674" s="1712"/>
      <c r="AG674" s="1712"/>
      <c r="AH674" s="1712"/>
      <c r="AI674" s="1712"/>
      <c r="AJ674" s="1712"/>
      <c r="AK674" s="1712"/>
      <c r="AL674" s="1712"/>
      <c r="AM674" s="1712"/>
      <c r="AN674" s="1712"/>
      <c r="AO674" s="1712"/>
      <c r="AP674" s="1712"/>
      <c r="AQ674" s="1712"/>
      <c r="AR674" s="1712"/>
      <c r="AS674" s="1712"/>
      <c r="AT674" s="1712"/>
      <c r="AU674" s="1712"/>
    </row>
    <row r="675">
      <c r="A675" s="1474" t="s">
        <v>2461</v>
      </c>
      <c r="B675" s="1708"/>
      <c r="C675" s="1709"/>
      <c r="D675" s="1709"/>
      <c r="E675" s="1709"/>
      <c r="F675" s="1710"/>
      <c r="G675" s="1710"/>
      <c r="H675" s="1710"/>
      <c r="I675" s="1710"/>
      <c r="J675" s="1710"/>
      <c r="K675" s="1710"/>
      <c r="L675" s="1710"/>
      <c r="M675" s="1710"/>
      <c r="N675" s="1711"/>
      <c r="O675" s="1711"/>
      <c r="P675" s="1711"/>
      <c r="Q675" s="1711"/>
      <c r="R675" s="1711"/>
      <c r="S675" s="1711"/>
      <c r="T675" s="1711"/>
      <c r="U675" s="1711"/>
      <c r="V675" s="1711"/>
      <c r="W675" s="1711"/>
      <c r="X675" s="1711"/>
      <c r="Y675" s="1711"/>
      <c r="Z675" s="1711"/>
      <c r="AA675" s="1712"/>
      <c r="AB675" s="1712"/>
      <c r="AC675" s="1712"/>
      <c r="AD675" s="1712"/>
      <c r="AE675" s="1712"/>
      <c r="AF675" s="1712"/>
      <c r="AG675" s="1712"/>
      <c r="AH675" s="1712"/>
      <c r="AI675" s="1712"/>
      <c r="AJ675" s="1712"/>
      <c r="AK675" s="1712"/>
      <c r="AL675" s="1712"/>
      <c r="AM675" s="1712"/>
      <c r="AN675" s="1712"/>
      <c r="AO675" s="1712"/>
      <c r="AP675" s="1712"/>
      <c r="AQ675" s="1712"/>
      <c r="AR675" s="1712"/>
      <c r="AS675" s="1712"/>
      <c r="AT675" s="1712"/>
      <c r="AU675" s="1712"/>
    </row>
    <row r="676">
      <c r="A676" s="1474" t="s">
        <v>2461</v>
      </c>
      <c r="B676" s="1708"/>
      <c r="C676" s="1709"/>
      <c r="D676" s="1709"/>
      <c r="E676" s="1709"/>
      <c r="F676" s="1710"/>
      <c r="G676" s="1710"/>
      <c r="H676" s="1710"/>
      <c r="I676" s="1710"/>
      <c r="J676" s="1710"/>
      <c r="K676" s="1710"/>
      <c r="L676" s="1710"/>
      <c r="M676" s="1710"/>
      <c r="N676" s="1711"/>
      <c r="O676" s="1711"/>
      <c r="P676" s="1711"/>
      <c r="Q676" s="1711"/>
      <c r="R676" s="1711"/>
      <c r="S676" s="1711"/>
      <c r="T676" s="1711"/>
      <c r="U676" s="1711"/>
      <c r="V676" s="1711"/>
      <c r="W676" s="1711"/>
      <c r="X676" s="1711"/>
      <c r="Y676" s="1711"/>
      <c r="Z676" s="1711"/>
      <c r="AA676" s="1712"/>
      <c r="AB676" s="1712"/>
      <c r="AC676" s="1712"/>
      <c r="AD676" s="1712"/>
      <c r="AE676" s="1712"/>
      <c r="AF676" s="1712"/>
      <c r="AG676" s="1712"/>
      <c r="AH676" s="1712"/>
      <c r="AI676" s="1712"/>
      <c r="AJ676" s="1712"/>
      <c r="AK676" s="1712"/>
      <c r="AL676" s="1712"/>
      <c r="AM676" s="1712"/>
      <c r="AN676" s="1712"/>
      <c r="AO676" s="1712"/>
      <c r="AP676" s="1712"/>
      <c r="AQ676" s="1712"/>
      <c r="AR676" s="1712"/>
      <c r="AS676" s="1712"/>
      <c r="AT676" s="1712"/>
      <c r="AU676" s="1712"/>
    </row>
    <row r="677">
      <c r="A677" s="1474" t="s">
        <v>2461</v>
      </c>
      <c r="B677" s="1708"/>
      <c r="C677" s="1709"/>
      <c r="D677" s="1709"/>
      <c r="E677" s="1709"/>
      <c r="F677" s="1710"/>
      <c r="G677" s="1710"/>
      <c r="H677" s="1710"/>
      <c r="I677" s="1710"/>
      <c r="J677" s="1710"/>
      <c r="K677" s="1710"/>
      <c r="L677" s="1710"/>
      <c r="M677" s="1710"/>
      <c r="N677" s="1711"/>
      <c r="O677" s="1711"/>
      <c r="P677" s="1711"/>
      <c r="Q677" s="1711"/>
      <c r="R677" s="1711"/>
      <c r="S677" s="1711"/>
      <c r="T677" s="1711"/>
      <c r="U677" s="1711"/>
      <c r="V677" s="1711"/>
      <c r="W677" s="1711"/>
      <c r="X677" s="1711"/>
      <c r="Y677" s="1711"/>
      <c r="Z677" s="1711"/>
      <c r="AA677" s="1712"/>
      <c r="AB677" s="1712"/>
      <c r="AC677" s="1712"/>
      <c r="AD677" s="1712"/>
      <c r="AE677" s="1712"/>
      <c r="AF677" s="1712"/>
      <c r="AG677" s="1712"/>
      <c r="AH677" s="1712"/>
      <c r="AI677" s="1712"/>
      <c r="AJ677" s="1712"/>
      <c r="AK677" s="1712"/>
      <c r="AL677" s="1712"/>
      <c r="AM677" s="1712"/>
      <c r="AN677" s="1712"/>
      <c r="AO677" s="1712"/>
      <c r="AP677" s="1712"/>
      <c r="AQ677" s="1712"/>
      <c r="AR677" s="1712"/>
      <c r="AS677" s="1712"/>
      <c r="AT677" s="1712"/>
      <c r="AU677" s="1712"/>
    </row>
    <row r="678">
      <c r="A678" s="1474" t="s">
        <v>2461</v>
      </c>
      <c r="B678" s="1708"/>
      <c r="C678" s="1709"/>
      <c r="D678" s="1709"/>
      <c r="E678" s="1709"/>
      <c r="F678" s="1710"/>
      <c r="G678" s="1710"/>
      <c r="H678" s="1710"/>
      <c r="I678" s="1710"/>
      <c r="J678" s="1710"/>
      <c r="K678" s="1710"/>
      <c r="L678" s="1710"/>
      <c r="M678" s="1710"/>
      <c r="N678" s="1711"/>
      <c r="O678" s="1711"/>
      <c r="P678" s="1711"/>
      <c r="Q678" s="1711"/>
      <c r="R678" s="1711"/>
      <c r="S678" s="1711"/>
      <c r="T678" s="1711"/>
      <c r="U678" s="1711"/>
      <c r="V678" s="1711"/>
      <c r="W678" s="1711"/>
      <c r="X678" s="1711"/>
      <c r="Y678" s="1711"/>
      <c r="Z678" s="1711"/>
      <c r="AA678" s="1712"/>
      <c r="AB678" s="1712"/>
      <c r="AC678" s="1712"/>
      <c r="AD678" s="1712"/>
      <c r="AE678" s="1712"/>
      <c r="AF678" s="1712"/>
      <c r="AG678" s="1712"/>
      <c r="AH678" s="1712"/>
      <c r="AI678" s="1712"/>
      <c r="AJ678" s="1712"/>
      <c r="AK678" s="1712"/>
      <c r="AL678" s="1712"/>
      <c r="AM678" s="1712"/>
      <c r="AN678" s="1712"/>
      <c r="AO678" s="1712"/>
      <c r="AP678" s="1712"/>
      <c r="AQ678" s="1712"/>
      <c r="AR678" s="1712"/>
      <c r="AS678" s="1712"/>
      <c r="AT678" s="1712"/>
      <c r="AU678" s="1712"/>
    </row>
    <row r="679">
      <c r="A679" s="1474" t="s">
        <v>2461</v>
      </c>
      <c r="B679" s="1708"/>
      <c r="C679" s="1709"/>
      <c r="D679" s="1709"/>
      <c r="E679" s="1709"/>
      <c r="F679" s="1710"/>
      <c r="G679" s="1710"/>
      <c r="H679" s="1710"/>
      <c r="I679" s="1710"/>
      <c r="J679" s="1710"/>
      <c r="K679" s="1710"/>
      <c r="L679" s="1710"/>
      <c r="M679" s="1710"/>
      <c r="N679" s="1711"/>
      <c r="O679" s="1711"/>
      <c r="P679" s="1711"/>
      <c r="Q679" s="1711"/>
      <c r="R679" s="1711"/>
      <c r="S679" s="1711"/>
      <c r="T679" s="1711"/>
      <c r="U679" s="1711"/>
      <c r="V679" s="1711"/>
      <c r="W679" s="1711"/>
      <c r="X679" s="1711"/>
      <c r="Y679" s="1711"/>
      <c r="Z679" s="1711"/>
      <c r="AA679" s="1712"/>
      <c r="AB679" s="1712"/>
      <c r="AC679" s="1712"/>
      <c r="AD679" s="1712"/>
      <c r="AE679" s="1712"/>
      <c r="AF679" s="1712"/>
      <c r="AG679" s="1712"/>
      <c r="AH679" s="1712"/>
      <c r="AI679" s="1712"/>
      <c r="AJ679" s="1712"/>
      <c r="AK679" s="1712"/>
      <c r="AL679" s="1712"/>
      <c r="AM679" s="1712"/>
      <c r="AN679" s="1712"/>
      <c r="AO679" s="1712"/>
      <c r="AP679" s="1712"/>
      <c r="AQ679" s="1712"/>
      <c r="AR679" s="1712"/>
      <c r="AS679" s="1712"/>
      <c r="AT679" s="1712"/>
      <c r="AU679" s="1712"/>
    </row>
    <row r="680">
      <c r="A680" s="1474" t="s">
        <v>2461</v>
      </c>
      <c r="B680" s="1708"/>
      <c r="C680" s="1709"/>
      <c r="D680" s="1709"/>
      <c r="E680" s="1709"/>
      <c r="F680" s="1710"/>
      <c r="G680" s="1710"/>
      <c r="H680" s="1710"/>
      <c r="I680" s="1710"/>
      <c r="J680" s="1710"/>
      <c r="K680" s="1710"/>
      <c r="L680" s="1710"/>
      <c r="M680" s="1710"/>
      <c r="N680" s="1711"/>
      <c r="O680" s="1711"/>
      <c r="P680" s="1711"/>
      <c r="Q680" s="1711"/>
      <c r="R680" s="1711"/>
      <c r="S680" s="1711"/>
      <c r="T680" s="1711"/>
      <c r="U680" s="1711"/>
      <c r="V680" s="1711"/>
      <c r="W680" s="1711"/>
      <c r="X680" s="1711"/>
      <c r="Y680" s="1711"/>
      <c r="Z680" s="1711"/>
      <c r="AA680" s="1712"/>
      <c r="AB680" s="1712"/>
      <c r="AC680" s="1712"/>
      <c r="AD680" s="1712"/>
      <c r="AE680" s="1712"/>
      <c r="AF680" s="1712"/>
      <c r="AG680" s="1712"/>
      <c r="AH680" s="1712"/>
      <c r="AI680" s="1712"/>
      <c r="AJ680" s="1712"/>
      <c r="AK680" s="1712"/>
      <c r="AL680" s="1712"/>
      <c r="AM680" s="1712"/>
      <c r="AN680" s="1712"/>
      <c r="AO680" s="1712"/>
      <c r="AP680" s="1712"/>
      <c r="AQ680" s="1712"/>
      <c r="AR680" s="1712"/>
      <c r="AS680" s="1712"/>
      <c r="AT680" s="1712"/>
      <c r="AU680" s="1712"/>
    </row>
    <row r="681">
      <c r="A681" s="1474" t="s">
        <v>2461</v>
      </c>
      <c r="B681" s="1708"/>
      <c r="C681" s="1709"/>
      <c r="D681" s="1709"/>
      <c r="E681" s="1709"/>
      <c r="F681" s="1710"/>
      <c r="G681" s="1710"/>
      <c r="H681" s="1710"/>
      <c r="I681" s="1710"/>
      <c r="J681" s="1710"/>
      <c r="K681" s="1710"/>
      <c r="L681" s="1710"/>
      <c r="M681" s="1710"/>
      <c r="N681" s="1711"/>
      <c r="O681" s="1711"/>
      <c r="P681" s="1711"/>
      <c r="Q681" s="1711"/>
      <c r="R681" s="1711"/>
      <c r="S681" s="1711"/>
      <c r="T681" s="1711"/>
      <c r="U681" s="1711"/>
      <c r="V681" s="1711"/>
      <c r="W681" s="1711"/>
      <c r="X681" s="1711"/>
      <c r="Y681" s="1711"/>
      <c r="Z681" s="1711"/>
      <c r="AA681" s="1712"/>
      <c r="AB681" s="1712"/>
      <c r="AC681" s="1712"/>
      <c r="AD681" s="1712"/>
      <c r="AE681" s="1712"/>
      <c r="AF681" s="1712"/>
      <c r="AG681" s="1712"/>
      <c r="AH681" s="1712"/>
      <c r="AI681" s="1712"/>
      <c r="AJ681" s="1712"/>
      <c r="AK681" s="1712"/>
      <c r="AL681" s="1712"/>
      <c r="AM681" s="1712"/>
      <c r="AN681" s="1712"/>
      <c r="AO681" s="1712"/>
      <c r="AP681" s="1712"/>
      <c r="AQ681" s="1712"/>
      <c r="AR681" s="1712"/>
      <c r="AS681" s="1712"/>
      <c r="AT681" s="1712"/>
      <c r="AU681" s="1712"/>
    </row>
    <row r="682">
      <c r="A682" s="1474" t="s">
        <v>2461</v>
      </c>
      <c r="B682" s="1708"/>
      <c r="C682" s="1709"/>
      <c r="D682" s="1709"/>
      <c r="E682" s="1709"/>
      <c r="F682" s="1710"/>
      <c r="G682" s="1710"/>
      <c r="H682" s="1710"/>
      <c r="I682" s="1710"/>
      <c r="J682" s="1710"/>
      <c r="K682" s="1710"/>
      <c r="L682" s="1710"/>
      <c r="M682" s="1710"/>
      <c r="N682" s="1711"/>
      <c r="O682" s="1711"/>
      <c r="P682" s="1711"/>
      <c r="Q682" s="1711"/>
      <c r="R682" s="1711"/>
      <c r="S682" s="1711"/>
      <c r="T682" s="1711"/>
      <c r="U682" s="1711"/>
      <c r="V682" s="1711"/>
      <c r="W682" s="1711"/>
      <c r="X682" s="1711"/>
      <c r="Y682" s="1711"/>
      <c r="Z682" s="1711"/>
      <c r="AA682" s="1712"/>
      <c r="AB682" s="1712"/>
      <c r="AC682" s="1712"/>
      <c r="AD682" s="1712"/>
      <c r="AE682" s="1712"/>
      <c r="AF682" s="1712"/>
      <c r="AG682" s="1712"/>
      <c r="AH682" s="1712"/>
      <c r="AI682" s="1712"/>
      <c r="AJ682" s="1712"/>
      <c r="AK682" s="1712"/>
      <c r="AL682" s="1712"/>
      <c r="AM682" s="1712"/>
      <c r="AN682" s="1712"/>
      <c r="AO682" s="1712"/>
      <c r="AP682" s="1712"/>
      <c r="AQ682" s="1712"/>
      <c r="AR682" s="1712"/>
      <c r="AS682" s="1712"/>
      <c r="AT682" s="1712"/>
      <c r="AU682" s="1712"/>
    </row>
    <row r="683">
      <c r="A683" s="1474" t="s">
        <v>2461</v>
      </c>
      <c r="B683" s="1708"/>
      <c r="C683" s="1709"/>
      <c r="D683" s="1709"/>
      <c r="E683" s="1709"/>
      <c r="F683" s="1710"/>
      <c r="G683" s="1710"/>
      <c r="H683" s="1710"/>
      <c r="I683" s="1710"/>
      <c r="J683" s="1710"/>
      <c r="K683" s="1710"/>
      <c r="L683" s="1710"/>
      <c r="M683" s="1710"/>
      <c r="N683" s="1711"/>
      <c r="O683" s="1711"/>
      <c r="P683" s="1711"/>
      <c r="Q683" s="1711"/>
      <c r="R683" s="1711"/>
      <c r="S683" s="1711"/>
      <c r="T683" s="1711"/>
      <c r="U683" s="1711"/>
      <c r="V683" s="1711"/>
      <c r="W683" s="1711"/>
      <c r="X683" s="1711"/>
      <c r="Y683" s="1711"/>
      <c r="Z683" s="1711"/>
      <c r="AA683" s="1712"/>
      <c r="AB683" s="1712"/>
      <c r="AC683" s="1712"/>
      <c r="AD683" s="1712"/>
      <c r="AE683" s="1712"/>
      <c r="AF683" s="1712"/>
      <c r="AG683" s="1712"/>
      <c r="AH683" s="1712"/>
      <c r="AI683" s="1712"/>
      <c r="AJ683" s="1712"/>
      <c r="AK683" s="1712"/>
      <c r="AL683" s="1712"/>
      <c r="AM683" s="1712"/>
      <c r="AN683" s="1712"/>
      <c r="AO683" s="1712"/>
      <c r="AP683" s="1712"/>
      <c r="AQ683" s="1712"/>
      <c r="AR683" s="1712"/>
      <c r="AS683" s="1712"/>
      <c r="AT683" s="1712"/>
      <c r="AU683" s="1712"/>
    </row>
    <row r="684">
      <c r="A684" s="1474" t="s">
        <v>2461</v>
      </c>
      <c r="B684" s="1708"/>
      <c r="C684" s="1709"/>
      <c r="D684" s="1709"/>
      <c r="E684" s="1709"/>
      <c r="F684" s="1710"/>
      <c r="G684" s="1710"/>
      <c r="H684" s="1710"/>
      <c r="I684" s="1710"/>
      <c r="J684" s="1710"/>
      <c r="K684" s="1710"/>
      <c r="L684" s="1710"/>
      <c r="M684" s="1710"/>
      <c r="N684" s="1711"/>
      <c r="O684" s="1711"/>
      <c r="P684" s="1711"/>
      <c r="Q684" s="1711"/>
      <c r="R684" s="1711"/>
      <c r="S684" s="1711"/>
      <c r="T684" s="1711"/>
      <c r="U684" s="1711"/>
      <c r="V684" s="1711"/>
      <c r="W684" s="1711"/>
      <c r="X684" s="1711"/>
      <c r="Y684" s="1711"/>
      <c r="Z684" s="1711"/>
      <c r="AA684" s="1712"/>
      <c r="AB684" s="1712"/>
      <c r="AC684" s="1712"/>
      <c r="AD684" s="1712"/>
      <c r="AE684" s="1712"/>
      <c r="AF684" s="1712"/>
      <c r="AG684" s="1712"/>
      <c r="AH684" s="1712"/>
      <c r="AI684" s="1712"/>
      <c r="AJ684" s="1712"/>
      <c r="AK684" s="1712"/>
      <c r="AL684" s="1712"/>
      <c r="AM684" s="1712"/>
      <c r="AN684" s="1712"/>
      <c r="AO684" s="1712"/>
      <c r="AP684" s="1712"/>
      <c r="AQ684" s="1712"/>
      <c r="AR684" s="1712"/>
      <c r="AS684" s="1712"/>
      <c r="AT684" s="1712"/>
      <c r="AU684" s="1712"/>
    </row>
    <row r="685">
      <c r="A685" s="1474" t="s">
        <v>2461</v>
      </c>
      <c r="B685" s="1708"/>
      <c r="C685" s="1709"/>
      <c r="D685" s="1709"/>
      <c r="E685" s="1709"/>
      <c r="F685" s="1710"/>
      <c r="G685" s="1710"/>
      <c r="H685" s="1710"/>
      <c r="I685" s="1710"/>
      <c r="J685" s="1710"/>
      <c r="K685" s="1710"/>
      <c r="L685" s="1710"/>
      <c r="M685" s="1710"/>
      <c r="N685" s="1711"/>
      <c r="O685" s="1711"/>
      <c r="P685" s="1711"/>
      <c r="Q685" s="1711"/>
      <c r="R685" s="1711"/>
      <c r="S685" s="1711"/>
      <c r="T685" s="1711"/>
      <c r="U685" s="1711"/>
      <c r="V685" s="1711"/>
      <c r="W685" s="1711"/>
      <c r="X685" s="1711"/>
      <c r="Y685" s="1711"/>
      <c r="Z685" s="1711"/>
      <c r="AA685" s="1712"/>
      <c r="AB685" s="1712"/>
      <c r="AC685" s="1712"/>
      <c r="AD685" s="1712"/>
      <c r="AE685" s="1712"/>
      <c r="AF685" s="1712"/>
      <c r="AG685" s="1712"/>
      <c r="AH685" s="1712"/>
      <c r="AI685" s="1712"/>
      <c r="AJ685" s="1712"/>
      <c r="AK685" s="1712"/>
      <c r="AL685" s="1712"/>
      <c r="AM685" s="1712"/>
      <c r="AN685" s="1712"/>
      <c r="AO685" s="1712"/>
      <c r="AP685" s="1712"/>
      <c r="AQ685" s="1712"/>
      <c r="AR685" s="1712"/>
      <c r="AS685" s="1712"/>
      <c r="AT685" s="1712"/>
      <c r="AU685" s="1712"/>
    </row>
    <row r="686">
      <c r="A686" s="1474" t="s">
        <v>2461</v>
      </c>
      <c r="B686" s="1708"/>
      <c r="C686" s="1709"/>
      <c r="D686" s="1709"/>
      <c r="E686" s="1709"/>
      <c r="F686" s="1710"/>
      <c r="G686" s="1710"/>
      <c r="H686" s="1710"/>
      <c r="I686" s="1710"/>
      <c r="J686" s="1710"/>
      <c r="K686" s="1710"/>
      <c r="L686" s="1710"/>
      <c r="M686" s="1710"/>
      <c r="N686" s="1711"/>
      <c r="O686" s="1711"/>
      <c r="P686" s="1711"/>
      <c r="Q686" s="1711"/>
      <c r="R686" s="1711"/>
      <c r="S686" s="1711"/>
      <c r="T686" s="1711"/>
      <c r="U686" s="1711"/>
      <c r="V686" s="1711"/>
      <c r="W686" s="1711"/>
      <c r="X686" s="1711"/>
      <c r="Y686" s="1711"/>
      <c r="Z686" s="1711"/>
      <c r="AA686" s="1712"/>
      <c r="AB686" s="1712"/>
      <c r="AC686" s="1712"/>
      <c r="AD686" s="1712"/>
      <c r="AE686" s="1712"/>
      <c r="AF686" s="1712"/>
      <c r="AG686" s="1712"/>
      <c r="AH686" s="1712"/>
      <c r="AI686" s="1712"/>
      <c r="AJ686" s="1712"/>
      <c r="AK686" s="1712"/>
      <c r="AL686" s="1712"/>
      <c r="AM686" s="1712"/>
      <c r="AN686" s="1712"/>
      <c r="AO686" s="1712"/>
      <c r="AP686" s="1712"/>
      <c r="AQ686" s="1712"/>
      <c r="AR686" s="1712"/>
      <c r="AS686" s="1712"/>
      <c r="AT686" s="1712"/>
      <c r="AU686" s="1712"/>
    </row>
    <row r="687">
      <c r="A687" s="1474" t="s">
        <v>2461</v>
      </c>
      <c r="B687" s="1708"/>
      <c r="C687" s="1709"/>
      <c r="D687" s="1709"/>
      <c r="E687" s="1709"/>
      <c r="F687" s="1710"/>
      <c r="G687" s="1710"/>
      <c r="H687" s="1710"/>
      <c r="I687" s="1710"/>
      <c r="J687" s="1710"/>
      <c r="K687" s="1710"/>
      <c r="L687" s="1710"/>
      <c r="M687" s="1710"/>
      <c r="N687" s="1711"/>
      <c r="O687" s="1711"/>
      <c r="P687" s="1711"/>
      <c r="Q687" s="1711"/>
      <c r="R687" s="1711"/>
      <c r="S687" s="1711"/>
      <c r="T687" s="1711"/>
      <c r="U687" s="1711"/>
      <c r="V687" s="1711"/>
      <c r="W687" s="1711"/>
      <c r="X687" s="1711"/>
      <c r="Y687" s="1711"/>
      <c r="Z687" s="1711"/>
      <c r="AA687" s="1712"/>
      <c r="AB687" s="1712"/>
      <c r="AC687" s="1712"/>
      <c r="AD687" s="1712"/>
      <c r="AE687" s="1712"/>
      <c r="AF687" s="1712"/>
      <c r="AG687" s="1712"/>
      <c r="AH687" s="1712"/>
      <c r="AI687" s="1712"/>
      <c r="AJ687" s="1712"/>
      <c r="AK687" s="1712"/>
      <c r="AL687" s="1712"/>
      <c r="AM687" s="1712"/>
      <c r="AN687" s="1712"/>
      <c r="AO687" s="1712"/>
      <c r="AP687" s="1712"/>
      <c r="AQ687" s="1712"/>
      <c r="AR687" s="1712"/>
      <c r="AS687" s="1712"/>
      <c r="AT687" s="1712"/>
      <c r="AU687" s="1712"/>
    </row>
    <row r="688">
      <c r="A688" s="1474" t="s">
        <v>2461</v>
      </c>
      <c r="B688" s="1708"/>
      <c r="C688" s="1709"/>
      <c r="D688" s="1709"/>
      <c r="E688" s="1709"/>
      <c r="F688" s="1710"/>
      <c r="G688" s="1710"/>
      <c r="H688" s="1710"/>
      <c r="I688" s="1710"/>
      <c r="J688" s="1710"/>
      <c r="K688" s="1710"/>
      <c r="L688" s="1710"/>
      <c r="M688" s="1710"/>
      <c r="N688" s="1711"/>
      <c r="O688" s="1711"/>
      <c r="P688" s="1711"/>
      <c r="Q688" s="1711"/>
      <c r="R688" s="1711"/>
      <c r="S688" s="1711"/>
      <c r="T688" s="1711"/>
      <c r="U688" s="1711"/>
      <c r="V688" s="1711"/>
      <c r="W688" s="1711"/>
      <c r="X688" s="1711"/>
      <c r="Y688" s="1711"/>
      <c r="Z688" s="1711"/>
      <c r="AA688" s="1712"/>
      <c r="AB688" s="1712"/>
      <c r="AC688" s="1712"/>
      <c r="AD688" s="1712"/>
      <c r="AE688" s="1712"/>
      <c r="AF688" s="1712"/>
      <c r="AG688" s="1712"/>
      <c r="AH688" s="1712"/>
      <c r="AI688" s="1712"/>
      <c r="AJ688" s="1712"/>
      <c r="AK688" s="1712"/>
      <c r="AL688" s="1712"/>
      <c r="AM688" s="1712"/>
      <c r="AN688" s="1712"/>
      <c r="AO688" s="1712"/>
      <c r="AP688" s="1712"/>
      <c r="AQ688" s="1712"/>
      <c r="AR688" s="1712"/>
      <c r="AS688" s="1712"/>
      <c r="AT688" s="1712"/>
      <c r="AU688" s="1712"/>
    </row>
    <row r="689">
      <c r="A689" s="1474" t="s">
        <v>2461</v>
      </c>
      <c r="B689" s="1708"/>
      <c r="C689" s="1709"/>
      <c r="D689" s="1709"/>
      <c r="E689" s="1709"/>
      <c r="F689" s="1710"/>
      <c r="G689" s="1710"/>
      <c r="H689" s="1710"/>
      <c r="I689" s="1710"/>
      <c r="J689" s="1710"/>
      <c r="K689" s="1710"/>
      <c r="L689" s="1710"/>
      <c r="M689" s="1710"/>
      <c r="N689" s="1711"/>
      <c r="O689" s="1711"/>
      <c r="P689" s="1711"/>
      <c r="Q689" s="1711"/>
      <c r="R689" s="1711"/>
      <c r="S689" s="1711"/>
      <c r="T689" s="1711"/>
      <c r="U689" s="1711"/>
      <c r="V689" s="1711"/>
      <c r="W689" s="1711"/>
      <c r="X689" s="1711"/>
      <c r="Y689" s="1711"/>
      <c r="Z689" s="1711"/>
      <c r="AA689" s="1712"/>
      <c r="AB689" s="1712"/>
      <c r="AC689" s="1712"/>
      <c r="AD689" s="1712"/>
      <c r="AE689" s="1712"/>
      <c r="AF689" s="1712"/>
      <c r="AG689" s="1712"/>
      <c r="AH689" s="1712"/>
      <c r="AI689" s="1712"/>
      <c r="AJ689" s="1712"/>
      <c r="AK689" s="1712"/>
      <c r="AL689" s="1712"/>
      <c r="AM689" s="1712"/>
      <c r="AN689" s="1712"/>
      <c r="AO689" s="1712"/>
      <c r="AP689" s="1712"/>
      <c r="AQ689" s="1712"/>
      <c r="AR689" s="1712"/>
      <c r="AS689" s="1712"/>
      <c r="AT689" s="1712"/>
      <c r="AU689" s="1712"/>
    </row>
    <row r="690">
      <c r="A690" s="1474" t="s">
        <v>2461</v>
      </c>
      <c r="B690" s="1708"/>
      <c r="C690" s="1709"/>
      <c r="D690" s="1709"/>
      <c r="E690" s="1709"/>
      <c r="F690" s="1710"/>
      <c r="G690" s="1710"/>
      <c r="H690" s="1710"/>
      <c r="I690" s="1710"/>
      <c r="J690" s="1710"/>
      <c r="K690" s="1710"/>
      <c r="L690" s="1710"/>
      <c r="M690" s="1710"/>
      <c r="N690" s="1711"/>
      <c r="O690" s="1711"/>
      <c r="P690" s="1711"/>
      <c r="Q690" s="1711"/>
      <c r="R690" s="1711"/>
      <c r="S690" s="1711"/>
      <c r="T690" s="1711"/>
      <c r="U690" s="1711"/>
      <c r="V690" s="1711"/>
      <c r="W690" s="1711"/>
      <c r="X690" s="1711"/>
      <c r="Y690" s="1711"/>
      <c r="Z690" s="1711"/>
      <c r="AA690" s="1712"/>
      <c r="AB690" s="1712"/>
      <c r="AC690" s="1712"/>
      <c r="AD690" s="1712"/>
      <c r="AE690" s="1712"/>
      <c r="AF690" s="1712"/>
      <c r="AG690" s="1712"/>
      <c r="AH690" s="1712"/>
      <c r="AI690" s="1712"/>
      <c r="AJ690" s="1712"/>
      <c r="AK690" s="1712"/>
      <c r="AL690" s="1712"/>
      <c r="AM690" s="1712"/>
      <c r="AN690" s="1712"/>
      <c r="AO690" s="1712"/>
      <c r="AP690" s="1712"/>
      <c r="AQ690" s="1712"/>
      <c r="AR690" s="1712"/>
      <c r="AS690" s="1712"/>
      <c r="AT690" s="1712"/>
      <c r="AU690" s="1712"/>
    </row>
    <row r="691">
      <c r="A691" s="1474" t="s">
        <v>2461</v>
      </c>
      <c r="B691" s="1708"/>
      <c r="C691" s="1709"/>
      <c r="D691" s="1709"/>
      <c r="E691" s="1709"/>
      <c r="F691" s="1710"/>
      <c r="G691" s="1710"/>
      <c r="H691" s="1710"/>
      <c r="I691" s="1710"/>
      <c r="J691" s="1710"/>
      <c r="K691" s="1710"/>
      <c r="L691" s="1710"/>
      <c r="M691" s="1710"/>
      <c r="N691" s="1711"/>
      <c r="O691" s="1711"/>
      <c r="P691" s="1711"/>
      <c r="Q691" s="1711"/>
      <c r="R691" s="1711"/>
      <c r="S691" s="1711"/>
      <c r="T691" s="1711"/>
      <c r="U691" s="1711"/>
      <c r="V691" s="1711"/>
      <c r="W691" s="1711"/>
      <c r="X691" s="1711"/>
      <c r="Y691" s="1711"/>
      <c r="Z691" s="1711"/>
      <c r="AA691" s="1712"/>
      <c r="AB691" s="1712"/>
      <c r="AC691" s="1712"/>
      <c r="AD691" s="1712"/>
      <c r="AE691" s="1712"/>
      <c r="AF691" s="1712"/>
      <c r="AG691" s="1712"/>
      <c r="AH691" s="1712"/>
      <c r="AI691" s="1712"/>
      <c r="AJ691" s="1712"/>
      <c r="AK691" s="1712"/>
      <c r="AL691" s="1712"/>
      <c r="AM691" s="1712"/>
      <c r="AN691" s="1712"/>
      <c r="AO691" s="1712"/>
      <c r="AP691" s="1712"/>
      <c r="AQ691" s="1712"/>
      <c r="AR691" s="1712"/>
      <c r="AS691" s="1712"/>
      <c r="AT691" s="1712"/>
      <c r="AU691" s="1712"/>
    </row>
    <row r="692">
      <c r="A692" s="1474" t="s">
        <v>2461</v>
      </c>
      <c r="B692" s="1708"/>
      <c r="C692" s="1709"/>
      <c r="D692" s="1709"/>
      <c r="E692" s="1709"/>
      <c r="F692" s="1710"/>
      <c r="G692" s="1710"/>
      <c r="H692" s="1710"/>
      <c r="I692" s="1710"/>
      <c r="J692" s="1710"/>
      <c r="K692" s="1710"/>
      <c r="L692" s="1710"/>
      <c r="M692" s="1710"/>
      <c r="N692" s="1711"/>
      <c r="O692" s="1711"/>
      <c r="P692" s="1711"/>
      <c r="Q692" s="1711"/>
      <c r="R692" s="1711"/>
      <c r="S692" s="1711"/>
      <c r="T692" s="1711"/>
      <c r="U692" s="1711"/>
      <c r="V692" s="1711"/>
      <c r="W692" s="1711"/>
      <c r="X692" s="1711"/>
      <c r="Y692" s="1711"/>
      <c r="Z692" s="1711"/>
      <c r="AA692" s="1712"/>
      <c r="AB692" s="1712"/>
      <c r="AC692" s="1712"/>
      <c r="AD692" s="1712"/>
      <c r="AE692" s="1712"/>
      <c r="AF692" s="1712"/>
      <c r="AG692" s="1712"/>
      <c r="AH692" s="1712"/>
      <c r="AI692" s="1712"/>
      <c r="AJ692" s="1712"/>
      <c r="AK692" s="1712"/>
      <c r="AL692" s="1712"/>
      <c r="AM692" s="1712"/>
      <c r="AN692" s="1712"/>
      <c r="AO692" s="1712"/>
      <c r="AP692" s="1712"/>
      <c r="AQ692" s="1712"/>
      <c r="AR692" s="1712"/>
      <c r="AS692" s="1712"/>
      <c r="AT692" s="1712"/>
      <c r="AU692" s="1712"/>
    </row>
    <row r="693">
      <c r="A693" s="1474" t="s">
        <v>2461</v>
      </c>
      <c r="B693" s="1708"/>
      <c r="C693" s="1709"/>
      <c r="D693" s="1709"/>
      <c r="E693" s="1709"/>
      <c r="F693" s="1710"/>
      <c r="G693" s="1710"/>
      <c r="H693" s="1710"/>
      <c r="I693" s="1710"/>
      <c r="J693" s="1710"/>
      <c r="K693" s="1710"/>
      <c r="L693" s="1710"/>
      <c r="M693" s="1710"/>
      <c r="N693" s="1711"/>
      <c r="O693" s="1711"/>
      <c r="P693" s="1711"/>
      <c r="Q693" s="1711"/>
      <c r="R693" s="1711"/>
      <c r="S693" s="1711"/>
      <c r="T693" s="1711"/>
      <c r="U693" s="1711"/>
      <c r="V693" s="1711"/>
      <c r="W693" s="1711"/>
      <c r="X693" s="1711"/>
      <c r="Y693" s="1711"/>
      <c r="Z693" s="1711"/>
      <c r="AA693" s="1712"/>
      <c r="AB693" s="1712"/>
      <c r="AC693" s="1712"/>
      <c r="AD693" s="1712"/>
      <c r="AE693" s="1712"/>
      <c r="AF693" s="1712"/>
      <c r="AG693" s="1712"/>
      <c r="AH693" s="1712"/>
      <c r="AI693" s="1712"/>
      <c r="AJ693" s="1712"/>
      <c r="AK693" s="1712"/>
      <c r="AL693" s="1712"/>
      <c r="AM693" s="1712"/>
      <c r="AN693" s="1712"/>
      <c r="AO693" s="1712"/>
      <c r="AP693" s="1712"/>
      <c r="AQ693" s="1712"/>
      <c r="AR693" s="1712"/>
      <c r="AS693" s="1712"/>
      <c r="AT693" s="1712"/>
      <c r="AU693" s="1712"/>
    </row>
    <row r="694">
      <c r="A694" s="1474" t="s">
        <v>2461</v>
      </c>
      <c r="B694" s="1708"/>
      <c r="C694" s="1709"/>
      <c r="D694" s="1709"/>
      <c r="E694" s="1709"/>
      <c r="F694" s="1710"/>
      <c r="G694" s="1710"/>
      <c r="H694" s="1710"/>
      <c r="I694" s="1710"/>
      <c r="J694" s="1710"/>
      <c r="K694" s="1710"/>
      <c r="L694" s="1710"/>
      <c r="M694" s="1710"/>
      <c r="N694" s="1711"/>
      <c r="O694" s="1711"/>
      <c r="P694" s="1711"/>
      <c r="Q694" s="1711"/>
      <c r="R694" s="1711"/>
      <c r="S694" s="1711"/>
      <c r="T694" s="1711"/>
      <c r="U694" s="1711"/>
      <c r="V694" s="1711"/>
      <c r="W694" s="1711"/>
      <c r="X694" s="1711"/>
      <c r="Y694" s="1711"/>
      <c r="Z694" s="1711"/>
      <c r="AA694" s="1712"/>
      <c r="AB694" s="1712"/>
      <c r="AC694" s="1712"/>
      <c r="AD694" s="1712"/>
      <c r="AE694" s="1712"/>
      <c r="AF694" s="1712"/>
      <c r="AG694" s="1712"/>
      <c r="AH694" s="1712"/>
      <c r="AI694" s="1712"/>
      <c r="AJ694" s="1712"/>
      <c r="AK694" s="1712"/>
      <c r="AL694" s="1712"/>
      <c r="AM694" s="1712"/>
      <c r="AN694" s="1712"/>
      <c r="AO694" s="1712"/>
      <c r="AP694" s="1712"/>
      <c r="AQ694" s="1712"/>
      <c r="AR694" s="1712"/>
      <c r="AS694" s="1712"/>
      <c r="AT694" s="1712"/>
      <c r="AU694" s="1712"/>
    </row>
    <row r="695">
      <c r="A695" s="1474" t="s">
        <v>2461</v>
      </c>
      <c r="B695" s="1708"/>
      <c r="C695" s="1709"/>
      <c r="D695" s="1709"/>
      <c r="E695" s="1709"/>
      <c r="F695" s="1710"/>
      <c r="G695" s="1710"/>
      <c r="H695" s="1710"/>
      <c r="I695" s="1710"/>
      <c r="J695" s="1710"/>
      <c r="K695" s="1710"/>
      <c r="L695" s="1710"/>
      <c r="M695" s="1710"/>
      <c r="N695" s="1711"/>
      <c r="O695" s="1711"/>
      <c r="P695" s="1711"/>
      <c r="Q695" s="1711"/>
      <c r="R695" s="1711"/>
      <c r="S695" s="1711"/>
      <c r="T695" s="1711"/>
      <c r="U695" s="1711"/>
      <c r="V695" s="1711"/>
      <c r="W695" s="1711"/>
      <c r="X695" s="1711"/>
      <c r="Y695" s="1711"/>
      <c r="Z695" s="1711"/>
      <c r="AA695" s="1712"/>
      <c r="AB695" s="1712"/>
      <c r="AC695" s="1712"/>
      <c r="AD695" s="1712"/>
      <c r="AE695" s="1712"/>
      <c r="AF695" s="1712"/>
      <c r="AG695" s="1712"/>
      <c r="AH695" s="1712"/>
      <c r="AI695" s="1712"/>
      <c r="AJ695" s="1712"/>
      <c r="AK695" s="1712"/>
      <c r="AL695" s="1712"/>
      <c r="AM695" s="1712"/>
      <c r="AN695" s="1712"/>
      <c r="AO695" s="1712"/>
      <c r="AP695" s="1712"/>
      <c r="AQ695" s="1712"/>
      <c r="AR695" s="1712"/>
      <c r="AS695" s="1712"/>
      <c r="AT695" s="1712"/>
      <c r="AU695" s="1712"/>
    </row>
    <row r="696">
      <c r="A696" s="1474" t="s">
        <v>2461</v>
      </c>
      <c r="B696" s="1708"/>
      <c r="C696" s="1709"/>
      <c r="D696" s="1709"/>
      <c r="E696" s="1709"/>
      <c r="F696" s="1710"/>
      <c r="G696" s="1710"/>
      <c r="H696" s="1710"/>
      <c r="I696" s="1710"/>
      <c r="J696" s="1710"/>
      <c r="K696" s="1710"/>
      <c r="L696" s="1710"/>
      <c r="M696" s="1710"/>
      <c r="N696" s="1711"/>
      <c r="O696" s="1711"/>
      <c r="P696" s="1711"/>
      <c r="Q696" s="1711"/>
      <c r="R696" s="1711"/>
      <c r="S696" s="1711"/>
      <c r="T696" s="1711"/>
      <c r="U696" s="1711"/>
      <c r="V696" s="1711"/>
      <c r="W696" s="1711"/>
      <c r="X696" s="1711"/>
      <c r="Y696" s="1711"/>
      <c r="Z696" s="1711"/>
      <c r="AA696" s="1712"/>
      <c r="AB696" s="1712"/>
      <c r="AC696" s="1712"/>
      <c r="AD696" s="1712"/>
      <c r="AE696" s="1712"/>
      <c r="AF696" s="1712"/>
      <c r="AG696" s="1712"/>
      <c r="AH696" s="1712"/>
      <c r="AI696" s="1712"/>
      <c r="AJ696" s="1712"/>
      <c r="AK696" s="1712"/>
      <c r="AL696" s="1712"/>
      <c r="AM696" s="1712"/>
      <c r="AN696" s="1712"/>
      <c r="AO696" s="1712"/>
      <c r="AP696" s="1712"/>
      <c r="AQ696" s="1712"/>
      <c r="AR696" s="1712"/>
      <c r="AS696" s="1712"/>
      <c r="AT696" s="1712"/>
      <c r="AU696" s="1712"/>
    </row>
    <row r="697">
      <c r="A697" s="1474" t="s">
        <v>2461</v>
      </c>
      <c r="B697" s="1708"/>
      <c r="C697" s="1709"/>
      <c r="D697" s="1709"/>
      <c r="E697" s="1709"/>
      <c r="F697" s="1710"/>
      <c r="G697" s="1710"/>
      <c r="H697" s="1710"/>
      <c r="I697" s="1710"/>
      <c r="J697" s="1710"/>
      <c r="K697" s="1710"/>
      <c r="L697" s="1710"/>
      <c r="M697" s="1710"/>
      <c r="N697" s="1711"/>
      <c r="O697" s="1711"/>
      <c r="P697" s="1711"/>
      <c r="Q697" s="1711"/>
      <c r="R697" s="1711"/>
      <c r="S697" s="1711"/>
      <c r="T697" s="1711"/>
      <c r="U697" s="1711"/>
      <c r="V697" s="1711"/>
      <c r="W697" s="1711"/>
      <c r="X697" s="1711"/>
      <c r="Y697" s="1711"/>
      <c r="Z697" s="1711"/>
      <c r="AA697" s="1712"/>
      <c r="AB697" s="1712"/>
      <c r="AC697" s="1712"/>
      <c r="AD697" s="1712"/>
      <c r="AE697" s="1712"/>
      <c r="AF697" s="1712"/>
      <c r="AG697" s="1712"/>
      <c r="AH697" s="1712"/>
      <c r="AI697" s="1712"/>
      <c r="AJ697" s="1712"/>
      <c r="AK697" s="1712"/>
      <c r="AL697" s="1712"/>
      <c r="AM697" s="1712"/>
      <c r="AN697" s="1712"/>
      <c r="AO697" s="1712"/>
      <c r="AP697" s="1712"/>
      <c r="AQ697" s="1712"/>
      <c r="AR697" s="1712"/>
      <c r="AS697" s="1712"/>
      <c r="AT697" s="1712"/>
      <c r="AU697" s="1712"/>
    </row>
    <row r="698">
      <c r="A698" s="1474" t="s">
        <v>2461</v>
      </c>
      <c r="B698" s="1708"/>
      <c r="C698" s="1709"/>
      <c r="D698" s="1709"/>
      <c r="E698" s="1709"/>
      <c r="F698" s="1710"/>
      <c r="G698" s="1710"/>
      <c r="H698" s="1710"/>
      <c r="I698" s="1710"/>
      <c r="J698" s="1710"/>
      <c r="K698" s="1710"/>
      <c r="L698" s="1710"/>
      <c r="M698" s="1710"/>
      <c r="N698" s="1711"/>
      <c r="O698" s="1711"/>
      <c r="P698" s="1711"/>
      <c r="Q698" s="1711"/>
      <c r="R698" s="1711"/>
      <c r="S698" s="1711"/>
      <c r="T698" s="1711"/>
      <c r="U698" s="1711"/>
      <c r="V698" s="1711"/>
      <c r="W698" s="1711"/>
      <c r="X698" s="1711"/>
      <c r="Y698" s="1711"/>
      <c r="Z698" s="1711"/>
      <c r="AA698" s="1712"/>
      <c r="AB698" s="1712"/>
      <c r="AC698" s="1712"/>
      <c r="AD698" s="1712"/>
      <c r="AE698" s="1712"/>
      <c r="AF698" s="1712"/>
      <c r="AG698" s="1712"/>
      <c r="AH698" s="1712"/>
      <c r="AI698" s="1712"/>
      <c r="AJ698" s="1712"/>
      <c r="AK698" s="1712"/>
      <c r="AL698" s="1712"/>
      <c r="AM698" s="1712"/>
      <c r="AN698" s="1712"/>
      <c r="AO698" s="1712"/>
      <c r="AP698" s="1712"/>
      <c r="AQ698" s="1712"/>
      <c r="AR698" s="1712"/>
      <c r="AS698" s="1712"/>
      <c r="AT698" s="1712"/>
      <c r="AU698" s="1712"/>
    </row>
    <row r="699">
      <c r="A699" s="1474" t="s">
        <v>2461</v>
      </c>
      <c r="B699" s="1708"/>
      <c r="C699" s="1709"/>
      <c r="D699" s="1709"/>
      <c r="E699" s="1709"/>
      <c r="F699" s="1710"/>
      <c r="G699" s="1710"/>
      <c r="H699" s="1710"/>
      <c r="I699" s="1710"/>
      <c r="J699" s="1710"/>
      <c r="K699" s="1710"/>
      <c r="L699" s="1710"/>
      <c r="M699" s="1710"/>
      <c r="N699" s="1711"/>
      <c r="O699" s="1711"/>
      <c r="P699" s="1711"/>
      <c r="Q699" s="1711"/>
      <c r="R699" s="1711"/>
      <c r="S699" s="1711"/>
      <c r="T699" s="1711"/>
      <c r="U699" s="1711"/>
      <c r="V699" s="1711"/>
      <c r="W699" s="1711"/>
      <c r="X699" s="1711"/>
      <c r="Y699" s="1711"/>
      <c r="Z699" s="1711"/>
      <c r="AA699" s="1712"/>
      <c r="AB699" s="1712"/>
      <c r="AC699" s="1712"/>
      <c r="AD699" s="1712"/>
      <c r="AE699" s="1712"/>
      <c r="AF699" s="1712"/>
      <c r="AG699" s="1712"/>
      <c r="AH699" s="1712"/>
      <c r="AI699" s="1712"/>
      <c r="AJ699" s="1712"/>
      <c r="AK699" s="1712"/>
      <c r="AL699" s="1712"/>
      <c r="AM699" s="1712"/>
      <c r="AN699" s="1712"/>
      <c r="AO699" s="1712"/>
      <c r="AP699" s="1712"/>
      <c r="AQ699" s="1712"/>
      <c r="AR699" s="1712"/>
      <c r="AS699" s="1712"/>
      <c r="AT699" s="1712"/>
      <c r="AU699" s="1712"/>
    </row>
    <row r="700">
      <c r="A700" s="1474" t="s">
        <v>2461</v>
      </c>
      <c r="B700" s="1708"/>
      <c r="C700" s="1709"/>
      <c r="D700" s="1709"/>
      <c r="E700" s="1709"/>
      <c r="F700" s="1710"/>
      <c r="G700" s="1710"/>
      <c r="H700" s="1710"/>
      <c r="I700" s="1710"/>
      <c r="J700" s="1710"/>
      <c r="K700" s="1710"/>
      <c r="L700" s="1710"/>
      <c r="M700" s="1710"/>
      <c r="N700" s="1711"/>
      <c r="O700" s="1711"/>
      <c r="P700" s="1711"/>
      <c r="Q700" s="1711"/>
      <c r="R700" s="1711"/>
      <c r="S700" s="1711"/>
      <c r="T700" s="1711"/>
      <c r="U700" s="1711"/>
      <c r="V700" s="1711"/>
      <c r="W700" s="1711"/>
      <c r="X700" s="1711"/>
      <c r="Y700" s="1711"/>
      <c r="Z700" s="1711"/>
      <c r="AA700" s="1712"/>
      <c r="AB700" s="1712"/>
      <c r="AC700" s="1712"/>
      <c r="AD700" s="1712"/>
      <c r="AE700" s="1712"/>
      <c r="AF700" s="1712"/>
      <c r="AG700" s="1712"/>
      <c r="AH700" s="1712"/>
      <c r="AI700" s="1712"/>
      <c r="AJ700" s="1712"/>
      <c r="AK700" s="1712"/>
      <c r="AL700" s="1712"/>
      <c r="AM700" s="1712"/>
      <c r="AN700" s="1712"/>
      <c r="AO700" s="1712"/>
      <c r="AP700" s="1712"/>
      <c r="AQ700" s="1712"/>
      <c r="AR700" s="1712"/>
      <c r="AS700" s="1712"/>
      <c r="AT700" s="1712"/>
      <c r="AU700" s="1712"/>
    </row>
    <row r="701">
      <c r="A701" s="1474" t="s">
        <v>2461</v>
      </c>
      <c r="B701" s="1708"/>
      <c r="C701" s="1709"/>
      <c r="D701" s="1709"/>
      <c r="E701" s="1709"/>
      <c r="F701" s="1710"/>
      <c r="G701" s="1710"/>
      <c r="H701" s="1710"/>
      <c r="I701" s="1710"/>
      <c r="J701" s="1710"/>
      <c r="K701" s="1710"/>
      <c r="L701" s="1710"/>
      <c r="M701" s="1710"/>
      <c r="N701" s="1711"/>
      <c r="O701" s="1711"/>
      <c r="P701" s="1711"/>
      <c r="Q701" s="1711"/>
      <c r="R701" s="1711"/>
      <c r="S701" s="1711"/>
      <c r="T701" s="1711"/>
      <c r="U701" s="1711"/>
      <c r="V701" s="1711"/>
      <c r="W701" s="1711"/>
      <c r="X701" s="1711"/>
      <c r="Y701" s="1711"/>
      <c r="Z701" s="1711"/>
      <c r="AA701" s="1712"/>
      <c r="AB701" s="1712"/>
      <c r="AC701" s="1712"/>
      <c r="AD701" s="1712"/>
      <c r="AE701" s="1712"/>
      <c r="AF701" s="1712"/>
      <c r="AG701" s="1712"/>
      <c r="AH701" s="1712"/>
      <c r="AI701" s="1712"/>
      <c r="AJ701" s="1712"/>
      <c r="AK701" s="1712"/>
      <c r="AL701" s="1712"/>
      <c r="AM701" s="1712"/>
      <c r="AN701" s="1712"/>
      <c r="AO701" s="1712"/>
      <c r="AP701" s="1712"/>
      <c r="AQ701" s="1712"/>
      <c r="AR701" s="1712"/>
      <c r="AS701" s="1712"/>
      <c r="AT701" s="1712"/>
      <c r="AU701" s="1712"/>
    </row>
    <row r="702">
      <c r="A702" s="1474" t="s">
        <v>2461</v>
      </c>
      <c r="B702" s="1708"/>
      <c r="C702" s="1709"/>
      <c r="D702" s="1709"/>
      <c r="E702" s="1709"/>
      <c r="F702" s="1710"/>
      <c r="G702" s="1710"/>
      <c r="H702" s="1710"/>
      <c r="I702" s="1710"/>
      <c r="J702" s="1710"/>
      <c r="K702" s="1710"/>
      <c r="L702" s="1710"/>
      <c r="M702" s="1710"/>
      <c r="N702" s="1711"/>
      <c r="O702" s="1711"/>
      <c r="P702" s="1711"/>
      <c r="Q702" s="1711"/>
      <c r="R702" s="1711"/>
      <c r="S702" s="1711"/>
      <c r="T702" s="1711"/>
      <c r="U702" s="1711"/>
      <c r="V702" s="1711"/>
      <c r="W702" s="1711"/>
      <c r="X702" s="1711"/>
      <c r="Y702" s="1711"/>
      <c r="Z702" s="1711"/>
      <c r="AA702" s="1712"/>
      <c r="AB702" s="1712"/>
      <c r="AC702" s="1712"/>
      <c r="AD702" s="1712"/>
      <c r="AE702" s="1712"/>
      <c r="AF702" s="1712"/>
      <c r="AG702" s="1712"/>
      <c r="AH702" s="1712"/>
      <c r="AI702" s="1712"/>
      <c r="AJ702" s="1712"/>
      <c r="AK702" s="1712"/>
      <c r="AL702" s="1712"/>
      <c r="AM702" s="1712"/>
      <c r="AN702" s="1712"/>
      <c r="AO702" s="1712"/>
      <c r="AP702" s="1712"/>
      <c r="AQ702" s="1712"/>
      <c r="AR702" s="1712"/>
      <c r="AS702" s="1712"/>
      <c r="AT702" s="1712"/>
      <c r="AU702" s="1712"/>
    </row>
    <row r="703">
      <c r="A703" s="1474" t="s">
        <v>2461</v>
      </c>
      <c r="B703" s="1708"/>
      <c r="C703" s="1709"/>
      <c r="D703" s="1709"/>
      <c r="E703" s="1709"/>
      <c r="F703" s="1710"/>
      <c r="G703" s="1710"/>
      <c r="H703" s="1710"/>
      <c r="I703" s="1710"/>
      <c r="J703" s="1710"/>
      <c r="K703" s="1710"/>
      <c r="L703" s="1710"/>
      <c r="M703" s="1710"/>
      <c r="N703" s="1711"/>
      <c r="O703" s="1711"/>
      <c r="P703" s="1711"/>
      <c r="Q703" s="1711"/>
      <c r="R703" s="1711"/>
      <c r="S703" s="1711"/>
      <c r="T703" s="1711"/>
      <c r="U703" s="1711"/>
      <c r="V703" s="1711"/>
      <c r="W703" s="1711"/>
      <c r="X703" s="1711"/>
      <c r="Y703" s="1711"/>
      <c r="Z703" s="1711"/>
      <c r="AA703" s="1712"/>
      <c r="AB703" s="1712"/>
      <c r="AC703" s="1712"/>
      <c r="AD703" s="1712"/>
      <c r="AE703" s="1712"/>
      <c r="AF703" s="1712"/>
      <c r="AG703" s="1712"/>
      <c r="AH703" s="1712"/>
      <c r="AI703" s="1712"/>
      <c r="AJ703" s="1712"/>
      <c r="AK703" s="1712"/>
      <c r="AL703" s="1712"/>
      <c r="AM703" s="1712"/>
      <c r="AN703" s="1712"/>
      <c r="AO703" s="1712"/>
      <c r="AP703" s="1712"/>
      <c r="AQ703" s="1712"/>
      <c r="AR703" s="1712"/>
      <c r="AS703" s="1712"/>
      <c r="AT703" s="1712"/>
      <c r="AU703" s="1712"/>
    </row>
    <row r="704">
      <c r="A704" s="1474" t="s">
        <v>2461</v>
      </c>
      <c r="B704" s="1708"/>
      <c r="C704" s="1709"/>
      <c r="D704" s="1709"/>
      <c r="E704" s="1709"/>
      <c r="F704" s="1710"/>
      <c r="G704" s="1710"/>
      <c r="H704" s="1710"/>
      <c r="I704" s="1710"/>
      <c r="J704" s="1710"/>
      <c r="K704" s="1710"/>
      <c r="L704" s="1710"/>
      <c r="M704" s="1710"/>
      <c r="N704" s="1711"/>
      <c r="O704" s="1711"/>
      <c r="P704" s="1711"/>
      <c r="Q704" s="1711"/>
      <c r="R704" s="1711"/>
      <c r="S704" s="1711"/>
      <c r="T704" s="1711"/>
      <c r="U704" s="1711"/>
      <c r="V704" s="1711"/>
      <c r="W704" s="1711"/>
      <c r="X704" s="1711"/>
      <c r="Y704" s="1711"/>
      <c r="Z704" s="1711"/>
      <c r="AA704" s="1712"/>
      <c r="AB704" s="1712"/>
      <c r="AC704" s="1712"/>
      <c r="AD704" s="1712"/>
      <c r="AE704" s="1712"/>
      <c r="AF704" s="1712"/>
      <c r="AG704" s="1712"/>
      <c r="AH704" s="1712"/>
      <c r="AI704" s="1712"/>
      <c r="AJ704" s="1712"/>
      <c r="AK704" s="1712"/>
      <c r="AL704" s="1712"/>
      <c r="AM704" s="1712"/>
      <c r="AN704" s="1712"/>
      <c r="AO704" s="1712"/>
      <c r="AP704" s="1712"/>
      <c r="AQ704" s="1712"/>
      <c r="AR704" s="1712"/>
      <c r="AS704" s="1712"/>
      <c r="AT704" s="1712"/>
      <c r="AU704" s="1712"/>
    </row>
    <row r="705">
      <c r="A705" s="1474" t="s">
        <v>2461</v>
      </c>
      <c r="B705" s="1708"/>
      <c r="C705" s="1709"/>
      <c r="D705" s="1709"/>
      <c r="E705" s="1709"/>
      <c r="F705" s="1710"/>
      <c r="G705" s="1710"/>
      <c r="H705" s="1710"/>
      <c r="I705" s="1710"/>
      <c r="J705" s="1710"/>
      <c r="K705" s="1710"/>
      <c r="L705" s="1710"/>
      <c r="M705" s="1710"/>
      <c r="N705" s="1711"/>
      <c r="O705" s="1711"/>
      <c r="P705" s="1711"/>
      <c r="Q705" s="1711"/>
      <c r="R705" s="1711"/>
      <c r="S705" s="1711"/>
      <c r="T705" s="1711"/>
      <c r="U705" s="1711"/>
      <c r="V705" s="1711"/>
      <c r="W705" s="1711"/>
      <c r="X705" s="1711"/>
      <c r="Y705" s="1711"/>
      <c r="Z705" s="1711"/>
      <c r="AA705" s="1712"/>
      <c r="AB705" s="1712"/>
      <c r="AC705" s="1712"/>
      <c r="AD705" s="1712"/>
      <c r="AE705" s="1712"/>
      <c r="AF705" s="1712"/>
      <c r="AG705" s="1712"/>
      <c r="AH705" s="1712"/>
      <c r="AI705" s="1712"/>
      <c r="AJ705" s="1712"/>
      <c r="AK705" s="1712"/>
      <c r="AL705" s="1712"/>
      <c r="AM705" s="1712"/>
      <c r="AN705" s="1712"/>
      <c r="AO705" s="1712"/>
      <c r="AP705" s="1712"/>
      <c r="AQ705" s="1712"/>
      <c r="AR705" s="1712"/>
      <c r="AS705" s="1712"/>
      <c r="AT705" s="1712"/>
      <c r="AU705" s="1712"/>
    </row>
    <row r="706">
      <c r="A706" s="1474" t="s">
        <v>2461</v>
      </c>
      <c r="B706" s="1708"/>
      <c r="C706" s="1709"/>
      <c r="D706" s="1709"/>
      <c r="E706" s="1709"/>
      <c r="F706" s="1710"/>
      <c r="G706" s="1710"/>
      <c r="H706" s="1710"/>
      <c r="I706" s="1710"/>
      <c r="J706" s="1710"/>
      <c r="K706" s="1710"/>
      <c r="L706" s="1710"/>
      <c r="M706" s="1710"/>
      <c r="N706" s="1711"/>
      <c r="O706" s="1711"/>
      <c r="P706" s="1711"/>
      <c r="Q706" s="1711"/>
      <c r="R706" s="1711"/>
      <c r="S706" s="1711"/>
      <c r="T706" s="1711"/>
      <c r="U706" s="1711"/>
      <c r="V706" s="1711"/>
      <c r="W706" s="1711"/>
      <c r="X706" s="1711"/>
      <c r="Y706" s="1711"/>
      <c r="Z706" s="1711"/>
      <c r="AA706" s="1712"/>
      <c r="AB706" s="1712"/>
      <c r="AC706" s="1712"/>
      <c r="AD706" s="1712"/>
      <c r="AE706" s="1712"/>
      <c r="AF706" s="1712"/>
      <c r="AG706" s="1712"/>
      <c r="AH706" s="1712"/>
      <c r="AI706" s="1712"/>
      <c r="AJ706" s="1712"/>
      <c r="AK706" s="1712"/>
      <c r="AL706" s="1712"/>
      <c r="AM706" s="1712"/>
      <c r="AN706" s="1712"/>
      <c r="AO706" s="1712"/>
      <c r="AP706" s="1712"/>
      <c r="AQ706" s="1712"/>
      <c r="AR706" s="1712"/>
      <c r="AS706" s="1712"/>
      <c r="AT706" s="1712"/>
      <c r="AU706" s="1712"/>
    </row>
    <row r="707">
      <c r="A707" s="1474" t="s">
        <v>2461</v>
      </c>
      <c r="B707" s="1708"/>
      <c r="C707" s="1709"/>
      <c r="D707" s="1709"/>
      <c r="E707" s="1709"/>
      <c r="F707" s="1710"/>
      <c r="G707" s="1710"/>
      <c r="H707" s="1710"/>
      <c r="I707" s="1710"/>
      <c r="J707" s="1710"/>
      <c r="K707" s="1710"/>
      <c r="L707" s="1710"/>
      <c r="M707" s="1710"/>
      <c r="N707" s="1711"/>
      <c r="O707" s="1711"/>
      <c r="P707" s="1711"/>
      <c r="Q707" s="1711"/>
      <c r="R707" s="1711"/>
      <c r="S707" s="1711"/>
      <c r="T707" s="1711"/>
      <c r="U707" s="1711"/>
      <c r="V707" s="1711"/>
      <c r="W707" s="1711"/>
      <c r="X707" s="1711"/>
      <c r="Y707" s="1711"/>
      <c r="Z707" s="1711"/>
      <c r="AA707" s="1712"/>
      <c r="AB707" s="1712"/>
      <c r="AC707" s="1712"/>
      <c r="AD707" s="1712"/>
      <c r="AE707" s="1712"/>
      <c r="AF707" s="1712"/>
      <c r="AG707" s="1712"/>
      <c r="AH707" s="1712"/>
      <c r="AI707" s="1712"/>
      <c r="AJ707" s="1712"/>
      <c r="AK707" s="1712"/>
      <c r="AL707" s="1712"/>
      <c r="AM707" s="1712"/>
      <c r="AN707" s="1712"/>
      <c r="AO707" s="1712"/>
      <c r="AP707" s="1712"/>
      <c r="AQ707" s="1712"/>
      <c r="AR707" s="1712"/>
      <c r="AS707" s="1712"/>
      <c r="AT707" s="1712"/>
      <c r="AU707" s="1712"/>
    </row>
    <row r="708">
      <c r="A708" s="1474" t="s">
        <v>2461</v>
      </c>
      <c r="B708" s="1708"/>
      <c r="C708" s="1709"/>
      <c r="D708" s="1709"/>
      <c r="E708" s="1709"/>
      <c r="F708" s="1710"/>
      <c r="G708" s="1710"/>
      <c r="H708" s="1710"/>
      <c r="I708" s="1710"/>
      <c r="J708" s="1710"/>
      <c r="K708" s="1710"/>
      <c r="L708" s="1710"/>
      <c r="M708" s="1710"/>
      <c r="N708" s="1711"/>
      <c r="O708" s="1711"/>
      <c r="P708" s="1711"/>
      <c r="Q708" s="1711"/>
      <c r="R708" s="1711"/>
      <c r="S708" s="1711"/>
      <c r="T708" s="1711"/>
      <c r="U708" s="1711"/>
      <c r="V708" s="1711"/>
      <c r="W708" s="1711"/>
      <c r="X708" s="1711"/>
      <c r="Y708" s="1711"/>
      <c r="Z708" s="1711"/>
      <c r="AA708" s="1712"/>
      <c r="AB708" s="1712"/>
      <c r="AC708" s="1712"/>
      <c r="AD708" s="1712"/>
      <c r="AE708" s="1712"/>
      <c r="AF708" s="1712"/>
      <c r="AG708" s="1712"/>
      <c r="AH708" s="1712"/>
      <c r="AI708" s="1712"/>
      <c r="AJ708" s="1712"/>
      <c r="AK708" s="1712"/>
      <c r="AL708" s="1712"/>
      <c r="AM708" s="1712"/>
      <c r="AN708" s="1712"/>
      <c r="AO708" s="1712"/>
      <c r="AP708" s="1712"/>
      <c r="AQ708" s="1712"/>
      <c r="AR708" s="1712"/>
      <c r="AS708" s="1712"/>
      <c r="AT708" s="1712"/>
      <c r="AU708" s="1712"/>
    </row>
    <row r="709">
      <c r="A709" s="1474" t="s">
        <v>2461</v>
      </c>
      <c r="B709" s="1708"/>
      <c r="C709" s="1709"/>
      <c r="D709" s="1709"/>
      <c r="E709" s="1709"/>
      <c r="F709" s="1710"/>
      <c r="G709" s="1710"/>
      <c r="H709" s="1710"/>
      <c r="I709" s="1710"/>
      <c r="J709" s="1710"/>
      <c r="K709" s="1710"/>
      <c r="L709" s="1710"/>
      <c r="M709" s="1710"/>
      <c r="N709" s="1711"/>
      <c r="O709" s="1711"/>
      <c r="P709" s="1711"/>
      <c r="Q709" s="1711"/>
      <c r="R709" s="1711"/>
      <c r="S709" s="1711"/>
      <c r="T709" s="1711"/>
      <c r="U709" s="1711"/>
      <c r="V709" s="1711"/>
      <c r="W709" s="1711"/>
      <c r="X709" s="1711"/>
      <c r="Y709" s="1711"/>
      <c r="Z709" s="1711"/>
      <c r="AA709" s="1712"/>
      <c r="AB709" s="1712"/>
      <c r="AC709" s="1712"/>
      <c r="AD709" s="1712"/>
      <c r="AE709" s="1712"/>
      <c r="AF709" s="1712"/>
      <c r="AG709" s="1712"/>
      <c r="AH709" s="1712"/>
      <c r="AI709" s="1712"/>
      <c r="AJ709" s="1712"/>
      <c r="AK709" s="1712"/>
      <c r="AL709" s="1712"/>
      <c r="AM709" s="1712"/>
      <c r="AN709" s="1712"/>
      <c r="AO709" s="1712"/>
      <c r="AP709" s="1712"/>
      <c r="AQ709" s="1712"/>
      <c r="AR709" s="1712"/>
      <c r="AS709" s="1712"/>
      <c r="AT709" s="1712"/>
      <c r="AU709" s="1712"/>
    </row>
    <row r="710">
      <c r="A710" s="1474" t="s">
        <v>2461</v>
      </c>
      <c r="B710" s="1708"/>
      <c r="C710" s="1709"/>
      <c r="D710" s="1709"/>
      <c r="E710" s="1709"/>
      <c r="F710" s="1710"/>
      <c r="G710" s="1710"/>
      <c r="H710" s="1710"/>
      <c r="I710" s="1710"/>
      <c r="J710" s="1710"/>
      <c r="K710" s="1710"/>
      <c r="L710" s="1710"/>
      <c r="M710" s="1710"/>
      <c r="N710" s="1711"/>
      <c r="O710" s="1711"/>
      <c r="P710" s="1711"/>
      <c r="Q710" s="1711"/>
      <c r="R710" s="1711"/>
      <c r="S710" s="1711"/>
      <c r="T710" s="1711"/>
      <c r="U710" s="1711"/>
      <c r="V710" s="1711"/>
      <c r="W710" s="1711"/>
      <c r="X710" s="1711"/>
      <c r="Y710" s="1711"/>
      <c r="Z710" s="1711"/>
      <c r="AA710" s="1712"/>
      <c r="AB710" s="1712"/>
      <c r="AC710" s="1712"/>
      <c r="AD710" s="1712"/>
      <c r="AE710" s="1712"/>
      <c r="AF710" s="1712"/>
      <c r="AG710" s="1712"/>
      <c r="AH710" s="1712"/>
      <c r="AI710" s="1712"/>
      <c r="AJ710" s="1712"/>
      <c r="AK710" s="1712"/>
      <c r="AL710" s="1712"/>
      <c r="AM710" s="1712"/>
      <c r="AN710" s="1712"/>
      <c r="AO710" s="1712"/>
      <c r="AP710" s="1712"/>
      <c r="AQ710" s="1712"/>
      <c r="AR710" s="1712"/>
      <c r="AS710" s="1712"/>
      <c r="AT710" s="1712"/>
      <c r="AU710" s="1712"/>
    </row>
    <row r="711">
      <c r="A711" s="1474" t="s">
        <v>2461</v>
      </c>
      <c r="B711" s="1708"/>
      <c r="C711" s="1709"/>
      <c r="D711" s="1709"/>
      <c r="E711" s="1709"/>
      <c r="F711" s="1710"/>
      <c r="G711" s="1710"/>
      <c r="H711" s="1710"/>
      <c r="I711" s="1710"/>
      <c r="J711" s="1710"/>
      <c r="K711" s="1710"/>
      <c r="L711" s="1710"/>
      <c r="M711" s="1710"/>
      <c r="N711" s="1711"/>
      <c r="O711" s="1711"/>
      <c r="P711" s="1711"/>
      <c r="Q711" s="1711"/>
      <c r="R711" s="1711"/>
      <c r="S711" s="1711"/>
      <c r="T711" s="1711"/>
      <c r="U711" s="1711"/>
      <c r="V711" s="1711"/>
      <c r="W711" s="1711"/>
      <c r="X711" s="1711"/>
      <c r="Y711" s="1711"/>
      <c r="Z711" s="1711"/>
      <c r="AA711" s="1712"/>
      <c r="AB711" s="1712"/>
      <c r="AC711" s="1712"/>
      <c r="AD711" s="1712"/>
      <c r="AE711" s="1712"/>
      <c r="AF711" s="1712"/>
      <c r="AG711" s="1712"/>
      <c r="AH711" s="1712"/>
      <c r="AI711" s="1712"/>
      <c r="AJ711" s="1712"/>
      <c r="AK711" s="1712"/>
      <c r="AL711" s="1712"/>
      <c r="AM711" s="1712"/>
      <c r="AN711" s="1712"/>
      <c r="AO711" s="1712"/>
      <c r="AP711" s="1712"/>
      <c r="AQ711" s="1712"/>
      <c r="AR711" s="1712"/>
      <c r="AS711" s="1712"/>
      <c r="AT711" s="1712"/>
      <c r="AU711" s="1712"/>
    </row>
    <row r="712">
      <c r="A712" s="1474" t="s">
        <v>2461</v>
      </c>
      <c r="B712" s="1708"/>
      <c r="C712" s="1709"/>
      <c r="D712" s="1709"/>
      <c r="E712" s="1709"/>
      <c r="F712" s="1710"/>
      <c r="G712" s="1710"/>
      <c r="H712" s="1710"/>
      <c r="I712" s="1710"/>
      <c r="J712" s="1710"/>
      <c r="K712" s="1710"/>
      <c r="L712" s="1710"/>
      <c r="M712" s="1710"/>
      <c r="N712" s="1711"/>
      <c r="O712" s="1711"/>
      <c r="P712" s="1711"/>
      <c r="Q712" s="1711"/>
      <c r="R712" s="1711"/>
      <c r="S712" s="1711"/>
      <c r="T712" s="1711"/>
      <c r="U712" s="1711"/>
      <c r="V712" s="1711"/>
      <c r="W712" s="1711"/>
      <c r="X712" s="1711"/>
      <c r="Y712" s="1711"/>
      <c r="Z712" s="1711"/>
      <c r="AA712" s="1712"/>
      <c r="AB712" s="1712"/>
      <c r="AC712" s="1712"/>
      <c r="AD712" s="1712"/>
      <c r="AE712" s="1712"/>
      <c r="AF712" s="1712"/>
      <c r="AG712" s="1712"/>
      <c r="AH712" s="1712"/>
      <c r="AI712" s="1712"/>
      <c r="AJ712" s="1712"/>
      <c r="AK712" s="1712"/>
      <c r="AL712" s="1712"/>
      <c r="AM712" s="1712"/>
      <c r="AN712" s="1712"/>
      <c r="AO712" s="1712"/>
      <c r="AP712" s="1712"/>
      <c r="AQ712" s="1712"/>
      <c r="AR712" s="1712"/>
      <c r="AS712" s="1712"/>
      <c r="AT712" s="1712"/>
      <c r="AU712" s="1712"/>
    </row>
    <row r="713">
      <c r="A713" s="1474" t="s">
        <v>2461</v>
      </c>
      <c r="B713" s="1708"/>
      <c r="C713" s="1709"/>
      <c r="D713" s="1709"/>
      <c r="E713" s="1709"/>
      <c r="F713" s="1710"/>
      <c r="G713" s="1710"/>
      <c r="H713" s="1710"/>
      <c r="I713" s="1710"/>
      <c r="J713" s="1710"/>
      <c r="K713" s="1710"/>
      <c r="L713" s="1710"/>
      <c r="M713" s="1710"/>
      <c r="N713" s="1711"/>
      <c r="O713" s="1711"/>
      <c r="P713" s="1711"/>
      <c r="Q713" s="1711"/>
      <c r="R713" s="1711"/>
      <c r="S713" s="1711"/>
      <c r="T713" s="1711"/>
      <c r="U713" s="1711"/>
      <c r="V713" s="1711"/>
      <c r="W713" s="1711"/>
      <c r="X713" s="1711"/>
      <c r="Y713" s="1711"/>
      <c r="Z713" s="1711"/>
      <c r="AA713" s="1712"/>
      <c r="AB713" s="1712"/>
      <c r="AC713" s="1712"/>
      <c r="AD713" s="1712"/>
      <c r="AE713" s="1712"/>
      <c r="AF713" s="1712"/>
      <c r="AG713" s="1712"/>
      <c r="AH713" s="1712"/>
      <c r="AI713" s="1712"/>
      <c r="AJ713" s="1712"/>
      <c r="AK713" s="1712"/>
      <c r="AL713" s="1712"/>
      <c r="AM713" s="1712"/>
      <c r="AN713" s="1712"/>
      <c r="AO713" s="1712"/>
      <c r="AP713" s="1712"/>
      <c r="AQ713" s="1712"/>
      <c r="AR713" s="1712"/>
      <c r="AS713" s="1712"/>
      <c r="AT713" s="1712"/>
      <c r="AU713" s="1712"/>
    </row>
    <row r="714">
      <c r="A714" s="1474" t="s">
        <v>2461</v>
      </c>
      <c r="B714" s="1708"/>
      <c r="C714" s="1709"/>
      <c r="D714" s="1709"/>
      <c r="E714" s="1709"/>
      <c r="F714" s="1710"/>
      <c r="G714" s="1710"/>
      <c r="H714" s="1710"/>
      <c r="I714" s="1710"/>
      <c r="J714" s="1710"/>
      <c r="K714" s="1710"/>
      <c r="L714" s="1710"/>
      <c r="M714" s="1710"/>
      <c r="N714" s="1711"/>
      <c r="O714" s="1711"/>
      <c r="P714" s="1711"/>
      <c r="Q714" s="1711"/>
      <c r="R714" s="1711"/>
      <c r="S714" s="1711"/>
      <c r="T714" s="1711"/>
      <c r="U714" s="1711"/>
      <c r="V714" s="1711"/>
      <c r="W714" s="1711"/>
      <c r="X714" s="1711"/>
      <c r="Y714" s="1711"/>
      <c r="Z714" s="1711"/>
      <c r="AA714" s="1712"/>
      <c r="AB714" s="1712"/>
      <c r="AC714" s="1712"/>
      <c r="AD714" s="1712"/>
      <c r="AE714" s="1712"/>
      <c r="AF714" s="1712"/>
      <c r="AG714" s="1712"/>
      <c r="AH714" s="1712"/>
      <c r="AI714" s="1712"/>
      <c r="AJ714" s="1712"/>
      <c r="AK714" s="1712"/>
      <c r="AL714" s="1712"/>
      <c r="AM714" s="1712"/>
      <c r="AN714" s="1712"/>
      <c r="AO714" s="1712"/>
      <c r="AP714" s="1712"/>
      <c r="AQ714" s="1712"/>
      <c r="AR714" s="1712"/>
      <c r="AS714" s="1712"/>
      <c r="AT714" s="1712"/>
      <c r="AU714" s="1712"/>
    </row>
    <row r="715">
      <c r="A715" s="1474" t="s">
        <v>2461</v>
      </c>
      <c r="B715" s="1708"/>
      <c r="C715" s="1709"/>
      <c r="D715" s="1709"/>
      <c r="E715" s="1709"/>
      <c r="F715" s="1710"/>
      <c r="G715" s="1710"/>
      <c r="H715" s="1710"/>
      <c r="I715" s="1710"/>
      <c r="J715" s="1710"/>
      <c r="K715" s="1710"/>
      <c r="L715" s="1710"/>
      <c r="M715" s="1710"/>
      <c r="N715" s="1711"/>
      <c r="O715" s="1711"/>
      <c r="P715" s="1711"/>
      <c r="Q715" s="1711"/>
      <c r="R715" s="1711"/>
      <c r="S715" s="1711"/>
      <c r="T715" s="1711"/>
      <c r="U715" s="1711"/>
      <c r="V715" s="1711"/>
      <c r="W715" s="1711"/>
      <c r="X715" s="1711"/>
      <c r="Y715" s="1711"/>
      <c r="Z715" s="1711"/>
      <c r="AA715" s="1712"/>
      <c r="AB715" s="1712"/>
      <c r="AC715" s="1712"/>
      <c r="AD715" s="1712"/>
      <c r="AE715" s="1712"/>
      <c r="AF715" s="1712"/>
      <c r="AG715" s="1712"/>
      <c r="AH715" s="1712"/>
      <c r="AI715" s="1712"/>
      <c r="AJ715" s="1712"/>
      <c r="AK715" s="1712"/>
      <c r="AL715" s="1712"/>
      <c r="AM715" s="1712"/>
      <c r="AN715" s="1712"/>
      <c r="AO715" s="1712"/>
      <c r="AP715" s="1712"/>
      <c r="AQ715" s="1712"/>
      <c r="AR715" s="1712"/>
      <c r="AS715" s="1712"/>
      <c r="AT715" s="1712"/>
      <c r="AU715" s="1712"/>
    </row>
    <row r="716">
      <c r="A716" s="1474" t="s">
        <v>2461</v>
      </c>
      <c r="B716" s="1708"/>
      <c r="C716" s="1709"/>
      <c r="D716" s="1709"/>
      <c r="E716" s="1709"/>
      <c r="F716" s="1710"/>
      <c r="G716" s="1710"/>
      <c r="H716" s="1710"/>
      <c r="I716" s="1710"/>
      <c r="J716" s="1710"/>
      <c r="K716" s="1710"/>
      <c r="L716" s="1710"/>
      <c r="M716" s="1710"/>
      <c r="N716" s="1711"/>
      <c r="O716" s="1711"/>
      <c r="P716" s="1711"/>
      <c r="Q716" s="1711"/>
      <c r="R716" s="1711"/>
      <c r="S716" s="1711"/>
      <c r="T716" s="1711"/>
      <c r="U716" s="1711"/>
      <c r="V716" s="1711"/>
      <c r="W716" s="1711"/>
      <c r="X716" s="1711"/>
      <c r="Y716" s="1711"/>
      <c r="Z716" s="1711"/>
      <c r="AA716" s="1712"/>
      <c r="AB716" s="1712"/>
      <c r="AC716" s="1712"/>
      <c r="AD716" s="1712"/>
      <c r="AE716" s="1712"/>
      <c r="AF716" s="1712"/>
      <c r="AG716" s="1712"/>
      <c r="AH716" s="1712"/>
      <c r="AI716" s="1712"/>
      <c r="AJ716" s="1712"/>
      <c r="AK716" s="1712"/>
      <c r="AL716" s="1712"/>
      <c r="AM716" s="1712"/>
      <c r="AN716" s="1712"/>
      <c r="AO716" s="1712"/>
      <c r="AP716" s="1712"/>
      <c r="AQ716" s="1712"/>
      <c r="AR716" s="1712"/>
      <c r="AS716" s="1712"/>
      <c r="AT716" s="1712"/>
      <c r="AU716" s="1712"/>
    </row>
    <row r="717">
      <c r="A717" s="1474" t="s">
        <v>2461</v>
      </c>
      <c r="B717" s="1708"/>
      <c r="C717" s="1709"/>
      <c r="D717" s="1709"/>
      <c r="E717" s="1709"/>
      <c r="F717" s="1710"/>
      <c r="G717" s="1710"/>
      <c r="H717" s="1710"/>
      <c r="I717" s="1710"/>
      <c r="J717" s="1710"/>
      <c r="K717" s="1710"/>
      <c r="L717" s="1710"/>
      <c r="M717" s="1710"/>
      <c r="N717" s="1711"/>
      <c r="O717" s="1711"/>
      <c r="P717" s="1711"/>
      <c r="Q717" s="1711"/>
      <c r="R717" s="1711"/>
      <c r="S717" s="1711"/>
      <c r="T717" s="1711"/>
      <c r="U717" s="1711"/>
      <c r="V717" s="1711"/>
      <c r="W717" s="1711"/>
      <c r="X717" s="1711"/>
      <c r="Y717" s="1711"/>
      <c r="Z717" s="1711"/>
      <c r="AA717" s="1712"/>
      <c r="AB717" s="1712"/>
      <c r="AC717" s="1712"/>
      <c r="AD717" s="1712"/>
      <c r="AE717" s="1712"/>
      <c r="AF717" s="1712"/>
      <c r="AG717" s="1712"/>
      <c r="AH717" s="1712"/>
      <c r="AI717" s="1712"/>
      <c r="AJ717" s="1712"/>
      <c r="AK717" s="1712"/>
      <c r="AL717" s="1712"/>
      <c r="AM717" s="1712"/>
      <c r="AN717" s="1712"/>
      <c r="AO717" s="1712"/>
      <c r="AP717" s="1712"/>
      <c r="AQ717" s="1712"/>
      <c r="AR717" s="1712"/>
      <c r="AS717" s="1712"/>
      <c r="AT717" s="1712"/>
      <c r="AU717" s="1712"/>
    </row>
    <row r="718">
      <c r="A718" s="1474" t="s">
        <v>2461</v>
      </c>
      <c r="B718" s="1708"/>
      <c r="C718" s="1709"/>
      <c r="D718" s="1709"/>
      <c r="E718" s="1709"/>
      <c r="F718" s="1710"/>
      <c r="G718" s="1710"/>
      <c r="H718" s="1710"/>
      <c r="I718" s="1710"/>
      <c r="J718" s="1710"/>
      <c r="K718" s="1710"/>
      <c r="L718" s="1710"/>
      <c r="M718" s="1710"/>
      <c r="N718" s="1711"/>
      <c r="O718" s="1711"/>
      <c r="P718" s="1711"/>
      <c r="Q718" s="1711"/>
      <c r="R718" s="1711"/>
      <c r="S718" s="1711"/>
      <c r="T718" s="1711"/>
      <c r="U718" s="1711"/>
      <c r="V718" s="1711"/>
      <c r="W718" s="1711"/>
      <c r="X718" s="1711"/>
      <c r="Y718" s="1711"/>
      <c r="Z718" s="1711"/>
      <c r="AA718" s="1712"/>
      <c r="AB718" s="1712"/>
      <c r="AC718" s="1712"/>
      <c r="AD718" s="1712"/>
      <c r="AE718" s="1712"/>
      <c r="AF718" s="1712"/>
      <c r="AG718" s="1712"/>
      <c r="AH718" s="1712"/>
      <c r="AI718" s="1712"/>
      <c r="AJ718" s="1712"/>
      <c r="AK718" s="1712"/>
      <c r="AL718" s="1712"/>
      <c r="AM718" s="1712"/>
      <c r="AN718" s="1712"/>
      <c r="AO718" s="1712"/>
      <c r="AP718" s="1712"/>
      <c r="AQ718" s="1712"/>
      <c r="AR718" s="1712"/>
      <c r="AS718" s="1712"/>
      <c r="AT718" s="1712"/>
      <c r="AU718" s="1712"/>
    </row>
    <row r="719">
      <c r="A719" s="1474" t="s">
        <v>2461</v>
      </c>
      <c r="B719" s="1708"/>
      <c r="C719" s="1709"/>
      <c r="D719" s="1709"/>
      <c r="E719" s="1709"/>
      <c r="F719" s="1710"/>
      <c r="G719" s="1710"/>
      <c r="H719" s="1710"/>
      <c r="I719" s="1710"/>
      <c r="J719" s="1710"/>
      <c r="K719" s="1710"/>
      <c r="L719" s="1710"/>
      <c r="M719" s="1710"/>
      <c r="N719" s="1711"/>
      <c r="O719" s="1711"/>
      <c r="P719" s="1711"/>
      <c r="Q719" s="1711"/>
      <c r="R719" s="1711"/>
      <c r="S719" s="1711"/>
      <c r="T719" s="1711"/>
      <c r="U719" s="1711"/>
      <c r="V719" s="1711"/>
      <c r="W719" s="1711"/>
      <c r="X719" s="1711"/>
      <c r="Y719" s="1711"/>
      <c r="Z719" s="1711"/>
      <c r="AA719" s="1712"/>
      <c r="AB719" s="1712"/>
      <c r="AC719" s="1712"/>
      <c r="AD719" s="1712"/>
      <c r="AE719" s="1712"/>
      <c r="AF719" s="1712"/>
      <c r="AG719" s="1712"/>
      <c r="AH719" s="1712"/>
      <c r="AI719" s="1712"/>
      <c r="AJ719" s="1712"/>
      <c r="AK719" s="1712"/>
      <c r="AL719" s="1712"/>
      <c r="AM719" s="1712"/>
      <c r="AN719" s="1712"/>
      <c r="AO719" s="1712"/>
      <c r="AP719" s="1712"/>
      <c r="AQ719" s="1712"/>
      <c r="AR719" s="1712"/>
      <c r="AS719" s="1712"/>
      <c r="AT719" s="1712"/>
      <c r="AU719" s="1712"/>
    </row>
    <row r="720">
      <c r="A720" s="1474" t="s">
        <v>2461</v>
      </c>
      <c r="B720" s="1708"/>
      <c r="C720" s="1709"/>
      <c r="D720" s="1709"/>
      <c r="E720" s="1709"/>
      <c r="F720" s="1710"/>
      <c r="G720" s="1710"/>
      <c r="H720" s="1710"/>
      <c r="I720" s="1710"/>
      <c r="J720" s="1710"/>
      <c r="K720" s="1710"/>
      <c r="L720" s="1710"/>
      <c r="M720" s="1710"/>
      <c r="N720" s="1711"/>
      <c r="O720" s="1711"/>
      <c r="P720" s="1711"/>
      <c r="Q720" s="1711"/>
      <c r="R720" s="1711"/>
      <c r="S720" s="1711"/>
      <c r="T720" s="1711"/>
      <c r="U720" s="1711"/>
      <c r="V720" s="1711"/>
      <c r="W720" s="1711"/>
      <c r="X720" s="1711"/>
      <c r="Y720" s="1711"/>
      <c r="Z720" s="1711"/>
      <c r="AA720" s="1712"/>
      <c r="AB720" s="1712"/>
      <c r="AC720" s="1712"/>
      <c r="AD720" s="1712"/>
      <c r="AE720" s="1712"/>
      <c r="AF720" s="1712"/>
      <c r="AG720" s="1712"/>
      <c r="AH720" s="1712"/>
      <c r="AI720" s="1712"/>
      <c r="AJ720" s="1712"/>
      <c r="AK720" s="1712"/>
      <c r="AL720" s="1712"/>
      <c r="AM720" s="1712"/>
      <c r="AN720" s="1712"/>
      <c r="AO720" s="1712"/>
      <c r="AP720" s="1712"/>
      <c r="AQ720" s="1712"/>
      <c r="AR720" s="1712"/>
      <c r="AS720" s="1712"/>
      <c r="AT720" s="1712"/>
      <c r="AU720" s="1712"/>
    </row>
    <row r="721">
      <c r="A721" s="1474" t="s">
        <v>2461</v>
      </c>
      <c r="B721" s="1708"/>
      <c r="C721" s="1709"/>
      <c r="D721" s="1709"/>
      <c r="E721" s="1709"/>
      <c r="F721" s="1710"/>
      <c r="G721" s="1710"/>
      <c r="H721" s="1710"/>
      <c r="I721" s="1710"/>
      <c r="J721" s="1710"/>
      <c r="K721" s="1710"/>
      <c r="L721" s="1710"/>
      <c r="M721" s="1710"/>
      <c r="N721" s="1711"/>
      <c r="O721" s="1711"/>
      <c r="P721" s="1711"/>
      <c r="Q721" s="1711"/>
      <c r="R721" s="1711"/>
      <c r="S721" s="1711"/>
      <c r="T721" s="1711"/>
      <c r="U721" s="1711"/>
      <c r="V721" s="1711"/>
      <c r="W721" s="1711"/>
      <c r="X721" s="1711"/>
      <c r="Y721" s="1711"/>
      <c r="Z721" s="1711"/>
      <c r="AA721" s="1712"/>
      <c r="AB721" s="1712"/>
      <c r="AC721" s="1712"/>
      <c r="AD721" s="1712"/>
      <c r="AE721" s="1712"/>
      <c r="AF721" s="1712"/>
      <c r="AG721" s="1712"/>
      <c r="AH721" s="1712"/>
      <c r="AI721" s="1712"/>
      <c r="AJ721" s="1712"/>
      <c r="AK721" s="1712"/>
      <c r="AL721" s="1712"/>
      <c r="AM721" s="1712"/>
      <c r="AN721" s="1712"/>
      <c r="AO721" s="1712"/>
      <c r="AP721" s="1712"/>
      <c r="AQ721" s="1712"/>
      <c r="AR721" s="1712"/>
      <c r="AS721" s="1712"/>
      <c r="AT721" s="1712"/>
      <c r="AU721" s="1712"/>
    </row>
    <row r="722">
      <c r="A722" s="1474" t="s">
        <v>2461</v>
      </c>
      <c r="B722" s="1708"/>
      <c r="C722" s="1709"/>
      <c r="D722" s="1709"/>
      <c r="E722" s="1709"/>
      <c r="F722" s="1710"/>
      <c r="G722" s="1710"/>
      <c r="H722" s="1710"/>
      <c r="I722" s="1710"/>
      <c r="J722" s="1710"/>
      <c r="K722" s="1710"/>
      <c r="L722" s="1710"/>
      <c r="M722" s="1710"/>
      <c r="N722" s="1711"/>
      <c r="O722" s="1711"/>
      <c r="P722" s="1711"/>
      <c r="Q722" s="1711"/>
      <c r="R722" s="1711"/>
      <c r="S722" s="1711"/>
      <c r="T722" s="1711"/>
      <c r="U722" s="1711"/>
      <c r="V722" s="1711"/>
      <c r="W722" s="1711"/>
      <c r="X722" s="1711"/>
      <c r="Y722" s="1711"/>
      <c r="Z722" s="1711"/>
      <c r="AA722" s="1712"/>
      <c r="AB722" s="1712"/>
      <c r="AC722" s="1712"/>
      <c r="AD722" s="1712"/>
      <c r="AE722" s="1712"/>
      <c r="AF722" s="1712"/>
      <c r="AG722" s="1712"/>
      <c r="AH722" s="1712"/>
      <c r="AI722" s="1712"/>
      <c r="AJ722" s="1712"/>
      <c r="AK722" s="1712"/>
      <c r="AL722" s="1712"/>
      <c r="AM722" s="1712"/>
      <c r="AN722" s="1712"/>
      <c r="AO722" s="1712"/>
      <c r="AP722" s="1712"/>
      <c r="AQ722" s="1712"/>
      <c r="AR722" s="1712"/>
      <c r="AS722" s="1712"/>
      <c r="AT722" s="1712"/>
      <c r="AU722" s="1712"/>
    </row>
    <row r="723">
      <c r="A723" s="1474" t="s">
        <v>2461</v>
      </c>
      <c r="B723" s="1708"/>
      <c r="C723" s="1709"/>
      <c r="D723" s="1709"/>
      <c r="E723" s="1709"/>
      <c r="F723" s="1710"/>
      <c r="G723" s="1710"/>
      <c r="H723" s="1710"/>
      <c r="I723" s="1710"/>
      <c r="J723" s="1710"/>
      <c r="K723" s="1710"/>
      <c r="L723" s="1710"/>
      <c r="M723" s="1710"/>
      <c r="N723" s="1711"/>
      <c r="O723" s="1711"/>
      <c r="P723" s="1711"/>
      <c r="Q723" s="1711"/>
      <c r="R723" s="1711"/>
      <c r="S723" s="1711"/>
      <c r="T723" s="1711"/>
      <c r="U723" s="1711"/>
      <c r="V723" s="1711"/>
      <c r="W723" s="1711"/>
      <c r="X723" s="1711"/>
      <c r="Y723" s="1711"/>
      <c r="Z723" s="1711"/>
      <c r="AA723" s="1712"/>
      <c r="AB723" s="1712"/>
      <c r="AC723" s="1712"/>
      <c r="AD723" s="1712"/>
      <c r="AE723" s="1712"/>
      <c r="AF723" s="1712"/>
      <c r="AG723" s="1712"/>
      <c r="AH723" s="1712"/>
      <c r="AI723" s="1712"/>
      <c r="AJ723" s="1712"/>
      <c r="AK723" s="1712"/>
      <c r="AL723" s="1712"/>
      <c r="AM723" s="1712"/>
      <c r="AN723" s="1712"/>
      <c r="AO723" s="1712"/>
      <c r="AP723" s="1712"/>
      <c r="AQ723" s="1712"/>
      <c r="AR723" s="1712"/>
      <c r="AS723" s="1712"/>
      <c r="AT723" s="1712"/>
      <c r="AU723" s="1712"/>
    </row>
    <row r="724">
      <c r="A724" s="1474" t="s">
        <v>2461</v>
      </c>
      <c r="B724" s="1708"/>
      <c r="C724" s="1709"/>
      <c r="D724" s="1709"/>
      <c r="E724" s="1709"/>
      <c r="F724" s="1710"/>
      <c r="G724" s="1710"/>
      <c r="H724" s="1710"/>
      <c r="I724" s="1710"/>
      <c r="J724" s="1710"/>
      <c r="K724" s="1710"/>
      <c r="L724" s="1710"/>
      <c r="M724" s="1710"/>
      <c r="N724" s="1711"/>
      <c r="O724" s="1711"/>
      <c r="P724" s="1711"/>
      <c r="Q724" s="1711"/>
      <c r="R724" s="1711"/>
      <c r="S724" s="1711"/>
      <c r="T724" s="1711"/>
      <c r="U724" s="1711"/>
      <c r="V724" s="1711"/>
      <c r="W724" s="1711"/>
      <c r="X724" s="1711"/>
      <c r="Y724" s="1711"/>
      <c r="Z724" s="1711"/>
      <c r="AA724" s="1712"/>
      <c r="AB724" s="1712"/>
      <c r="AC724" s="1712"/>
      <c r="AD724" s="1712"/>
      <c r="AE724" s="1712"/>
      <c r="AF724" s="1712"/>
      <c r="AG724" s="1712"/>
      <c r="AH724" s="1712"/>
      <c r="AI724" s="1712"/>
      <c r="AJ724" s="1712"/>
      <c r="AK724" s="1712"/>
      <c r="AL724" s="1712"/>
      <c r="AM724" s="1712"/>
      <c r="AN724" s="1712"/>
      <c r="AO724" s="1712"/>
      <c r="AP724" s="1712"/>
      <c r="AQ724" s="1712"/>
      <c r="AR724" s="1712"/>
      <c r="AS724" s="1712"/>
      <c r="AT724" s="1712"/>
      <c r="AU724" s="1712"/>
    </row>
    <row r="725">
      <c r="A725" s="1474" t="s">
        <v>2461</v>
      </c>
      <c r="B725" s="1708"/>
      <c r="C725" s="1709"/>
      <c r="D725" s="1709"/>
      <c r="E725" s="1709"/>
      <c r="F725" s="1710"/>
      <c r="G725" s="1710"/>
      <c r="H725" s="1710"/>
      <c r="I725" s="1710"/>
      <c r="J725" s="1710"/>
      <c r="K725" s="1710"/>
      <c r="L725" s="1710"/>
      <c r="M725" s="1710"/>
      <c r="N725" s="1711"/>
      <c r="O725" s="1711"/>
      <c r="P725" s="1711"/>
      <c r="Q725" s="1711"/>
      <c r="R725" s="1711"/>
      <c r="S725" s="1711"/>
      <c r="T725" s="1711"/>
      <c r="U725" s="1711"/>
      <c r="V725" s="1711"/>
      <c r="W725" s="1711"/>
      <c r="X725" s="1711"/>
      <c r="Y725" s="1711"/>
      <c r="Z725" s="1711"/>
      <c r="AA725" s="1712"/>
      <c r="AB725" s="1712"/>
      <c r="AC725" s="1712"/>
      <c r="AD725" s="1712"/>
      <c r="AE725" s="1712"/>
      <c r="AF725" s="1712"/>
      <c r="AG725" s="1712"/>
      <c r="AH725" s="1712"/>
      <c r="AI725" s="1712"/>
      <c r="AJ725" s="1712"/>
      <c r="AK725" s="1712"/>
      <c r="AL725" s="1712"/>
      <c r="AM725" s="1712"/>
      <c r="AN725" s="1712"/>
      <c r="AO725" s="1712"/>
      <c r="AP725" s="1712"/>
      <c r="AQ725" s="1712"/>
      <c r="AR725" s="1712"/>
      <c r="AS725" s="1712"/>
      <c r="AT725" s="1712"/>
      <c r="AU725" s="1712"/>
    </row>
    <row r="726">
      <c r="A726" s="1474" t="s">
        <v>2461</v>
      </c>
      <c r="B726" s="1708"/>
      <c r="C726" s="1709"/>
      <c r="D726" s="1709"/>
      <c r="E726" s="1709"/>
      <c r="F726" s="1710"/>
      <c r="G726" s="1710"/>
      <c r="H726" s="1710"/>
      <c r="I726" s="1710"/>
      <c r="J726" s="1710"/>
      <c r="K726" s="1710"/>
      <c r="L726" s="1710"/>
      <c r="M726" s="1710"/>
      <c r="N726" s="1711"/>
      <c r="O726" s="1711"/>
      <c r="P726" s="1711"/>
      <c r="Q726" s="1711"/>
      <c r="R726" s="1711"/>
      <c r="S726" s="1711"/>
      <c r="T726" s="1711"/>
      <c r="U726" s="1711"/>
      <c r="V726" s="1711"/>
      <c r="W726" s="1711"/>
      <c r="X726" s="1711"/>
      <c r="Y726" s="1711"/>
      <c r="Z726" s="1711"/>
      <c r="AA726" s="1712"/>
      <c r="AB726" s="1712"/>
      <c r="AC726" s="1712"/>
      <c r="AD726" s="1712"/>
      <c r="AE726" s="1712"/>
      <c r="AF726" s="1712"/>
      <c r="AG726" s="1712"/>
      <c r="AH726" s="1712"/>
      <c r="AI726" s="1712"/>
      <c r="AJ726" s="1712"/>
      <c r="AK726" s="1712"/>
      <c r="AL726" s="1712"/>
      <c r="AM726" s="1712"/>
      <c r="AN726" s="1712"/>
      <c r="AO726" s="1712"/>
      <c r="AP726" s="1712"/>
      <c r="AQ726" s="1712"/>
      <c r="AR726" s="1712"/>
      <c r="AS726" s="1712"/>
      <c r="AT726" s="1712"/>
      <c r="AU726" s="1712"/>
    </row>
    <row r="727">
      <c r="A727" s="1474" t="s">
        <v>2461</v>
      </c>
      <c r="B727" s="1708"/>
      <c r="C727" s="1709"/>
      <c r="D727" s="1709"/>
      <c r="E727" s="1709"/>
      <c r="F727" s="1710"/>
      <c r="G727" s="1710"/>
      <c r="H727" s="1710"/>
      <c r="I727" s="1710"/>
      <c r="J727" s="1710"/>
      <c r="K727" s="1710"/>
      <c r="L727" s="1710"/>
      <c r="M727" s="1710"/>
      <c r="N727" s="1711"/>
      <c r="O727" s="1711"/>
      <c r="P727" s="1711"/>
      <c r="Q727" s="1711"/>
      <c r="R727" s="1711"/>
      <c r="S727" s="1711"/>
      <c r="T727" s="1711"/>
      <c r="U727" s="1711"/>
      <c r="V727" s="1711"/>
      <c r="W727" s="1711"/>
      <c r="X727" s="1711"/>
      <c r="Y727" s="1711"/>
      <c r="Z727" s="1711"/>
      <c r="AA727" s="1712"/>
      <c r="AB727" s="1712"/>
      <c r="AC727" s="1712"/>
      <c r="AD727" s="1712"/>
      <c r="AE727" s="1712"/>
      <c r="AF727" s="1712"/>
      <c r="AG727" s="1712"/>
      <c r="AH727" s="1712"/>
      <c r="AI727" s="1712"/>
      <c r="AJ727" s="1712"/>
      <c r="AK727" s="1712"/>
      <c r="AL727" s="1712"/>
      <c r="AM727" s="1712"/>
      <c r="AN727" s="1712"/>
      <c r="AO727" s="1712"/>
      <c r="AP727" s="1712"/>
      <c r="AQ727" s="1712"/>
      <c r="AR727" s="1712"/>
      <c r="AS727" s="1712"/>
      <c r="AT727" s="1712"/>
      <c r="AU727" s="1712"/>
    </row>
    <row r="728">
      <c r="A728" s="1474" t="s">
        <v>2461</v>
      </c>
      <c r="B728" s="1708"/>
      <c r="C728" s="1709"/>
      <c r="D728" s="1709"/>
      <c r="E728" s="1709"/>
      <c r="F728" s="1710"/>
      <c r="G728" s="1710"/>
      <c r="H728" s="1710"/>
      <c r="I728" s="1710"/>
      <c r="J728" s="1710"/>
      <c r="K728" s="1710"/>
      <c r="L728" s="1710"/>
      <c r="M728" s="1710"/>
      <c r="N728" s="1711"/>
      <c r="O728" s="1711"/>
      <c r="P728" s="1711"/>
      <c r="Q728" s="1711"/>
      <c r="R728" s="1711"/>
      <c r="S728" s="1711"/>
      <c r="T728" s="1711"/>
      <c r="U728" s="1711"/>
      <c r="V728" s="1711"/>
      <c r="W728" s="1711"/>
      <c r="X728" s="1711"/>
      <c r="Y728" s="1711"/>
      <c r="Z728" s="1711"/>
      <c r="AA728" s="1712"/>
      <c r="AB728" s="1712"/>
      <c r="AC728" s="1712"/>
      <c r="AD728" s="1712"/>
      <c r="AE728" s="1712"/>
      <c r="AF728" s="1712"/>
      <c r="AG728" s="1712"/>
      <c r="AH728" s="1712"/>
      <c r="AI728" s="1712"/>
      <c r="AJ728" s="1712"/>
      <c r="AK728" s="1712"/>
      <c r="AL728" s="1712"/>
      <c r="AM728" s="1712"/>
      <c r="AN728" s="1712"/>
      <c r="AO728" s="1712"/>
      <c r="AP728" s="1712"/>
      <c r="AQ728" s="1712"/>
      <c r="AR728" s="1712"/>
      <c r="AS728" s="1712"/>
      <c r="AT728" s="1712"/>
      <c r="AU728" s="1712"/>
    </row>
    <row r="729">
      <c r="A729" s="1474" t="s">
        <v>2461</v>
      </c>
      <c r="B729" s="1708"/>
      <c r="C729" s="1709"/>
      <c r="D729" s="1709"/>
      <c r="E729" s="1709"/>
      <c r="F729" s="1710"/>
      <c r="G729" s="1710"/>
      <c r="H729" s="1710"/>
      <c r="I729" s="1710"/>
      <c r="J729" s="1710"/>
      <c r="K729" s="1710"/>
      <c r="L729" s="1710"/>
      <c r="M729" s="1710"/>
      <c r="N729" s="1711"/>
      <c r="O729" s="1711"/>
      <c r="P729" s="1711"/>
      <c r="Q729" s="1711"/>
      <c r="R729" s="1711"/>
      <c r="S729" s="1711"/>
      <c r="T729" s="1711"/>
      <c r="U729" s="1711"/>
      <c r="V729" s="1711"/>
      <c r="W729" s="1711"/>
      <c r="X729" s="1711"/>
      <c r="Y729" s="1711"/>
      <c r="Z729" s="1711"/>
      <c r="AA729" s="1712"/>
      <c r="AB729" s="1712"/>
      <c r="AC729" s="1712"/>
      <c r="AD729" s="1712"/>
      <c r="AE729" s="1712"/>
      <c r="AF729" s="1712"/>
      <c r="AG729" s="1712"/>
      <c r="AH729" s="1712"/>
      <c r="AI729" s="1712"/>
      <c r="AJ729" s="1712"/>
      <c r="AK729" s="1712"/>
      <c r="AL729" s="1712"/>
      <c r="AM729" s="1712"/>
      <c r="AN729" s="1712"/>
      <c r="AO729" s="1712"/>
      <c r="AP729" s="1712"/>
      <c r="AQ729" s="1712"/>
      <c r="AR729" s="1712"/>
      <c r="AS729" s="1712"/>
      <c r="AT729" s="1712"/>
      <c r="AU729" s="1712"/>
    </row>
    <row r="730">
      <c r="A730" s="1474" t="s">
        <v>2461</v>
      </c>
      <c r="B730" s="1708"/>
      <c r="C730" s="1709"/>
      <c r="D730" s="1709"/>
      <c r="E730" s="1709"/>
      <c r="F730" s="1710"/>
      <c r="G730" s="1710"/>
      <c r="H730" s="1710"/>
      <c r="I730" s="1710"/>
      <c r="J730" s="1710"/>
      <c r="K730" s="1710"/>
      <c r="L730" s="1710"/>
      <c r="M730" s="1710"/>
      <c r="N730" s="1711"/>
      <c r="O730" s="1711"/>
      <c r="P730" s="1711"/>
      <c r="Q730" s="1711"/>
      <c r="R730" s="1711"/>
      <c r="S730" s="1711"/>
      <c r="T730" s="1711"/>
      <c r="U730" s="1711"/>
      <c r="V730" s="1711"/>
      <c r="W730" s="1711"/>
      <c r="X730" s="1711"/>
      <c r="Y730" s="1711"/>
      <c r="Z730" s="1711"/>
      <c r="AA730" s="1712"/>
      <c r="AB730" s="1712"/>
      <c r="AC730" s="1712"/>
      <c r="AD730" s="1712"/>
      <c r="AE730" s="1712"/>
      <c r="AF730" s="1712"/>
      <c r="AG730" s="1712"/>
      <c r="AH730" s="1712"/>
      <c r="AI730" s="1712"/>
      <c r="AJ730" s="1712"/>
      <c r="AK730" s="1712"/>
      <c r="AL730" s="1712"/>
      <c r="AM730" s="1712"/>
      <c r="AN730" s="1712"/>
      <c r="AO730" s="1712"/>
      <c r="AP730" s="1712"/>
      <c r="AQ730" s="1712"/>
      <c r="AR730" s="1712"/>
      <c r="AS730" s="1712"/>
      <c r="AT730" s="1712"/>
      <c r="AU730" s="1712"/>
    </row>
    <row r="731">
      <c r="A731" s="1474" t="s">
        <v>2461</v>
      </c>
      <c r="B731" s="1708"/>
      <c r="C731" s="1709"/>
      <c r="D731" s="1709"/>
      <c r="E731" s="1709"/>
      <c r="F731" s="1710"/>
      <c r="G731" s="1710"/>
      <c r="H731" s="1710"/>
      <c r="I731" s="1710"/>
      <c r="J731" s="1710"/>
      <c r="K731" s="1710"/>
      <c r="L731" s="1710"/>
      <c r="M731" s="1710"/>
      <c r="N731" s="1711"/>
      <c r="O731" s="1711"/>
      <c r="P731" s="1711"/>
      <c r="Q731" s="1711"/>
      <c r="R731" s="1711"/>
      <c r="S731" s="1711"/>
      <c r="T731" s="1711"/>
      <c r="U731" s="1711"/>
      <c r="V731" s="1711"/>
      <c r="W731" s="1711"/>
      <c r="X731" s="1711"/>
      <c r="Y731" s="1711"/>
      <c r="Z731" s="1711"/>
      <c r="AA731" s="1712"/>
      <c r="AB731" s="1712"/>
      <c r="AC731" s="1712"/>
      <c r="AD731" s="1712"/>
      <c r="AE731" s="1712"/>
      <c r="AF731" s="1712"/>
      <c r="AG731" s="1712"/>
      <c r="AH731" s="1712"/>
      <c r="AI731" s="1712"/>
      <c r="AJ731" s="1712"/>
      <c r="AK731" s="1712"/>
      <c r="AL731" s="1712"/>
      <c r="AM731" s="1712"/>
      <c r="AN731" s="1712"/>
      <c r="AO731" s="1712"/>
      <c r="AP731" s="1712"/>
      <c r="AQ731" s="1712"/>
      <c r="AR731" s="1712"/>
      <c r="AS731" s="1712"/>
      <c r="AT731" s="1712"/>
      <c r="AU731" s="1712"/>
    </row>
    <row r="732">
      <c r="A732" s="1474" t="s">
        <v>2461</v>
      </c>
      <c r="B732" s="1708"/>
      <c r="C732" s="1709"/>
      <c r="D732" s="1709"/>
      <c r="E732" s="1709"/>
      <c r="F732" s="1710"/>
      <c r="G732" s="1710"/>
      <c r="H732" s="1710"/>
      <c r="I732" s="1710"/>
      <c r="J732" s="1710"/>
      <c r="K732" s="1710"/>
      <c r="L732" s="1710"/>
      <c r="M732" s="1710"/>
      <c r="N732" s="1711"/>
      <c r="O732" s="1711"/>
      <c r="P732" s="1711"/>
      <c r="Q732" s="1711"/>
      <c r="R732" s="1711"/>
      <c r="S732" s="1711"/>
      <c r="T732" s="1711"/>
      <c r="U732" s="1711"/>
      <c r="V732" s="1711"/>
      <c r="W732" s="1711"/>
      <c r="X732" s="1711"/>
      <c r="Y732" s="1711"/>
      <c r="Z732" s="1711"/>
      <c r="AA732" s="1712"/>
      <c r="AB732" s="1712"/>
      <c r="AC732" s="1712"/>
      <c r="AD732" s="1712"/>
      <c r="AE732" s="1712"/>
      <c r="AF732" s="1712"/>
      <c r="AG732" s="1712"/>
      <c r="AH732" s="1712"/>
      <c r="AI732" s="1712"/>
      <c r="AJ732" s="1712"/>
      <c r="AK732" s="1712"/>
      <c r="AL732" s="1712"/>
      <c r="AM732" s="1712"/>
      <c r="AN732" s="1712"/>
      <c r="AO732" s="1712"/>
      <c r="AP732" s="1712"/>
      <c r="AQ732" s="1712"/>
      <c r="AR732" s="1712"/>
      <c r="AS732" s="1712"/>
      <c r="AT732" s="1712"/>
      <c r="AU732" s="1712"/>
    </row>
    <row r="733">
      <c r="A733" s="1474" t="s">
        <v>2461</v>
      </c>
      <c r="B733" s="1708"/>
      <c r="C733" s="1709"/>
      <c r="D733" s="1709"/>
      <c r="E733" s="1709"/>
      <c r="F733" s="1710"/>
      <c r="G733" s="1710"/>
      <c r="H733" s="1710"/>
      <c r="I733" s="1710"/>
      <c r="J733" s="1710"/>
      <c r="K733" s="1710"/>
      <c r="L733" s="1710"/>
      <c r="M733" s="1710"/>
      <c r="N733" s="1711"/>
      <c r="O733" s="1711"/>
      <c r="P733" s="1711"/>
      <c r="Q733" s="1711"/>
      <c r="R733" s="1711"/>
      <c r="S733" s="1711"/>
      <c r="T733" s="1711"/>
      <c r="U733" s="1711"/>
      <c r="V733" s="1711"/>
      <c r="W733" s="1711"/>
      <c r="X733" s="1711"/>
      <c r="Y733" s="1711"/>
      <c r="Z733" s="1711"/>
      <c r="AA733" s="1712"/>
      <c r="AB733" s="1712"/>
      <c r="AC733" s="1712"/>
      <c r="AD733" s="1712"/>
      <c r="AE733" s="1712"/>
      <c r="AF733" s="1712"/>
      <c r="AG733" s="1712"/>
      <c r="AH733" s="1712"/>
      <c r="AI733" s="1712"/>
      <c r="AJ733" s="1712"/>
      <c r="AK733" s="1712"/>
      <c r="AL733" s="1712"/>
      <c r="AM733" s="1712"/>
      <c r="AN733" s="1712"/>
      <c r="AO733" s="1712"/>
      <c r="AP733" s="1712"/>
      <c r="AQ733" s="1712"/>
      <c r="AR733" s="1712"/>
      <c r="AS733" s="1712"/>
      <c r="AT733" s="1712"/>
      <c r="AU733" s="1712"/>
    </row>
    <row r="734">
      <c r="A734" s="1474" t="s">
        <v>2461</v>
      </c>
      <c r="B734" s="1708"/>
      <c r="C734" s="1709"/>
      <c r="D734" s="1709"/>
      <c r="E734" s="1709"/>
      <c r="F734" s="1710"/>
      <c r="G734" s="1710"/>
      <c r="H734" s="1710"/>
      <c r="I734" s="1710"/>
      <c r="J734" s="1710"/>
      <c r="K734" s="1710"/>
      <c r="L734" s="1710"/>
      <c r="M734" s="1710"/>
      <c r="N734" s="1711"/>
      <c r="O734" s="1711"/>
      <c r="P734" s="1711"/>
      <c r="Q734" s="1711"/>
      <c r="R734" s="1711"/>
      <c r="S734" s="1711"/>
      <c r="T734" s="1711"/>
      <c r="U734" s="1711"/>
      <c r="V734" s="1711"/>
      <c r="W734" s="1711"/>
      <c r="X734" s="1711"/>
      <c r="Y734" s="1711"/>
      <c r="Z734" s="1711"/>
      <c r="AA734" s="1712"/>
      <c r="AB734" s="1712"/>
      <c r="AC734" s="1712"/>
      <c r="AD734" s="1712"/>
      <c r="AE734" s="1712"/>
      <c r="AF734" s="1712"/>
      <c r="AG734" s="1712"/>
      <c r="AH734" s="1712"/>
      <c r="AI734" s="1712"/>
      <c r="AJ734" s="1712"/>
      <c r="AK734" s="1712"/>
      <c r="AL734" s="1712"/>
      <c r="AM734" s="1712"/>
      <c r="AN734" s="1712"/>
      <c r="AO734" s="1712"/>
      <c r="AP734" s="1712"/>
      <c r="AQ734" s="1712"/>
      <c r="AR734" s="1712"/>
      <c r="AS734" s="1712"/>
      <c r="AT734" s="1712"/>
      <c r="AU734" s="1712"/>
    </row>
    <row r="735">
      <c r="A735" s="1474" t="s">
        <v>2461</v>
      </c>
      <c r="B735" s="1708"/>
      <c r="C735" s="1709"/>
      <c r="D735" s="1709"/>
      <c r="E735" s="1709"/>
      <c r="F735" s="1710"/>
      <c r="G735" s="1710"/>
      <c r="H735" s="1710"/>
      <c r="I735" s="1710"/>
      <c r="J735" s="1710"/>
      <c r="K735" s="1710"/>
      <c r="L735" s="1710"/>
      <c r="M735" s="1710"/>
      <c r="N735" s="1711"/>
      <c r="O735" s="1711"/>
      <c r="P735" s="1711"/>
      <c r="Q735" s="1711"/>
      <c r="R735" s="1711"/>
      <c r="S735" s="1711"/>
      <c r="T735" s="1711"/>
      <c r="U735" s="1711"/>
      <c r="V735" s="1711"/>
      <c r="W735" s="1711"/>
      <c r="X735" s="1711"/>
      <c r="Y735" s="1711"/>
      <c r="Z735" s="1711"/>
      <c r="AA735" s="1712"/>
      <c r="AB735" s="1712"/>
      <c r="AC735" s="1712"/>
      <c r="AD735" s="1712"/>
      <c r="AE735" s="1712"/>
      <c r="AF735" s="1712"/>
      <c r="AG735" s="1712"/>
      <c r="AH735" s="1712"/>
      <c r="AI735" s="1712"/>
      <c r="AJ735" s="1712"/>
      <c r="AK735" s="1712"/>
      <c r="AL735" s="1712"/>
      <c r="AM735" s="1712"/>
      <c r="AN735" s="1712"/>
      <c r="AO735" s="1712"/>
      <c r="AP735" s="1712"/>
      <c r="AQ735" s="1712"/>
      <c r="AR735" s="1712"/>
      <c r="AS735" s="1712"/>
      <c r="AT735" s="1712"/>
      <c r="AU735" s="1712"/>
    </row>
    <row r="736">
      <c r="A736" s="1474" t="s">
        <v>2461</v>
      </c>
      <c r="B736" s="1708"/>
      <c r="C736" s="1709"/>
      <c r="D736" s="1709"/>
      <c r="E736" s="1709"/>
      <c r="F736" s="1710"/>
      <c r="G736" s="1710"/>
      <c r="H736" s="1710"/>
      <c r="I736" s="1710"/>
      <c r="J736" s="1710"/>
      <c r="K736" s="1710"/>
      <c r="L736" s="1710"/>
      <c r="M736" s="1710"/>
      <c r="N736" s="1711"/>
      <c r="O736" s="1711"/>
      <c r="P736" s="1711"/>
      <c r="Q736" s="1711"/>
      <c r="R736" s="1711"/>
      <c r="S736" s="1711"/>
      <c r="T736" s="1711"/>
      <c r="U736" s="1711"/>
      <c r="V736" s="1711"/>
      <c r="W736" s="1711"/>
      <c r="X736" s="1711"/>
      <c r="Y736" s="1711"/>
      <c r="Z736" s="1711"/>
      <c r="AA736" s="1712"/>
      <c r="AB736" s="1712"/>
      <c r="AC736" s="1712"/>
      <c r="AD736" s="1712"/>
      <c r="AE736" s="1712"/>
      <c r="AF736" s="1712"/>
      <c r="AG736" s="1712"/>
      <c r="AH736" s="1712"/>
      <c r="AI736" s="1712"/>
      <c r="AJ736" s="1712"/>
      <c r="AK736" s="1712"/>
      <c r="AL736" s="1712"/>
      <c r="AM736" s="1712"/>
      <c r="AN736" s="1712"/>
      <c r="AO736" s="1712"/>
      <c r="AP736" s="1712"/>
      <c r="AQ736" s="1712"/>
      <c r="AR736" s="1712"/>
      <c r="AS736" s="1712"/>
      <c r="AT736" s="1712"/>
      <c r="AU736" s="1712"/>
    </row>
    <row r="737">
      <c r="A737" s="1474" t="s">
        <v>2461</v>
      </c>
      <c r="B737" s="1708"/>
      <c r="C737" s="1709"/>
      <c r="D737" s="1709"/>
      <c r="E737" s="1709"/>
      <c r="F737" s="1710"/>
      <c r="G737" s="1710"/>
      <c r="H737" s="1710"/>
      <c r="I737" s="1710"/>
      <c r="J737" s="1710"/>
      <c r="K737" s="1710"/>
      <c r="L737" s="1710"/>
      <c r="M737" s="1710"/>
      <c r="N737" s="1711"/>
      <c r="O737" s="1711"/>
      <c r="P737" s="1711"/>
      <c r="Q737" s="1711"/>
      <c r="R737" s="1711"/>
      <c r="S737" s="1711"/>
      <c r="T737" s="1711"/>
      <c r="U737" s="1711"/>
      <c r="V737" s="1711"/>
      <c r="W737" s="1711"/>
      <c r="X737" s="1711"/>
      <c r="Y737" s="1711"/>
      <c r="Z737" s="1711"/>
      <c r="AA737" s="1712"/>
      <c r="AB737" s="1712"/>
      <c r="AC737" s="1712"/>
      <c r="AD737" s="1712"/>
      <c r="AE737" s="1712"/>
      <c r="AF737" s="1712"/>
      <c r="AG737" s="1712"/>
      <c r="AH737" s="1712"/>
      <c r="AI737" s="1712"/>
      <c r="AJ737" s="1712"/>
      <c r="AK737" s="1712"/>
      <c r="AL737" s="1712"/>
      <c r="AM737" s="1712"/>
      <c r="AN737" s="1712"/>
      <c r="AO737" s="1712"/>
      <c r="AP737" s="1712"/>
      <c r="AQ737" s="1712"/>
      <c r="AR737" s="1712"/>
      <c r="AS737" s="1712"/>
      <c r="AT737" s="1712"/>
      <c r="AU737" s="1712"/>
    </row>
    <row r="738">
      <c r="A738" s="1474" t="s">
        <v>2461</v>
      </c>
      <c r="B738" s="1708"/>
      <c r="C738" s="1709"/>
      <c r="D738" s="1709"/>
      <c r="E738" s="1709"/>
      <c r="F738" s="1710"/>
      <c r="G738" s="1710"/>
      <c r="H738" s="1710"/>
      <c r="I738" s="1710"/>
      <c r="J738" s="1710"/>
      <c r="K738" s="1710"/>
      <c r="L738" s="1710"/>
      <c r="M738" s="1710"/>
      <c r="N738" s="1711"/>
      <c r="O738" s="1711"/>
      <c r="P738" s="1711"/>
      <c r="Q738" s="1711"/>
      <c r="R738" s="1711"/>
      <c r="S738" s="1711"/>
      <c r="T738" s="1711"/>
      <c r="U738" s="1711"/>
      <c r="V738" s="1711"/>
      <c r="W738" s="1711"/>
      <c r="X738" s="1711"/>
      <c r="Y738" s="1711"/>
      <c r="Z738" s="1711"/>
      <c r="AA738" s="1712"/>
      <c r="AB738" s="1712"/>
      <c r="AC738" s="1712"/>
      <c r="AD738" s="1712"/>
      <c r="AE738" s="1712"/>
      <c r="AF738" s="1712"/>
      <c r="AG738" s="1712"/>
      <c r="AH738" s="1712"/>
      <c r="AI738" s="1712"/>
      <c r="AJ738" s="1712"/>
      <c r="AK738" s="1712"/>
      <c r="AL738" s="1712"/>
      <c r="AM738" s="1712"/>
      <c r="AN738" s="1712"/>
      <c r="AO738" s="1712"/>
      <c r="AP738" s="1712"/>
      <c r="AQ738" s="1712"/>
      <c r="AR738" s="1712"/>
      <c r="AS738" s="1712"/>
      <c r="AT738" s="1712"/>
      <c r="AU738" s="1712"/>
    </row>
    <row r="739">
      <c r="A739" s="1474" t="s">
        <v>2461</v>
      </c>
      <c r="B739" s="1708"/>
      <c r="C739" s="1709"/>
      <c r="D739" s="1709"/>
      <c r="E739" s="1709"/>
      <c r="F739" s="1710"/>
      <c r="G739" s="1710"/>
      <c r="H739" s="1710"/>
      <c r="I739" s="1710"/>
      <c r="J739" s="1710"/>
      <c r="K739" s="1710"/>
      <c r="L739" s="1710"/>
      <c r="M739" s="1710"/>
      <c r="N739" s="1711"/>
      <c r="O739" s="1711"/>
      <c r="P739" s="1711"/>
      <c r="Q739" s="1711"/>
      <c r="R739" s="1711"/>
      <c r="S739" s="1711"/>
      <c r="T739" s="1711"/>
      <c r="U739" s="1711"/>
      <c r="V739" s="1711"/>
      <c r="W739" s="1711"/>
      <c r="X739" s="1711"/>
      <c r="Y739" s="1711"/>
      <c r="Z739" s="1711"/>
      <c r="AA739" s="1712"/>
      <c r="AB739" s="1712"/>
      <c r="AC739" s="1712"/>
      <c r="AD739" s="1712"/>
      <c r="AE739" s="1712"/>
      <c r="AF739" s="1712"/>
      <c r="AG739" s="1712"/>
      <c r="AH739" s="1712"/>
      <c r="AI739" s="1712"/>
      <c r="AJ739" s="1712"/>
      <c r="AK739" s="1712"/>
      <c r="AL739" s="1712"/>
      <c r="AM739" s="1712"/>
      <c r="AN739" s="1712"/>
      <c r="AO739" s="1712"/>
      <c r="AP739" s="1712"/>
      <c r="AQ739" s="1712"/>
      <c r="AR739" s="1712"/>
      <c r="AS739" s="1712"/>
      <c r="AT739" s="1712"/>
      <c r="AU739" s="1712"/>
    </row>
    <row r="740">
      <c r="A740" s="1474" t="s">
        <v>2461</v>
      </c>
      <c r="B740" s="1708"/>
      <c r="C740" s="1709"/>
      <c r="D740" s="1709"/>
      <c r="E740" s="1709"/>
      <c r="F740" s="1710"/>
      <c r="G740" s="1710"/>
      <c r="H740" s="1710"/>
      <c r="I740" s="1710"/>
      <c r="J740" s="1710"/>
      <c r="K740" s="1710"/>
      <c r="L740" s="1710"/>
      <c r="M740" s="1710"/>
      <c r="N740" s="1711"/>
      <c r="O740" s="1711"/>
      <c r="P740" s="1711"/>
      <c r="Q740" s="1711"/>
      <c r="R740" s="1711"/>
      <c r="S740" s="1711"/>
      <c r="T740" s="1711"/>
      <c r="U740" s="1711"/>
      <c r="V740" s="1711"/>
      <c r="W740" s="1711"/>
      <c r="X740" s="1711"/>
      <c r="Y740" s="1711"/>
      <c r="Z740" s="1711"/>
      <c r="AA740" s="1712"/>
      <c r="AB740" s="1712"/>
      <c r="AC740" s="1712"/>
      <c r="AD740" s="1712"/>
      <c r="AE740" s="1712"/>
      <c r="AF740" s="1712"/>
      <c r="AG740" s="1712"/>
      <c r="AH740" s="1712"/>
      <c r="AI740" s="1712"/>
      <c r="AJ740" s="1712"/>
      <c r="AK740" s="1712"/>
      <c r="AL740" s="1712"/>
      <c r="AM740" s="1712"/>
      <c r="AN740" s="1712"/>
      <c r="AO740" s="1712"/>
      <c r="AP740" s="1712"/>
      <c r="AQ740" s="1712"/>
      <c r="AR740" s="1712"/>
      <c r="AS740" s="1712"/>
      <c r="AT740" s="1712"/>
      <c r="AU740" s="1712"/>
    </row>
    <row r="741">
      <c r="A741" s="1474" t="s">
        <v>2461</v>
      </c>
      <c r="B741" s="1708"/>
      <c r="C741" s="1709"/>
      <c r="D741" s="1709"/>
      <c r="E741" s="1709"/>
      <c r="F741" s="1710"/>
      <c r="G741" s="1710"/>
      <c r="H741" s="1710"/>
      <c r="I741" s="1710"/>
      <c r="J741" s="1710"/>
      <c r="K741" s="1710"/>
      <c r="L741" s="1710"/>
      <c r="M741" s="1710"/>
      <c r="N741" s="1711"/>
      <c r="O741" s="1711"/>
      <c r="P741" s="1711"/>
      <c r="Q741" s="1711"/>
      <c r="R741" s="1711"/>
      <c r="S741" s="1711"/>
      <c r="T741" s="1711"/>
      <c r="U741" s="1711"/>
      <c r="V741" s="1711"/>
      <c r="W741" s="1711"/>
      <c r="X741" s="1711"/>
      <c r="Y741" s="1711"/>
      <c r="Z741" s="1711"/>
      <c r="AA741" s="1712"/>
      <c r="AB741" s="1712"/>
      <c r="AC741" s="1712"/>
      <c r="AD741" s="1712"/>
      <c r="AE741" s="1712"/>
      <c r="AF741" s="1712"/>
      <c r="AG741" s="1712"/>
      <c r="AH741" s="1712"/>
      <c r="AI741" s="1712"/>
      <c r="AJ741" s="1712"/>
      <c r="AK741" s="1712"/>
      <c r="AL741" s="1712"/>
      <c r="AM741" s="1712"/>
      <c r="AN741" s="1712"/>
      <c r="AO741" s="1712"/>
      <c r="AP741" s="1712"/>
      <c r="AQ741" s="1712"/>
      <c r="AR741" s="1712"/>
      <c r="AS741" s="1712"/>
      <c r="AT741" s="1712"/>
      <c r="AU741" s="1712"/>
    </row>
    <row r="742">
      <c r="A742" s="1474" t="s">
        <v>2461</v>
      </c>
      <c r="B742" s="1708"/>
      <c r="C742" s="1709"/>
      <c r="D742" s="1709"/>
      <c r="E742" s="1709"/>
      <c r="F742" s="1710"/>
      <c r="G742" s="1710"/>
      <c r="H742" s="1710"/>
      <c r="I742" s="1710"/>
      <c r="J742" s="1710"/>
      <c r="K742" s="1710"/>
      <c r="L742" s="1710"/>
      <c r="M742" s="1710"/>
      <c r="N742" s="1711"/>
      <c r="O742" s="1711"/>
      <c r="P742" s="1711"/>
      <c r="Q742" s="1711"/>
      <c r="R742" s="1711"/>
      <c r="S742" s="1711"/>
      <c r="T742" s="1711"/>
      <c r="U742" s="1711"/>
      <c r="V742" s="1711"/>
      <c r="W742" s="1711"/>
      <c r="X742" s="1711"/>
      <c r="Y742" s="1711"/>
      <c r="Z742" s="1711"/>
      <c r="AA742" s="1712"/>
      <c r="AB742" s="1712"/>
      <c r="AC742" s="1712"/>
      <c r="AD742" s="1712"/>
      <c r="AE742" s="1712"/>
      <c r="AF742" s="1712"/>
      <c r="AG742" s="1712"/>
      <c r="AH742" s="1712"/>
      <c r="AI742" s="1712"/>
      <c r="AJ742" s="1712"/>
      <c r="AK742" s="1712"/>
      <c r="AL742" s="1712"/>
      <c r="AM742" s="1712"/>
      <c r="AN742" s="1712"/>
      <c r="AO742" s="1712"/>
      <c r="AP742" s="1712"/>
      <c r="AQ742" s="1712"/>
      <c r="AR742" s="1712"/>
      <c r="AS742" s="1712"/>
      <c r="AT742" s="1712"/>
      <c r="AU742" s="1712"/>
    </row>
    <row r="743">
      <c r="A743" s="1474" t="s">
        <v>2461</v>
      </c>
      <c r="B743" s="1708"/>
      <c r="C743" s="1709"/>
      <c r="D743" s="1709"/>
      <c r="E743" s="1709"/>
      <c r="F743" s="1710"/>
      <c r="G743" s="1710"/>
      <c r="H743" s="1710"/>
      <c r="I743" s="1710"/>
      <c r="J743" s="1710"/>
      <c r="K743" s="1710"/>
      <c r="L743" s="1710"/>
      <c r="M743" s="1710"/>
      <c r="N743" s="1711"/>
      <c r="O743" s="1711"/>
      <c r="P743" s="1711"/>
      <c r="Q743" s="1711"/>
      <c r="R743" s="1711"/>
      <c r="S743" s="1711"/>
      <c r="T743" s="1711"/>
      <c r="U743" s="1711"/>
      <c r="V743" s="1711"/>
      <c r="W743" s="1711"/>
      <c r="X743" s="1711"/>
      <c r="Y743" s="1711"/>
      <c r="Z743" s="1711"/>
      <c r="AA743" s="1712"/>
      <c r="AB743" s="1712"/>
      <c r="AC743" s="1712"/>
      <c r="AD743" s="1712"/>
      <c r="AE743" s="1712"/>
      <c r="AF743" s="1712"/>
      <c r="AG743" s="1712"/>
      <c r="AH743" s="1712"/>
      <c r="AI743" s="1712"/>
      <c r="AJ743" s="1712"/>
      <c r="AK743" s="1712"/>
      <c r="AL743" s="1712"/>
      <c r="AM743" s="1712"/>
      <c r="AN743" s="1712"/>
      <c r="AO743" s="1712"/>
      <c r="AP743" s="1712"/>
      <c r="AQ743" s="1712"/>
      <c r="AR743" s="1712"/>
      <c r="AS743" s="1712"/>
      <c r="AT743" s="1712"/>
      <c r="AU743" s="1712"/>
    </row>
    <row r="744">
      <c r="A744" s="1474" t="s">
        <v>2461</v>
      </c>
      <c r="B744" s="1708"/>
      <c r="C744" s="1709"/>
      <c r="D744" s="1709"/>
      <c r="E744" s="1709"/>
      <c r="F744" s="1710"/>
      <c r="G744" s="1710"/>
      <c r="H744" s="1710"/>
      <c r="I744" s="1710"/>
      <c r="J744" s="1710"/>
      <c r="K744" s="1710"/>
      <c r="L744" s="1710"/>
      <c r="M744" s="1710"/>
      <c r="N744" s="1711"/>
      <c r="O744" s="1711"/>
      <c r="P744" s="1711"/>
      <c r="Q744" s="1711"/>
      <c r="R744" s="1711"/>
      <c r="S744" s="1711"/>
      <c r="T744" s="1711"/>
      <c r="U744" s="1711"/>
      <c r="V744" s="1711"/>
      <c r="W744" s="1711"/>
      <c r="X744" s="1711"/>
      <c r="Y744" s="1711"/>
      <c r="Z744" s="1711"/>
      <c r="AA744" s="1712"/>
      <c r="AB744" s="1712"/>
      <c r="AC744" s="1712"/>
      <c r="AD744" s="1712"/>
      <c r="AE744" s="1712"/>
      <c r="AF744" s="1712"/>
      <c r="AG744" s="1712"/>
      <c r="AH744" s="1712"/>
      <c r="AI744" s="1712"/>
      <c r="AJ744" s="1712"/>
      <c r="AK744" s="1712"/>
      <c r="AL744" s="1712"/>
      <c r="AM744" s="1712"/>
      <c r="AN744" s="1712"/>
      <c r="AO744" s="1712"/>
      <c r="AP744" s="1712"/>
      <c r="AQ744" s="1712"/>
      <c r="AR744" s="1712"/>
      <c r="AS744" s="1712"/>
      <c r="AT744" s="1712"/>
      <c r="AU744" s="1712"/>
    </row>
    <row r="745">
      <c r="A745" s="1474" t="s">
        <v>2461</v>
      </c>
      <c r="B745" s="1708"/>
      <c r="C745" s="1709"/>
      <c r="D745" s="1709"/>
      <c r="E745" s="1709"/>
      <c r="F745" s="1710"/>
      <c r="G745" s="1710"/>
      <c r="H745" s="1710"/>
      <c r="I745" s="1710"/>
      <c r="J745" s="1710"/>
      <c r="K745" s="1710"/>
      <c r="L745" s="1710"/>
      <c r="M745" s="1710"/>
      <c r="N745" s="1711"/>
      <c r="O745" s="1711"/>
      <c r="P745" s="1711"/>
      <c r="Q745" s="1711"/>
      <c r="R745" s="1711"/>
      <c r="S745" s="1711"/>
      <c r="T745" s="1711"/>
      <c r="U745" s="1711"/>
      <c r="V745" s="1711"/>
      <c r="W745" s="1711"/>
      <c r="X745" s="1711"/>
      <c r="Y745" s="1711"/>
      <c r="Z745" s="1711"/>
      <c r="AA745" s="1712"/>
      <c r="AB745" s="1712"/>
      <c r="AC745" s="1712"/>
      <c r="AD745" s="1712"/>
      <c r="AE745" s="1712"/>
      <c r="AF745" s="1712"/>
      <c r="AG745" s="1712"/>
      <c r="AH745" s="1712"/>
      <c r="AI745" s="1712"/>
      <c r="AJ745" s="1712"/>
      <c r="AK745" s="1712"/>
      <c r="AL745" s="1712"/>
      <c r="AM745" s="1712"/>
      <c r="AN745" s="1712"/>
      <c r="AO745" s="1712"/>
      <c r="AP745" s="1712"/>
      <c r="AQ745" s="1712"/>
      <c r="AR745" s="1712"/>
      <c r="AS745" s="1712"/>
      <c r="AT745" s="1712"/>
      <c r="AU745" s="1712"/>
    </row>
    <row r="746">
      <c r="A746" s="1474" t="s">
        <v>2461</v>
      </c>
      <c r="B746" s="1708"/>
      <c r="C746" s="1709"/>
      <c r="D746" s="1709"/>
      <c r="E746" s="1709"/>
      <c r="F746" s="1710"/>
      <c r="G746" s="1710"/>
      <c r="H746" s="1710"/>
      <c r="I746" s="1710"/>
      <c r="J746" s="1710"/>
      <c r="K746" s="1710"/>
      <c r="L746" s="1710"/>
      <c r="M746" s="1710"/>
      <c r="N746" s="1711"/>
      <c r="O746" s="1711"/>
      <c r="P746" s="1711"/>
      <c r="Q746" s="1711"/>
      <c r="R746" s="1711"/>
      <c r="S746" s="1711"/>
      <c r="T746" s="1711"/>
      <c r="U746" s="1711"/>
      <c r="V746" s="1711"/>
      <c r="W746" s="1711"/>
      <c r="X746" s="1711"/>
      <c r="Y746" s="1711"/>
      <c r="Z746" s="1711"/>
      <c r="AA746" s="1712"/>
      <c r="AB746" s="1712"/>
      <c r="AC746" s="1712"/>
      <c r="AD746" s="1712"/>
      <c r="AE746" s="1712"/>
      <c r="AF746" s="1712"/>
      <c r="AG746" s="1712"/>
      <c r="AH746" s="1712"/>
      <c r="AI746" s="1712"/>
      <c r="AJ746" s="1712"/>
      <c r="AK746" s="1712"/>
      <c r="AL746" s="1712"/>
      <c r="AM746" s="1712"/>
      <c r="AN746" s="1712"/>
      <c r="AO746" s="1712"/>
      <c r="AP746" s="1712"/>
      <c r="AQ746" s="1712"/>
      <c r="AR746" s="1712"/>
      <c r="AS746" s="1712"/>
      <c r="AT746" s="1712"/>
      <c r="AU746" s="1712"/>
    </row>
    <row r="747">
      <c r="A747" s="1474" t="s">
        <v>2461</v>
      </c>
      <c r="B747" s="1708"/>
      <c r="C747" s="1709"/>
      <c r="D747" s="1709"/>
      <c r="E747" s="1709"/>
      <c r="F747" s="1710"/>
      <c r="G747" s="1710"/>
      <c r="H747" s="1710"/>
      <c r="I747" s="1710"/>
      <c r="J747" s="1710"/>
      <c r="K747" s="1710"/>
      <c r="L747" s="1710"/>
      <c r="M747" s="1710"/>
      <c r="N747" s="1711"/>
      <c r="O747" s="1711"/>
      <c r="P747" s="1711"/>
      <c r="Q747" s="1711"/>
      <c r="R747" s="1711"/>
      <c r="S747" s="1711"/>
      <c r="T747" s="1711"/>
      <c r="U747" s="1711"/>
      <c r="V747" s="1711"/>
      <c r="W747" s="1711"/>
      <c r="X747" s="1711"/>
      <c r="Y747" s="1711"/>
      <c r="Z747" s="1711"/>
      <c r="AA747" s="1712"/>
      <c r="AB747" s="1712"/>
      <c r="AC747" s="1712"/>
      <c r="AD747" s="1712"/>
      <c r="AE747" s="1712"/>
      <c r="AF747" s="1712"/>
      <c r="AG747" s="1712"/>
      <c r="AH747" s="1712"/>
      <c r="AI747" s="1712"/>
      <c r="AJ747" s="1712"/>
      <c r="AK747" s="1712"/>
      <c r="AL747" s="1712"/>
      <c r="AM747" s="1712"/>
      <c r="AN747" s="1712"/>
      <c r="AO747" s="1712"/>
      <c r="AP747" s="1712"/>
      <c r="AQ747" s="1712"/>
      <c r="AR747" s="1712"/>
      <c r="AS747" s="1712"/>
      <c r="AT747" s="1712"/>
      <c r="AU747" s="1712"/>
    </row>
    <row r="748">
      <c r="A748" s="1474" t="s">
        <v>2461</v>
      </c>
      <c r="B748" s="1708"/>
      <c r="C748" s="1709"/>
      <c r="D748" s="1709"/>
      <c r="E748" s="1709"/>
      <c r="F748" s="1710"/>
      <c r="G748" s="1710"/>
      <c r="H748" s="1710"/>
      <c r="I748" s="1710"/>
      <c r="J748" s="1710"/>
      <c r="K748" s="1710"/>
      <c r="L748" s="1710"/>
      <c r="M748" s="1710"/>
      <c r="N748" s="1711"/>
      <c r="O748" s="1711"/>
      <c r="P748" s="1711"/>
      <c r="Q748" s="1711"/>
      <c r="R748" s="1711"/>
      <c r="S748" s="1711"/>
      <c r="T748" s="1711"/>
      <c r="U748" s="1711"/>
      <c r="V748" s="1711"/>
      <c r="W748" s="1711"/>
      <c r="X748" s="1711"/>
      <c r="Y748" s="1711"/>
      <c r="Z748" s="1711"/>
      <c r="AA748" s="1712"/>
      <c r="AB748" s="1712"/>
      <c r="AC748" s="1712"/>
      <c r="AD748" s="1712"/>
      <c r="AE748" s="1712"/>
      <c r="AF748" s="1712"/>
      <c r="AG748" s="1712"/>
      <c r="AH748" s="1712"/>
      <c r="AI748" s="1712"/>
      <c r="AJ748" s="1712"/>
      <c r="AK748" s="1712"/>
      <c r="AL748" s="1712"/>
      <c r="AM748" s="1712"/>
      <c r="AN748" s="1712"/>
      <c r="AO748" s="1712"/>
      <c r="AP748" s="1712"/>
      <c r="AQ748" s="1712"/>
      <c r="AR748" s="1712"/>
      <c r="AS748" s="1712"/>
      <c r="AT748" s="1712"/>
      <c r="AU748" s="1712"/>
    </row>
    <row r="749">
      <c r="A749" s="1474" t="s">
        <v>2461</v>
      </c>
      <c r="B749" s="1708"/>
      <c r="C749" s="1709"/>
      <c r="D749" s="1709"/>
      <c r="E749" s="1709"/>
      <c r="F749" s="1710"/>
      <c r="G749" s="1710"/>
      <c r="H749" s="1710"/>
      <c r="I749" s="1710"/>
      <c r="J749" s="1710"/>
      <c r="K749" s="1710"/>
      <c r="L749" s="1710"/>
      <c r="M749" s="1710"/>
      <c r="N749" s="1711"/>
      <c r="O749" s="1711"/>
      <c r="P749" s="1711"/>
      <c r="Q749" s="1711"/>
      <c r="R749" s="1711"/>
      <c r="S749" s="1711"/>
      <c r="T749" s="1711"/>
      <c r="U749" s="1711"/>
      <c r="V749" s="1711"/>
      <c r="W749" s="1711"/>
      <c r="X749" s="1711"/>
      <c r="Y749" s="1711"/>
      <c r="Z749" s="1711"/>
      <c r="AA749" s="1712"/>
      <c r="AB749" s="1712"/>
      <c r="AC749" s="1712"/>
      <c r="AD749" s="1712"/>
      <c r="AE749" s="1712"/>
      <c r="AF749" s="1712"/>
      <c r="AG749" s="1712"/>
      <c r="AH749" s="1712"/>
      <c r="AI749" s="1712"/>
      <c r="AJ749" s="1712"/>
      <c r="AK749" s="1712"/>
      <c r="AL749" s="1712"/>
      <c r="AM749" s="1712"/>
      <c r="AN749" s="1712"/>
      <c r="AO749" s="1712"/>
      <c r="AP749" s="1712"/>
      <c r="AQ749" s="1712"/>
      <c r="AR749" s="1712"/>
      <c r="AS749" s="1712"/>
      <c r="AT749" s="1712"/>
      <c r="AU749" s="1712"/>
    </row>
    <row r="750">
      <c r="A750" s="1474" t="s">
        <v>2461</v>
      </c>
      <c r="B750" s="1708"/>
      <c r="C750" s="1709"/>
      <c r="D750" s="1709"/>
      <c r="E750" s="1709"/>
      <c r="F750" s="1710"/>
      <c r="G750" s="1710"/>
      <c r="H750" s="1710"/>
      <c r="I750" s="1710"/>
      <c r="J750" s="1710"/>
      <c r="K750" s="1710"/>
      <c r="L750" s="1710"/>
      <c r="M750" s="1710"/>
      <c r="N750" s="1711"/>
      <c r="O750" s="1711"/>
      <c r="P750" s="1711"/>
      <c r="Q750" s="1711"/>
      <c r="R750" s="1711"/>
      <c r="S750" s="1711"/>
      <c r="T750" s="1711"/>
      <c r="U750" s="1711"/>
      <c r="V750" s="1711"/>
      <c r="W750" s="1711"/>
      <c r="X750" s="1711"/>
      <c r="Y750" s="1711"/>
      <c r="Z750" s="1711"/>
      <c r="AA750" s="1712"/>
      <c r="AB750" s="1712"/>
      <c r="AC750" s="1712"/>
      <c r="AD750" s="1712"/>
      <c r="AE750" s="1712"/>
      <c r="AF750" s="1712"/>
      <c r="AG750" s="1712"/>
      <c r="AH750" s="1712"/>
      <c r="AI750" s="1712"/>
      <c r="AJ750" s="1712"/>
      <c r="AK750" s="1712"/>
      <c r="AL750" s="1712"/>
      <c r="AM750" s="1712"/>
      <c r="AN750" s="1712"/>
      <c r="AO750" s="1712"/>
      <c r="AP750" s="1712"/>
      <c r="AQ750" s="1712"/>
      <c r="AR750" s="1712"/>
      <c r="AS750" s="1712"/>
      <c r="AT750" s="1712"/>
      <c r="AU750" s="1712"/>
    </row>
    <row r="751">
      <c r="A751" s="1474" t="s">
        <v>2461</v>
      </c>
      <c r="B751" s="1708"/>
      <c r="C751" s="1709"/>
      <c r="D751" s="1709"/>
      <c r="E751" s="1709"/>
      <c r="F751" s="1710"/>
      <c r="G751" s="1710"/>
      <c r="H751" s="1710"/>
      <c r="I751" s="1710"/>
      <c r="J751" s="1710"/>
      <c r="K751" s="1710"/>
      <c r="L751" s="1710"/>
      <c r="M751" s="1710"/>
      <c r="N751" s="1711"/>
      <c r="O751" s="1711"/>
      <c r="P751" s="1711"/>
      <c r="Q751" s="1711"/>
      <c r="R751" s="1711"/>
      <c r="S751" s="1711"/>
      <c r="T751" s="1711"/>
      <c r="U751" s="1711"/>
      <c r="V751" s="1711"/>
      <c r="W751" s="1711"/>
      <c r="X751" s="1711"/>
      <c r="Y751" s="1711"/>
      <c r="Z751" s="1711"/>
      <c r="AA751" s="1712"/>
      <c r="AB751" s="1712"/>
      <c r="AC751" s="1712"/>
      <c r="AD751" s="1712"/>
      <c r="AE751" s="1712"/>
      <c r="AF751" s="1712"/>
      <c r="AG751" s="1712"/>
      <c r="AH751" s="1712"/>
      <c r="AI751" s="1712"/>
      <c r="AJ751" s="1712"/>
      <c r="AK751" s="1712"/>
      <c r="AL751" s="1712"/>
      <c r="AM751" s="1712"/>
      <c r="AN751" s="1712"/>
      <c r="AO751" s="1712"/>
      <c r="AP751" s="1712"/>
      <c r="AQ751" s="1712"/>
      <c r="AR751" s="1712"/>
      <c r="AS751" s="1712"/>
      <c r="AT751" s="1712"/>
      <c r="AU751" s="1712"/>
    </row>
    <row r="752">
      <c r="A752" s="1474" t="s">
        <v>2461</v>
      </c>
      <c r="B752" s="1708"/>
      <c r="C752" s="1709"/>
      <c r="D752" s="1709"/>
      <c r="E752" s="1709"/>
      <c r="F752" s="1710"/>
      <c r="G752" s="1710"/>
      <c r="H752" s="1710"/>
      <c r="I752" s="1710"/>
      <c r="J752" s="1710"/>
      <c r="K752" s="1710"/>
      <c r="L752" s="1710"/>
      <c r="M752" s="1710"/>
      <c r="N752" s="1711"/>
      <c r="O752" s="1711"/>
      <c r="P752" s="1711"/>
      <c r="Q752" s="1711"/>
      <c r="R752" s="1711"/>
      <c r="S752" s="1711"/>
      <c r="T752" s="1711"/>
      <c r="U752" s="1711"/>
      <c r="V752" s="1711"/>
      <c r="W752" s="1711"/>
      <c r="X752" s="1711"/>
      <c r="Y752" s="1711"/>
      <c r="Z752" s="1711"/>
      <c r="AA752" s="1712"/>
      <c r="AB752" s="1712"/>
      <c r="AC752" s="1712"/>
      <c r="AD752" s="1712"/>
      <c r="AE752" s="1712"/>
      <c r="AF752" s="1712"/>
      <c r="AG752" s="1712"/>
      <c r="AH752" s="1712"/>
      <c r="AI752" s="1712"/>
      <c r="AJ752" s="1712"/>
      <c r="AK752" s="1712"/>
      <c r="AL752" s="1712"/>
      <c r="AM752" s="1712"/>
      <c r="AN752" s="1712"/>
      <c r="AO752" s="1712"/>
      <c r="AP752" s="1712"/>
      <c r="AQ752" s="1712"/>
      <c r="AR752" s="1712"/>
      <c r="AS752" s="1712"/>
      <c r="AT752" s="1712"/>
      <c r="AU752" s="1712"/>
    </row>
    <row r="753">
      <c r="A753" s="1474" t="s">
        <v>2461</v>
      </c>
      <c r="B753" s="1708"/>
      <c r="C753" s="1709"/>
      <c r="D753" s="1709"/>
      <c r="E753" s="1709"/>
      <c r="F753" s="1710"/>
      <c r="G753" s="1710"/>
      <c r="H753" s="1710"/>
      <c r="I753" s="1710"/>
      <c r="J753" s="1710"/>
      <c r="K753" s="1710"/>
      <c r="L753" s="1710"/>
      <c r="M753" s="1710"/>
      <c r="N753" s="1711"/>
      <c r="O753" s="1711"/>
      <c r="P753" s="1711"/>
      <c r="Q753" s="1711"/>
      <c r="R753" s="1711"/>
      <c r="S753" s="1711"/>
      <c r="T753" s="1711"/>
      <c r="U753" s="1711"/>
      <c r="V753" s="1711"/>
      <c r="W753" s="1711"/>
      <c r="X753" s="1711"/>
      <c r="Y753" s="1711"/>
      <c r="Z753" s="1711"/>
      <c r="AA753" s="1712"/>
      <c r="AB753" s="1712"/>
      <c r="AC753" s="1712"/>
      <c r="AD753" s="1712"/>
      <c r="AE753" s="1712"/>
      <c r="AF753" s="1712"/>
      <c r="AG753" s="1712"/>
      <c r="AH753" s="1712"/>
      <c r="AI753" s="1712"/>
      <c r="AJ753" s="1712"/>
      <c r="AK753" s="1712"/>
      <c r="AL753" s="1712"/>
      <c r="AM753" s="1712"/>
      <c r="AN753" s="1712"/>
      <c r="AO753" s="1712"/>
      <c r="AP753" s="1712"/>
      <c r="AQ753" s="1712"/>
      <c r="AR753" s="1712"/>
      <c r="AS753" s="1712"/>
      <c r="AT753" s="1712"/>
      <c r="AU753" s="1712"/>
    </row>
    <row r="754">
      <c r="A754" s="1474" t="s">
        <v>2461</v>
      </c>
      <c r="B754" s="1708"/>
      <c r="C754" s="1709"/>
      <c r="D754" s="1709"/>
      <c r="E754" s="1709"/>
      <c r="F754" s="1710"/>
      <c r="G754" s="1710"/>
      <c r="H754" s="1710"/>
      <c r="I754" s="1710"/>
      <c r="J754" s="1710"/>
      <c r="K754" s="1710"/>
      <c r="L754" s="1710"/>
      <c r="M754" s="1710"/>
      <c r="N754" s="1711"/>
      <c r="O754" s="1711"/>
      <c r="P754" s="1711"/>
      <c r="Q754" s="1711"/>
      <c r="R754" s="1711"/>
      <c r="S754" s="1711"/>
      <c r="T754" s="1711"/>
      <c r="U754" s="1711"/>
      <c r="V754" s="1711"/>
      <c r="W754" s="1711"/>
      <c r="X754" s="1711"/>
      <c r="Y754" s="1711"/>
      <c r="Z754" s="1711"/>
      <c r="AA754" s="1712"/>
      <c r="AB754" s="1712"/>
      <c r="AC754" s="1712"/>
      <c r="AD754" s="1712"/>
      <c r="AE754" s="1712"/>
      <c r="AF754" s="1712"/>
      <c r="AG754" s="1712"/>
      <c r="AH754" s="1712"/>
      <c r="AI754" s="1712"/>
      <c r="AJ754" s="1712"/>
      <c r="AK754" s="1712"/>
      <c r="AL754" s="1712"/>
      <c r="AM754" s="1712"/>
      <c r="AN754" s="1712"/>
      <c r="AO754" s="1712"/>
      <c r="AP754" s="1712"/>
      <c r="AQ754" s="1712"/>
      <c r="AR754" s="1712"/>
      <c r="AS754" s="1712"/>
      <c r="AT754" s="1712"/>
      <c r="AU754" s="1712"/>
    </row>
    <row r="755">
      <c r="A755" s="1474" t="s">
        <v>2461</v>
      </c>
      <c r="B755" s="1708"/>
      <c r="C755" s="1709"/>
      <c r="D755" s="1709"/>
      <c r="E755" s="1709"/>
      <c r="F755" s="1710"/>
      <c r="G755" s="1710"/>
      <c r="H755" s="1710"/>
      <c r="I755" s="1710"/>
      <c r="J755" s="1710"/>
      <c r="K755" s="1710"/>
      <c r="L755" s="1710"/>
      <c r="M755" s="1710"/>
      <c r="N755" s="1711"/>
      <c r="O755" s="1711"/>
      <c r="P755" s="1711"/>
      <c r="Q755" s="1711"/>
      <c r="R755" s="1711"/>
      <c r="S755" s="1711"/>
      <c r="T755" s="1711"/>
      <c r="U755" s="1711"/>
      <c r="V755" s="1711"/>
      <c r="W755" s="1711"/>
      <c r="X755" s="1711"/>
      <c r="Y755" s="1711"/>
      <c r="Z755" s="1711"/>
      <c r="AA755" s="1712"/>
      <c r="AB755" s="1712"/>
      <c r="AC755" s="1712"/>
      <c r="AD755" s="1712"/>
      <c r="AE755" s="1712"/>
      <c r="AF755" s="1712"/>
      <c r="AG755" s="1712"/>
      <c r="AH755" s="1712"/>
      <c r="AI755" s="1712"/>
      <c r="AJ755" s="1712"/>
      <c r="AK755" s="1712"/>
      <c r="AL755" s="1712"/>
      <c r="AM755" s="1712"/>
      <c r="AN755" s="1712"/>
      <c r="AO755" s="1712"/>
      <c r="AP755" s="1712"/>
      <c r="AQ755" s="1712"/>
      <c r="AR755" s="1712"/>
      <c r="AS755" s="1712"/>
      <c r="AT755" s="1712"/>
      <c r="AU755" s="1712"/>
    </row>
    <row r="756">
      <c r="A756" s="1474" t="s">
        <v>2461</v>
      </c>
      <c r="B756" s="1708"/>
      <c r="C756" s="1709"/>
      <c r="D756" s="1709"/>
      <c r="E756" s="1709"/>
      <c r="F756" s="1710"/>
      <c r="G756" s="1710"/>
      <c r="H756" s="1710"/>
      <c r="I756" s="1710"/>
      <c r="J756" s="1710"/>
      <c r="K756" s="1710"/>
      <c r="L756" s="1710"/>
      <c r="M756" s="1710"/>
      <c r="N756" s="1711"/>
      <c r="O756" s="1711"/>
      <c r="P756" s="1711"/>
      <c r="Q756" s="1711"/>
      <c r="R756" s="1711"/>
      <c r="S756" s="1711"/>
      <c r="T756" s="1711"/>
      <c r="U756" s="1711"/>
      <c r="V756" s="1711"/>
      <c r="W756" s="1711"/>
      <c r="X756" s="1711"/>
      <c r="Y756" s="1711"/>
      <c r="Z756" s="1711"/>
      <c r="AA756" s="1712"/>
      <c r="AB756" s="1712"/>
      <c r="AC756" s="1712"/>
      <c r="AD756" s="1712"/>
      <c r="AE756" s="1712"/>
      <c r="AF756" s="1712"/>
      <c r="AG756" s="1712"/>
      <c r="AH756" s="1712"/>
      <c r="AI756" s="1712"/>
      <c r="AJ756" s="1712"/>
      <c r="AK756" s="1712"/>
      <c r="AL756" s="1712"/>
      <c r="AM756" s="1712"/>
      <c r="AN756" s="1712"/>
      <c r="AO756" s="1712"/>
      <c r="AP756" s="1712"/>
      <c r="AQ756" s="1712"/>
      <c r="AR756" s="1712"/>
      <c r="AS756" s="1712"/>
      <c r="AT756" s="1712"/>
      <c r="AU756" s="1712"/>
    </row>
    <row r="757">
      <c r="A757" s="1474" t="s">
        <v>2461</v>
      </c>
      <c r="B757" s="1708"/>
      <c r="C757" s="1709"/>
      <c r="D757" s="1709"/>
      <c r="E757" s="1709"/>
      <c r="F757" s="1710"/>
      <c r="G757" s="1710"/>
      <c r="H757" s="1710"/>
      <c r="I757" s="1710"/>
      <c r="J757" s="1710"/>
      <c r="K757" s="1710"/>
      <c r="L757" s="1710"/>
      <c r="M757" s="1710"/>
      <c r="N757" s="1711"/>
      <c r="O757" s="1711"/>
      <c r="P757" s="1711"/>
      <c r="Q757" s="1711"/>
      <c r="R757" s="1711"/>
      <c r="S757" s="1711"/>
      <c r="T757" s="1711"/>
      <c r="U757" s="1711"/>
      <c r="V757" s="1711"/>
      <c r="W757" s="1711"/>
      <c r="X757" s="1711"/>
      <c r="Y757" s="1711"/>
      <c r="Z757" s="1711"/>
      <c r="AA757" s="1712"/>
      <c r="AB757" s="1712"/>
      <c r="AC757" s="1712"/>
      <c r="AD757" s="1712"/>
      <c r="AE757" s="1712"/>
      <c r="AF757" s="1712"/>
      <c r="AG757" s="1712"/>
      <c r="AH757" s="1712"/>
      <c r="AI757" s="1712"/>
      <c r="AJ757" s="1712"/>
      <c r="AK757" s="1712"/>
      <c r="AL757" s="1712"/>
      <c r="AM757" s="1712"/>
      <c r="AN757" s="1712"/>
      <c r="AO757" s="1712"/>
      <c r="AP757" s="1712"/>
      <c r="AQ757" s="1712"/>
      <c r="AR757" s="1712"/>
      <c r="AS757" s="1712"/>
      <c r="AT757" s="1712"/>
      <c r="AU757" s="1712"/>
    </row>
    <row r="758">
      <c r="A758" s="1474" t="s">
        <v>2461</v>
      </c>
      <c r="B758" s="1708"/>
      <c r="C758" s="1709"/>
      <c r="D758" s="1709"/>
      <c r="E758" s="1709"/>
      <c r="F758" s="1710"/>
      <c r="G758" s="1710"/>
      <c r="H758" s="1710"/>
      <c r="I758" s="1710"/>
      <c r="J758" s="1710"/>
      <c r="K758" s="1710"/>
      <c r="L758" s="1710"/>
      <c r="M758" s="1710"/>
      <c r="N758" s="1711"/>
      <c r="O758" s="1711"/>
      <c r="P758" s="1711"/>
      <c r="Q758" s="1711"/>
      <c r="R758" s="1711"/>
      <c r="S758" s="1711"/>
      <c r="T758" s="1711"/>
      <c r="U758" s="1711"/>
      <c r="V758" s="1711"/>
      <c r="W758" s="1711"/>
      <c r="X758" s="1711"/>
      <c r="Y758" s="1711"/>
      <c r="Z758" s="1711"/>
      <c r="AA758" s="1712"/>
      <c r="AB758" s="1712"/>
      <c r="AC758" s="1712"/>
      <c r="AD758" s="1712"/>
      <c r="AE758" s="1712"/>
      <c r="AF758" s="1712"/>
      <c r="AG758" s="1712"/>
      <c r="AH758" s="1712"/>
      <c r="AI758" s="1712"/>
      <c r="AJ758" s="1712"/>
      <c r="AK758" s="1712"/>
      <c r="AL758" s="1712"/>
      <c r="AM758" s="1712"/>
      <c r="AN758" s="1712"/>
      <c r="AO758" s="1712"/>
      <c r="AP758" s="1712"/>
      <c r="AQ758" s="1712"/>
      <c r="AR758" s="1712"/>
      <c r="AS758" s="1712"/>
      <c r="AT758" s="1712"/>
      <c r="AU758" s="1712"/>
    </row>
    <row r="759">
      <c r="A759" s="1474" t="s">
        <v>2461</v>
      </c>
      <c r="B759" s="1708"/>
      <c r="C759" s="1709"/>
      <c r="D759" s="1709"/>
      <c r="E759" s="1709"/>
      <c r="F759" s="1710"/>
      <c r="G759" s="1710"/>
      <c r="H759" s="1710"/>
      <c r="I759" s="1710"/>
      <c r="J759" s="1710"/>
      <c r="K759" s="1710"/>
      <c r="L759" s="1710"/>
      <c r="M759" s="1710"/>
      <c r="N759" s="1711"/>
      <c r="O759" s="1711"/>
      <c r="P759" s="1711"/>
      <c r="Q759" s="1711"/>
      <c r="R759" s="1711"/>
      <c r="S759" s="1711"/>
      <c r="T759" s="1711"/>
      <c r="U759" s="1711"/>
      <c r="V759" s="1711"/>
      <c r="W759" s="1711"/>
      <c r="X759" s="1711"/>
      <c r="Y759" s="1711"/>
      <c r="Z759" s="1711"/>
      <c r="AA759" s="1712"/>
      <c r="AB759" s="1712"/>
      <c r="AC759" s="1712"/>
      <c r="AD759" s="1712"/>
      <c r="AE759" s="1712"/>
      <c r="AF759" s="1712"/>
      <c r="AG759" s="1712"/>
      <c r="AH759" s="1712"/>
      <c r="AI759" s="1712"/>
      <c r="AJ759" s="1712"/>
      <c r="AK759" s="1712"/>
      <c r="AL759" s="1712"/>
      <c r="AM759" s="1712"/>
      <c r="AN759" s="1712"/>
      <c r="AO759" s="1712"/>
      <c r="AP759" s="1712"/>
      <c r="AQ759" s="1712"/>
      <c r="AR759" s="1712"/>
      <c r="AS759" s="1712"/>
      <c r="AT759" s="1712"/>
      <c r="AU759" s="1712"/>
    </row>
    <row r="760">
      <c r="A760" s="1474" t="s">
        <v>2461</v>
      </c>
      <c r="B760" s="1708"/>
      <c r="C760" s="1709"/>
      <c r="D760" s="1709"/>
      <c r="E760" s="1709"/>
      <c r="F760" s="1710"/>
      <c r="G760" s="1710"/>
      <c r="H760" s="1710"/>
      <c r="I760" s="1710"/>
      <c r="J760" s="1710"/>
      <c r="K760" s="1710"/>
      <c r="L760" s="1710"/>
      <c r="M760" s="1710"/>
      <c r="N760" s="1711"/>
      <c r="O760" s="1711"/>
      <c r="P760" s="1711"/>
      <c r="Q760" s="1711"/>
      <c r="R760" s="1711"/>
      <c r="S760" s="1711"/>
      <c r="T760" s="1711"/>
      <c r="U760" s="1711"/>
      <c r="V760" s="1711"/>
      <c r="W760" s="1711"/>
      <c r="X760" s="1711"/>
      <c r="Y760" s="1711"/>
      <c r="Z760" s="1711"/>
      <c r="AA760" s="1712"/>
      <c r="AB760" s="1712"/>
      <c r="AC760" s="1712"/>
      <c r="AD760" s="1712"/>
      <c r="AE760" s="1712"/>
      <c r="AF760" s="1712"/>
      <c r="AG760" s="1712"/>
      <c r="AH760" s="1712"/>
      <c r="AI760" s="1712"/>
      <c r="AJ760" s="1712"/>
      <c r="AK760" s="1712"/>
      <c r="AL760" s="1712"/>
      <c r="AM760" s="1712"/>
      <c r="AN760" s="1712"/>
      <c r="AO760" s="1712"/>
      <c r="AP760" s="1712"/>
      <c r="AQ760" s="1712"/>
      <c r="AR760" s="1712"/>
      <c r="AS760" s="1712"/>
      <c r="AT760" s="1712"/>
      <c r="AU760" s="1712"/>
    </row>
    <row r="761">
      <c r="A761" s="1474" t="s">
        <v>2461</v>
      </c>
      <c r="B761" s="1708"/>
      <c r="C761" s="1709"/>
      <c r="D761" s="1709"/>
      <c r="E761" s="1709"/>
      <c r="F761" s="1710"/>
      <c r="G761" s="1710"/>
      <c r="H761" s="1710"/>
      <c r="I761" s="1710"/>
      <c r="J761" s="1710"/>
      <c r="K761" s="1710"/>
      <c r="L761" s="1710"/>
      <c r="M761" s="1710"/>
      <c r="N761" s="1711"/>
      <c r="O761" s="1711"/>
      <c r="P761" s="1711"/>
      <c r="Q761" s="1711"/>
      <c r="R761" s="1711"/>
      <c r="S761" s="1711"/>
      <c r="T761" s="1711"/>
      <c r="U761" s="1711"/>
      <c r="V761" s="1711"/>
      <c r="W761" s="1711"/>
      <c r="X761" s="1711"/>
      <c r="Y761" s="1711"/>
      <c r="Z761" s="1711"/>
      <c r="AA761" s="1712"/>
      <c r="AB761" s="1712"/>
      <c r="AC761" s="1712"/>
      <c r="AD761" s="1712"/>
      <c r="AE761" s="1712"/>
      <c r="AF761" s="1712"/>
      <c r="AG761" s="1712"/>
      <c r="AH761" s="1712"/>
      <c r="AI761" s="1712"/>
      <c r="AJ761" s="1712"/>
      <c r="AK761" s="1712"/>
      <c r="AL761" s="1712"/>
      <c r="AM761" s="1712"/>
      <c r="AN761" s="1712"/>
      <c r="AO761" s="1712"/>
      <c r="AP761" s="1712"/>
      <c r="AQ761" s="1712"/>
      <c r="AR761" s="1712"/>
      <c r="AS761" s="1712"/>
      <c r="AT761" s="1712"/>
      <c r="AU761" s="1712"/>
    </row>
    <row r="762">
      <c r="A762" s="1474" t="s">
        <v>2461</v>
      </c>
      <c r="B762" s="1708"/>
      <c r="C762" s="1709"/>
      <c r="D762" s="1709"/>
      <c r="E762" s="1709"/>
      <c r="F762" s="1710"/>
      <c r="G762" s="1710"/>
      <c r="H762" s="1710"/>
      <c r="I762" s="1710"/>
      <c r="J762" s="1710"/>
      <c r="K762" s="1710"/>
      <c r="L762" s="1710"/>
      <c r="M762" s="1710"/>
      <c r="N762" s="1711"/>
      <c r="O762" s="1711"/>
      <c r="P762" s="1711"/>
      <c r="Q762" s="1711"/>
      <c r="R762" s="1711"/>
      <c r="S762" s="1711"/>
      <c r="T762" s="1711"/>
      <c r="U762" s="1711"/>
      <c r="V762" s="1711"/>
      <c r="W762" s="1711"/>
      <c r="X762" s="1711"/>
      <c r="Y762" s="1711"/>
      <c r="Z762" s="1711"/>
      <c r="AA762" s="1712"/>
      <c r="AB762" s="1712"/>
      <c r="AC762" s="1712"/>
      <c r="AD762" s="1712"/>
      <c r="AE762" s="1712"/>
      <c r="AF762" s="1712"/>
      <c r="AG762" s="1712"/>
      <c r="AH762" s="1712"/>
      <c r="AI762" s="1712"/>
      <c r="AJ762" s="1712"/>
      <c r="AK762" s="1712"/>
      <c r="AL762" s="1712"/>
      <c r="AM762" s="1712"/>
      <c r="AN762" s="1712"/>
      <c r="AO762" s="1712"/>
      <c r="AP762" s="1712"/>
      <c r="AQ762" s="1712"/>
      <c r="AR762" s="1712"/>
      <c r="AS762" s="1712"/>
      <c r="AT762" s="1712"/>
      <c r="AU762" s="1712"/>
    </row>
    <row r="763">
      <c r="A763" s="1474" t="s">
        <v>2461</v>
      </c>
      <c r="B763" s="1708"/>
      <c r="C763" s="1709"/>
      <c r="D763" s="1709"/>
      <c r="E763" s="1709"/>
      <c r="F763" s="1710"/>
      <c r="G763" s="1710"/>
      <c r="H763" s="1710"/>
      <c r="I763" s="1710"/>
      <c r="J763" s="1710"/>
      <c r="K763" s="1710"/>
      <c r="L763" s="1710"/>
      <c r="M763" s="1710"/>
      <c r="N763" s="1711"/>
      <c r="O763" s="1711"/>
      <c r="P763" s="1711"/>
      <c r="Q763" s="1711"/>
      <c r="R763" s="1711"/>
      <c r="S763" s="1711"/>
      <c r="T763" s="1711"/>
      <c r="U763" s="1711"/>
      <c r="V763" s="1711"/>
      <c r="W763" s="1711"/>
      <c r="X763" s="1711"/>
      <c r="Y763" s="1711"/>
      <c r="Z763" s="1711"/>
      <c r="AA763" s="1712"/>
      <c r="AB763" s="1712"/>
      <c r="AC763" s="1712"/>
      <c r="AD763" s="1712"/>
      <c r="AE763" s="1712"/>
      <c r="AF763" s="1712"/>
      <c r="AG763" s="1712"/>
      <c r="AH763" s="1712"/>
      <c r="AI763" s="1712"/>
      <c r="AJ763" s="1712"/>
      <c r="AK763" s="1712"/>
      <c r="AL763" s="1712"/>
      <c r="AM763" s="1712"/>
      <c r="AN763" s="1712"/>
      <c r="AO763" s="1712"/>
      <c r="AP763" s="1712"/>
      <c r="AQ763" s="1712"/>
      <c r="AR763" s="1712"/>
      <c r="AS763" s="1712"/>
      <c r="AT763" s="1712"/>
      <c r="AU763" s="1712"/>
    </row>
    <row r="764">
      <c r="A764" s="1474" t="s">
        <v>2461</v>
      </c>
      <c r="B764" s="1708"/>
      <c r="C764" s="1709"/>
      <c r="D764" s="1709"/>
      <c r="E764" s="1709"/>
      <c r="F764" s="1710"/>
      <c r="G764" s="1710"/>
      <c r="H764" s="1710"/>
      <c r="I764" s="1710"/>
      <c r="J764" s="1710"/>
      <c r="K764" s="1710"/>
      <c r="L764" s="1710"/>
      <c r="M764" s="1710"/>
      <c r="N764" s="1711"/>
      <c r="O764" s="1711"/>
      <c r="P764" s="1711"/>
      <c r="Q764" s="1711"/>
      <c r="R764" s="1711"/>
      <c r="S764" s="1711"/>
      <c r="T764" s="1711"/>
      <c r="U764" s="1711"/>
      <c r="V764" s="1711"/>
      <c r="W764" s="1711"/>
      <c r="X764" s="1711"/>
      <c r="Y764" s="1711"/>
      <c r="Z764" s="1711"/>
      <c r="AA764" s="1712"/>
      <c r="AB764" s="1712"/>
      <c r="AC764" s="1712"/>
      <c r="AD764" s="1712"/>
      <c r="AE764" s="1712"/>
      <c r="AF764" s="1712"/>
      <c r="AG764" s="1712"/>
      <c r="AH764" s="1712"/>
      <c r="AI764" s="1712"/>
      <c r="AJ764" s="1712"/>
      <c r="AK764" s="1712"/>
      <c r="AL764" s="1712"/>
      <c r="AM764" s="1712"/>
      <c r="AN764" s="1712"/>
      <c r="AO764" s="1712"/>
      <c r="AP764" s="1712"/>
      <c r="AQ764" s="1712"/>
      <c r="AR764" s="1712"/>
      <c r="AS764" s="1712"/>
      <c r="AT764" s="1712"/>
      <c r="AU764" s="1712"/>
    </row>
    <row r="765">
      <c r="A765" s="1474" t="s">
        <v>2461</v>
      </c>
      <c r="B765" s="1708"/>
      <c r="C765" s="1709"/>
      <c r="D765" s="1709"/>
      <c r="E765" s="1709"/>
      <c r="F765" s="1710"/>
      <c r="G765" s="1710"/>
      <c r="H765" s="1710"/>
      <c r="I765" s="1710"/>
      <c r="J765" s="1710"/>
      <c r="K765" s="1710"/>
      <c r="L765" s="1710"/>
      <c r="M765" s="1710"/>
      <c r="N765" s="1711"/>
      <c r="O765" s="1711"/>
      <c r="P765" s="1711"/>
      <c r="Q765" s="1711"/>
      <c r="R765" s="1711"/>
      <c r="S765" s="1711"/>
      <c r="T765" s="1711"/>
      <c r="U765" s="1711"/>
      <c r="V765" s="1711"/>
      <c r="W765" s="1711"/>
      <c r="X765" s="1711"/>
      <c r="Y765" s="1711"/>
      <c r="Z765" s="1711"/>
      <c r="AA765" s="1712"/>
      <c r="AB765" s="1712"/>
      <c r="AC765" s="1712"/>
      <c r="AD765" s="1712"/>
      <c r="AE765" s="1712"/>
      <c r="AF765" s="1712"/>
      <c r="AG765" s="1712"/>
      <c r="AH765" s="1712"/>
      <c r="AI765" s="1712"/>
      <c r="AJ765" s="1712"/>
      <c r="AK765" s="1712"/>
      <c r="AL765" s="1712"/>
      <c r="AM765" s="1712"/>
      <c r="AN765" s="1712"/>
      <c r="AO765" s="1712"/>
      <c r="AP765" s="1712"/>
      <c r="AQ765" s="1712"/>
      <c r="AR765" s="1712"/>
      <c r="AS765" s="1712"/>
      <c r="AT765" s="1712"/>
      <c r="AU765" s="1712"/>
    </row>
    <row r="766">
      <c r="A766" s="1474" t="s">
        <v>2461</v>
      </c>
      <c r="B766" s="1708"/>
      <c r="C766" s="1709"/>
      <c r="D766" s="1709"/>
      <c r="E766" s="1709"/>
      <c r="F766" s="1710"/>
      <c r="G766" s="1710"/>
      <c r="H766" s="1710"/>
      <c r="I766" s="1710"/>
      <c r="J766" s="1710"/>
      <c r="K766" s="1710"/>
      <c r="L766" s="1710"/>
      <c r="M766" s="1710"/>
      <c r="N766" s="1711"/>
      <c r="O766" s="1711"/>
      <c r="P766" s="1711"/>
      <c r="Q766" s="1711"/>
      <c r="R766" s="1711"/>
      <c r="S766" s="1711"/>
      <c r="T766" s="1711"/>
      <c r="U766" s="1711"/>
      <c r="V766" s="1711"/>
      <c r="W766" s="1711"/>
      <c r="X766" s="1711"/>
      <c r="Y766" s="1711"/>
      <c r="Z766" s="1711"/>
      <c r="AA766" s="1712"/>
      <c r="AB766" s="1712"/>
      <c r="AC766" s="1712"/>
      <c r="AD766" s="1712"/>
      <c r="AE766" s="1712"/>
      <c r="AF766" s="1712"/>
      <c r="AG766" s="1712"/>
      <c r="AH766" s="1712"/>
      <c r="AI766" s="1712"/>
      <c r="AJ766" s="1712"/>
      <c r="AK766" s="1712"/>
      <c r="AL766" s="1712"/>
      <c r="AM766" s="1712"/>
      <c r="AN766" s="1712"/>
      <c r="AO766" s="1712"/>
      <c r="AP766" s="1712"/>
      <c r="AQ766" s="1712"/>
      <c r="AR766" s="1712"/>
      <c r="AS766" s="1712"/>
      <c r="AT766" s="1712"/>
      <c r="AU766" s="1712"/>
    </row>
    <row r="767">
      <c r="A767" s="1474" t="s">
        <v>2461</v>
      </c>
      <c r="B767" s="1708"/>
      <c r="C767" s="1709"/>
      <c r="D767" s="1709"/>
      <c r="E767" s="1709"/>
      <c r="F767" s="1710"/>
      <c r="G767" s="1710"/>
      <c r="H767" s="1710"/>
      <c r="I767" s="1710"/>
      <c r="J767" s="1710"/>
      <c r="K767" s="1710"/>
      <c r="L767" s="1710"/>
      <c r="M767" s="1710"/>
      <c r="N767" s="1711"/>
      <c r="O767" s="1711"/>
      <c r="P767" s="1711"/>
      <c r="Q767" s="1711"/>
      <c r="R767" s="1711"/>
      <c r="S767" s="1711"/>
      <c r="T767" s="1711"/>
      <c r="U767" s="1711"/>
      <c r="V767" s="1711"/>
      <c r="W767" s="1711"/>
      <c r="X767" s="1711"/>
      <c r="Y767" s="1711"/>
      <c r="Z767" s="1711"/>
      <c r="AA767" s="1712"/>
      <c r="AB767" s="1712"/>
      <c r="AC767" s="1712"/>
      <c r="AD767" s="1712"/>
      <c r="AE767" s="1712"/>
      <c r="AF767" s="1712"/>
      <c r="AG767" s="1712"/>
      <c r="AH767" s="1712"/>
      <c r="AI767" s="1712"/>
      <c r="AJ767" s="1712"/>
      <c r="AK767" s="1712"/>
      <c r="AL767" s="1712"/>
      <c r="AM767" s="1712"/>
      <c r="AN767" s="1712"/>
      <c r="AO767" s="1712"/>
      <c r="AP767" s="1712"/>
      <c r="AQ767" s="1712"/>
      <c r="AR767" s="1712"/>
      <c r="AS767" s="1712"/>
      <c r="AT767" s="1712"/>
      <c r="AU767" s="1712"/>
    </row>
    <row r="768">
      <c r="A768" s="1474" t="s">
        <v>2461</v>
      </c>
      <c r="B768" s="1708"/>
      <c r="C768" s="1709"/>
      <c r="D768" s="1709"/>
      <c r="E768" s="1709"/>
      <c r="F768" s="1710"/>
      <c r="G768" s="1710"/>
      <c r="H768" s="1710"/>
      <c r="I768" s="1710"/>
      <c r="J768" s="1710"/>
      <c r="K768" s="1710"/>
      <c r="L768" s="1710"/>
      <c r="M768" s="1710"/>
      <c r="N768" s="1711"/>
      <c r="O768" s="1711"/>
      <c r="P768" s="1711"/>
      <c r="Q768" s="1711"/>
      <c r="R768" s="1711"/>
      <c r="S768" s="1711"/>
      <c r="T768" s="1711"/>
      <c r="U768" s="1711"/>
      <c r="V768" s="1711"/>
      <c r="W768" s="1711"/>
      <c r="X768" s="1711"/>
      <c r="Y768" s="1711"/>
      <c r="Z768" s="1711"/>
      <c r="AA768" s="1712"/>
      <c r="AB768" s="1712"/>
      <c r="AC768" s="1712"/>
      <c r="AD768" s="1712"/>
      <c r="AE768" s="1712"/>
      <c r="AF768" s="1712"/>
      <c r="AG768" s="1712"/>
      <c r="AH768" s="1712"/>
      <c r="AI768" s="1712"/>
      <c r="AJ768" s="1712"/>
      <c r="AK768" s="1712"/>
      <c r="AL768" s="1712"/>
      <c r="AM768" s="1712"/>
      <c r="AN768" s="1712"/>
      <c r="AO768" s="1712"/>
      <c r="AP768" s="1712"/>
      <c r="AQ768" s="1712"/>
      <c r="AR768" s="1712"/>
      <c r="AS768" s="1712"/>
      <c r="AT768" s="1712"/>
      <c r="AU768" s="1712"/>
    </row>
    <row r="769">
      <c r="A769" s="1474" t="s">
        <v>2461</v>
      </c>
      <c r="B769" s="1708"/>
      <c r="C769" s="1709"/>
      <c r="D769" s="1709"/>
      <c r="E769" s="1709"/>
      <c r="F769" s="1710"/>
      <c r="G769" s="1710"/>
      <c r="H769" s="1710"/>
      <c r="I769" s="1710"/>
      <c r="J769" s="1710"/>
      <c r="K769" s="1710"/>
      <c r="L769" s="1710"/>
      <c r="M769" s="1710"/>
      <c r="N769" s="1711"/>
      <c r="O769" s="1711"/>
      <c r="P769" s="1711"/>
      <c r="Q769" s="1711"/>
      <c r="R769" s="1711"/>
      <c r="S769" s="1711"/>
      <c r="T769" s="1711"/>
      <c r="U769" s="1711"/>
      <c r="V769" s="1711"/>
      <c r="W769" s="1711"/>
      <c r="X769" s="1711"/>
      <c r="Y769" s="1711"/>
      <c r="Z769" s="1711"/>
      <c r="AA769" s="1712"/>
      <c r="AB769" s="1712"/>
      <c r="AC769" s="1712"/>
      <c r="AD769" s="1712"/>
      <c r="AE769" s="1712"/>
      <c r="AF769" s="1712"/>
      <c r="AG769" s="1712"/>
      <c r="AH769" s="1712"/>
      <c r="AI769" s="1712"/>
      <c r="AJ769" s="1712"/>
      <c r="AK769" s="1712"/>
      <c r="AL769" s="1712"/>
      <c r="AM769" s="1712"/>
      <c r="AN769" s="1712"/>
      <c r="AO769" s="1712"/>
      <c r="AP769" s="1712"/>
      <c r="AQ769" s="1712"/>
      <c r="AR769" s="1712"/>
      <c r="AS769" s="1712"/>
      <c r="AT769" s="1712"/>
      <c r="AU769" s="1712"/>
    </row>
    <row r="770">
      <c r="A770" s="1474" t="s">
        <v>2461</v>
      </c>
      <c r="B770" s="1708"/>
      <c r="C770" s="1709"/>
      <c r="D770" s="1709"/>
      <c r="E770" s="1709"/>
      <c r="F770" s="1710"/>
      <c r="G770" s="1710"/>
      <c r="H770" s="1710"/>
      <c r="I770" s="1710"/>
      <c r="J770" s="1710"/>
      <c r="K770" s="1710"/>
      <c r="L770" s="1710"/>
      <c r="M770" s="1710"/>
      <c r="N770" s="1711"/>
      <c r="O770" s="1711"/>
      <c r="P770" s="1711"/>
      <c r="Q770" s="1711"/>
      <c r="R770" s="1711"/>
      <c r="S770" s="1711"/>
      <c r="T770" s="1711"/>
      <c r="U770" s="1711"/>
      <c r="V770" s="1711"/>
      <c r="W770" s="1711"/>
      <c r="X770" s="1711"/>
      <c r="Y770" s="1711"/>
      <c r="Z770" s="1711"/>
      <c r="AA770" s="1712"/>
      <c r="AB770" s="1712"/>
      <c r="AC770" s="1712"/>
      <c r="AD770" s="1712"/>
      <c r="AE770" s="1712"/>
      <c r="AF770" s="1712"/>
      <c r="AG770" s="1712"/>
      <c r="AH770" s="1712"/>
      <c r="AI770" s="1712"/>
      <c r="AJ770" s="1712"/>
      <c r="AK770" s="1712"/>
      <c r="AL770" s="1712"/>
      <c r="AM770" s="1712"/>
      <c r="AN770" s="1712"/>
      <c r="AO770" s="1712"/>
      <c r="AP770" s="1712"/>
      <c r="AQ770" s="1712"/>
      <c r="AR770" s="1712"/>
      <c r="AS770" s="1712"/>
      <c r="AT770" s="1712"/>
      <c r="AU770" s="1712"/>
    </row>
    <row r="771">
      <c r="A771" s="1474" t="s">
        <v>2461</v>
      </c>
      <c r="B771" s="1708"/>
      <c r="C771" s="1709"/>
      <c r="D771" s="1709"/>
      <c r="E771" s="1709"/>
      <c r="F771" s="1710"/>
      <c r="G771" s="1710"/>
      <c r="H771" s="1710"/>
      <c r="I771" s="1710"/>
      <c r="J771" s="1710"/>
      <c r="K771" s="1710"/>
      <c r="L771" s="1710"/>
      <c r="M771" s="1710"/>
      <c r="N771" s="1711"/>
      <c r="O771" s="1711"/>
      <c r="P771" s="1711"/>
      <c r="Q771" s="1711"/>
      <c r="R771" s="1711"/>
      <c r="S771" s="1711"/>
      <c r="T771" s="1711"/>
      <c r="U771" s="1711"/>
      <c r="V771" s="1711"/>
      <c r="W771" s="1711"/>
      <c r="X771" s="1711"/>
      <c r="Y771" s="1711"/>
      <c r="Z771" s="1711"/>
      <c r="AA771" s="1712"/>
      <c r="AB771" s="1712"/>
      <c r="AC771" s="1712"/>
      <c r="AD771" s="1712"/>
      <c r="AE771" s="1712"/>
      <c r="AF771" s="1712"/>
      <c r="AG771" s="1712"/>
      <c r="AH771" s="1712"/>
      <c r="AI771" s="1712"/>
      <c r="AJ771" s="1712"/>
      <c r="AK771" s="1712"/>
      <c r="AL771" s="1712"/>
      <c r="AM771" s="1712"/>
      <c r="AN771" s="1712"/>
      <c r="AO771" s="1712"/>
      <c r="AP771" s="1712"/>
      <c r="AQ771" s="1712"/>
      <c r="AR771" s="1712"/>
      <c r="AS771" s="1712"/>
      <c r="AT771" s="1712"/>
      <c r="AU771" s="1712"/>
    </row>
    <row r="772">
      <c r="A772" s="1474" t="s">
        <v>2461</v>
      </c>
      <c r="B772" s="1708"/>
      <c r="C772" s="1709"/>
      <c r="D772" s="1709"/>
      <c r="E772" s="1709"/>
      <c r="F772" s="1710"/>
      <c r="G772" s="1710"/>
      <c r="H772" s="1710"/>
      <c r="I772" s="1710"/>
      <c r="J772" s="1710"/>
      <c r="K772" s="1710"/>
      <c r="L772" s="1710"/>
      <c r="M772" s="1710"/>
      <c r="N772" s="1711"/>
      <c r="O772" s="1711"/>
      <c r="P772" s="1711"/>
      <c r="Q772" s="1711"/>
      <c r="R772" s="1711"/>
      <c r="S772" s="1711"/>
      <c r="T772" s="1711"/>
      <c r="U772" s="1711"/>
      <c r="V772" s="1711"/>
      <c r="W772" s="1711"/>
      <c r="X772" s="1711"/>
      <c r="Y772" s="1711"/>
      <c r="Z772" s="1711"/>
      <c r="AA772" s="1712"/>
      <c r="AB772" s="1712"/>
      <c r="AC772" s="1712"/>
      <c r="AD772" s="1712"/>
      <c r="AE772" s="1712"/>
      <c r="AF772" s="1712"/>
      <c r="AG772" s="1712"/>
      <c r="AH772" s="1712"/>
      <c r="AI772" s="1712"/>
      <c r="AJ772" s="1712"/>
      <c r="AK772" s="1712"/>
      <c r="AL772" s="1712"/>
      <c r="AM772" s="1712"/>
      <c r="AN772" s="1712"/>
      <c r="AO772" s="1712"/>
      <c r="AP772" s="1712"/>
      <c r="AQ772" s="1712"/>
      <c r="AR772" s="1712"/>
      <c r="AS772" s="1712"/>
      <c r="AT772" s="1712"/>
      <c r="AU772" s="1712"/>
    </row>
    <row r="773">
      <c r="A773" s="1474" t="s">
        <v>2461</v>
      </c>
      <c r="B773" s="1708"/>
      <c r="C773" s="1709"/>
      <c r="D773" s="1709"/>
      <c r="E773" s="1709"/>
      <c r="F773" s="1710"/>
      <c r="G773" s="1710"/>
      <c r="H773" s="1710"/>
      <c r="I773" s="1710"/>
      <c r="J773" s="1710"/>
      <c r="K773" s="1710"/>
      <c r="L773" s="1710"/>
      <c r="M773" s="1710"/>
      <c r="N773" s="1711"/>
      <c r="O773" s="1711"/>
      <c r="P773" s="1711"/>
      <c r="Q773" s="1711"/>
      <c r="R773" s="1711"/>
      <c r="S773" s="1711"/>
      <c r="T773" s="1711"/>
      <c r="U773" s="1711"/>
      <c r="V773" s="1711"/>
      <c r="W773" s="1711"/>
      <c r="X773" s="1711"/>
      <c r="Y773" s="1711"/>
      <c r="Z773" s="1711"/>
      <c r="AA773" s="1712"/>
      <c r="AB773" s="1712"/>
      <c r="AC773" s="1712"/>
      <c r="AD773" s="1712"/>
      <c r="AE773" s="1712"/>
      <c r="AF773" s="1712"/>
      <c r="AG773" s="1712"/>
      <c r="AH773" s="1712"/>
      <c r="AI773" s="1712"/>
      <c r="AJ773" s="1712"/>
      <c r="AK773" s="1712"/>
      <c r="AL773" s="1712"/>
      <c r="AM773" s="1712"/>
      <c r="AN773" s="1712"/>
      <c r="AO773" s="1712"/>
      <c r="AP773" s="1712"/>
      <c r="AQ773" s="1712"/>
      <c r="AR773" s="1712"/>
      <c r="AS773" s="1712"/>
      <c r="AT773" s="1712"/>
      <c r="AU773" s="1712"/>
    </row>
    <row r="774">
      <c r="A774" s="1474" t="s">
        <v>2461</v>
      </c>
      <c r="B774" s="1708"/>
      <c r="C774" s="1709"/>
      <c r="D774" s="1709"/>
      <c r="E774" s="1709"/>
      <c r="F774" s="1710"/>
      <c r="G774" s="1710"/>
      <c r="H774" s="1710"/>
      <c r="I774" s="1710"/>
      <c r="J774" s="1710"/>
      <c r="K774" s="1710"/>
      <c r="L774" s="1710"/>
      <c r="M774" s="1710"/>
      <c r="N774" s="1711"/>
      <c r="O774" s="1711"/>
      <c r="P774" s="1711"/>
      <c r="Q774" s="1711"/>
      <c r="R774" s="1711"/>
      <c r="S774" s="1711"/>
      <c r="T774" s="1711"/>
      <c r="U774" s="1711"/>
      <c r="V774" s="1711"/>
      <c r="W774" s="1711"/>
      <c r="X774" s="1711"/>
      <c r="Y774" s="1711"/>
      <c r="Z774" s="1711"/>
      <c r="AA774" s="1712"/>
      <c r="AB774" s="1712"/>
      <c r="AC774" s="1712"/>
      <c r="AD774" s="1712"/>
      <c r="AE774" s="1712"/>
      <c r="AF774" s="1712"/>
      <c r="AG774" s="1712"/>
      <c r="AH774" s="1712"/>
      <c r="AI774" s="1712"/>
      <c r="AJ774" s="1712"/>
      <c r="AK774" s="1712"/>
      <c r="AL774" s="1712"/>
      <c r="AM774" s="1712"/>
      <c r="AN774" s="1712"/>
      <c r="AO774" s="1712"/>
      <c r="AP774" s="1712"/>
      <c r="AQ774" s="1712"/>
      <c r="AR774" s="1712"/>
      <c r="AS774" s="1712"/>
      <c r="AT774" s="1712"/>
      <c r="AU774" s="1712"/>
    </row>
    <row r="775">
      <c r="A775" s="1474" t="s">
        <v>2461</v>
      </c>
      <c r="B775" s="1708"/>
      <c r="C775" s="1709"/>
      <c r="D775" s="1709"/>
      <c r="E775" s="1709"/>
      <c r="F775" s="1710"/>
      <c r="G775" s="1710"/>
      <c r="H775" s="1710"/>
      <c r="I775" s="1710"/>
      <c r="J775" s="1710"/>
      <c r="K775" s="1710"/>
      <c r="L775" s="1710"/>
      <c r="M775" s="1710"/>
      <c r="N775" s="1711"/>
      <c r="O775" s="1711"/>
      <c r="P775" s="1711"/>
      <c r="Q775" s="1711"/>
      <c r="R775" s="1711"/>
      <c r="S775" s="1711"/>
      <c r="T775" s="1711"/>
      <c r="U775" s="1711"/>
      <c r="V775" s="1711"/>
      <c r="W775" s="1711"/>
      <c r="X775" s="1711"/>
      <c r="Y775" s="1711"/>
      <c r="Z775" s="1711"/>
      <c r="AA775" s="1712"/>
      <c r="AB775" s="1712"/>
      <c r="AC775" s="1712"/>
      <c r="AD775" s="1712"/>
      <c r="AE775" s="1712"/>
      <c r="AF775" s="1712"/>
      <c r="AG775" s="1712"/>
      <c r="AH775" s="1712"/>
      <c r="AI775" s="1712"/>
      <c r="AJ775" s="1712"/>
      <c r="AK775" s="1712"/>
      <c r="AL775" s="1712"/>
      <c r="AM775" s="1712"/>
      <c r="AN775" s="1712"/>
      <c r="AO775" s="1712"/>
      <c r="AP775" s="1712"/>
      <c r="AQ775" s="1712"/>
      <c r="AR775" s="1712"/>
      <c r="AS775" s="1712"/>
      <c r="AT775" s="1712"/>
      <c r="AU775" s="1712"/>
    </row>
    <row r="776">
      <c r="A776" s="1474" t="s">
        <v>2461</v>
      </c>
      <c r="B776" s="1708"/>
      <c r="C776" s="1709"/>
      <c r="D776" s="1709"/>
      <c r="E776" s="1709"/>
      <c r="F776" s="1710"/>
      <c r="G776" s="1710"/>
      <c r="H776" s="1710"/>
      <c r="I776" s="1710"/>
      <c r="J776" s="1710"/>
      <c r="K776" s="1710"/>
      <c r="L776" s="1710"/>
      <c r="M776" s="1710"/>
      <c r="N776" s="1711"/>
      <c r="O776" s="1711"/>
      <c r="P776" s="1711"/>
      <c r="Q776" s="1711"/>
      <c r="R776" s="1711"/>
      <c r="S776" s="1711"/>
      <c r="T776" s="1711"/>
      <c r="U776" s="1711"/>
      <c r="V776" s="1711"/>
      <c r="W776" s="1711"/>
      <c r="X776" s="1711"/>
      <c r="Y776" s="1711"/>
      <c r="Z776" s="1711"/>
      <c r="AA776" s="1712"/>
      <c r="AB776" s="1712"/>
      <c r="AC776" s="1712"/>
      <c r="AD776" s="1712"/>
      <c r="AE776" s="1712"/>
      <c r="AF776" s="1712"/>
      <c r="AG776" s="1712"/>
      <c r="AH776" s="1712"/>
      <c r="AI776" s="1712"/>
      <c r="AJ776" s="1712"/>
      <c r="AK776" s="1712"/>
      <c r="AL776" s="1712"/>
      <c r="AM776" s="1712"/>
      <c r="AN776" s="1712"/>
      <c r="AO776" s="1712"/>
      <c r="AP776" s="1712"/>
      <c r="AQ776" s="1712"/>
      <c r="AR776" s="1712"/>
      <c r="AS776" s="1712"/>
      <c r="AT776" s="1712"/>
      <c r="AU776" s="1712"/>
    </row>
    <row r="777">
      <c r="A777" s="1474" t="s">
        <v>2461</v>
      </c>
      <c r="B777" s="1708"/>
      <c r="C777" s="1709"/>
      <c r="D777" s="1709"/>
      <c r="E777" s="1709"/>
      <c r="F777" s="1710"/>
      <c r="G777" s="1710"/>
      <c r="H777" s="1710"/>
      <c r="I777" s="1710"/>
      <c r="J777" s="1710"/>
      <c r="K777" s="1710"/>
      <c r="L777" s="1710"/>
      <c r="M777" s="1710"/>
      <c r="N777" s="1711"/>
      <c r="O777" s="1711"/>
      <c r="P777" s="1711"/>
      <c r="Q777" s="1711"/>
      <c r="R777" s="1711"/>
      <c r="S777" s="1711"/>
      <c r="T777" s="1711"/>
      <c r="U777" s="1711"/>
      <c r="V777" s="1711"/>
      <c r="W777" s="1711"/>
      <c r="X777" s="1711"/>
      <c r="Y777" s="1711"/>
      <c r="Z777" s="1711"/>
      <c r="AA777" s="1712"/>
      <c r="AB777" s="1712"/>
      <c r="AC777" s="1712"/>
      <c r="AD777" s="1712"/>
      <c r="AE777" s="1712"/>
      <c r="AF777" s="1712"/>
      <c r="AG777" s="1712"/>
      <c r="AH777" s="1712"/>
      <c r="AI777" s="1712"/>
      <c r="AJ777" s="1712"/>
      <c r="AK777" s="1712"/>
      <c r="AL777" s="1712"/>
      <c r="AM777" s="1712"/>
      <c r="AN777" s="1712"/>
      <c r="AO777" s="1712"/>
      <c r="AP777" s="1712"/>
      <c r="AQ777" s="1712"/>
      <c r="AR777" s="1712"/>
      <c r="AS777" s="1712"/>
      <c r="AT777" s="1712"/>
      <c r="AU777" s="1712"/>
    </row>
    <row r="778">
      <c r="A778" s="1474" t="s">
        <v>2461</v>
      </c>
      <c r="B778" s="1708"/>
      <c r="C778" s="1709"/>
      <c r="D778" s="1709"/>
      <c r="E778" s="1709"/>
      <c r="F778" s="1710"/>
      <c r="G778" s="1710"/>
      <c r="H778" s="1710"/>
      <c r="I778" s="1710"/>
      <c r="J778" s="1710"/>
      <c r="K778" s="1710"/>
      <c r="L778" s="1710"/>
      <c r="M778" s="1710"/>
      <c r="N778" s="1711"/>
      <c r="O778" s="1711"/>
      <c r="P778" s="1711"/>
      <c r="Q778" s="1711"/>
      <c r="R778" s="1711"/>
      <c r="S778" s="1711"/>
      <c r="T778" s="1711"/>
      <c r="U778" s="1711"/>
      <c r="V778" s="1711"/>
      <c r="W778" s="1711"/>
      <c r="X778" s="1711"/>
      <c r="Y778" s="1711"/>
      <c r="Z778" s="1711"/>
      <c r="AA778" s="1712"/>
      <c r="AB778" s="1712"/>
      <c r="AC778" s="1712"/>
      <c r="AD778" s="1712"/>
      <c r="AE778" s="1712"/>
      <c r="AF778" s="1712"/>
      <c r="AG778" s="1712"/>
      <c r="AH778" s="1712"/>
      <c r="AI778" s="1712"/>
      <c r="AJ778" s="1712"/>
      <c r="AK778" s="1712"/>
      <c r="AL778" s="1712"/>
      <c r="AM778" s="1712"/>
      <c r="AN778" s="1712"/>
      <c r="AO778" s="1712"/>
      <c r="AP778" s="1712"/>
      <c r="AQ778" s="1712"/>
      <c r="AR778" s="1712"/>
      <c r="AS778" s="1712"/>
      <c r="AT778" s="1712"/>
      <c r="AU778" s="1712"/>
    </row>
    <row r="779">
      <c r="A779" s="1474" t="s">
        <v>2461</v>
      </c>
      <c r="B779" s="1708"/>
      <c r="C779" s="1709"/>
      <c r="D779" s="1709"/>
      <c r="E779" s="1709"/>
      <c r="F779" s="1710"/>
      <c r="G779" s="1710"/>
      <c r="H779" s="1710"/>
      <c r="I779" s="1710"/>
      <c r="J779" s="1710"/>
      <c r="K779" s="1710"/>
      <c r="L779" s="1710"/>
      <c r="M779" s="1710"/>
      <c r="N779" s="1711"/>
      <c r="O779" s="1711"/>
      <c r="P779" s="1711"/>
      <c r="Q779" s="1711"/>
      <c r="R779" s="1711"/>
      <c r="S779" s="1711"/>
      <c r="T779" s="1711"/>
      <c r="U779" s="1711"/>
      <c r="V779" s="1711"/>
      <c r="W779" s="1711"/>
      <c r="X779" s="1711"/>
      <c r="Y779" s="1711"/>
      <c r="Z779" s="1711"/>
      <c r="AA779" s="1712"/>
      <c r="AB779" s="1712"/>
      <c r="AC779" s="1712"/>
      <c r="AD779" s="1712"/>
      <c r="AE779" s="1712"/>
      <c r="AF779" s="1712"/>
      <c r="AG779" s="1712"/>
      <c r="AH779" s="1712"/>
      <c r="AI779" s="1712"/>
      <c r="AJ779" s="1712"/>
      <c r="AK779" s="1712"/>
      <c r="AL779" s="1712"/>
      <c r="AM779" s="1712"/>
      <c r="AN779" s="1712"/>
      <c r="AO779" s="1712"/>
      <c r="AP779" s="1712"/>
      <c r="AQ779" s="1712"/>
      <c r="AR779" s="1712"/>
      <c r="AS779" s="1712"/>
      <c r="AT779" s="1712"/>
      <c r="AU779" s="1712"/>
    </row>
    <row r="780">
      <c r="A780" s="1474" t="s">
        <v>2461</v>
      </c>
      <c r="B780" s="1708"/>
      <c r="C780" s="1709"/>
      <c r="D780" s="1709"/>
      <c r="E780" s="1709"/>
      <c r="F780" s="1710"/>
      <c r="G780" s="1710"/>
      <c r="H780" s="1710"/>
      <c r="I780" s="1710"/>
      <c r="J780" s="1710"/>
      <c r="K780" s="1710"/>
      <c r="L780" s="1710"/>
      <c r="M780" s="1710"/>
      <c r="N780" s="1711"/>
      <c r="O780" s="1711"/>
      <c r="P780" s="1711"/>
      <c r="Q780" s="1711"/>
      <c r="R780" s="1711"/>
      <c r="S780" s="1711"/>
      <c r="T780" s="1711"/>
      <c r="U780" s="1711"/>
      <c r="V780" s="1711"/>
      <c r="W780" s="1711"/>
      <c r="X780" s="1711"/>
      <c r="Y780" s="1711"/>
      <c r="Z780" s="1711"/>
      <c r="AA780" s="1712"/>
      <c r="AB780" s="1712"/>
      <c r="AC780" s="1712"/>
      <c r="AD780" s="1712"/>
      <c r="AE780" s="1712"/>
      <c r="AF780" s="1712"/>
      <c r="AG780" s="1712"/>
      <c r="AH780" s="1712"/>
      <c r="AI780" s="1712"/>
      <c r="AJ780" s="1712"/>
      <c r="AK780" s="1712"/>
      <c r="AL780" s="1712"/>
      <c r="AM780" s="1712"/>
      <c r="AN780" s="1712"/>
      <c r="AO780" s="1712"/>
      <c r="AP780" s="1712"/>
      <c r="AQ780" s="1712"/>
      <c r="AR780" s="1712"/>
      <c r="AS780" s="1712"/>
      <c r="AT780" s="1712"/>
      <c r="AU780" s="1712"/>
    </row>
    <row r="781">
      <c r="A781" s="1474" t="s">
        <v>2461</v>
      </c>
      <c r="B781" s="1708"/>
      <c r="C781" s="1709"/>
      <c r="D781" s="1709"/>
      <c r="E781" s="1709"/>
      <c r="F781" s="1710"/>
      <c r="G781" s="1710"/>
      <c r="H781" s="1710"/>
      <c r="I781" s="1710"/>
      <c r="J781" s="1710"/>
      <c r="K781" s="1710"/>
      <c r="L781" s="1710"/>
      <c r="M781" s="1710"/>
      <c r="N781" s="1711"/>
      <c r="O781" s="1711"/>
      <c r="P781" s="1711"/>
      <c r="Q781" s="1711"/>
      <c r="R781" s="1711"/>
      <c r="S781" s="1711"/>
      <c r="T781" s="1711"/>
      <c r="U781" s="1711"/>
      <c r="V781" s="1711"/>
      <c r="W781" s="1711"/>
      <c r="X781" s="1711"/>
      <c r="Y781" s="1711"/>
      <c r="Z781" s="1711"/>
      <c r="AA781" s="1712"/>
      <c r="AB781" s="1712"/>
      <c r="AC781" s="1712"/>
      <c r="AD781" s="1712"/>
      <c r="AE781" s="1712"/>
      <c r="AF781" s="1712"/>
      <c r="AG781" s="1712"/>
      <c r="AH781" s="1712"/>
      <c r="AI781" s="1712"/>
      <c r="AJ781" s="1712"/>
      <c r="AK781" s="1712"/>
      <c r="AL781" s="1712"/>
      <c r="AM781" s="1712"/>
      <c r="AN781" s="1712"/>
      <c r="AO781" s="1712"/>
      <c r="AP781" s="1712"/>
      <c r="AQ781" s="1712"/>
      <c r="AR781" s="1712"/>
      <c r="AS781" s="1712"/>
      <c r="AT781" s="1712"/>
      <c r="AU781" s="1712"/>
    </row>
    <row r="782">
      <c r="A782" s="1474" t="s">
        <v>2461</v>
      </c>
      <c r="B782" s="1708"/>
      <c r="C782" s="1709"/>
      <c r="D782" s="1709"/>
      <c r="E782" s="1709"/>
      <c r="F782" s="1710"/>
      <c r="G782" s="1710"/>
      <c r="H782" s="1710"/>
      <c r="I782" s="1710"/>
      <c r="J782" s="1710"/>
      <c r="K782" s="1710"/>
      <c r="L782" s="1710"/>
      <c r="M782" s="1710"/>
      <c r="N782" s="1711"/>
      <c r="O782" s="1711"/>
      <c r="P782" s="1711"/>
      <c r="Q782" s="1711"/>
      <c r="R782" s="1711"/>
      <c r="S782" s="1711"/>
      <c r="T782" s="1711"/>
      <c r="U782" s="1711"/>
      <c r="V782" s="1711"/>
      <c r="W782" s="1711"/>
      <c r="X782" s="1711"/>
      <c r="Y782" s="1711"/>
      <c r="Z782" s="1711"/>
      <c r="AA782" s="1712"/>
      <c r="AB782" s="1712"/>
      <c r="AC782" s="1712"/>
      <c r="AD782" s="1712"/>
      <c r="AE782" s="1712"/>
      <c r="AF782" s="1712"/>
      <c r="AG782" s="1712"/>
      <c r="AH782" s="1712"/>
      <c r="AI782" s="1712"/>
      <c r="AJ782" s="1712"/>
      <c r="AK782" s="1712"/>
      <c r="AL782" s="1712"/>
      <c r="AM782" s="1712"/>
      <c r="AN782" s="1712"/>
      <c r="AO782" s="1712"/>
      <c r="AP782" s="1712"/>
      <c r="AQ782" s="1712"/>
      <c r="AR782" s="1712"/>
      <c r="AS782" s="1712"/>
      <c r="AT782" s="1712"/>
      <c r="AU782" s="1712"/>
    </row>
    <row r="783">
      <c r="A783" s="1474" t="s">
        <v>2461</v>
      </c>
      <c r="B783" s="1708"/>
      <c r="C783" s="1709"/>
      <c r="D783" s="1709"/>
      <c r="E783" s="1709"/>
      <c r="F783" s="1710"/>
      <c r="G783" s="1710"/>
      <c r="H783" s="1710"/>
      <c r="I783" s="1710"/>
      <c r="J783" s="1710"/>
      <c r="K783" s="1710"/>
      <c r="L783" s="1710"/>
      <c r="M783" s="1710"/>
      <c r="N783" s="1711"/>
      <c r="O783" s="1711"/>
      <c r="P783" s="1711"/>
      <c r="Q783" s="1711"/>
      <c r="R783" s="1711"/>
      <c r="S783" s="1711"/>
      <c r="T783" s="1711"/>
      <c r="U783" s="1711"/>
      <c r="V783" s="1711"/>
      <c r="W783" s="1711"/>
      <c r="X783" s="1711"/>
      <c r="Y783" s="1711"/>
      <c r="Z783" s="1711"/>
      <c r="AA783" s="1712"/>
      <c r="AB783" s="1712"/>
      <c r="AC783" s="1712"/>
      <c r="AD783" s="1712"/>
      <c r="AE783" s="1712"/>
      <c r="AF783" s="1712"/>
      <c r="AG783" s="1712"/>
      <c r="AH783" s="1712"/>
      <c r="AI783" s="1712"/>
      <c r="AJ783" s="1712"/>
      <c r="AK783" s="1712"/>
      <c r="AL783" s="1712"/>
      <c r="AM783" s="1712"/>
      <c r="AN783" s="1712"/>
      <c r="AO783" s="1712"/>
      <c r="AP783" s="1712"/>
      <c r="AQ783" s="1712"/>
      <c r="AR783" s="1712"/>
      <c r="AS783" s="1712"/>
      <c r="AT783" s="1712"/>
      <c r="AU783" s="1712"/>
    </row>
    <row r="784">
      <c r="A784" s="1474" t="s">
        <v>2461</v>
      </c>
      <c r="B784" s="1708"/>
      <c r="C784" s="1709"/>
      <c r="D784" s="1709"/>
      <c r="E784" s="1709"/>
      <c r="F784" s="1710"/>
      <c r="G784" s="1710"/>
      <c r="H784" s="1710"/>
      <c r="I784" s="1710"/>
      <c r="J784" s="1710"/>
      <c r="K784" s="1710"/>
      <c r="L784" s="1710"/>
      <c r="M784" s="1710"/>
      <c r="N784" s="1711"/>
      <c r="O784" s="1711"/>
      <c r="P784" s="1711"/>
      <c r="Q784" s="1711"/>
      <c r="R784" s="1711"/>
      <c r="S784" s="1711"/>
      <c r="T784" s="1711"/>
      <c r="U784" s="1711"/>
      <c r="V784" s="1711"/>
      <c r="W784" s="1711"/>
      <c r="X784" s="1711"/>
      <c r="Y784" s="1711"/>
      <c r="Z784" s="1711"/>
      <c r="AA784" s="1712"/>
      <c r="AB784" s="1712"/>
      <c r="AC784" s="1712"/>
      <c r="AD784" s="1712"/>
      <c r="AE784" s="1712"/>
      <c r="AF784" s="1712"/>
      <c r="AG784" s="1712"/>
      <c r="AH784" s="1712"/>
      <c r="AI784" s="1712"/>
      <c r="AJ784" s="1712"/>
      <c r="AK784" s="1712"/>
      <c r="AL784" s="1712"/>
      <c r="AM784" s="1712"/>
      <c r="AN784" s="1712"/>
      <c r="AO784" s="1712"/>
      <c r="AP784" s="1712"/>
      <c r="AQ784" s="1712"/>
      <c r="AR784" s="1712"/>
      <c r="AS784" s="1712"/>
      <c r="AT784" s="1712"/>
      <c r="AU784" s="1712"/>
    </row>
    <row r="785">
      <c r="A785" s="1474" t="s">
        <v>2461</v>
      </c>
      <c r="B785" s="1708"/>
      <c r="C785" s="1709"/>
      <c r="D785" s="1709"/>
      <c r="E785" s="1709"/>
      <c r="F785" s="1710"/>
      <c r="G785" s="1710"/>
      <c r="H785" s="1710"/>
      <c r="I785" s="1710"/>
      <c r="J785" s="1710"/>
      <c r="K785" s="1710"/>
      <c r="L785" s="1710"/>
      <c r="M785" s="1710"/>
      <c r="N785" s="1711"/>
      <c r="O785" s="1711"/>
      <c r="P785" s="1711"/>
      <c r="Q785" s="1711"/>
      <c r="R785" s="1711"/>
      <c r="S785" s="1711"/>
      <c r="T785" s="1711"/>
      <c r="U785" s="1711"/>
      <c r="V785" s="1711"/>
      <c r="W785" s="1711"/>
      <c r="X785" s="1711"/>
      <c r="Y785" s="1711"/>
      <c r="Z785" s="1711"/>
      <c r="AA785" s="1712"/>
      <c r="AB785" s="1712"/>
      <c r="AC785" s="1712"/>
      <c r="AD785" s="1712"/>
      <c r="AE785" s="1712"/>
      <c r="AF785" s="1712"/>
      <c r="AG785" s="1712"/>
      <c r="AH785" s="1712"/>
      <c r="AI785" s="1712"/>
      <c r="AJ785" s="1712"/>
      <c r="AK785" s="1712"/>
      <c r="AL785" s="1712"/>
      <c r="AM785" s="1712"/>
      <c r="AN785" s="1712"/>
      <c r="AO785" s="1712"/>
      <c r="AP785" s="1712"/>
      <c r="AQ785" s="1712"/>
      <c r="AR785" s="1712"/>
      <c r="AS785" s="1712"/>
      <c r="AT785" s="1712"/>
      <c r="AU785" s="1712"/>
    </row>
    <row r="786">
      <c r="A786" s="1474" t="s">
        <v>2461</v>
      </c>
      <c r="B786" s="1708"/>
      <c r="C786" s="1709"/>
      <c r="D786" s="1709"/>
      <c r="E786" s="1709"/>
      <c r="F786" s="1710"/>
      <c r="G786" s="1710"/>
      <c r="H786" s="1710"/>
      <c r="I786" s="1710"/>
      <c r="J786" s="1710"/>
      <c r="K786" s="1710"/>
      <c r="L786" s="1710"/>
      <c r="M786" s="1710"/>
      <c r="N786" s="1711"/>
      <c r="O786" s="1711"/>
      <c r="P786" s="1711"/>
      <c r="Q786" s="1711"/>
      <c r="R786" s="1711"/>
      <c r="S786" s="1711"/>
      <c r="T786" s="1711"/>
      <c r="U786" s="1711"/>
      <c r="V786" s="1711"/>
      <c r="W786" s="1711"/>
      <c r="X786" s="1711"/>
      <c r="Y786" s="1711"/>
      <c r="Z786" s="1711"/>
      <c r="AA786" s="1712"/>
      <c r="AB786" s="1712"/>
      <c r="AC786" s="1712"/>
      <c r="AD786" s="1712"/>
      <c r="AE786" s="1712"/>
      <c r="AF786" s="1712"/>
      <c r="AG786" s="1712"/>
      <c r="AH786" s="1712"/>
      <c r="AI786" s="1712"/>
      <c r="AJ786" s="1712"/>
      <c r="AK786" s="1712"/>
      <c r="AL786" s="1712"/>
      <c r="AM786" s="1712"/>
      <c r="AN786" s="1712"/>
      <c r="AO786" s="1712"/>
      <c r="AP786" s="1712"/>
      <c r="AQ786" s="1712"/>
      <c r="AR786" s="1712"/>
      <c r="AS786" s="1712"/>
      <c r="AT786" s="1712"/>
      <c r="AU786" s="1712"/>
    </row>
    <row r="787">
      <c r="A787" s="1474" t="s">
        <v>2461</v>
      </c>
      <c r="B787" s="1708"/>
      <c r="C787" s="1709"/>
      <c r="D787" s="1709"/>
      <c r="E787" s="1709"/>
      <c r="F787" s="1710"/>
      <c r="G787" s="1710"/>
      <c r="H787" s="1710"/>
      <c r="I787" s="1710"/>
      <c r="J787" s="1710"/>
      <c r="K787" s="1710"/>
      <c r="L787" s="1710"/>
      <c r="M787" s="1710"/>
      <c r="N787" s="1711"/>
      <c r="O787" s="1711"/>
      <c r="P787" s="1711"/>
      <c r="Q787" s="1711"/>
      <c r="R787" s="1711"/>
      <c r="S787" s="1711"/>
      <c r="T787" s="1711"/>
      <c r="U787" s="1711"/>
      <c r="V787" s="1711"/>
      <c r="W787" s="1711"/>
      <c r="X787" s="1711"/>
      <c r="Y787" s="1711"/>
      <c r="Z787" s="1711"/>
      <c r="AA787" s="1712"/>
      <c r="AB787" s="1712"/>
      <c r="AC787" s="1712"/>
      <c r="AD787" s="1712"/>
      <c r="AE787" s="1712"/>
      <c r="AF787" s="1712"/>
      <c r="AG787" s="1712"/>
      <c r="AH787" s="1712"/>
      <c r="AI787" s="1712"/>
      <c r="AJ787" s="1712"/>
      <c r="AK787" s="1712"/>
      <c r="AL787" s="1712"/>
      <c r="AM787" s="1712"/>
      <c r="AN787" s="1712"/>
      <c r="AO787" s="1712"/>
      <c r="AP787" s="1712"/>
      <c r="AQ787" s="1712"/>
      <c r="AR787" s="1712"/>
      <c r="AS787" s="1712"/>
      <c r="AT787" s="1712"/>
      <c r="AU787" s="1712"/>
    </row>
    <row r="788">
      <c r="A788" s="1474" t="s">
        <v>2461</v>
      </c>
      <c r="B788" s="1708"/>
      <c r="C788" s="1709"/>
      <c r="D788" s="1709"/>
      <c r="E788" s="1709"/>
      <c r="F788" s="1710"/>
      <c r="G788" s="1710"/>
      <c r="H788" s="1710"/>
      <c r="I788" s="1710"/>
      <c r="J788" s="1710"/>
      <c r="K788" s="1710"/>
      <c r="L788" s="1710"/>
      <c r="M788" s="1710"/>
      <c r="N788" s="1711"/>
      <c r="O788" s="1711"/>
      <c r="P788" s="1711"/>
      <c r="Q788" s="1711"/>
      <c r="R788" s="1711"/>
      <c r="S788" s="1711"/>
      <c r="T788" s="1711"/>
      <c r="U788" s="1711"/>
      <c r="V788" s="1711"/>
      <c r="W788" s="1711"/>
      <c r="X788" s="1711"/>
      <c r="Y788" s="1711"/>
      <c r="Z788" s="1711"/>
      <c r="AA788" s="1712"/>
      <c r="AB788" s="1712"/>
      <c r="AC788" s="1712"/>
      <c r="AD788" s="1712"/>
      <c r="AE788" s="1712"/>
      <c r="AF788" s="1712"/>
      <c r="AG788" s="1712"/>
      <c r="AH788" s="1712"/>
      <c r="AI788" s="1712"/>
      <c r="AJ788" s="1712"/>
      <c r="AK788" s="1712"/>
      <c r="AL788" s="1712"/>
      <c r="AM788" s="1712"/>
      <c r="AN788" s="1712"/>
      <c r="AO788" s="1712"/>
      <c r="AP788" s="1712"/>
      <c r="AQ788" s="1712"/>
      <c r="AR788" s="1712"/>
      <c r="AS788" s="1712"/>
      <c r="AT788" s="1712"/>
      <c r="AU788" s="1712"/>
    </row>
    <row r="789">
      <c r="A789" s="1474" t="s">
        <v>2461</v>
      </c>
      <c r="B789" s="1708"/>
      <c r="C789" s="1709"/>
      <c r="D789" s="1709"/>
      <c r="E789" s="1709"/>
      <c r="F789" s="1710"/>
      <c r="G789" s="1710"/>
      <c r="H789" s="1710"/>
      <c r="I789" s="1710"/>
      <c r="J789" s="1710"/>
      <c r="K789" s="1710"/>
      <c r="L789" s="1710"/>
      <c r="M789" s="1710"/>
      <c r="N789" s="1711"/>
      <c r="O789" s="1711"/>
      <c r="P789" s="1711"/>
      <c r="Q789" s="1711"/>
      <c r="R789" s="1711"/>
      <c r="S789" s="1711"/>
      <c r="T789" s="1711"/>
      <c r="U789" s="1711"/>
      <c r="V789" s="1711"/>
      <c r="W789" s="1711"/>
      <c r="X789" s="1711"/>
      <c r="Y789" s="1711"/>
      <c r="Z789" s="1711"/>
      <c r="AA789" s="1712"/>
      <c r="AB789" s="1712"/>
      <c r="AC789" s="1712"/>
      <c r="AD789" s="1712"/>
      <c r="AE789" s="1712"/>
      <c r="AF789" s="1712"/>
      <c r="AG789" s="1712"/>
      <c r="AH789" s="1712"/>
      <c r="AI789" s="1712"/>
      <c r="AJ789" s="1712"/>
      <c r="AK789" s="1712"/>
      <c r="AL789" s="1712"/>
      <c r="AM789" s="1712"/>
      <c r="AN789" s="1712"/>
      <c r="AO789" s="1712"/>
      <c r="AP789" s="1712"/>
      <c r="AQ789" s="1712"/>
      <c r="AR789" s="1712"/>
      <c r="AS789" s="1712"/>
      <c r="AT789" s="1712"/>
      <c r="AU789" s="1712"/>
    </row>
    <row r="790">
      <c r="A790" s="1474" t="s">
        <v>2461</v>
      </c>
      <c r="B790" s="1708"/>
      <c r="C790" s="1709"/>
      <c r="D790" s="1709"/>
      <c r="E790" s="1709"/>
      <c r="F790" s="1710"/>
      <c r="G790" s="1710"/>
      <c r="H790" s="1710"/>
      <c r="I790" s="1710"/>
      <c r="J790" s="1710"/>
      <c r="K790" s="1710"/>
      <c r="L790" s="1710"/>
      <c r="M790" s="1710"/>
      <c r="N790" s="1711"/>
      <c r="O790" s="1711"/>
      <c r="P790" s="1711"/>
      <c r="Q790" s="1711"/>
      <c r="R790" s="1711"/>
      <c r="S790" s="1711"/>
      <c r="T790" s="1711"/>
      <c r="U790" s="1711"/>
      <c r="V790" s="1711"/>
      <c r="W790" s="1711"/>
      <c r="X790" s="1711"/>
      <c r="Y790" s="1711"/>
      <c r="Z790" s="1711"/>
      <c r="AA790" s="1712"/>
      <c r="AB790" s="1712"/>
      <c r="AC790" s="1712"/>
      <c r="AD790" s="1712"/>
      <c r="AE790" s="1712"/>
      <c r="AF790" s="1712"/>
      <c r="AG790" s="1712"/>
      <c r="AH790" s="1712"/>
      <c r="AI790" s="1712"/>
      <c r="AJ790" s="1712"/>
      <c r="AK790" s="1712"/>
      <c r="AL790" s="1712"/>
      <c r="AM790" s="1712"/>
      <c r="AN790" s="1712"/>
      <c r="AO790" s="1712"/>
      <c r="AP790" s="1712"/>
      <c r="AQ790" s="1712"/>
      <c r="AR790" s="1712"/>
      <c r="AS790" s="1712"/>
      <c r="AT790" s="1712"/>
      <c r="AU790" s="1712"/>
    </row>
    <row r="791">
      <c r="A791" s="1474" t="s">
        <v>2461</v>
      </c>
      <c r="B791" s="1708"/>
      <c r="C791" s="1709"/>
      <c r="D791" s="1709"/>
      <c r="E791" s="1709"/>
      <c r="F791" s="1710"/>
      <c r="G791" s="1710"/>
      <c r="H791" s="1710"/>
      <c r="I791" s="1710"/>
      <c r="J791" s="1710"/>
      <c r="K791" s="1710"/>
      <c r="L791" s="1710"/>
      <c r="M791" s="1710"/>
      <c r="N791" s="1711"/>
      <c r="O791" s="1711"/>
      <c r="P791" s="1711"/>
      <c r="Q791" s="1711"/>
      <c r="R791" s="1711"/>
      <c r="S791" s="1711"/>
      <c r="T791" s="1711"/>
      <c r="U791" s="1711"/>
      <c r="V791" s="1711"/>
      <c r="W791" s="1711"/>
      <c r="X791" s="1711"/>
      <c r="Y791" s="1711"/>
      <c r="Z791" s="1711"/>
      <c r="AA791" s="1712"/>
      <c r="AB791" s="1712"/>
      <c r="AC791" s="1712"/>
      <c r="AD791" s="1712"/>
      <c r="AE791" s="1712"/>
      <c r="AF791" s="1712"/>
      <c r="AG791" s="1712"/>
      <c r="AH791" s="1712"/>
      <c r="AI791" s="1712"/>
      <c r="AJ791" s="1712"/>
      <c r="AK791" s="1712"/>
      <c r="AL791" s="1712"/>
      <c r="AM791" s="1712"/>
      <c r="AN791" s="1712"/>
      <c r="AO791" s="1712"/>
      <c r="AP791" s="1712"/>
      <c r="AQ791" s="1712"/>
      <c r="AR791" s="1712"/>
      <c r="AS791" s="1712"/>
      <c r="AT791" s="1712"/>
      <c r="AU791" s="1712"/>
    </row>
    <row r="792">
      <c r="A792" s="1474" t="s">
        <v>2461</v>
      </c>
      <c r="B792" s="1708"/>
      <c r="C792" s="1709"/>
      <c r="D792" s="1709"/>
      <c r="E792" s="1709"/>
      <c r="F792" s="1710"/>
      <c r="G792" s="1710"/>
      <c r="H792" s="1710"/>
      <c r="I792" s="1710"/>
      <c r="J792" s="1710"/>
      <c r="K792" s="1710"/>
      <c r="L792" s="1710"/>
      <c r="M792" s="1710"/>
      <c r="N792" s="1711"/>
      <c r="O792" s="1711"/>
      <c r="P792" s="1711"/>
      <c r="Q792" s="1711"/>
      <c r="R792" s="1711"/>
      <c r="S792" s="1711"/>
      <c r="T792" s="1711"/>
      <c r="U792" s="1711"/>
      <c r="V792" s="1711"/>
      <c r="W792" s="1711"/>
      <c r="X792" s="1711"/>
      <c r="Y792" s="1711"/>
      <c r="Z792" s="1711"/>
      <c r="AA792" s="1712"/>
      <c r="AB792" s="1712"/>
      <c r="AC792" s="1712"/>
      <c r="AD792" s="1712"/>
      <c r="AE792" s="1712"/>
      <c r="AF792" s="1712"/>
      <c r="AG792" s="1712"/>
      <c r="AH792" s="1712"/>
      <c r="AI792" s="1712"/>
      <c r="AJ792" s="1712"/>
      <c r="AK792" s="1712"/>
      <c r="AL792" s="1712"/>
      <c r="AM792" s="1712"/>
      <c r="AN792" s="1712"/>
      <c r="AO792" s="1712"/>
      <c r="AP792" s="1712"/>
      <c r="AQ792" s="1712"/>
      <c r="AR792" s="1712"/>
      <c r="AS792" s="1712"/>
      <c r="AT792" s="1712"/>
      <c r="AU792" s="1712"/>
    </row>
    <row r="793">
      <c r="A793" s="1474" t="s">
        <v>2461</v>
      </c>
      <c r="B793" s="1708"/>
      <c r="C793" s="1709"/>
      <c r="D793" s="1709"/>
      <c r="E793" s="1709"/>
      <c r="F793" s="1710"/>
      <c r="G793" s="1710"/>
      <c r="H793" s="1710"/>
      <c r="I793" s="1710"/>
      <c r="J793" s="1710"/>
      <c r="K793" s="1710"/>
      <c r="L793" s="1710"/>
      <c r="M793" s="1710"/>
      <c r="N793" s="1711"/>
      <c r="O793" s="1711"/>
      <c r="P793" s="1711"/>
      <c r="Q793" s="1711"/>
      <c r="R793" s="1711"/>
      <c r="S793" s="1711"/>
      <c r="T793" s="1711"/>
      <c r="U793" s="1711"/>
      <c r="V793" s="1711"/>
      <c r="W793" s="1711"/>
      <c r="X793" s="1711"/>
      <c r="Y793" s="1711"/>
      <c r="Z793" s="1711"/>
      <c r="AA793" s="1712"/>
      <c r="AB793" s="1712"/>
      <c r="AC793" s="1712"/>
      <c r="AD793" s="1712"/>
      <c r="AE793" s="1712"/>
      <c r="AF793" s="1712"/>
      <c r="AG793" s="1712"/>
      <c r="AH793" s="1712"/>
      <c r="AI793" s="1712"/>
      <c r="AJ793" s="1712"/>
      <c r="AK793" s="1712"/>
      <c r="AL793" s="1712"/>
      <c r="AM793" s="1712"/>
      <c r="AN793" s="1712"/>
      <c r="AO793" s="1712"/>
      <c r="AP793" s="1712"/>
      <c r="AQ793" s="1712"/>
      <c r="AR793" s="1712"/>
      <c r="AS793" s="1712"/>
      <c r="AT793" s="1712"/>
      <c r="AU793" s="1712"/>
    </row>
    <row r="794">
      <c r="A794" s="1474" t="s">
        <v>2461</v>
      </c>
      <c r="B794" s="1708"/>
      <c r="C794" s="1709"/>
      <c r="D794" s="1709"/>
      <c r="E794" s="1709"/>
      <c r="F794" s="1710"/>
      <c r="G794" s="1710"/>
      <c r="H794" s="1710"/>
      <c r="I794" s="1710"/>
      <c r="J794" s="1710"/>
      <c r="K794" s="1710"/>
      <c r="L794" s="1710"/>
      <c r="M794" s="1710"/>
      <c r="N794" s="1711"/>
      <c r="O794" s="1711"/>
      <c r="P794" s="1711"/>
      <c r="Q794" s="1711"/>
      <c r="R794" s="1711"/>
      <c r="S794" s="1711"/>
      <c r="T794" s="1711"/>
      <c r="U794" s="1711"/>
      <c r="V794" s="1711"/>
      <c r="W794" s="1711"/>
      <c r="X794" s="1711"/>
      <c r="Y794" s="1711"/>
      <c r="Z794" s="1711"/>
      <c r="AA794" s="1712"/>
      <c r="AB794" s="1712"/>
      <c r="AC794" s="1712"/>
      <c r="AD794" s="1712"/>
      <c r="AE794" s="1712"/>
      <c r="AF794" s="1712"/>
      <c r="AG794" s="1712"/>
      <c r="AH794" s="1712"/>
      <c r="AI794" s="1712"/>
      <c r="AJ794" s="1712"/>
      <c r="AK794" s="1712"/>
      <c r="AL794" s="1712"/>
      <c r="AM794" s="1712"/>
      <c r="AN794" s="1712"/>
      <c r="AO794" s="1712"/>
      <c r="AP794" s="1712"/>
      <c r="AQ794" s="1712"/>
      <c r="AR794" s="1712"/>
      <c r="AS794" s="1712"/>
      <c r="AT794" s="1712"/>
      <c r="AU794" s="1712"/>
    </row>
    <row r="795">
      <c r="A795" s="1474" t="s">
        <v>2461</v>
      </c>
      <c r="B795" s="1708"/>
      <c r="C795" s="1709"/>
      <c r="D795" s="1709"/>
      <c r="E795" s="1709"/>
      <c r="F795" s="1710"/>
      <c r="G795" s="1710"/>
      <c r="H795" s="1710"/>
      <c r="I795" s="1710"/>
      <c r="J795" s="1710"/>
      <c r="K795" s="1710"/>
      <c r="L795" s="1710"/>
      <c r="M795" s="1710"/>
      <c r="N795" s="1711"/>
      <c r="O795" s="1711"/>
      <c r="P795" s="1711"/>
      <c r="Q795" s="1711"/>
      <c r="R795" s="1711"/>
      <c r="S795" s="1711"/>
      <c r="T795" s="1711"/>
      <c r="U795" s="1711"/>
      <c r="V795" s="1711"/>
      <c r="W795" s="1711"/>
      <c r="X795" s="1711"/>
      <c r="Y795" s="1711"/>
      <c r="Z795" s="1711"/>
      <c r="AA795" s="1712"/>
      <c r="AB795" s="1712"/>
      <c r="AC795" s="1712"/>
      <c r="AD795" s="1712"/>
      <c r="AE795" s="1712"/>
      <c r="AF795" s="1712"/>
      <c r="AG795" s="1712"/>
      <c r="AH795" s="1712"/>
      <c r="AI795" s="1712"/>
      <c r="AJ795" s="1712"/>
      <c r="AK795" s="1712"/>
      <c r="AL795" s="1712"/>
      <c r="AM795" s="1712"/>
      <c r="AN795" s="1712"/>
      <c r="AO795" s="1712"/>
      <c r="AP795" s="1712"/>
      <c r="AQ795" s="1712"/>
      <c r="AR795" s="1712"/>
      <c r="AS795" s="1712"/>
      <c r="AT795" s="1712"/>
      <c r="AU795" s="1712"/>
    </row>
    <row r="796">
      <c r="A796" s="1474" t="s">
        <v>2461</v>
      </c>
      <c r="B796" s="1708"/>
      <c r="C796" s="1709"/>
      <c r="D796" s="1709"/>
      <c r="E796" s="1709"/>
      <c r="F796" s="1710"/>
      <c r="G796" s="1710"/>
      <c r="H796" s="1710"/>
      <c r="I796" s="1710"/>
      <c r="J796" s="1710"/>
      <c r="K796" s="1710"/>
      <c r="L796" s="1710"/>
      <c r="M796" s="1710"/>
      <c r="N796" s="1711"/>
      <c r="O796" s="1711"/>
      <c r="P796" s="1711"/>
      <c r="Q796" s="1711"/>
      <c r="R796" s="1711"/>
      <c r="S796" s="1711"/>
      <c r="T796" s="1711"/>
      <c r="U796" s="1711"/>
      <c r="V796" s="1711"/>
      <c r="W796" s="1711"/>
      <c r="X796" s="1711"/>
      <c r="Y796" s="1711"/>
      <c r="Z796" s="1711"/>
      <c r="AA796" s="1712"/>
      <c r="AB796" s="1712"/>
      <c r="AC796" s="1712"/>
      <c r="AD796" s="1712"/>
      <c r="AE796" s="1712"/>
      <c r="AF796" s="1712"/>
      <c r="AG796" s="1712"/>
      <c r="AH796" s="1712"/>
      <c r="AI796" s="1712"/>
      <c r="AJ796" s="1712"/>
      <c r="AK796" s="1712"/>
      <c r="AL796" s="1712"/>
      <c r="AM796" s="1712"/>
      <c r="AN796" s="1712"/>
      <c r="AO796" s="1712"/>
      <c r="AP796" s="1712"/>
      <c r="AQ796" s="1712"/>
      <c r="AR796" s="1712"/>
      <c r="AS796" s="1712"/>
      <c r="AT796" s="1712"/>
      <c r="AU796" s="1712"/>
    </row>
    <row r="797">
      <c r="A797" s="1474" t="s">
        <v>2461</v>
      </c>
      <c r="B797" s="1708"/>
      <c r="C797" s="1709"/>
      <c r="D797" s="1709"/>
      <c r="E797" s="1709"/>
      <c r="F797" s="1710"/>
      <c r="G797" s="1710"/>
      <c r="H797" s="1710"/>
      <c r="I797" s="1710"/>
      <c r="J797" s="1710"/>
      <c r="K797" s="1710"/>
      <c r="L797" s="1710"/>
      <c r="M797" s="1710"/>
      <c r="N797" s="1711"/>
      <c r="O797" s="1711"/>
      <c r="P797" s="1711"/>
      <c r="Q797" s="1711"/>
      <c r="R797" s="1711"/>
      <c r="S797" s="1711"/>
      <c r="T797" s="1711"/>
      <c r="U797" s="1711"/>
      <c r="V797" s="1711"/>
      <c r="W797" s="1711"/>
      <c r="X797" s="1711"/>
      <c r="Y797" s="1711"/>
      <c r="Z797" s="1711"/>
      <c r="AA797" s="1712"/>
      <c r="AB797" s="1712"/>
      <c r="AC797" s="1712"/>
      <c r="AD797" s="1712"/>
      <c r="AE797" s="1712"/>
      <c r="AF797" s="1712"/>
      <c r="AG797" s="1712"/>
      <c r="AH797" s="1712"/>
      <c r="AI797" s="1712"/>
      <c r="AJ797" s="1712"/>
      <c r="AK797" s="1712"/>
      <c r="AL797" s="1712"/>
      <c r="AM797" s="1712"/>
      <c r="AN797" s="1712"/>
      <c r="AO797" s="1712"/>
      <c r="AP797" s="1712"/>
      <c r="AQ797" s="1712"/>
      <c r="AR797" s="1712"/>
      <c r="AS797" s="1712"/>
      <c r="AT797" s="1712"/>
      <c r="AU797" s="1712"/>
    </row>
    <row r="798">
      <c r="A798" s="1474" t="s">
        <v>2461</v>
      </c>
      <c r="B798" s="1708"/>
      <c r="C798" s="1709"/>
      <c r="D798" s="1709"/>
      <c r="E798" s="1709"/>
      <c r="F798" s="1710"/>
      <c r="G798" s="1710"/>
      <c r="H798" s="1710"/>
      <c r="I798" s="1710"/>
      <c r="J798" s="1710"/>
      <c r="K798" s="1710"/>
      <c r="L798" s="1710"/>
      <c r="M798" s="1710"/>
      <c r="N798" s="1711"/>
      <c r="O798" s="1711"/>
      <c r="P798" s="1711"/>
      <c r="Q798" s="1711"/>
      <c r="R798" s="1711"/>
      <c r="S798" s="1711"/>
      <c r="T798" s="1711"/>
      <c r="U798" s="1711"/>
      <c r="V798" s="1711"/>
      <c r="W798" s="1711"/>
      <c r="X798" s="1711"/>
      <c r="Y798" s="1711"/>
      <c r="Z798" s="1711"/>
      <c r="AA798" s="1712"/>
      <c r="AB798" s="1712"/>
      <c r="AC798" s="1712"/>
      <c r="AD798" s="1712"/>
      <c r="AE798" s="1712"/>
      <c r="AF798" s="1712"/>
      <c r="AG798" s="1712"/>
      <c r="AH798" s="1712"/>
      <c r="AI798" s="1712"/>
      <c r="AJ798" s="1712"/>
      <c r="AK798" s="1712"/>
      <c r="AL798" s="1712"/>
      <c r="AM798" s="1712"/>
      <c r="AN798" s="1712"/>
      <c r="AO798" s="1712"/>
      <c r="AP798" s="1712"/>
      <c r="AQ798" s="1712"/>
      <c r="AR798" s="1712"/>
      <c r="AS798" s="1712"/>
      <c r="AT798" s="1712"/>
      <c r="AU798" s="1712"/>
    </row>
    <row r="799">
      <c r="A799" s="1474" t="s">
        <v>2461</v>
      </c>
      <c r="B799" s="1708"/>
      <c r="C799" s="1709"/>
      <c r="D799" s="1709"/>
      <c r="E799" s="1709"/>
      <c r="F799" s="1710"/>
      <c r="G799" s="1710"/>
      <c r="H799" s="1710"/>
      <c r="I799" s="1710"/>
      <c r="J799" s="1710"/>
      <c r="K799" s="1710"/>
      <c r="L799" s="1710"/>
      <c r="M799" s="1710"/>
      <c r="N799" s="1711"/>
      <c r="O799" s="1711"/>
      <c r="P799" s="1711"/>
      <c r="Q799" s="1711"/>
      <c r="R799" s="1711"/>
      <c r="S799" s="1711"/>
      <c r="T799" s="1711"/>
      <c r="U799" s="1711"/>
      <c r="V799" s="1711"/>
      <c r="W799" s="1711"/>
      <c r="X799" s="1711"/>
      <c r="Y799" s="1711"/>
      <c r="Z799" s="1711"/>
      <c r="AA799" s="1712"/>
      <c r="AB799" s="1712"/>
      <c r="AC799" s="1712"/>
      <c r="AD799" s="1712"/>
      <c r="AE799" s="1712"/>
      <c r="AF799" s="1712"/>
      <c r="AG799" s="1712"/>
      <c r="AH799" s="1712"/>
      <c r="AI799" s="1712"/>
      <c r="AJ799" s="1712"/>
      <c r="AK799" s="1712"/>
      <c r="AL799" s="1712"/>
      <c r="AM799" s="1712"/>
      <c r="AN799" s="1712"/>
      <c r="AO799" s="1712"/>
      <c r="AP799" s="1712"/>
      <c r="AQ799" s="1712"/>
      <c r="AR799" s="1712"/>
      <c r="AS799" s="1712"/>
      <c r="AT799" s="1712"/>
      <c r="AU799" s="1712"/>
    </row>
    <row r="800">
      <c r="A800" s="1474" t="s">
        <v>2461</v>
      </c>
      <c r="B800" s="1708"/>
      <c r="C800" s="1709"/>
      <c r="D800" s="1709"/>
      <c r="E800" s="1709"/>
      <c r="F800" s="1710"/>
      <c r="G800" s="1710"/>
      <c r="H800" s="1710"/>
      <c r="I800" s="1710"/>
      <c r="J800" s="1710"/>
      <c r="K800" s="1710"/>
      <c r="L800" s="1710"/>
      <c r="M800" s="1710"/>
      <c r="N800" s="1711"/>
      <c r="O800" s="1711"/>
      <c r="P800" s="1711"/>
      <c r="Q800" s="1711"/>
      <c r="R800" s="1711"/>
      <c r="S800" s="1711"/>
      <c r="T800" s="1711"/>
      <c r="U800" s="1711"/>
      <c r="V800" s="1711"/>
      <c r="W800" s="1711"/>
      <c r="X800" s="1711"/>
      <c r="Y800" s="1711"/>
      <c r="Z800" s="1711"/>
      <c r="AA800" s="1712"/>
      <c r="AB800" s="1712"/>
      <c r="AC800" s="1712"/>
      <c r="AD800" s="1712"/>
      <c r="AE800" s="1712"/>
      <c r="AF800" s="1712"/>
      <c r="AG800" s="1712"/>
      <c r="AH800" s="1712"/>
      <c r="AI800" s="1712"/>
      <c r="AJ800" s="1712"/>
      <c r="AK800" s="1712"/>
      <c r="AL800" s="1712"/>
      <c r="AM800" s="1712"/>
      <c r="AN800" s="1712"/>
      <c r="AO800" s="1712"/>
      <c r="AP800" s="1712"/>
      <c r="AQ800" s="1712"/>
      <c r="AR800" s="1712"/>
      <c r="AS800" s="1712"/>
      <c r="AT800" s="1712"/>
      <c r="AU800" s="1712"/>
    </row>
    <row r="801">
      <c r="A801" s="1474" t="s">
        <v>2461</v>
      </c>
      <c r="B801" s="1708"/>
      <c r="C801" s="1709"/>
      <c r="D801" s="1709"/>
      <c r="E801" s="1709"/>
      <c r="F801" s="1710"/>
      <c r="G801" s="1710"/>
      <c r="H801" s="1710"/>
      <c r="I801" s="1710"/>
      <c r="J801" s="1710"/>
      <c r="K801" s="1710"/>
      <c r="L801" s="1710"/>
      <c r="M801" s="1710"/>
      <c r="N801" s="1711"/>
      <c r="O801" s="1711"/>
      <c r="P801" s="1711"/>
      <c r="Q801" s="1711"/>
      <c r="R801" s="1711"/>
      <c r="S801" s="1711"/>
      <c r="T801" s="1711"/>
      <c r="U801" s="1711"/>
      <c r="V801" s="1711"/>
      <c r="W801" s="1711"/>
      <c r="X801" s="1711"/>
      <c r="Y801" s="1711"/>
      <c r="Z801" s="1711"/>
      <c r="AA801" s="1712"/>
      <c r="AB801" s="1712"/>
      <c r="AC801" s="1712"/>
      <c r="AD801" s="1712"/>
      <c r="AE801" s="1712"/>
      <c r="AF801" s="1712"/>
      <c r="AG801" s="1712"/>
      <c r="AH801" s="1712"/>
      <c r="AI801" s="1712"/>
      <c r="AJ801" s="1712"/>
      <c r="AK801" s="1712"/>
      <c r="AL801" s="1712"/>
      <c r="AM801" s="1712"/>
      <c r="AN801" s="1712"/>
      <c r="AO801" s="1712"/>
      <c r="AP801" s="1712"/>
      <c r="AQ801" s="1712"/>
      <c r="AR801" s="1712"/>
      <c r="AS801" s="1712"/>
      <c r="AT801" s="1712"/>
      <c r="AU801" s="1712"/>
    </row>
    <row r="802">
      <c r="A802" s="1474" t="s">
        <v>2461</v>
      </c>
      <c r="B802" s="1708"/>
      <c r="C802" s="1709"/>
      <c r="D802" s="1709"/>
      <c r="E802" s="1709"/>
      <c r="F802" s="1710"/>
      <c r="G802" s="1710"/>
      <c r="H802" s="1710"/>
      <c r="I802" s="1710"/>
      <c r="J802" s="1710"/>
      <c r="K802" s="1710"/>
      <c r="L802" s="1710"/>
      <c r="M802" s="1710"/>
      <c r="N802" s="1711"/>
      <c r="O802" s="1711"/>
      <c r="P802" s="1711"/>
      <c r="Q802" s="1711"/>
      <c r="R802" s="1711"/>
      <c r="S802" s="1711"/>
      <c r="T802" s="1711"/>
      <c r="U802" s="1711"/>
      <c r="V802" s="1711"/>
      <c r="W802" s="1711"/>
      <c r="X802" s="1711"/>
      <c r="Y802" s="1711"/>
      <c r="Z802" s="1711"/>
      <c r="AA802" s="1712"/>
      <c r="AB802" s="1712"/>
      <c r="AC802" s="1712"/>
      <c r="AD802" s="1712"/>
      <c r="AE802" s="1712"/>
      <c r="AF802" s="1712"/>
      <c r="AG802" s="1712"/>
      <c r="AH802" s="1712"/>
      <c r="AI802" s="1712"/>
      <c r="AJ802" s="1712"/>
      <c r="AK802" s="1712"/>
      <c r="AL802" s="1712"/>
      <c r="AM802" s="1712"/>
      <c r="AN802" s="1712"/>
      <c r="AO802" s="1712"/>
      <c r="AP802" s="1712"/>
      <c r="AQ802" s="1712"/>
      <c r="AR802" s="1712"/>
      <c r="AS802" s="1712"/>
      <c r="AT802" s="1712"/>
      <c r="AU802" s="1712"/>
    </row>
    <row r="803">
      <c r="A803" s="1474" t="s">
        <v>2461</v>
      </c>
      <c r="B803" s="1708"/>
      <c r="C803" s="1709"/>
      <c r="D803" s="1709"/>
      <c r="E803" s="1709"/>
      <c r="F803" s="1710"/>
      <c r="G803" s="1710"/>
      <c r="H803" s="1710"/>
      <c r="I803" s="1710"/>
      <c r="J803" s="1710"/>
      <c r="K803" s="1710"/>
      <c r="L803" s="1710"/>
      <c r="M803" s="1710"/>
      <c r="N803" s="1711"/>
      <c r="O803" s="1711"/>
      <c r="P803" s="1711"/>
      <c r="Q803" s="1711"/>
      <c r="R803" s="1711"/>
      <c r="S803" s="1711"/>
      <c r="T803" s="1711"/>
      <c r="U803" s="1711"/>
      <c r="V803" s="1711"/>
      <c r="W803" s="1711"/>
      <c r="X803" s="1711"/>
      <c r="Y803" s="1711"/>
      <c r="Z803" s="1711"/>
      <c r="AA803" s="1712"/>
      <c r="AB803" s="1712"/>
      <c r="AC803" s="1712"/>
      <c r="AD803" s="1712"/>
      <c r="AE803" s="1712"/>
      <c r="AF803" s="1712"/>
      <c r="AG803" s="1712"/>
      <c r="AH803" s="1712"/>
      <c r="AI803" s="1712"/>
      <c r="AJ803" s="1712"/>
      <c r="AK803" s="1712"/>
      <c r="AL803" s="1712"/>
      <c r="AM803" s="1712"/>
      <c r="AN803" s="1712"/>
      <c r="AO803" s="1712"/>
      <c r="AP803" s="1712"/>
      <c r="AQ803" s="1712"/>
      <c r="AR803" s="1712"/>
      <c r="AS803" s="1712"/>
      <c r="AT803" s="1712"/>
      <c r="AU803" s="1712"/>
    </row>
    <row r="804">
      <c r="A804" s="1474" t="s">
        <v>2461</v>
      </c>
      <c r="B804" s="1708"/>
      <c r="C804" s="1709"/>
      <c r="D804" s="1709"/>
      <c r="E804" s="1709"/>
      <c r="F804" s="1710"/>
      <c r="G804" s="1710"/>
      <c r="H804" s="1710"/>
      <c r="I804" s="1710"/>
      <c r="J804" s="1710"/>
      <c r="K804" s="1710"/>
      <c r="L804" s="1710"/>
      <c r="M804" s="1710"/>
      <c r="N804" s="1711"/>
      <c r="O804" s="1711"/>
      <c r="P804" s="1711"/>
      <c r="Q804" s="1711"/>
      <c r="R804" s="1711"/>
      <c r="S804" s="1711"/>
      <c r="T804" s="1711"/>
      <c r="U804" s="1711"/>
      <c r="V804" s="1711"/>
      <c r="W804" s="1711"/>
      <c r="X804" s="1711"/>
      <c r="Y804" s="1711"/>
      <c r="Z804" s="1711"/>
      <c r="AA804" s="1712"/>
      <c r="AB804" s="1712"/>
      <c r="AC804" s="1712"/>
      <c r="AD804" s="1712"/>
      <c r="AE804" s="1712"/>
      <c r="AF804" s="1712"/>
      <c r="AG804" s="1712"/>
      <c r="AH804" s="1712"/>
      <c r="AI804" s="1712"/>
      <c r="AJ804" s="1712"/>
      <c r="AK804" s="1712"/>
      <c r="AL804" s="1712"/>
      <c r="AM804" s="1712"/>
      <c r="AN804" s="1712"/>
      <c r="AO804" s="1712"/>
      <c r="AP804" s="1712"/>
      <c r="AQ804" s="1712"/>
      <c r="AR804" s="1712"/>
      <c r="AS804" s="1712"/>
      <c r="AT804" s="1712"/>
      <c r="AU804" s="1712"/>
    </row>
    <row r="805">
      <c r="A805" s="1474" t="s">
        <v>2461</v>
      </c>
      <c r="B805" s="1708"/>
      <c r="C805" s="1709"/>
      <c r="D805" s="1709"/>
      <c r="E805" s="1709"/>
      <c r="F805" s="1710"/>
      <c r="G805" s="1710"/>
      <c r="H805" s="1710"/>
      <c r="I805" s="1710"/>
      <c r="J805" s="1710"/>
      <c r="K805" s="1710"/>
      <c r="L805" s="1710"/>
      <c r="M805" s="1710"/>
      <c r="N805" s="1711"/>
      <c r="O805" s="1711"/>
      <c r="P805" s="1711"/>
      <c r="Q805" s="1711"/>
      <c r="R805" s="1711"/>
      <c r="S805" s="1711"/>
      <c r="T805" s="1711"/>
      <c r="U805" s="1711"/>
      <c r="V805" s="1711"/>
      <c r="W805" s="1711"/>
      <c r="X805" s="1711"/>
      <c r="Y805" s="1711"/>
      <c r="Z805" s="1711"/>
      <c r="AA805" s="1712"/>
      <c r="AB805" s="1712"/>
      <c r="AC805" s="1712"/>
      <c r="AD805" s="1712"/>
      <c r="AE805" s="1712"/>
      <c r="AF805" s="1712"/>
      <c r="AG805" s="1712"/>
      <c r="AH805" s="1712"/>
      <c r="AI805" s="1712"/>
      <c r="AJ805" s="1712"/>
      <c r="AK805" s="1712"/>
      <c r="AL805" s="1712"/>
      <c r="AM805" s="1712"/>
      <c r="AN805" s="1712"/>
      <c r="AO805" s="1712"/>
      <c r="AP805" s="1712"/>
      <c r="AQ805" s="1712"/>
      <c r="AR805" s="1712"/>
      <c r="AS805" s="1712"/>
      <c r="AT805" s="1712"/>
      <c r="AU805" s="1712"/>
    </row>
    <row r="806">
      <c r="A806" s="1474" t="s">
        <v>2461</v>
      </c>
      <c r="B806" s="1708"/>
      <c r="C806" s="1709"/>
      <c r="D806" s="1709"/>
      <c r="E806" s="1709"/>
      <c r="F806" s="1710"/>
      <c r="G806" s="1710"/>
      <c r="H806" s="1710"/>
      <c r="I806" s="1710"/>
      <c r="J806" s="1710"/>
      <c r="K806" s="1710"/>
      <c r="L806" s="1710"/>
      <c r="M806" s="1710"/>
      <c r="N806" s="1711"/>
      <c r="O806" s="1711"/>
      <c r="P806" s="1711"/>
      <c r="Q806" s="1711"/>
      <c r="R806" s="1711"/>
      <c r="S806" s="1711"/>
      <c r="T806" s="1711"/>
      <c r="U806" s="1711"/>
      <c r="V806" s="1711"/>
      <c r="W806" s="1711"/>
      <c r="X806" s="1711"/>
      <c r="Y806" s="1711"/>
      <c r="Z806" s="1711"/>
      <c r="AA806" s="1712"/>
      <c r="AB806" s="1712"/>
      <c r="AC806" s="1712"/>
      <c r="AD806" s="1712"/>
      <c r="AE806" s="1712"/>
      <c r="AF806" s="1712"/>
      <c r="AG806" s="1712"/>
      <c r="AH806" s="1712"/>
      <c r="AI806" s="1712"/>
      <c r="AJ806" s="1712"/>
      <c r="AK806" s="1712"/>
      <c r="AL806" s="1712"/>
      <c r="AM806" s="1712"/>
      <c r="AN806" s="1712"/>
      <c r="AO806" s="1712"/>
      <c r="AP806" s="1712"/>
      <c r="AQ806" s="1712"/>
      <c r="AR806" s="1712"/>
      <c r="AS806" s="1712"/>
      <c r="AT806" s="1712"/>
      <c r="AU806" s="1712"/>
    </row>
    <row r="807">
      <c r="A807" s="1474" t="s">
        <v>2461</v>
      </c>
      <c r="B807" s="1708"/>
      <c r="C807" s="1709"/>
      <c r="D807" s="1709"/>
      <c r="E807" s="1709"/>
      <c r="F807" s="1710"/>
      <c r="G807" s="1710"/>
      <c r="H807" s="1710"/>
      <c r="I807" s="1710"/>
      <c r="J807" s="1710"/>
      <c r="K807" s="1710"/>
      <c r="L807" s="1710"/>
      <c r="M807" s="1710"/>
      <c r="N807" s="1711"/>
      <c r="O807" s="1711"/>
      <c r="P807" s="1711"/>
      <c r="Q807" s="1711"/>
      <c r="R807" s="1711"/>
      <c r="S807" s="1711"/>
      <c r="T807" s="1711"/>
      <c r="U807" s="1711"/>
      <c r="V807" s="1711"/>
      <c r="W807" s="1711"/>
      <c r="X807" s="1711"/>
      <c r="Y807" s="1711"/>
      <c r="Z807" s="1711"/>
      <c r="AA807" s="1712"/>
      <c r="AB807" s="1712"/>
      <c r="AC807" s="1712"/>
      <c r="AD807" s="1712"/>
      <c r="AE807" s="1712"/>
      <c r="AF807" s="1712"/>
      <c r="AG807" s="1712"/>
      <c r="AH807" s="1712"/>
      <c r="AI807" s="1712"/>
      <c r="AJ807" s="1712"/>
      <c r="AK807" s="1712"/>
      <c r="AL807" s="1712"/>
      <c r="AM807" s="1712"/>
      <c r="AN807" s="1712"/>
      <c r="AO807" s="1712"/>
      <c r="AP807" s="1712"/>
      <c r="AQ807" s="1712"/>
      <c r="AR807" s="1712"/>
      <c r="AS807" s="1712"/>
      <c r="AT807" s="1712"/>
      <c r="AU807" s="1712"/>
    </row>
    <row r="808">
      <c r="A808" s="1474" t="s">
        <v>2461</v>
      </c>
      <c r="B808" s="1708"/>
      <c r="C808" s="1709"/>
      <c r="D808" s="1709"/>
      <c r="E808" s="1709"/>
      <c r="F808" s="1710"/>
      <c r="G808" s="1710"/>
      <c r="H808" s="1710"/>
      <c r="I808" s="1710"/>
      <c r="J808" s="1710"/>
      <c r="K808" s="1710"/>
      <c r="L808" s="1710"/>
      <c r="M808" s="1710"/>
      <c r="N808" s="1711"/>
      <c r="O808" s="1711"/>
      <c r="P808" s="1711"/>
      <c r="Q808" s="1711"/>
      <c r="R808" s="1711"/>
      <c r="S808" s="1711"/>
      <c r="T808" s="1711"/>
      <c r="U808" s="1711"/>
      <c r="V808" s="1711"/>
      <c r="W808" s="1711"/>
      <c r="X808" s="1711"/>
      <c r="Y808" s="1711"/>
      <c r="Z808" s="1711"/>
      <c r="AA808" s="1712"/>
      <c r="AB808" s="1712"/>
      <c r="AC808" s="1712"/>
      <c r="AD808" s="1712"/>
      <c r="AE808" s="1712"/>
      <c r="AF808" s="1712"/>
      <c r="AG808" s="1712"/>
      <c r="AH808" s="1712"/>
      <c r="AI808" s="1712"/>
      <c r="AJ808" s="1712"/>
      <c r="AK808" s="1712"/>
      <c r="AL808" s="1712"/>
      <c r="AM808" s="1712"/>
      <c r="AN808" s="1712"/>
      <c r="AO808" s="1712"/>
      <c r="AP808" s="1712"/>
      <c r="AQ808" s="1712"/>
      <c r="AR808" s="1712"/>
      <c r="AS808" s="1712"/>
      <c r="AT808" s="1712"/>
      <c r="AU808" s="1712"/>
    </row>
    <row r="809">
      <c r="A809" s="1474" t="s">
        <v>2461</v>
      </c>
      <c r="B809" s="1708"/>
      <c r="C809" s="1709"/>
      <c r="D809" s="1709"/>
      <c r="E809" s="1709"/>
      <c r="F809" s="1710"/>
      <c r="G809" s="1710"/>
      <c r="H809" s="1710"/>
      <c r="I809" s="1710"/>
      <c r="J809" s="1710"/>
      <c r="K809" s="1710"/>
      <c r="L809" s="1710"/>
      <c r="M809" s="1710"/>
      <c r="N809" s="1711"/>
      <c r="O809" s="1711"/>
      <c r="P809" s="1711"/>
      <c r="Q809" s="1711"/>
      <c r="R809" s="1711"/>
      <c r="S809" s="1711"/>
      <c r="T809" s="1711"/>
      <c r="U809" s="1711"/>
      <c r="V809" s="1711"/>
      <c r="W809" s="1711"/>
      <c r="X809" s="1711"/>
      <c r="Y809" s="1711"/>
      <c r="Z809" s="1711"/>
      <c r="AA809" s="1712"/>
      <c r="AB809" s="1712"/>
      <c r="AC809" s="1712"/>
      <c r="AD809" s="1712"/>
      <c r="AE809" s="1712"/>
      <c r="AF809" s="1712"/>
      <c r="AG809" s="1712"/>
      <c r="AH809" s="1712"/>
      <c r="AI809" s="1712"/>
      <c r="AJ809" s="1712"/>
      <c r="AK809" s="1712"/>
      <c r="AL809" s="1712"/>
      <c r="AM809" s="1712"/>
      <c r="AN809" s="1712"/>
      <c r="AO809" s="1712"/>
      <c r="AP809" s="1712"/>
      <c r="AQ809" s="1712"/>
      <c r="AR809" s="1712"/>
      <c r="AS809" s="1712"/>
      <c r="AT809" s="1712"/>
      <c r="AU809" s="1712"/>
    </row>
    <row r="810">
      <c r="A810" s="1474" t="s">
        <v>2461</v>
      </c>
      <c r="B810" s="1708"/>
      <c r="C810" s="1709"/>
      <c r="D810" s="1709"/>
      <c r="E810" s="1709"/>
      <c r="F810" s="1710"/>
      <c r="G810" s="1710"/>
      <c r="H810" s="1710"/>
      <c r="I810" s="1710"/>
      <c r="J810" s="1710"/>
      <c r="K810" s="1710"/>
      <c r="L810" s="1710"/>
      <c r="M810" s="1710"/>
      <c r="N810" s="1711"/>
      <c r="O810" s="1711"/>
      <c r="P810" s="1711"/>
      <c r="Q810" s="1711"/>
      <c r="R810" s="1711"/>
      <c r="S810" s="1711"/>
      <c r="T810" s="1711"/>
      <c r="U810" s="1711"/>
      <c r="V810" s="1711"/>
      <c r="W810" s="1711"/>
      <c r="X810" s="1711"/>
      <c r="Y810" s="1711"/>
      <c r="Z810" s="1711"/>
      <c r="AA810" s="1712"/>
      <c r="AB810" s="1712"/>
      <c r="AC810" s="1712"/>
      <c r="AD810" s="1712"/>
      <c r="AE810" s="1712"/>
      <c r="AF810" s="1712"/>
      <c r="AG810" s="1712"/>
      <c r="AH810" s="1712"/>
      <c r="AI810" s="1712"/>
      <c r="AJ810" s="1712"/>
      <c r="AK810" s="1712"/>
      <c r="AL810" s="1712"/>
      <c r="AM810" s="1712"/>
      <c r="AN810" s="1712"/>
      <c r="AO810" s="1712"/>
      <c r="AP810" s="1712"/>
      <c r="AQ810" s="1712"/>
      <c r="AR810" s="1712"/>
      <c r="AS810" s="1712"/>
      <c r="AT810" s="1712"/>
      <c r="AU810" s="1712"/>
    </row>
    <row r="811">
      <c r="A811" s="1474" t="s">
        <v>2461</v>
      </c>
      <c r="B811" s="1708"/>
      <c r="C811" s="1709"/>
      <c r="D811" s="1709"/>
      <c r="E811" s="1709"/>
      <c r="F811" s="1710"/>
      <c r="G811" s="1710"/>
      <c r="H811" s="1710"/>
      <c r="I811" s="1710"/>
      <c r="J811" s="1710"/>
      <c r="K811" s="1710"/>
      <c r="L811" s="1710"/>
      <c r="M811" s="1710"/>
      <c r="N811" s="1711"/>
      <c r="O811" s="1711"/>
      <c r="P811" s="1711"/>
      <c r="Q811" s="1711"/>
      <c r="R811" s="1711"/>
      <c r="S811" s="1711"/>
      <c r="T811" s="1711"/>
      <c r="U811" s="1711"/>
      <c r="V811" s="1711"/>
      <c r="W811" s="1711"/>
      <c r="X811" s="1711"/>
      <c r="Y811" s="1711"/>
      <c r="Z811" s="1711"/>
      <c r="AA811" s="1712"/>
      <c r="AB811" s="1712"/>
      <c r="AC811" s="1712"/>
      <c r="AD811" s="1712"/>
      <c r="AE811" s="1712"/>
      <c r="AF811" s="1712"/>
      <c r="AG811" s="1712"/>
      <c r="AH811" s="1712"/>
      <c r="AI811" s="1712"/>
      <c r="AJ811" s="1712"/>
      <c r="AK811" s="1712"/>
      <c r="AL811" s="1712"/>
      <c r="AM811" s="1712"/>
      <c r="AN811" s="1712"/>
      <c r="AO811" s="1712"/>
      <c r="AP811" s="1712"/>
      <c r="AQ811" s="1712"/>
      <c r="AR811" s="1712"/>
      <c r="AS811" s="1712"/>
      <c r="AT811" s="1712"/>
      <c r="AU811" s="1712"/>
    </row>
    <row r="812">
      <c r="A812" s="1474" t="s">
        <v>2461</v>
      </c>
      <c r="B812" s="1708"/>
      <c r="C812" s="1709"/>
      <c r="D812" s="1709"/>
      <c r="E812" s="1709"/>
      <c r="F812" s="1710"/>
      <c r="G812" s="1710"/>
      <c r="H812" s="1710"/>
      <c r="I812" s="1710"/>
      <c r="J812" s="1710"/>
      <c r="K812" s="1710"/>
      <c r="L812" s="1710"/>
      <c r="M812" s="1710"/>
      <c r="N812" s="1711"/>
      <c r="O812" s="1711"/>
      <c r="P812" s="1711"/>
      <c r="Q812" s="1711"/>
      <c r="R812" s="1711"/>
      <c r="S812" s="1711"/>
      <c r="T812" s="1711"/>
      <c r="U812" s="1711"/>
      <c r="V812" s="1711"/>
      <c r="W812" s="1711"/>
      <c r="X812" s="1711"/>
      <c r="Y812" s="1711"/>
      <c r="Z812" s="1711"/>
      <c r="AA812" s="1712"/>
      <c r="AB812" s="1712"/>
      <c r="AC812" s="1712"/>
      <c r="AD812" s="1712"/>
      <c r="AE812" s="1712"/>
      <c r="AF812" s="1712"/>
      <c r="AG812" s="1712"/>
      <c r="AH812" s="1712"/>
      <c r="AI812" s="1712"/>
      <c r="AJ812" s="1712"/>
      <c r="AK812" s="1712"/>
      <c r="AL812" s="1712"/>
      <c r="AM812" s="1712"/>
      <c r="AN812" s="1712"/>
      <c r="AO812" s="1712"/>
      <c r="AP812" s="1712"/>
      <c r="AQ812" s="1712"/>
      <c r="AR812" s="1712"/>
      <c r="AS812" s="1712"/>
      <c r="AT812" s="1712"/>
      <c r="AU812" s="1712"/>
    </row>
    <row r="813">
      <c r="A813" s="1474" t="s">
        <v>2461</v>
      </c>
      <c r="B813" s="1708"/>
      <c r="C813" s="1709"/>
      <c r="D813" s="1709"/>
      <c r="E813" s="1709"/>
      <c r="F813" s="1710"/>
      <c r="G813" s="1710"/>
      <c r="H813" s="1710"/>
      <c r="I813" s="1710"/>
      <c r="J813" s="1710"/>
      <c r="K813" s="1710"/>
      <c r="L813" s="1710"/>
      <c r="M813" s="1710"/>
      <c r="N813" s="1711"/>
      <c r="O813" s="1711"/>
      <c r="P813" s="1711"/>
      <c r="Q813" s="1711"/>
      <c r="R813" s="1711"/>
      <c r="S813" s="1711"/>
      <c r="T813" s="1711"/>
      <c r="U813" s="1711"/>
      <c r="V813" s="1711"/>
      <c r="W813" s="1711"/>
      <c r="X813" s="1711"/>
      <c r="Y813" s="1711"/>
      <c r="Z813" s="1711"/>
      <c r="AA813" s="1712"/>
      <c r="AB813" s="1712"/>
      <c r="AC813" s="1712"/>
      <c r="AD813" s="1712"/>
      <c r="AE813" s="1712"/>
      <c r="AF813" s="1712"/>
      <c r="AG813" s="1712"/>
      <c r="AH813" s="1712"/>
      <c r="AI813" s="1712"/>
      <c r="AJ813" s="1712"/>
      <c r="AK813" s="1712"/>
      <c r="AL813" s="1712"/>
      <c r="AM813" s="1712"/>
      <c r="AN813" s="1712"/>
      <c r="AO813" s="1712"/>
      <c r="AP813" s="1712"/>
      <c r="AQ813" s="1712"/>
      <c r="AR813" s="1712"/>
      <c r="AS813" s="1712"/>
      <c r="AT813" s="1712"/>
      <c r="AU813" s="1712"/>
    </row>
    <row r="814">
      <c r="A814" s="1474" t="s">
        <v>2461</v>
      </c>
      <c r="B814" s="1708"/>
      <c r="C814" s="1709"/>
      <c r="D814" s="1709"/>
      <c r="E814" s="1709"/>
      <c r="F814" s="1710"/>
      <c r="G814" s="1710"/>
      <c r="H814" s="1710"/>
      <c r="I814" s="1710"/>
      <c r="J814" s="1710"/>
      <c r="K814" s="1710"/>
      <c r="L814" s="1710"/>
      <c r="M814" s="1710"/>
      <c r="N814" s="1711"/>
      <c r="O814" s="1711"/>
      <c r="P814" s="1711"/>
      <c r="Q814" s="1711"/>
      <c r="R814" s="1711"/>
      <c r="S814" s="1711"/>
      <c r="T814" s="1711"/>
      <c r="U814" s="1711"/>
      <c r="V814" s="1711"/>
      <c r="W814" s="1711"/>
      <c r="X814" s="1711"/>
      <c r="Y814" s="1711"/>
      <c r="Z814" s="1711"/>
      <c r="AA814" s="1712"/>
      <c r="AB814" s="1712"/>
      <c r="AC814" s="1712"/>
      <c r="AD814" s="1712"/>
      <c r="AE814" s="1712"/>
      <c r="AF814" s="1712"/>
      <c r="AG814" s="1712"/>
      <c r="AH814" s="1712"/>
      <c r="AI814" s="1712"/>
      <c r="AJ814" s="1712"/>
      <c r="AK814" s="1712"/>
      <c r="AL814" s="1712"/>
      <c r="AM814" s="1712"/>
      <c r="AN814" s="1712"/>
      <c r="AO814" s="1712"/>
      <c r="AP814" s="1712"/>
      <c r="AQ814" s="1712"/>
      <c r="AR814" s="1712"/>
      <c r="AS814" s="1712"/>
      <c r="AT814" s="1712"/>
      <c r="AU814" s="1712"/>
    </row>
    <row r="815">
      <c r="A815" s="1474" t="s">
        <v>2461</v>
      </c>
      <c r="B815" s="1708"/>
      <c r="C815" s="1709"/>
      <c r="D815" s="1709"/>
      <c r="E815" s="1709"/>
      <c r="F815" s="1710"/>
      <c r="G815" s="1710"/>
      <c r="H815" s="1710"/>
      <c r="I815" s="1710"/>
      <c r="J815" s="1710"/>
      <c r="K815" s="1710"/>
      <c r="L815" s="1710"/>
      <c r="M815" s="1710"/>
      <c r="N815" s="1711"/>
      <c r="O815" s="1711"/>
      <c r="P815" s="1711"/>
      <c r="Q815" s="1711"/>
      <c r="R815" s="1711"/>
      <c r="S815" s="1711"/>
      <c r="T815" s="1711"/>
      <c r="U815" s="1711"/>
      <c r="V815" s="1711"/>
      <c r="W815" s="1711"/>
      <c r="X815" s="1711"/>
      <c r="Y815" s="1711"/>
      <c r="Z815" s="1711"/>
      <c r="AA815" s="1712"/>
      <c r="AB815" s="1712"/>
      <c r="AC815" s="1712"/>
      <c r="AD815" s="1712"/>
      <c r="AE815" s="1712"/>
      <c r="AF815" s="1712"/>
      <c r="AG815" s="1712"/>
      <c r="AH815" s="1712"/>
      <c r="AI815" s="1712"/>
      <c r="AJ815" s="1712"/>
      <c r="AK815" s="1712"/>
      <c r="AL815" s="1712"/>
      <c r="AM815" s="1712"/>
      <c r="AN815" s="1712"/>
      <c r="AO815" s="1712"/>
      <c r="AP815" s="1712"/>
      <c r="AQ815" s="1712"/>
      <c r="AR815" s="1712"/>
      <c r="AS815" s="1712"/>
      <c r="AT815" s="1712"/>
      <c r="AU815" s="1712"/>
    </row>
    <row r="816">
      <c r="A816" s="1474" t="s">
        <v>2461</v>
      </c>
      <c r="B816" s="1708"/>
      <c r="C816" s="1709"/>
      <c r="D816" s="1709"/>
      <c r="E816" s="1709"/>
      <c r="F816" s="1710"/>
      <c r="G816" s="1710"/>
      <c r="H816" s="1710"/>
      <c r="I816" s="1710"/>
      <c r="J816" s="1710"/>
      <c r="K816" s="1710"/>
      <c r="L816" s="1710"/>
      <c r="M816" s="1710"/>
      <c r="N816" s="1711"/>
      <c r="O816" s="1711"/>
      <c r="P816" s="1711"/>
      <c r="Q816" s="1711"/>
      <c r="R816" s="1711"/>
      <c r="S816" s="1711"/>
      <c r="T816" s="1711"/>
      <c r="U816" s="1711"/>
      <c r="V816" s="1711"/>
      <c r="W816" s="1711"/>
      <c r="X816" s="1711"/>
      <c r="Y816" s="1711"/>
      <c r="Z816" s="1711"/>
      <c r="AA816" s="1712"/>
      <c r="AB816" s="1712"/>
      <c r="AC816" s="1712"/>
      <c r="AD816" s="1712"/>
      <c r="AE816" s="1712"/>
      <c r="AF816" s="1712"/>
      <c r="AG816" s="1712"/>
      <c r="AH816" s="1712"/>
      <c r="AI816" s="1712"/>
      <c r="AJ816" s="1712"/>
      <c r="AK816" s="1712"/>
      <c r="AL816" s="1712"/>
      <c r="AM816" s="1712"/>
      <c r="AN816" s="1712"/>
      <c r="AO816" s="1712"/>
      <c r="AP816" s="1712"/>
      <c r="AQ816" s="1712"/>
      <c r="AR816" s="1712"/>
      <c r="AS816" s="1712"/>
      <c r="AT816" s="1712"/>
      <c r="AU816" s="1712"/>
    </row>
    <row r="817">
      <c r="A817" s="1474" t="s">
        <v>2461</v>
      </c>
      <c r="B817" s="1708"/>
      <c r="C817" s="1709"/>
      <c r="D817" s="1709"/>
      <c r="E817" s="1709"/>
      <c r="F817" s="1710"/>
      <c r="G817" s="1710"/>
      <c r="H817" s="1710"/>
      <c r="I817" s="1710"/>
      <c r="J817" s="1710"/>
      <c r="K817" s="1710"/>
      <c r="L817" s="1710"/>
      <c r="M817" s="1710"/>
      <c r="N817" s="1711"/>
      <c r="O817" s="1711"/>
      <c r="P817" s="1711"/>
      <c r="Q817" s="1711"/>
      <c r="R817" s="1711"/>
      <c r="S817" s="1711"/>
      <c r="T817" s="1711"/>
      <c r="U817" s="1711"/>
      <c r="V817" s="1711"/>
      <c r="W817" s="1711"/>
      <c r="X817" s="1711"/>
      <c r="Y817" s="1711"/>
      <c r="Z817" s="1711"/>
      <c r="AA817" s="1712"/>
      <c r="AB817" s="1712"/>
      <c r="AC817" s="1712"/>
      <c r="AD817" s="1712"/>
      <c r="AE817" s="1712"/>
      <c r="AF817" s="1712"/>
      <c r="AG817" s="1712"/>
      <c r="AH817" s="1712"/>
      <c r="AI817" s="1712"/>
      <c r="AJ817" s="1712"/>
      <c r="AK817" s="1712"/>
      <c r="AL817" s="1712"/>
      <c r="AM817" s="1712"/>
      <c r="AN817" s="1712"/>
      <c r="AO817" s="1712"/>
      <c r="AP817" s="1712"/>
      <c r="AQ817" s="1712"/>
      <c r="AR817" s="1712"/>
      <c r="AS817" s="1712"/>
      <c r="AT817" s="1712"/>
      <c r="AU817" s="1712"/>
    </row>
    <row r="818">
      <c r="A818" s="1474" t="s">
        <v>2461</v>
      </c>
      <c r="B818" s="1708"/>
      <c r="C818" s="1709"/>
      <c r="D818" s="1709"/>
      <c r="E818" s="1709"/>
      <c r="F818" s="1710"/>
      <c r="G818" s="1710"/>
      <c r="H818" s="1710"/>
      <c r="I818" s="1710"/>
      <c r="J818" s="1710"/>
      <c r="K818" s="1710"/>
      <c r="L818" s="1710"/>
      <c r="M818" s="1710"/>
      <c r="N818" s="1711"/>
      <c r="O818" s="1711"/>
      <c r="P818" s="1711"/>
      <c r="Q818" s="1711"/>
      <c r="R818" s="1711"/>
      <c r="S818" s="1711"/>
      <c r="T818" s="1711"/>
      <c r="U818" s="1711"/>
      <c r="V818" s="1711"/>
      <c r="W818" s="1711"/>
      <c r="X818" s="1711"/>
      <c r="Y818" s="1711"/>
      <c r="Z818" s="1711"/>
      <c r="AA818" s="1712"/>
      <c r="AB818" s="1712"/>
      <c r="AC818" s="1712"/>
      <c r="AD818" s="1712"/>
      <c r="AE818" s="1712"/>
      <c r="AF818" s="1712"/>
      <c r="AG818" s="1712"/>
      <c r="AH818" s="1712"/>
      <c r="AI818" s="1712"/>
      <c r="AJ818" s="1712"/>
      <c r="AK818" s="1712"/>
      <c r="AL818" s="1712"/>
      <c r="AM818" s="1712"/>
      <c r="AN818" s="1712"/>
      <c r="AO818" s="1712"/>
      <c r="AP818" s="1712"/>
      <c r="AQ818" s="1712"/>
      <c r="AR818" s="1712"/>
      <c r="AS818" s="1712"/>
      <c r="AT818" s="1712"/>
      <c r="AU818" s="1712"/>
    </row>
    <row r="819">
      <c r="A819" s="1474" t="s">
        <v>2461</v>
      </c>
      <c r="B819" s="1708"/>
      <c r="C819" s="1709"/>
      <c r="D819" s="1709"/>
      <c r="E819" s="1709"/>
      <c r="F819" s="1710"/>
      <c r="G819" s="1710"/>
      <c r="H819" s="1710"/>
      <c r="I819" s="1710"/>
      <c r="J819" s="1710"/>
      <c r="K819" s="1710"/>
      <c r="L819" s="1710"/>
      <c r="M819" s="1710"/>
      <c r="N819" s="1711"/>
      <c r="O819" s="1711"/>
      <c r="P819" s="1711"/>
      <c r="Q819" s="1711"/>
      <c r="R819" s="1711"/>
      <c r="S819" s="1711"/>
      <c r="T819" s="1711"/>
      <c r="U819" s="1711"/>
      <c r="V819" s="1711"/>
      <c r="W819" s="1711"/>
      <c r="X819" s="1711"/>
      <c r="Y819" s="1711"/>
      <c r="Z819" s="1711"/>
      <c r="AA819" s="1712"/>
      <c r="AB819" s="1712"/>
      <c r="AC819" s="1712"/>
      <c r="AD819" s="1712"/>
      <c r="AE819" s="1712"/>
      <c r="AF819" s="1712"/>
      <c r="AG819" s="1712"/>
      <c r="AH819" s="1712"/>
      <c r="AI819" s="1712"/>
      <c r="AJ819" s="1712"/>
      <c r="AK819" s="1712"/>
      <c r="AL819" s="1712"/>
      <c r="AM819" s="1712"/>
      <c r="AN819" s="1712"/>
      <c r="AO819" s="1712"/>
      <c r="AP819" s="1712"/>
      <c r="AQ819" s="1712"/>
      <c r="AR819" s="1712"/>
      <c r="AS819" s="1712"/>
      <c r="AT819" s="1712"/>
      <c r="AU819" s="1712"/>
    </row>
    <row r="820">
      <c r="A820" s="1474" t="s">
        <v>2461</v>
      </c>
      <c r="B820" s="1708"/>
      <c r="C820" s="1709"/>
      <c r="D820" s="1709"/>
      <c r="E820" s="1709"/>
      <c r="F820" s="1710"/>
      <c r="G820" s="1710"/>
      <c r="H820" s="1710"/>
      <c r="I820" s="1710"/>
      <c r="J820" s="1710"/>
      <c r="K820" s="1710"/>
      <c r="L820" s="1710"/>
      <c r="M820" s="1710"/>
      <c r="N820" s="1711"/>
      <c r="O820" s="1711"/>
      <c r="P820" s="1711"/>
      <c r="Q820" s="1711"/>
      <c r="R820" s="1711"/>
      <c r="S820" s="1711"/>
      <c r="T820" s="1711"/>
      <c r="U820" s="1711"/>
      <c r="V820" s="1711"/>
      <c r="W820" s="1711"/>
      <c r="X820" s="1711"/>
      <c r="Y820" s="1711"/>
      <c r="Z820" s="1711"/>
      <c r="AA820" s="1712"/>
      <c r="AB820" s="1712"/>
      <c r="AC820" s="1712"/>
      <c r="AD820" s="1712"/>
      <c r="AE820" s="1712"/>
      <c r="AF820" s="1712"/>
      <c r="AG820" s="1712"/>
      <c r="AH820" s="1712"/>
      <c r="AI820" s="1712"/>
      <c r="AJ820" s="1712"/>
      <c r="AK820" s="1712"/>
      <c r="AL820" s="1712"/>
      <c r="AM820" s="1712"/>
      <c r="AN820" s="1712"/>
      <c r="AO820" s="1712"/>
      <c r="AP820" s="1712"/>
      <c r="AQ820" s="1712"/>
      <c r="AR820" s="1712"/>
      <c r="AS820" s="1712"/>
      <c r="AT820" s="1712"/>
      <c r="AU820" s="1712"/>
    </row>
    <row r="821">
      <c r="A821" s="1474" t="s">
        <v>2461</v>
      </c>
      <c r="B821" s="1708"/>
      <c r="C821" s="1709"/>
      <c r="D821" s="1709"/>
      <c r="E821" s="1709"/>
      <c r="F821" s="1710"/>
      <c r="G821" s="1710"/>
      <c r="H821" s="1710"/>
      <c r="I821" s="1710"/>
      <c r="J821" s="1710"/>
      <c r="K821" s="1710"/>
      <c r="L821" s="1710"/>
      <c r="M821" s="1710"/>
      <c r="N821" s="1711"/>
      <c r="O821" s="1711"/>
      <c r="P821" s="1711"/>
      <c r="Q821" s="1711"/>
      <c r="R821" s="1711"/>
      <c r="S821" s="1711"/>
      <c r="T821" s="1711"/>
      <c r="U821" s="1711"/>
      <c r="V821" s="1711"/>
      <c r="W821" s="1711"/>
      <c r="X821" s="1711"/>
      <c r="Y821" s="1711"/>
      <c r="Z821" s="1711"/>
      <c r="AA821" s="1712"/>
      <c r="AB821" s="1712"/>
      <c r="AC821" s="1712"/>
      <c r="AD821" s="1712"/>
      <c r="AE821" s="1712"/>
      <c r="AF821" s="1712"/>
      <c r="AG821" s="1712"/>
      <c r="AH821" s="1712"/>
      <c r="AI821" s="1712"/>
      <c r="AJ821" s="1712"/>
      <c r="AK821" s="1712"/>
      <c r="AL821" s="1712"/>
      <c r="AM821" s="1712"/>
      <c r="AN821" s="1712"/>
      <c r="AO821" s="1712"/>
      <c r="AP821" s="1712"/>
      <c r="AQ821" s="1712"/>
      <c r="AR821" s="1712"/>
      <c r="AS821" s="1712"/>
      <c r="AT821" s="1712"/>
      <c r="AU821" s="1712"/>
    </row>
    <row r="822">
      <c r="A822" s="1474" t="s">
        <v>2461</v>
      </c>
      <c r="B822" s="1708"/>
      <c r="C822" s="1709"/>
      <c r="D822" s="1709"/>
      <c r="E822" s="1709"/>
      <c r="F822" s="1710"/>
      <c r="G822" s="1710"/>
      <c r="H822" s="1710"/>
      <c r="I822" s="1710"/>
      <c r="J822" s="1710"/>
      <c r="K822" s="1710"/>
      <c r="L822" s="1710"/>
      <c r="M822" s="1710"/>
      <c r="N822" s="1711"/>
      <c r="O822" s="1711"/>
      <c r="P822" s="1711"/>
      <c r="Q822" s="1711"/>
      <c r="R822" s="1711"/>
      <c r="S822" s="1711"/>
      <c r="T822" s="1711"/>
      <c r="U822" s="1711"/>
      <c r="V822" s="1711"/>
      <c r="W822" s="1711"/>
      <c r="X822" s="1711"/>
      <c r="Y822" s="1711"/>
      <c r="Z822" s="1711"/>
      <c r="AA822" s="1712"/>
      <c r="AB822" s="1712"/>
      <c r="AC822" s="1712"/>
      <c r="AD822" s="1712"/>
      <c r="AE822" s="1712"/>
      <c r="AF822" s="1712"/>
      <c r="AG822" s="1712"/>
      <c r="AH822" s="1712"/>
      <c r="AI822" s="1712"/>
      <c r="AJ822" s="1712"/>
      <c r="AK822" s="1712"/>
      <c r="AL822" s="1712"/>
      <c r="AM822" s="1712"/>
      <c r="AN822" s="1712"/>
      <c r="AO822" s="1712"/>
      <c r="AP822" s="1712"/>
      <c r="AQ822" s="1712"/>
      <c r="AR822" s="1712"/>
      <c r="AS822" s="1712"/>
      <c r="AT822" s="1712"/>
      <c r="AU822" s="1712"/>
    </row>
    <row r="823">
      <c r="A823" s="1474" t="s">
        <v>2461</v>
      </c>
      <c r="B823" s="1708"/>
      <c r="C823" s="1709"/>
      <c r="D823" s="1709"/>
      <c r="E823" s="1709"/>
      <c r="F823" s="1710"/>
      <c r="G823" s="1710"/>
      <c r="H823" s="1710"/>
      <c r="I823" s="1710"/>
      <c r="J823" s="1710"/>
      <c r="K823" s="1710"/>
      <c r="L823" s="1710"/>
      <c r="M823" s="1710"/>
      <c r="N823" s="1711"/>
      <c r="O823" s="1711"/>
      <c r="P823" s="1711"/>
      <c r="Q823" s="1711"/>
      <c r="R823" s="1711"/>
      <c r="S823" s="1711"/>
      <c r="T823" s="1711"/>
      <c r="U823" s="1711"/>
      <c r="V823" s="1711"/>
      <c r="W823" s="1711"/>
      <c r="X823" s="1711"/>
      <c r="Y823" s="1711"/>
      <c r="Z823" s="1711"/>
      <c r="AA823" s="1712"/>
      <c r="AB823" s="1712"/>
      <c r="AC823" s="1712"/>
      <c r="AD823" s="1712"/>
      <c r="AE823" s="1712"/>
      <c r="AF823" s="1712"/>
      <c r="AG823" s="1712"/>
      <c r="AH823" s="1712"/>
      <c r="AI823" s="1712"/>
      <c r="AJ823" s="1712"/>
      <c r="AK823" s="1712"/>
      <c r="AL823" s="1712"/>
      <c r="AM823" s="1712"/>
      <c r="AN823" s="1712"/>
      <c r="AO823" s="1712"/>
      <c r="AP823" s="1712"/>
      <c r="AQ823" s="1712"/>
      <c r="AR823" s="1712"/>
      <c r="AS823" s="1712"/>
      <c r="AT823" s="1712"/>
      <c r="AU823" s="1712"/>
    </row>
    <row r="824">
      <c r="A824" s="1474" t="s">
        <v>2461</v>
      </c>
      <c r="B824" s="1708"/>
      <c r="C824" s="1709"/>
      <c r="D824" s="1709"/>
      <c r="E824" s="1709"/>
      <c r="F824" s="1710"/>
      <c r="G824" s="1710"/>
      <c r="H824" s="1710"/>
      <c r="I824" s="1710"/>
      <c r="J824" s="1710"/>
      <c r="K824" s="1710"/>
      <c r="L824" s="1710"/>
      <c r="M824" s="1710"/>
      <c r="N824" s="1711"/>
      <c r="O824" s="1711"/>
      <c r="P824" s="1711"/>
      <c r="Q824" s="1711"/>
      <c r="R824" s="1711"/>
      <c r="S824" s="1711"/>
      <c r="T824" s="1711"/>
      <c r="U824" s="1711"/>
      <c r="V824" s="1711"/>
      <c r="W824" s="1711"/>
      <c r="X824" s="1711"/>
      <c r="Y824" s="1711"/>
      <c r="Z824" s="1711"/>
      <c r="AA824" s="1712"/>
      <c r="AB824" s="1712"/>
      <c r="AC824" s="1712"/>
      <c r="AD824" s="1712"/>
      <c r="AE824" s="1712"/>
      <c r="AF824" s="1712"/>
      <c r="AG824" s="1712"/>
      <c r="AH824" s="1712"/>
      <c r="AI824" s="1712"/>
      <c r="AJ824" s="1712"/>
      <c r="AK824" s="1712"/>
      <c r="AL824" s="1712"/>
      <c r="AM824" s="1712"/>
      <c r="AN824" s="1712"/>
      <c r="AO824" s="1712"/>
      <c r="AP824" s="1712"/>
      <c r="AQ824" s="1712"/>
      <c r="AR824" s="1712"/>
      <c r="AS824" s="1712"/>
      <c r="AT824" s="1712"/>
      <c r="AU824" s="1712"/>
    </row>
    <row r="825">
      <c r="A825" s="1474" t="s">
        <v>2461</v>
      </c>
      <c r="B825" s="1708"/>
      <c r="C825" s="1709"/>
      <c r="D825" s="1709"/>
      <c r="E825" s="1709"/>
      <c r="F825" s="1710"/>
      <c r="G825" s="1710"/>
      <c r="H825" s="1710"/>
      <c r="I825" s="1710"/>
      <c r="J825" s="1710"/>
      <c r="K825" s="1710"/>
      <c r="L825" s="1710"/>
      <c r="M825" s="1710"/>
      <c r="N825" s="1711"/>
      <c r="O825" s="1711"/>
      <c r="P825" s="1711"/>
      <c r="Q825" s="1711"/>
      <c r="R825" s="1711"/>
      <c r="S825" s="1711"/>
      <c r="T825" s="1711"/>
      <c r="U825" s="1711"/>
      <c r="V825" s="1711"/>
      <c r="W825" s="1711"/>
      <c r="X825" s="1711"/>
      <c r="Y825" s="1711"/>
      <c r="Z825" s="1711"/>
      <c r="AA825" s="1712"/>
      <c r="AB825" s="1712"/>
      <c r="AC825" s="1712"/>
      <c r="AD825" s="1712"/>
      <c r="AE825" s="1712"/>
      <c r="AF825" s="1712"/>
      <c r="AG825" s="1712"/>
      <c r="AH825" s="1712"/>
      <c r="AI825" s="1712"/>
      <c r="AJ825" s="1712"/>
      <c r="AK825" s="1712"/>
      <c r="AL825" s="1712"/>
      <c r="AM825" s="1712"/>
      <c r="AN825" s="1712"/>
      <c r="AO825" s="1712"/>
      <c r="AP825" s="1712"/>
      <c r="AQ825" s="1712"/>
      <c r="AR825" s="1712"/>
      <c r="AS825" s="1712"/>
      <c r="AT825" s="1712"/>
      <c r="AU825" s="1712"/>
    </row>
    <row r="826">
      <c r="A826" s="1474" t="s">
        <v>2461</v>
      </c>
      <c r="B826" s="1708"/>
      <c r="C826" s="1709"/>
      <c r="D826" s="1709"/>
      <c r="E826" s="1709"/>
      <c r="F826" s="1710"/>
      <c r="G826" s="1710"/>
      <c r="H826" s="1710"/>
      <c r="I826" s="1710"/>
      <c r="J826" s="1710"/>
      <c r="K826" s="1710"/>
      <c r="L826" s="1710"/>
      <c r="M826" s="1710"/>
      <c r="N826" s="1711"/>
      <c r="O826" s="1711"/>
      <c r="P826" s="1711"/>
      <c r="Q826" s="1711"/>
      <c r="R826" s="1711"/>
      <c r="S826" s="1711"/>
      <c r="T826" s="1711"/>
      <c r="U826" s="1711"/>
      <c r="V826" s="1711"/>
      <c r="W826" s="1711"/>
      <c r="X826" s="1711"/>
      <c r="Y826" s="1711"/>
      <c r="Z826" s="1711"/>
      <c r="AA826" s="1712"/>
      <c r="AB826" s="1712"/>
      <c r="AC826" s="1712"/>
      <c r="AD826" s="1712"/>
      <c r="AE826" s="1712"/>
      <c r="AF826" s="1712"/>
      <c r="AG826" s="1712"/>
      <c r="AH826" s="1712"/>
      <c r="AI826" s="1712"/>
      <c r="AJ826" s="1712"/>
      <c r="AK826" s="1712"/>
      <c r="AL826" s="1712"/>
      <c r="AM826" s="1712"/>
      <c r="AN826" s="1712"/>
      <c r="AO826" s="1712"/>
      <c r="AP826" s="1712"/>
      <c r="AQ826" s="1712"/>
      <c r="AR826" s="1712"/>
      <c r="AS826" s="1712"/>
      <c r="AT826" s="1712"/>
      <c r="AU826" s="1712"/>
    </row>
    <row r="827">
      <c r="A827" s="1474" t="s">
        <v>2461</v>
      </c>
      <c r="B827" s="1708"/>
      <c r="C827" s="1709"/>
      <c r="D827" s="1709"/>
      <c r="E827" s="1709"/>
      <c r="F827" s="1710"/>
      <c r="G827" s="1710"/>
      <c r="H827" s="1710"/>
      <c r="I827" s="1710"/>
      <c r="J827" s="1710"/>
      <c r="K827" s="1710"/>
      <c r="L827" s="1710"/>
      <c r="M827" s="1710"/>
      <c r="N827" s="1711"/>
      <c r="O827" s="1711"/>
      <c r="P827" s="1711"/>
      <c r="Q827" s="1711"/>
      <c r="R827" s="1711"/>
      <c r="S827" s="1711"/>
      <c r="T827" s="1711"/>
      <c r="U827" s="1711"/>
      <c r="V827" s="1711"/>
      <c r="W827" s="1711"/>
      <c r="X827" s="1711"/>
      <c r="Y827" s="1711"/>
      <c r="Z827" s="1711"/>
      <c r="AA827" s="1712"/>
      <c r="AB827" s="1712"/>
      <c r="AC827" s="1712"/>
      <c r="AD827" s="1712"/>
      <c r="AE827" s="1712"/>
      <c r="AF827" s="1712"/>
      <c r="AG827" s="1712"/>
      <c r="AH827" s="1712"/>
      <c r="AI827" s="1712"/>
      <c r="AJ827" s="1712"/>
      <c r="AK827" s="1712"/>
      <c r="AL827" s="1712"/>
      <c r="AM827" s="1712"/>
      <c r="AN827" s="1712"/>
      <c r="AO827" s="1712"/>
      <c r="AP827" s="1712"/>
      <c r="AQ827" s="1712"/>
      <c r="AR827" s="1712"/>
      <c r="AS827" s="1712"/>
      <c r="AT827" s="1712"/>
      <c r="AU827" s="1712"/>
    </row>
    <row r="828">
      <c r="A828" s="1474" t="s">
        <v>2461</v>
      </c>
      <c r="B828" s="1708"/>
      <c r="C828" s="1709"/>
      <c r="D828" s="1709"/>
      <c r="E828" s="1709"/>
      <c r="F828" s="1710"/>
      <c r="G828" s="1710"/>
      <c r="H828" s="1710"/>
      <c r="I828" s="1710"/>
      <c r="J828" s="1710"/>
      <c r="K828" s="1710"/>
      <c r="L828" s="1710"/>
      <c r="M828" s="1710"/>
      <c r="N828" s="1711"/>
      <c r="O828" s="1711"/>
      <c r="P828" s="1711"/>
      <c r="Q828" s="1711"/>
      <c r="R828" s="1711"/>
      <c r="S828" s="1711"/>
      <c r="T828" s="1711"/>
      <c r="U828" s="1711"/>
      <c r="V828" s="1711"/>
      <c r="W828" s="1711"/>
      <c r="X828" s="1711"/>
      <c r="Y828" s="1711"/>
      <c r="Z828" s="1711"/>
      <c r="AA828" s="1712"/>
      <c r="AB828" s="1712"/>
      <c r="AC828" s="1712"/>
      <c r="AD828" s="1712"/>
      <c r="AE828" s="1712"/>
      <c r="AF828" s="1712"/>
      <c r="AG828" s="1712"/>
      <c r="AH828" s="1712"/>
      <c r="AI828" s="1712"/>
      <c r="AJ828" s="1712"/>
      <c r="AK828" s="1712"/>
      <c r="AL828" s="1712"/>
      <c r="AM828" s="1712"/>
      <c r="AN828" s="1712"/>
      <c r="AO828" s="1712"/>
      <c r="AP828" s="1712"/>
      <c r="AQ828" s="1712"/>
      <c r="AR828" s="1712"/>
      <c r="AS828" s="1712"/>
      <c r="AT828" s="1712"/>
      <c r="AU828" s="1712"/>
    </row>
    <row r="829">
      <c r="A829" s="1474" t="s">
        <v>2461</v>
      </c>
      <c r="B829" s="1708"/>
      <c r="C829" s="1709"/>
      <c r="D829" s="1709"/>
      <c r="E829" s="1709"/>
      <c r="F829" s="1710"/>
      <c r="G829" s="1710"/>
      <c r="H829" s="1710"/>
      <c r="I829" s="1710"/>
      <c r="J829" s="1710"/>
      <c r="K829" s="1710"/>
      <c r="L829" s="1710"/>
      <c r="M829" s="1710"/>
      <c r="N829" s="1711"/>
      <c r="O829" s="1711"/>
      <c r="P829" s="1711"/>
      <c r="Q829" s="1711"/>
      <c r="R829" s="1711"/>
      <c r="S829" s="1711"/>
      <c r="T829" s="1711"/>
      <c r="U829" s="1711"/>
      <c r="V829" s="1711"/>
      <c r="W829" s="1711"/>
      <c r="X829" s="1711"/>
      <c r="Y829" s="1711"/>
      <c r="Z829" s="1711"/>
      <c r="AA829" s="1712"/>
      <c r="AB829" s="1712"/>
      <c r="AC829" s="1712"/>
      <c r="AD829" s="1712"/>
      <c r="AE829" s="1712"/>
      <c r="AF829" s="1712"/>
      <c r="AG829" s="1712"/>
      <c r="AH829" s="1712"/>
      <c r="AI829" s="1712"/>
      <c r="AJ829" s="1712"/>
      <c r="AK829" s="1712"/>
      <c r="AL829" s="1712"/>
      <c r="AM829" s="1712"/>
      <c r="AN829" s="1712"/>
      <c r="AO829" s="1712"/>
      <c r="AP829" s="1712"/>
      <c r="AQ829" s="1712"/>
      <c r="AR829" s="1712"/>
      <c r="AS829" s="1712"/>
      <c r="AT829" s="1712"/>
      <c r="AU829" s="1712"/>
    </row>
    <row r="830">
      <c r="A830" s="1474" t="s">
        <v>2461</v>
      </c>
      <c r="B830" s="1708"/>
      <c r="C830" s="1709"/>
      <c r="D830" s="1709"/>
      <c r="E830" s="1709"/>
      <c r="F830" s="1710"/>
      <c r="G830" s="1710"/>
      <c r="H830" s="1710"/>
      <c r="I830" s="1710"/>
      <c r="J830" s="1710"/>
      <c r="K830" s="1710"/>
      <c r="L830" s="1710"/>
      <c r="M830" s="1710"/>
      <c r="N830" s="1711"/>
      <c r="O830" s="1711"/>
      <c r="P830" s="1711"/>
      <c r="Q830" s="1711"/>
      <c r="R830" s="1711"/>
      <c r="S830" s="1711"/>
      <c r="T830" s="1711"/>
      <c r="U830" s="1711"/>
      <c r="V830" s="1711"/>
      <c r="W830" s="1711"/>
      <c r="X830" s="1711"/>
      <c r="Y830" s="1711"/>
      <c r="Z830" s="1711"/>
      <c r="AA830" s="1712"/>
      <c r="AB830" s="1712"/>
      <c r="AC830" s="1712"/>
      <c r="AD830" s="1712"/>
      <c r="AE830" s="1712"/>
      <c r="AF830" s="1712"/>
      <c r="AG830" s="1712"/>
      <c r="AH830" s="1712"/>
      <c r="AI830" s="1712"/>
      <c r="AJ830" s="1712"/>
      <c r="AK830" s="1712"/>
      <c r="AL830" s="1712"/>
      <c r="AM830" s="1712"/>
      <c r="AN830" s="1712"/>
      <c r="AO830" s="1712"/>
      <c r="AP830" s="1712"/>
      <c r="AQ830" s="1712"/>
      <c r="AR830" s="1712"/>
      <c r="AS830" s="1712"/>
      <c r="AT830" s="1712"/>
      <c r="AU830" s="1712"/>
    </row>
    <row r="831">
      <c r="A831" s="1474" t="s">
        <v>2461</v>
      </c>
      <c r="B831" s="1708"/>
      <c r="C831" s="1709"/>
      <c r="D831" s="1709"/>
      <c r="E831" s="1709"/>
      <c r="F831" s="1710"/>
      <c r="G831" s="1710"/>
      <c r="H831" s="1710"/>
      <c r="I831" s="1710"/>
      <c r="J831" s="1710"/>
      <c r="K831" s="1710"/>
      <c r="L831" s="1710"/>
      <c r="M831" s="1710"/>
      <c r="N831" s="1711"/>
      <c r="O831" s="1711"/>
      <c r="P831" s="1711"/>
      <c r="Q831" s="1711"/>
      <c r="R831" s="1711"/>
      <c r="S831" s="1711"/>
      <c r="T831" s="1711"/>
      <c r="U831" s="1711"/>
      <c r="V831" s="1711"/>
      <c r="W831" s="1711"/>
      <c r="X831" s="1711"/>
      <c r="Y831" s="1711"/>
      <c r="Z831" s="1711"/>
      <c r="AA831" s="1712"/>
      <c r="AB831" s="1712"/>
      <c r="AC831" s="1712"/>
      <c r="AD831" s="1712"/>
      <c r="AE831" s="1712"/>
      <c r="AF831" s="1712"/>
      <c r="AG831" s="1712"/>
      <c r="AH831" s="1712"/>
      <c r="AI831" s="1712"/>
      <c r="AJ831" s="1712"/>
      <c r="AK831" s="1712"/>
      <c r="AL831" s="1712"/>
      <c r="AM831" s="1712"/>
      <c r="AN831" s="1712"/>
      <c r="AO831" s="1712"/>
      <c r="AP831" s="1712"/>
      <c r="AQ831" s="1712"/>
      <c r="AR831" s="1712"/>
      <c r="AS831" s="1712"/>
      <c r="AT831" s="1712"/>
      <c r="AU831" s="1712"/>
    </row>
    <row r="832">
      <c r="A832" s="1474" t="s">
        <v>2461</v>
      </c>
      <c r="B832" s="1708"/>
      <c r="C832" s="1709"/>
      <c r="D832" s="1709"/>
      <c r="E832" s="1709"/>
      <c r="F832" s="1710"/>
      <c r="G832" s="1710"/>
      <c r="H832" s="1710"/>
      <c r="I832" s="1710"/>
      <c r="J832" s="1710"/>
      <c r="K832" s="1710"/>
      <c r="L832" s="1710"/>
      <c r="M832" s="1710"/>
      <c r="N832" s="1711"/>
      <c r="O832" s="1711"/>
      <c r="P832" s="1711"/>
      <c r="Q832" s="1711"/>
      <c r="R832" s="1711"/>
      <c r="S832" s="1711"/>
      <c r="T832" s="1711"/>
      <c r="U832" s="1711"/>
      <c r="V832" s="1711"/>
      <c r="W832" s="1711"/>
      <c r="X832" s="1711"/>
      <c r="Y832" s="1711"/>
      <c r="Z832" s="1711"/>
      <c r="AA832" s="1712"/>
      <c r="AB832" s="1712"/>
      <c r="AC832" s="1712"/>
      <c r="AD832" s="1712"/>
      <c r="AE832" s="1712"/>
      <c r="AF832" s="1712"/>
      <c r="AG832" s="1712"/>
      <c r="AH832" s="1712"/>
      <c r="AI832" s="1712"/>
      <c r="AJ832" s="1712"/>
      <c r="AK832" s="1712"/>
      <c r="AL832" s="1712"/>
      <c r="AM832" s="1712"/>
      <c r="AN832" s="1712"/>
      <c r="AO832" s="1712"/>
      <c r="AP832" s="1712"/>
      <c r="AQ832" s="1712"/>
      <c r="AR832" s="1712"/>
      <c r="AS832" s="1712"/>
      <c r="AT832" s="1712"/>
      <c r="AU832" s="1712"/>
    </row>
    <row r="833">
      <c r="A833" s="1474" t="s">
        <v>2461</v>
      </c>
      <c r="B833" s="1708"/>
      <c r="C833" s="1709"/>
      <c r="D833" s="1709"/>
      <c r="E833" s="1709"/>
      <c r="F833" s="1710"/>
      <c r="G833" s="1710"/>
      <c r="H833" s="1710"/>
      <c r="I833" s="1710"/>
      <c r="J833" s="1710"/>
      <c r="K833" s="1710"/>
      <c r="L833" s="1710"/>
      <c r="M833" s="1710"/>
      <c r="N833" s="1711"/>
      <c r="O833" s="1711"/>
      <c r="P833" s="1711"/>
      <c r="Q833" s="1711"/>
      <c r="R833" s="1711"/>
      <c r="S833" s="1711"/>
      <c r="T833" s="1711"/>
      <c r="U833" s="1711"/>
      <c r="V833" s="1711"/>
      <c r="W833" s="1711"/>
      <c r="X833" s="1711"/>
      <c r="Y833" s="1711"/>
      <c r="Z833" s="1711"/>
      <c r="AA833" s="1712"/>
      <c r="AB833" s="1712"/>
      <c r="AC833" s="1712"/>
      <c r="AD833" s="1712"/>
      <c r="AE833" s="1712"/>
      <c r="AF833" s="1712"/>
      <c r="AG833" s="1712"/>
      <c r="AH833" s="1712"/>
      <c r="AI833" s="1712"/>
      <c r="AJ833" s="1712"/>
      <c r="AK833" s="1712"/>
      <c r="AL833" s="1712"/>
      <c r="AM833" s="1712"/>
      <c r="AN833" s="1712"/>
      <c r="AO833" s="1712"/>
      <c r="AP833" s="1712"/>
      <c r="AQ833" s="1712"/>
      <c r="AR833" s="1712"/>
      <c r="AS833" s="1712"/>
      <c r="AT833" s="1712"/>
      <c r="AU833" s="1712"/>
    </row>
    <row r="834">
      <c r="A834" s="1474" t="s">
        <v>2461</v>
      </c>
      <c r="B834" s="1708"/>
      <c r="C834" s="1709"/>
      <c r="D834" s="1709"/>
      <c r="E834" s="1709"/>
      <c r="F834" s="1710"/>
      <c r="G834" s="1710"/>
      <c r="H834" s="1710"/>
      <c r="I834" s="1710"/>
      <c r="J834" s="1710"/>
      <c r="K834" s="1710"/>
      <c r="L834" s="1710"/>
      <c r="M834" s="1710"/>
      <c r="N834" s="1711"/>
      <c r="O834" s="1711"/>
      <c r="P834" s="1711"/>
      <c r="Q834" s="1711"/>
      <c r="R834" s="1711"/>
      <c r="S834" s="1711"/>
      <c r="T834" s="1711"/>
      <c r="U834" s="1711"/>
      <c r="V834" s="1711"/>
      <c r="W834" s="1711"/>
      <c r="X834" s="1711"/>
      <c r="Y834" s="1711"/>
      <c r="Z834" s="1711"/>
      <c r="AA834" s="1712"/>
      <c r="AB834" s="1712"/>
      <c r="AC834" s="1712"/>
      <c r="AD834" s="1712"/>
      <c r="AE834" s="1712"/>
      <c r="AF834" s="1712"/>
      <c r="AG834" s="1712"/>
      <c r="AH834" s="1712"/>
      <c r="AI834" s="1712"/>
      <c r="AJ834" s="1712"/>
      <c r="AK834" s="1712"/>
      <c r="AL834" s="1712"/>
      <c r="AM834" s="1712"/>
      <c r="AN834" s="1712"/>
      <c r="AO834" s="1712"/>
      <c r="AP834" s="1712"/>
      <c r="AQ834" s="1712"/>
      <c r="AR834" s="1712"/>
      <c r="AS834" s="1712"/>
      <c r="AT834" s="1712"/>
      <c r="AU834" s="1712"/>
    </row>
    <row r="835">
      <c r="A835" s="1474" t="s">
        <v>2461</v>
      </c>
      <c r="B835" s="1708"/>
      <c r="C835" s="1709"/>
      <c r="D835" s="1709"/>
      <c r="E835" s="1709"/>
      <c r="F835" s="1710"/>
      <c r="G835" s="1710"/>
      <c r="H835" s="1710"/>
      <c r="I835" s="1710"/>
      <c r="J835" s="1710"/>
      <c r="K835" s="1710"/>
      <c r="L835" s="1710"/>
      <c r="M835" s="1710"/>
      <c r="N835" s="1711"/>
      <c r="O835" s="1711"/>
      <c r="P835" s="1711"/>
      <c r="Q835" s="1711"/>
      <c r="R835" s="1711"/>
      <c r="S835" s="1711"/>
      <c r="T835" s="1711"/>
      <c r="U835" s="1711"/>
      <c r="V835" s="1711"/>
      <c r="W835" s="1711"/>
      <c r="X835" s="1711"/>
      <c r="Y835" s="1711"/>
      <c r="Z835" s="1711"/>
      <c r="AA835" s="1712"/>
      <c r="AB835" s="1712"/>
      <c r="AC835" s="1712"/>
      <c r="AD835" s="1712"/>
      <c r="AE835" s="1712"/>
      <c r="AF835" s="1712"/>
      <c r="AG835" s="1712"/>
      <c r="AH835" s="1712"/>
      <c r="AI835" s="1712"/>
      <c r="AJ835" s="1712"/>
      <c r="AK835" s="1712"/>
      <c r="AL835" s="1712"/>
      <c r="AM835" s="1712"/>
      <c r="AN835" s="1712"/>
      <c r="AO835" s="1712"/>
      <c r="AP835" s="1712"/>
      <c r="AQ835" s="1712"/>
      <c r="AR835" s="1712"/>
      <c r="AS835" s="1712"/>
      <c r="AT835" s="1712"/>
      <c r="AU835" s="1712"/>
    </row>
    <row r="836">
      <c r="A836" s="1474" t="s">
        <v>2461</v>
      </c>
      <c r="B836" s="1708"/>
      <c r="C836" s="1709"/>
      <c r="D836" s="1709"/>
      <c r="E836" s="1709"/>
      <c r="F836" s="1710"/>
      <c r="G836" s="1710"/>
      <c r="H836" s="1710"/>
      <c r="I836" s="1710"/>
      <c r="J836" s="1710"/>
      <c r="K836" s="1710"/>
      <c r="L836" s="1710"/>
      <c r="M836" s="1710"/>
      <c r="N836" s="1711"/>
      <c r="O836" s="1711"/>
      <c r="P836" s="1711"/>
      <c r="Q836" s="1711"/>
      <c r="R836" s="1711"/>
      <c r="S836" s="1711"/>
      <c r="T836" s="1711"/>
      <c r="U836" s="1711"/>
      <c r="V836" s="1711"/>
      <c r="W836" s="1711"/>
      <c r="X836" s="1711"/>
      <c r="Y836" s="1711"/>
      <c r="Z836" s="1711"/>
      <c r="AA836" s="1712"/>
      <c r="AB836" s="1712"/>
      <c r="AC836" s="1712"/>
      <c r="AD836" s="1712"/>
      <c r="AE836" s="1712"/>
      <c r="AF836" s="1712"/>
      <c r="AG836" s="1712"/>
      <c r="AH836" s="1712"/>
      <c r="AI836" s="1712"/>
      <c r="AJ836" s="1712"/>
      <c r="AK836" s="1712"/>
      <c r="AL836" s="1712"/>
      <c r="AM836" s="1712"/>
      <c r="AN836" s="1712"/>
      <c r="AO836" s="1712"/>
      <c r="AP836" s="1712"/>
      <c r="AQ836" s="1712"/>
      <c r="AR836" s="1712"/>
      <c r="AS836" s="1712"/>
      <c r="AT836" s="1712"/>
      <c r="AU836" s="1712"/>
    </row>
    <row r="837">
      <c r="A837" s="1474" t="s">
        <v>2461</v>
      </c>
      <c r="B837" s="1708"/>
      <c r="C837" s="1709"/>
      <c r="D837" s="1709"/>
      <c r="E837" s="1709"/>
      <c r="F837" s="1710"/>
      <c r="G837" s="1710"/>
      <c r="H837" s="1710"/>
      <c r="I837" s="1710"/>
      <c r="J837" s="1710"/>
      <c r="K837" s="1710"/>
      <c r="L837" s="1710"/>
      <c r="M837" s="1710"/>
      <c r="N837" s="1711"/>
      <c r="O837" s="1711"/>
      <c r="P837" s="1711"/>
      <c r="Q837" s="1711"/>
      <c r="R837" s="1711"/>
      <c r="S837" s="1711"/>
      <c r="T837" s="1711"/>
      <c r="U837" s="1711"/>
      <c r="V837" s="1711"/>
      <c r="W837" s="1711"/>
      <c r="X837" s="1711"/>
      <c r="Y837" s="1711"/>
      <c r="Z837" s="1711"/>
      <c r="AA837" s="1712"/>
      <c r="AB837" s="1712"/>
      <c r="AC837" s="1712"/>
      <c r="AD837" s="1712"/>
      <c r="AE837" s="1712"/>
      <c r="AF837" s="1712"/>
      <c r="AG837" s="1712"/>
      <c r="AH837" s="1712"/>
      <c r="AI837" s="1712"/>
      <c r="AJ837" s="1712"/>
      <c r="AK837" s="1712"/>
      <c r="AL837" s="1712"/>
      <c r="AM837" s="1712"/>
      <c r="AN837" s="1712"/>
      <c r="AO837" s="1712"/>
      <c r="AP837" s="1712"/>
      <c r="AQ837" s="1712"/>
      <c r="AR837" s="1712"/>
      <c r="AS837" s="1712"/>
      <c r="AT837" s="1712"/>
      <c r="AU837" s="1712"/>
    </row>
    <row r="838">
      <c r="A838" s="1474" t="s">
        <v>2461</v>
      </c>
      <c r="B838" s="1708"/>
      <c r="C838" s="1709"/>
      <c r="D838" s="1709"/>
      <c r="E838" s="1709"/>
      <c r="F838" s="1710"/>
      <c r="G838" s="1710"/>
      <c r="H838" s="1710"/>
      <c r="I838" s="1710"/>
      <c r="J838" s="1710"/>
      <c r="K838" s="1710"/>
      <c r="L838" s="1710"/>
      <c r="M838" s="1710"/>
      <c r="N838" s="1711"/>
      <c r="O838" s="1711"/>
      <c r="P838" s="1711"/>
      <c r="Q838" s="1711"/>
      <c r="R838" s="1711"/>
      <c r="S838" s="1711"/>
      <c r="T838" s="1711"/>
      <c r="U838" s="1711"/>
      <c r="V838" s="1711"/>
      <c r="W838" s="1711"/>
      <c r="X838" s="1711"/>
      <c r="Y838" s="1711"/>
      <c r="Z838" s="1711"/>
      <c r="AA838" s="1712"/>
      <c r="AB838" s="1712"/>
      <c r="AC838" s="1712"/>
      <c r="AD838" s="1712"/>
      <c r="AE838" s="1712"/>
      <c r="AF838" s="1712"/>
      <c r="AG838" s="1712"/>
      <c r="AH838" s="1712"/>
      <c r="AI838" s="1712"/>
      <c r="AJ838" s="1712"/>
      <c r="AK838" s="1712"/>
      <c r="AL838" s="1712"/>
      <c r="AM838" s="1712"/>
      <c r="AN838" s="1712"/>
      <c r="AO838" s="1712"/>
      <c r="AP838" s="1712"/>
      <c r="AQ838" s="1712"/>
      <c r="AR838" s="1712"/>
      <c r="AS838" s="1712"/>
      <c r="AT838" s="1712"/>
      <c r="AU838" s="1712"/>
    </row>
    <row r="839">
      <c r="A839" s="1474" t="s">
        <v>2461</v>
      </c>
      <c r="B839" s="1708"/>
      <c r="C839" s="1709"/>
      <c r="D839" s="1709"/>
      <c r="E839" s="1709"/>
      <c r="F839" s="1710"/>
      <c r="G839" s="1710"/>
      <c r="H839" s="1710"/>
      <c r="I839" s="1710"/>
      <c r="J839" s="1710"/>
      <c r="K839" s="1710"/>
      <c r="L839" s="1710"/>
      <c r="M839" s="1710"/>
      <c r="N839" s="1711"/>
      <c r="O839" s="1711"/>
      <c r="P839" s="1711"/>
      <c r="Q839" s="1711"/>
      <c r="R839" s="1711"/>
      <c r="S839" s="1711"/>
      <c r="T839" s="1711"/>
      <c r="U839" s="1711"/>
      <c r="V839" s="1711"/>
      <c r="W839" s="1711"/>
      <c r="X839" s="1711"/>
      <c r="Y839" s="1711"/>
      <c r="Z839" s="1711"/>
      <c r="AA839" s="1712"/>
      <c r="AB839" s="1712"/>
      <c r="AC839" s="1712"/>
      <c r="AD839" s="1712"/>
      <c r="AE839" s="1712"/>
      <c r="AF839" s="1712"/>
      <c r="AG839" s="1712"/>
      <c r="AH839" s="1712"/>
      <c r="AI839" s="1712"/>
      <c r="AJ839" s="1712"/>
      <c r="AK839" s="1712"/>
      <c r="AL839" s="1712"/>
      <c r="AM839" s="1712"/>
      <c r="AN839" s="1712"/>
      <c r="AO839" s="1712"/>
      <c r="AP839" s="1712"/>
      <c r="AQ839" s="1712"/>
      <c r="AR839" s="1712"/>
      <c r="AS839" s="1712"/>
      <c r="AT839" s="1712"/>
      <c r="AU839" s="1712"/>
    </row>
    <row r="840">
      <c r="A840" s="1474" t="s">
        <v>2461</v>
      </c>
      <c r="B840" s="1708"/>
      <c r="C840" s="1709"/>
      <c r="D840" s="1709"/>
      <c r="E840" s="1709"/>
      <c r="F840" s="1710"/>
      <c r="G840" s="1710"/>
      <c r="H840" s="1710"/>
      <c r="I840" s="1710"/>
      <c r="J840" s="1710"/>
      <c r="K840" s="1710"/>
      <c r="L840" s="1710"/>
      <c r="M840" s="1710"/>
      <c r="N840" s="1711"/>
      <c r="O840" s="1711"/>
      <c r="P840" s="1711"/>
      <c r="Q840" s="1711"/>
      <c r="R840" s="1711"/>
      <c r="S840" s="1711"/>
      <c r="T840" s="1711"/>
      <c r="U840" s="1711"/>
      <c r="V840" s="1711"/>
      <c r="W840" s="1711"/>
      <c r="X840" s="1711"/>
      <c r="Y840" s="1711"/>
      <c r="Z840" s="1711"/>
      <c r="AA840" s="1712"/>
      <c r="AB840" s="1712"/>
      <c r="AC840" s="1712"/>
      <c r="AD840" s="1712"/>
      <c r="AE840" s="1712"/>
      <c r="AF840" s="1712"/>
      <c r="AG840" s="1712"/>
      <c r="AH840" s="1712"/>
      <c r="AI840" s="1712"/>
      <c r="AJ840" s="1712"/>
      <c r="AK840" s="1712"/>
      <c r="AL840" s="1712"/>
      <c r="AM840" s="1712"/>
      <c r="AN840" s="1712"/>
      <c r="AO840" s="1712"/>
      <c r="AP840" s="1712"/>
      <c r="AQ840" s="1712"/>
      <c r="AR840" s="1712"/>
      <c r="AS840" s="1712"/>
      <c r="AT840" s="1712"/>
      <c r="AU840" s="1712"/>
    </row>
    <row r="841">
      <c r="A841" s="1474" t="s">
        <v>2461</v>
      </c>
      <c r="B841" s="1708"/>
      <c r="C841" s="1709"/>
      <c r="D841" s="1709"/>
      <c r="E841" s="1709"/>
      <c r="F841" s="1710"/>
      <c r="G841" s="1710"/>
      <c r="H841" s="1710"/>
      <c r="I841" s="1710"/>
      <c r="J841" s="1710"/>
      <c r="K841" s="1710"/>
      <c r="L841" s="1710"/>
      <c r="M841" s="1710"/>
      <c r="N841" s="1711"/>
      <c r="O841" s="1711"/>
      <c r="P841" s="1711"/>
      <c r="Q841" s="1711"/>
      <c r="R841" s="1711"/>
      <c r="S841" s="1711"/>
      <c r="T841" s="1711"/>
      <c r="U841" s="1711"/>
      <c r="V841" s="1711"/>
      <c r="W841" s="1711"/>
      <c r="X841" s="1711"/>
      <c r="Y841" s="1711"/>
      <c r="Z841" s="1711"/>
      <c r="AA841" s="1712"/>
      <c r="AB841" s="1712"/>
      <c r="AC841" s="1712"/>
      <c r="AD841" s="1712"/>
      <c r="AE841" s="1712"/>
      <c r="AF841" s="1712"/>
      <c r="AG841" s="1712"/>
      <c r="AH841" s="1712"/>
      <c r="AI841" s="1712"/>
      <c r="AJ841" s="1712"/>
      <c r="AK841" s="1712"/>
      <c r="AL841" s="1712"/>
      <c r="AM841" s="1712"/>
      <c r="AN841" s="1712"/>
      <c r="AO841" s="1712"/>
      <c r="AP841" s="1712"/>
      <c r="AQ841" s="1712"/>
      <c r="AR841" s="1712"/>
      <c r="AS841" s="1712"/>
      <c r="AT841" s="1712"/>
      <c r="AU841" s="1712"/>
    </row>
    <row r="842">
      <c r="A842" s="1474" t="s">
        <v>2461</v>
      </c>
      <c r="B842" s="1708"/>
      <c r="C842" s="1709"/>
      <c r="D842" s="1709"/>
      <c r="E842" s="1709"/>
      <c r="F842" s="1710"/>
      <c r="G842" s="1710"/>
      <c r="H842" s="1710"/>
      <c r="I842" s="1710"/>
      <c r="J842" s="1710"/>
      <c r="K842" s="1710"/>
      <c r="L842" s="1710"/>
      <c r="M842" s="1710"/>
      <c r="N842" s="1711"/>
      <c r="O842" s="1711"/>
      <c r="P842" s="1711"/>
      <c r="Q842" s="1711"/>
      <c r="R842" s="1711"/>
      <c r="S842" s="1711"/>
      <c r="T842" s="1711"/>
      <c r="U842" s="1711"/>
      <c r="V842" s="1711"/>
      <c r="W842" s="1711"/>
      <c r="X842" s="1711"/>
      <c r="Y842" s="1711"/>
      <c r="Z842" s="1711"/>
      <c r="AA842" s="1712"/>
      <c r="AB842" s="1712"/>
      <c r="AC842" s="1712"/>
      <c r="AD842" s="1712"/>
      <c r="AE842" s="1712"/>
      <c r="AF842" s="1712"/>
      <c r="AG842" s="1712"/>
      <c r="AH842" s="1712"/>
      <c r="AI842" s="1712"/>
      <c r="AJ842" s="1712"/>
      <c r="AK842" s="1712"/>
      <c r="AL842" s="1712"/>
      <c r="AM842" s="1712"/>
      <c r="AN842" s="1712"/>
      <c r="AO842" s="1712"/>
      <c r="AP842" s="1712"/>
      <c r="AQ842" s="1712"/>
      <c r="AR842" s="1712"/>
      <c r="AS842" s="1712"/>
      <c r="AT842" s="1712"/>
      <c r="AU842" s="1712"/>
    </row>
    <row r="843">
      <c r="A843" s="1474" t="s">
        <v>2461</v>
      </c>
      <c r="B843" s="1708"/>
      <c r="C843" s="1709"/>
      <c r="D843" s="1709"/>
      <c r="E843" s="1709"/>
      <c r="F843" s="1710"/>
      <c r="G843" s="1710"/>
      <c r="H843" s="1710"/>
      <c r="I843" s="1710"/>
      <c r="J843" s="1710"/>
      <c r="K843" s="1710"/>
      <c r="L843" s="1710"/>
      <c r="M843" s="1710"/>
      <c r="N843" s="1711"/>
      <c r="O843" s="1711"/>
      <c r="P843" s="1711"/>
      <c r="Q843" s="1711"/>
      <c r="R843" s="1711"/>
      <c r="S843" s="1711"/>
      <c r="T843" s="1711"/>
      <c r="U843" s="1711"/>
      <c r="V843" s="1711"/>
      <c r="W843" s="1711"/>
      <c r="X843" s="1711"/>
      <c r="Y843" s="1711"/>
      <c r="Z843" s="1711"/>
      <c r="AA843" s="1712"/>
      <c r="AB843" s="1712"/>
      <c r="AC843" s="1712"/>
      <c r="AD843" s="1712"/>
      <c r="AE843" s="1712"/>
      <c r="AF843" s="1712"/>
      <c r="AG843" s="1712"/>
      <c r="AH843" s="1712"/>
      <c r="AI843" s="1712"/>
      <c r="AJ843" s="1712"/>
      <c r="AK843" s="1712"/>
      <c r="AL843" s="1712"/>
      <c r="AM843" s="1712"/>
      <c r="AN843" s="1712"/>
      <c r="AO843" s="1712"/>
      <c r="AP843" s="1712"/>
      <c r="AQ843" s="1712"/>
      <c r="AR843" s="1712"/>
      <c r="AS843" s="1712"/>
      <c r="AT843" s="1712"/>
      <c r="AU843" s="1712"/>
    </row>
    <row r="844">
      <c r="A844" s="1474" t="s">
        <v>2461</v>
      </c>
      <c r="B844" s="1708"/>
      <c r="C844" s="1709"/>
      <c r="D844" s="1709"/>
      <c r="E844" s="1709"/>
      <c r="F844" s="1710"/>
      <c r="G844" s="1710"/>
      <c r="H844" s="1710"/>
      <c r="I844" s="1710"/>
      <c r="J844" s="1710"/>
      <c r="K844" s="1710"/>
      <c r="L844" s="1710"/>
      <c r="M844" s="1710"/>
      <c r="N844" s="1711"/>
      <c r="O844" s="1711"/>
      <c r="P844" s="1711"/>
      <c r="Q844" s="1711"/>
      <c r="R844" s="1711"/>
      <c r="S844" s="1711"/>
      <c r="T844" s="1711"/>
      <c r="U844" s="1711"/>
      <c r="V844" s="1711"/>
      <c r="W844" s="1711"/>
      <c r="X844" s="1711"/>
      <c r="Y844" s="1711"/>
      <c r="Z844" s="1711"/>
      <c r="AA844" s="1712"/>
      <c r="AB844" s="1712"/>
      <c r="AC844" s="1712"/>
      <c r="AD844" s="1712"/>
      <c r="AE844" s="1712"/>
      <c r="AF844" s="1712"/>
      <c r="AG844" s="1712"/>
      <c r="AH844" s="1712"/>
      <c r="AI844" s="1712"/>
      <c r="AJ844" s="1712"/>
      <c r="AK844" s="1712"/>
      <c r="AL844" s="1712"/>
      <c r="AM844" s="1712"/>
      <c r="AN844" s="1712"/>
      <c r="AO844" s="1712"/>
      <c r="AP844" s="1712"/>
      <c r="AQ844" s="1712"/>
      <c r="AR844" s="1712"/>
      <c r="AS844" s="1712"/>
      <c r="AT844" s="1712"/>
      <c r="AU844" s="1712"/>
    </row>
    <row r="845">
      <c r="A845" s="1474" t="s">
        <v>2461</v>
      </c>
      <c r="B845" s="1708"/>
      <c r="C845" s="1709"/>
      <c r="D845" s="1709"/>
      <c r="E845" s="1709"/>
      <c r="F845" s="1710"/>
      <c r="G845" s="1710"/>
      <c r="H845" s="1710"/>
      <c r="I845" s="1710"/>
      <c r="J845" s="1710"/>
      <c r="K845" s="1710"/>
      <c r="L845" s="1710"/>
      <c r="M845" s="1710"/>
      <c r="N845" s="1711"/>
      <c r="O845" s="1711"/>
      <c r="P845" s="1711"/>
      <c r="Q845" s="1711"/>
      <c r="R845" s="1711"/>
      <c r="S845" s="1711"/>
      <c r="T845" s="1711"/>
      <c r="U845" s="1711"/>
      <c r="V845" s="1711"/>
      <c r="W845" s="1711"/>
      <c r="X845" s="1711"/>
      <c r="Y845" s="1711"/>
      <c r="Z845" s="1711"/>
      <c r="AA845" s="1712"/>
      <c r="AB845" s="1712"/>
      <c r="AC845" s="1712"/>
      <c r="AD845" s="1712"/>
      <c r="AE845" s="1712"/>
      <c r="AF845" s="1712"/>
      <c r="AG845" s="1712"/>
      <c r="AH845" s="1712"/>
      <c r="AI845" s="1712"/>
      <c r="AJ845" s="1712"/>
      <c r="AK845" s="1712"/>
      <c r="AL845" s="1712"/>
      <c r="AM845" s="1712"/>
      <c r="AN845" s="1712"/>
      <c r="AO845" s="1712"/>
      <c r="AP845" s="1712"/>
      <c r="AQ845" s="1712"/>
      <c r="AR845" s="1712"/>
      <c r="AS845" s="1712"/>
      <c r="AT845" s="1712"/>
      <c r="AU845" s="1712"/>
    </row>
    <row r="846">
      <c r="A846" s="1474" t="s">
        <v>2461</v>
      </c>
      <c r="B846" s="1708"/>
      <c r="C846" s="1709"/>
      <c r="D846" s="1709"/>
      <c r="E846" s="1709"/>
      <c r="F846" s="1710"/>
      <c r="G846" s="1710"/>
      <c r="H846" s="1710"/>
      <c r="I846" s="1710"/>
      <c r="J846" s="1710"/>
      <c r="K846" s="1710"/>
      <c r="L846" s="1710"/>
      <c r="M846" s="1710"/>
      <c r="N846" s="1711"/>
      <c r="O846" s="1711"/>
      <c r="P846" s="1711"/>
      <c r="Q846" s="1711"/>
      <c r="R846" s="1711"/>
      <c r="S846" s="1711"/>
      <c r="T846" s="1711"/>
      <c r="U846" s="1711"/>
      <c r="V846" s="1711"/>
      <c r="W846" s="1711"/>
      <c r="X846" s="1711"/>
      <c r="Y846" s="1711"/>
      <c r="Z846" s="1711"/>
      <c r="AA846" s="1712"/>
      <c r="AB846" s="1712"/>
      <c r="AC846" s="1712"/>
      <c r="AD846" s="1712"/>
      <c r="AE846" s="1712"/>
      <c r="AF846" s="1712"/>
      <c r="AG846" s="1712"/>
      <c r="AH846" s="1712"/>
      <c r="AI846" s="1712"/>
      <c r="AJ846" s="1712"/>
      <c r="AK846" s="1712"/>
      <c r="AL846" s="1712"/>
      <c r="AM846" s="1712"/>
      <c r="AN846" s="1712"/>
      <c r="AO846" s="1712"/>
      <c r="AP846" s="1712"/>
      <c r="AQ846" s="1712"/>
      <c r="AR846" s="1712"/>
      <c r="AS846" s="1712"/>
      <c r="AT846" s="1712"/>
      <c r="AU846" s="1712"/>
    </row>
    <row r="847">
      <c r="A847" s="1474" t="s">
        <v>2461</v>
      </c>
      <c r="B847" s="1708"/>
      <c r="C847" s="1709"/>
      <c r="D847" s="1709"/>
      <c r="E847" s="1709"/>
      <c r="F847" s="1710"/>
      <c r="G847" s="1710"/>
      <c r="H847" s="1710"/>
      <c r="I847" s="1710"/>
      <c r="J847" s="1710"/>
      <c r="K847" s="1710"/>
      <c r="L847" s="1710"/>
      <c r="M847" s="1710"/>
      <c r="N847" s="1711"/>
      <c r="O847" s="1711"/>
      <c r="P847" s="1711"/>
      <c r="Q847" s="1711"/>
      <c r="R847" s="1711"/>
      <c r="S847" s="1711"/>
      <c r="T847" s="1711"/>
      <c r="U847" s="1711"/>
      <c r="V847" s="1711"/>
      <c r="W847" s="1711"/>
      <c r="X847" s="1711"/>
      <c r="Y847" s="1711"/>
      <c r="Z847" s="1711"/>
      <c r="AA847" s="1712"/>
      <c r="AB847" s="1712"/>
      <c r="AC847" s="1712"/>
      <c r="AD847" s="1712"/>
      <c r="AE847" s="1712"/>
      <c r="AF847" s="1712"/>
      <c r="AG847" s="1712"/>
      <c r="AH847" s="1712"/>
      <c r="AI847" s="1712"/>
      <c r="AJ847" s="1712"/>
      <c r="AK847" s="1712"/>
      <c r="AL847" s="1712"/>
      <c r="AM847" s="1712"/>
      <c r="AN847" s="1712"/>
      <c r="AO847" s="1712"/>
      <c r="AP847" s="1712"/>
      <c r="AQ847" s="1712"/>
      <c r="AR847" s="1712"/>
      <c r="AS847" s="1712"/>
      <c r="AT847" s="1712"/>
      <c r="AU847" s="1712"/>
    </row>
    <row r="848">
      <c r="A848" s="1474" t="s">
        <v>2461</v>
      </c>
      <c r="B848" s="1708"/>
      <c r="C848" s="1709"/>
      <c r="D848" s="1709"/>
      <c r="E848" s="1709"/>
      <c r="F848" s="1710"/>
      <c r="G848" s="1710"/>
      <c r="H848" s="1710"/>
      <c r="I848" s="1710"/>
      <c r="J848" s="1710"/>
      <c r="K848" s="1710"/>
      <c r="L848" s="1710"/>
      <c r="M848" s="1710"/>
      <c r="N848" s="1711"/>
      <c r="O848" s="1711"/>
      <c r="P848" s="1711"/>
      <c r="Q848" s="1711"/>
      <c r="R848" s="1711"/>
      <c r="S848" s="1711"/>
      <c r="T848" s="1711"/>
      <c r="U848" s="1711"/>
      <c r="V848" s="1711"/>
      <c r="W848" s="1711"/>
      <c r="X848" s="1711"/>
      <c r="Y848" s="1711"/>
      <c r="Z848" s="1711"/>
      <c r="AA848" s="1712"/>
      <c r="AB848" s="1712"/>
      <c r="AC848" s="1712"/>
      <c r="AD848" s="1712"/>
      <c r="AE848" s="1712"/>
      <c r="AF848" s="1712"/>
      <c r="AG848" s="1712"/>
      <c r="AH848" s="1712"/>
      <c r="AI848" s="1712"/>
      <c r="AJ848" s="1712"/>
      <c r="AK848" s="1712"/>
      <c r="AL848" s="1712"/>
      <c r="AM848" s="1712"/>
      <c r="AN848" s="1712"/>
      <c r="AO848" s="1712"/>
      <c r="AP848" s="1712"/>
      <c r="AQ848" s="1712"/>
      <c r="AR848" s="1712"/>
      <c r="AS848" s="1712"/>
      <c r="AT848" s="1712"/>
      <c r="AU848" s="1712"/>
    </row>
    <row r="849">
      <c r="A849" s="1474" t="s">
        <v>2461</v>
      </c>
      <c r="B849" s="1708"/>
      <c r="C849" s="1709"/>
      <c r="D849" s="1709"/>
      <c r="E849" s="1709"/>
      <c r="F849" s="1710"/>
      <c r="G849" s="1710"/>
      <c r="H849" s="1710"/>
      <c r="I849" s="1710"/>
      <c r="J849" s="1710"/>
      <c r="K849" s="1710"/>
      <c r="L849" s="1710"/>
      <c r="M849" s="1710"/>
      <c r="N849" s="1711"/>
      <c r="O849" s="1711"/>
      <c r="P849" s="1711"/>
      <c r="Q849" s="1711"/>
      <c r="R849" s="1711"/>
      <c r="S849" s="1711"/>
      <c r="T849" s="1711"/>
      <c r="U849" s="1711"/>
      <c r="V849" s="1711"/>
      <c r="W849" s="1711"/>
      <c r="X849" s="1711"/>
      <c r="Y849" s="1711"/>
      <c r="Z849" s="1711"/>
      <c r="AA849" s="1712"/>
      <c r="AB849" s="1712"/>
      <c r="AC849" s="1712"/>
      <c r="AD849" s="1712"/>
      <c r="AE849" s="1712"/>
      <c r="AF849" s="1712"/>
      <c r="AG849" s="1712"/>
      <c r="AH849" s="1712"/>
      <c r="AI849" s="1712"/>
      <c r="AJ849" s="1712"/>
      <c r="AK849" s="1712"/>
      <c r="AL849" s="1712"/>
      <c r="AM849" s="1712"/>
      <c r="AN849" s="1712"/>
      <c r="AO849" s="1712"/>
      <c r="AP849" s="1712"/>
      <c r="AQ849" s="1712"/>
      <c r="AR849" s="1712"/>
      <c r="AS849" s="1712"/>
      <c r="AT849" s="1712"/>
      <c r="AU849" s="1712"/>
    </row>
    <row r="850">
      <c r="A850" s="1474" t="s">
        <v>2461</v>
      </c>
      <c r="B850" s="1708"/>
      <c r="C850" s="1709"/>
      <c r="D850" s="1709"/>
      <c r="E850" s="1709"/>
      <c r="F850" s="1710"/>
      <c r="G850" s="1710"/>
      <c r="H850" s="1710"/>
      <c r="I850" s="1710"/>
      <c r="J850" s="1710"/>
      <c r="K850" s="1710"/>
      <c r="L850" s="1710"/>
      <c r="M850" s="1710"/>
      <c r="N850" s="1711"/>
      <c r="O850" s="1711"/>
      <c r="P850" s="1711"/>
      <c r="Q850" s="1711"/>
      <c r="R850" s="1711"/>
      <c r="S850" s="1711"/>
      <c r="T850" s="1711"/>
      <c r="U850" s="1711"/>
      <c r="V850" s="1711"/>
      <c r="W850" s="1711"/>
      <c r="X850" s="1711"/>
      <c r="Y850" s="1711"/>
      <c r="Z850" s="1711"/>
      <c r="AA850" s="1712"/>
      <c r="AB850" s="1712"/>
      <c r="AC850" s="1712"/>
      <c r="AD850" s="1712"/>
      <c r="AE850" s="1712"/>
      <c r="AF850" s="1712"/>
      <c r="AG850" s="1712"/>
      <c r="AH850" s="1712"/>
      <c r="AI850" s="1712"/>
      <c r="AJ850" s="1712"/>
      <c r="AK850" s="1712"/>
      <c r="AL850" s="1712"/>
      <c r="AM850" s="1712"/>
      <c r="AN850" s="1712"/>
      <c r="AO850" s="1712"/>
      <c r="AP850" s="1712"/>
      <c r="AQ850" s="1712"/>
      <c r="AR850" s="1712"/>
      <c r="AS850" s="1712"/>
      <c r="AT850" s="1712"/>
      <c r="AU850" s="1712"/>
    </row>
    <row r="851">
      <c r="A851" s="1474" t="s">
        <v>2461</v>
      </c>
      <c r="B851" s="1708"/>
      <c r="C851" s="1709"/>
      <c r="D851" s="1709"/>
      <c r="E851" s="1709"/>
      <c r="F851" s="1710"/>
      <c r="G851" s="1710"/>
      <c r="H851" s="1710"/>
      <c r="I851" s="1710"/>
      <c r="J851" s="1710"/>
      <c r="K851" s="1710"/>
      <c r="L851" s="1710"/>
      <c r="M851" s="1710"/>
      <c r="N851" s="1711"/>
      <c r="O851" s="1711"/>
      <c r="P851" s="1711"/>
      <c r="Q851" s="1711"/>
      <c r="R851" s="1711"/>
      <c r="S851" s="1711"/>
      <c r="T851" s="1711"/>
      <c r="U851" s="1711"/>
      <c r="V851" s="1711"/>
      <c r="W851" s="1711"/>
      <c r="X851" s="1711"/>
      <c r="Y851" s="1711"/>
      <c r="Z851" s="1711"/>
      <c r="AA851" s="1712"/>
      <c r="AB851" s="1712"/>
      <c r="AC851" s="1712"/>
      <c r="AD851" s="1712"/>
      <c r="AE851" s="1712"/>
      <c r="AF851" s="1712"/>
      <c r="AG851" s="1712"/>
      <c r="AH851" s="1712"/>
      <c r="AI851" s="1712"/>
      <c r="AJ851" s="1712"/>
      <c r="AK851" s="1712"/>
      <c r="AL851" s="1712"/>
      <c r="AM851" s="1712"/>
      <c r="AN851" s="1712"/>
      <c r="AO851" s="1712"/>
      <c r="AP851" s="1712"/>
      <c r="AQ851" s="1712"/>
      <c r="AR851" s="1712"/>
      <c r="AS851" s="1712"/>
      <c r="AT851" s="1712"/>
      <c r="AU851" s="1712"/>
    </row>
    <row r="852">
      <c r="A852" s="1474" t="s">
        <v>2461</v>
      </c>
      <c r="B852" s="1708"/>
      <c r="C852" s="1709"/>
      <c r="D852" s="1709"/>
      <c r="E852" s="1709"/>
      <c r="F852" s="1710"/>
      <c r="G852" s="1710"/>
      <c r="H852" s="1710"/>
      <c r="I852" s="1710"/>
      <c r="J852" s="1710"/>
      <c r="K852" s="1710"/>
      <c r="L852" s="1710"/>
      <c r="M852" s="1710"/>
      <c r="N852" s="1711"/>
      <c r="O852" s="1711"/>
      <c r="P852" s="1711"/>
      <c r="Q852" s="1711"/>
      <c r="R852" s="1711"/>
      <c r="S852" s="1711"/>
      <c r="T852" s="1711"/>
      <c r="U852" s="1711"/>
      <c r="V852" s="1711"/>
      <c r="W852" s="1711"/>
      <c r="X852" s="1711"/>
      <c r="Y852" s="1711"/>
      <c r="Z852" s="1711"/>
      <c r="AA852" s="1712"/>
      <c r="AB852" s="1712"/>
      <c r="AC852" s="1712"/>
      <c r="AD852" s="1712"/>
      <c r="AE852" s="1712"/>
      <c r="AF852" s="1712"/>
      <c r="AG852" s="1712"/>
      <c r="AH852" s="1712"/>
      <c r="AI852" s="1712"/>
      <c r="AJ852" s="1712"/>
      <c r="AK852" s="1712"/>
      <c r="AL852" s="1712"/>
      <c r="AM852" s="1712"/>
      <c r="AN852" s="1712"/>
      <c r="AO852" s="1712"/>
      <c r="AP852" s="1712"/>
      <c r="AQ852" s="1712"/>
      <c r="AR852" s="1712"/>
      <c r="AS852" s="1712"/>
      <c r="AT852" s="1712"/>
      <c r="AU852" s="1712"/>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3"/>
    <col customWidth="1" min="2" max="2" width="13.86"/>
    <col customWidth="1" min="3" max="3" width="15.14"/>
    <col customWidth="1" min="4" max="4" width="14.43"/>
    <col customWidth="1" min="5" max="24" width="5.57"/>
    <col customWidth="1" min="25" max="29" width="14.43"/>
    <col customWidth="1" min="30" max="46" width="21.57"/>
  </cols>
  <sheetData>
    <row r="1" ht="27.0" customHeight="1">
      <c r="A1" s="1680"/>
      <c r="B1" s="1681" t="s">
        <v>4112</v>
      </c>
      <c r="C1" s="1682" t="s">
        <v>2247</v>
      </c>
      <c r="D1" s="1682" t="s">
        <v>230</v>
      </c>
      <c r="E1" s="1682" t="s">
        <v>171</v>
      </c>
      <c r="F1" s="1682" t="s">
        <v>4154</v>
      </c>
      <c r="G1" s="1682" t="s">
        <v>268</v>
      </c>
      <c r="H1" s="1682" t="s">
        <v>243</v>
      </c>
      <c r="I1" s="1682" t="s">
        <v>211</v>
      </c>
      <c r="J1" s="1683" t="s">
        <v>212</v>
      </c>
      <c r="K1" s="1683" t="s">
        <v>213</v>
      </c>
      <c r="L1" s="1683" t="s">
        <v>214</v>
      </c>
      <c r="M1" s="1683" t="s">
        <v>4140</v>
      </c>
      <c r="N1" s="1683" t="s">
        <v>4141</v>
      </c>
      <c r="O1" s="1682" t="s">
        <v>67</v>
      </c>
      <c r="P1" s="1682" t="s">
        <v>71</v>
      </c>
      <c r="Q1" s="1682" t="s">
        <v>76</v>
      </c>
      <c r="R1" s="1682" t="s">
        <v>80</v>
      </c>
      <c r="S1" s="1682" t="s">
        <v>83</v>
      </c>
      <c r="T1" s="1682" t="s">
        <v>88</v>
      </c>
      <c r="U1" s="1682" t="s">
        <v>2037</v>
      </c>
      <c r="V1" s="1682" t="s">
        <v>4122</v>
      </c>
      <c r="W1" s="1682" t="s">
        <v>4125</v>
      </c>
      <c r="X1" s="1682" t="s">
        <v>4130</v>
      </c>
      <c r="Y1" s="1682" t="s">
        <v>1062</v>
      </c>
      <c r="Z1" s="1682" t="s">
        <v>4116</v>
      </c>
      <c r="AA1" s="1682" t="s">
        <v>4126</v>
      </c>
      <c r="AB1" s="1682" t="s">
        <v>4137</v>
      </c>
      <c r="AC1" s="1682" t="s">
        <v>4142</v>
      </c>
      <c r="AD1" s="1682" t="s">
        <v>4155</v>
      </c>
      <c r="AE1" s="1682" t="s">
        <v>4156</v>
      </c>
      <c r="AF1" s="1682" t="s">
        <v>4157</v>
      </c>
      <c r="AG1" s="1682" t="s">
        <v>4158</v>
      </c>
      <c r="AH1" s="1682" t="s">
        <v>4159</v>
      </c>
      <c r="AI1" s="1682" t="s">
        <v>4160</v>
      </c>
      <c r="AJ1" s="1682" t="s">
        <v>4161</v>
      </c>
      <c r="AK1" s="1682" t="s">
        <v>4162</v>
      </c>
      <c r="AL1" s="1682" t="s">
        <v>4163</v>
      </c>
      <c r="AM1" s="1682" t="s">
        <v>4164</v>
      </c>
      <c r="AN1" s="1682" t="s">
        <v>4165</v>
      </c>
      <c r="AO1" s="1682" t="s">
        <v>4166</v>
      </c>
      <c r="AP1" s="1682" t="s">
        <v>4167</v>
      </c>
      <c r="AQ1" s="1682" t="s">
        <v>4168</v>
      </c>
      <c r="AR1" s="1682" t="s">
        <v>4169</v>
      </c>
      <c r="AS1" s="1682" t="s">
        <v>4170</v>
      </c>
      <c r="AT1" s="1682" t="s">
        <v>4171</v>
      </c>
    </row>
    <row r="2">
      <c r="A2" s="1713"/>
      <c r="B2" s="1684" t="s">
        <v>4292</v>
      </c>
      <c r="C2" s="1685" t="s">
        <v>4293</v>
      </c>
      <c r="D2" s="1685" t="s">
        <v>4294</v>
      </c>
      <c r="E2" s="1685" t="s">
        <v>4248</v>
      </c>
      <c r="F2" s="1685" t="s">
        <v>4230</v>
      </c>
      <c r="G2" s="1685">
        <v>13.0</v>
      </c>
      <c r="H2" s="1685">
        <v>21.0</v>
      </c>
      <c r="I2" s="1685">
        <v>20.0</v>
      </c>
      <c r="J2" s="1685"/>
      <c r="K2" s="1685">
        <v>40.0</v>
      </c>
      <c r="L2" s="1685"/>
      <c r="M2" s="1685"/>
      <c r="N2" s="1685"/>
      <c r="O2" s="1685">
        <v>6.0</v>
      </c>
      <c r="P2" s="1685">
        <v>17.0</v>
      </c>
      <c r="Q2" s="1685">
        <v>13.0</v>
      </c>
      <c r="R2" s="1685">
        <v>11.0</v>
      </c>
      <c r="S2" s="1685">
        <v>12.0</v>
      </c>
      <c r="T2" s="1685">
        <v>14.0</v>
      </c>
      <c r="U2" s="1685">
        <v>120.0</v>
      </c>
      <c r="V2" s="1685"/>
      <c r="W2" s="1685"/>
      <c r="X2" s="1685"/>
      <c r="Y2" s="1686" t="s">
        <v>4295</v>
      </c>
      <c r="Z2" s="1686"/>
      <c r="AA2" s="1686" t="s">
        <v>4296</v>
      </c>
      <c r="AB2" s="1686" t="s">
        <v>4297</v>
      </c>
      <c r="AC2" s="1686" t="s">
        <v>4207</v>
      </c>
      <c r="AD2" s="1686" t="s">
        <v>4298</v>
      </c>
      <c r="AE2" s="1686"/>
      <c r="AF2" s="1686"/>
      <c r="AG2" s="1686"/>
      <c r="AH2" s="1686" t="s">
        <v>4299</v>
      </c>
      <c r="AI2" s="1686" t="s">
        <v>4300</v>
      </c>
      <c r="AJ2" s="1686" t="s">
        <v>4301</v>
      </c>
      <c r="AK2" s="1686"/>
      <c r="AL2" s="1686"/>
      <c r="AM2" s="1686"/>
      <c r="AN2" s="1686"/>
      <c r="AO2" s="1686"/>
      <c r="AP2" s="1686"/>
      <c r="AQ2" s="1686"/>
      <c r="AR2" s="1686"/>
      <c r="AS2" s="1686"/>
      <c r="AT2" s="1686"/>
    </row>
    <row r="3">
      <c r="A3" s="1419"/>
      <c r="B3" s="1687" t="s">
        <v>4302</v>
      </c>
      <c r="C3" s="1688" t="s">
        <v>4303</v>
      </c>
      <c r="D3" s="1688" t="s">
        <v>4191</v>
      </c>
      <c r="E3" s="1690" t="s">
        <v>4248</v>
      </c>
      <c r="F3" s="1690" t="s">
        <v>4304</v>
      </c>
      <c r="G3" s="1690">
        <v>14.0</v>
      </c>
      <c r="H3" s="1690">
        <v>10.0</v>
      </c>
      <c r="I3" s="1690">
        <v>15.0</v>
      </c>
      <c r="J3" s="1690"/>
      <c r="K3" s="1690">
        <v>60.0</v>
      </c>
      <c r="L3" s="1690"/>
      <c r="M3" s="1690"/>
      <c r="N3" s="1690"/>
      <c r="O3" s="1690">
        <v>6.0</v>
      </c>
      <c r="P3" s="1690">
        <v>15.0</v>
      </c>
      <c r="Q3" s="1690">
        <v>13.0</v>
      </c>
      <c r="R3" s="1690">
        <v>10.0</v>
      </c>
      <c r="S3" s="1690">
        <v>12.0</v>
      </c>
      <c r="T3" s="1690">
        <v>10.0</v>
      </c>
      <c r="U3" s="1690">
        <v>60.0</v>
      </c>
      <c r="V3" s="1690">
        <v>10.0</v>
      </c>
      <c r="W3" s="1690"/>
      <c r="X3" s="1690"/>
      <c r="Y3" s="1690" t="s">
        <v>4305</v>
      </c>
      <c r="Z3" s="1690"/>
      <c r="AA3" s="1690"/>
      <c r="AB3" s="1690"/>
      <c r="AC3" s="1690"/>
      <c r="AD3" s="1690" t="s">
        <v>4306</v>
      </c>
      <c r="AE3" s="1690"/>
      <c r="AF3" s="1690"/>
      <c r="AG3" s="1690"/>
      <c r="AH3" s="1690" t="s">
        <v>4307</v>
      </c>
      <c r="AI3" s="1690" t="s">
        <v>4308</v>
      </c>
      <c r="AJ3" s="1690" t="s">
        <v>4309</v>
      </c>
      <c r="AK3" s="1690"/>
      <c r="AL3" s="1690"/>
      <c r="AM3" s="1690"/>
      <c r="AN3" s="1690"/>
      <c r="AO3" s="1690"/>
      <c r="AP3" s="1690"/>
      <c r="AQ3" s="1690"/>
      <c r="AR3" s="1690"/>
      <c r="AS3" s="1690"/>
      <c r="AT3" s="1690"/>
    </row>
    <row r="4">
      <c r="A4" s="1714"/>
      <c r="B4" s="1686" t="s">
        <v>4310</v>
      </c>
      <c r="C4" s="1686" t="s">
        <v>4311</v>
      </c>
      <c r="D4" s="1686" t="s">
        <v>4312</v>
      </c>
      <c r="E4" s="1686" t="s">
        <v>4248</v>
      </c>
      <c r="F4" s="1686" t="s">
        <v>4313</v>
      </c>
      <c r="G4" s="1686">
        <v>13.0</v>
      </c>
      <c r="H4" s="1686">
        <v>25.0</v>
      </c>
      <c r="I4" s="1686">
        <v>40.0</v>
      </c>
      <c r="J4" s="1686"/>
      <c r="K4" s="1686"/>
      <c r="L4" s="1686"/>
      <c r="M4" s="1686"/>
      <c r="N4" s="1686"/>
      <c r="O4" s="1686">
        <v>5.0</v>
      </c>
      <c r="P4" s="1686">
        <v>17.0</v>
      </c>
      <c r="Q4" s="1686">
        <v>10.0</v>
      </c>
      <c r="R4" s="1686">
        <v>7.0</v>
      </c>
      <c r="S4" s="1686">
        <v>10.0</v>
      </c>
      <c r="T4" s="1686">
        <v>10.0</v>
      </c>
      <c r="U4" s="1686">
        <v>120.0</v>
      </c>
      <c r="V4" s="1686"/>
      <c r="W4" s="1686"/>
      <c r="X4" s="1686"/>
      <c r="Y4" s="1686" t="s">
        <v>190</v>
      </c>
      <c r="Z4" s="1686"/>
      <c r="AA4" s="1686" t="s">
        <v>4314</v>
      </c>
      <c r="AB4" s="1686" t="s">
        <v>4187</v>
      </c>
      <c r="AC4" s="1686" t="s">
        <v>4207</v>
      </c>
      <c r="AD4" s="1686" t="s">
        <v>4315</v>
      </c>
      <c r="AE4" s="1686"/>
      <c r="AF4" s="1686"/>
      <c r="AG4" s="1686"/>
      <c r="AH4" s="1686" t="s">
        <v>4316</v>
      </c>
      <c r="AI4" s="1686" t="s">
        <v>4317</v>
      </c>
      <c r="AJ4" s="1686" t="s">
        <v>4318</v>
      </c>
      <c r="AK4" s="1686" t="s">
        <v>4319</v>
      </c>
      <c r="AL4" s="1686"/>
      <c r="AM4" s="1686"/>
      <c r="AN4" s="1686"/>
      <c r="AO4" s="1686"/>
      <c r="AP4" s="1686"/>
      <c r="AQ4" s="1686"/>
      <c r="AR4" s="1686"/>
      <c r="AS4" s="1686"/>
      <c r="AT4" s="1686"/>
    </row>
    <row r="5">
      <c r="A5" s="1419"/>
      <c r="B5" s="1687" t="s">
        <v>4228</v>
      </c>
      <c r="C5" s="1688" t="s">
        <v>4229</v>
      </c>
      <c r="D5" s="1688" t="s">
        <v>4211</v>
      </c>
      <c r="E5" s="1690" t="s">
        <v>690</v>
      </c>
      <c r="F5" s="1690" t="s">
        <v>4230</v>
      </c>
      <c r="G5" s="1690">
        <v>13.0</v>
      </c>
      <c r="H5" s="1690">
        <v>13.0</v>
      </c>
      <c r="I5" s="1690">
        <v>30.0</v>
      </c>
      <c r="J5" s="1690"/>
      <c r="K5" s="1690"/>
      <c r="L5" s="1690"/>
      <c r="M5" s="1690"/>
      <c r="N5" s="1690"/>
      <c r="O5" s="1690">
        <v>10.0</v>
      </c>
      <c r="P5" s="1690">
        <v>16.0</v>
      </c>
      <c r="Q5" s="1690">
        <v>15.0</v>
      </c>
      <c r="R5" s="1690">
        <v>6.0</v>
      </c>
      <c r="S5" s="1690">
        <v>8.0</v>
      </c>
      <c r="T5" s="1690">
        <v>5.0</v>
      </c>
      <c r="U5" s="1690">
        <v>60.0</v>
      </c>
      <c r="V5" s="1690"/>
      <c r="W5" s="1690"/>
      <c r="X5" s="1690"/>
      <c r="Y5" s="1690"/>
      <c r="Z5" s="1690" t="s">
        <v>1502</v>
      </c>
      <c r="AA5" s="1690"/>
      <c r="AB5" s="1690" t="s">
        <v>4187</v>
      </c>
      <c r="AC5" s="1690" t="s">
        <v>4225</v>
      </c>
      <c r="AD5" s="1690"/>
      <c r="AE5" s="1690"/>
      <c r="AF5" s="1690"/>
      <c r="AG5" s="1690"/>
      <c r="AH5" s="1690" t="s">
        <v>4231</v>
      </c>
      <c r="AI5" s="1690" t="s">
        <v>4232</v>
      </c>
      <c r="AJ5" s="1690"/>
      <c r="AK5" s="1690"/>
      <c r="AL5" s="1690"/>
      <c r="AM5" s="1690"/>
      <c r="AN5" s="1690"/>
      <c r="AO5" s="1690"/>
      <c r="AP5" s="1690"/>
      <c r="AQ5" s="1690"/>
      <c r="AR5" s="1690"/>
      <c r="AS5" s="1690"/>
      <c r="AT5" s="1690"/>
    </row>
    <row r="6">
      <c r="A6" s="1419"/>
      <c r="B6" s="1684" t="s">
        <v>4320</v>
      </c>
      <c r="C6" s="1685" t="s">
        <v>4321</v>
      </c>
      <c r="D6" s="1685" t="s">
        <v>4174</v>
      </c>
      <c r="E6" s="1686" t="s">
        <v>4248</v>
      </c>
      <c r="F6" s="1686" t="s">
        <v>4322</v>
      </c>
      <c r="G6" s="1686">
        <v>12.0</v>
      </c>
      <c r="H6" s="1686">
        <v>7.0</v>
      </c>
      <c r="I6" s="1686">
        <v>30.0</v>
      </c>
      <c r="J6" s="1686"/>
      <c r="K6" s="1686"/>
      <c r="L6" s="1686"/>
      <c r="M6" s="1686"/>
      <c r="N6" s="1686">
        <v>10.0</v>
      </c>
      <c r="O6" s="1686">
        <v>7.0</v>
      </c>
      <c r="P6" s="1686">
        <v>15.0</v>
      </c>
      <c r="Q6" s="1686">
        <v>10.0</v>
      </c>
      <c r="R6" s="1686">
        <v>3.0</v>
      </c>
      <c r="S6" s="1686">
        <v>5.0</v>
      </c>
      <c r="T6" s="1686">
        <v>3.0</v>
      </c>
      <c r="U6" s="1686">
        <v>60.0</v>
      </c>
      <c r="V6" s="1686"/>
      <c r="W6" s="1686"/>
      <c r="X6" s="1686"/>
      <c r="Y6" s="1686" t="s">
        <v>190</v>
      </c>
      <c r="Z6" s="1686"/>
      <c r="AA6" s="1686" t="s">
        <v>4323</v>
      </c>
      <c r="AB6" s="1686"/>
      <c r="AC6" s="1686"/>
      <c r="AD6" s="1686" t="s">
        <v>4324</v>
      </c>
      <c r="AE6" s="1686"/>
      <c r="AF6" s="1686"/>
      <c r="AG6" s="1686"/>
      <c r="AH6" s="1686" t="s">
        <v>4325</v>
      </c>
      <c r="AI6" s="1686"/>
      <c r="AJ6" s="1686"/>
      <c r="AK6" s="1686"/>
      <c r="AL6" s="1686"/>
      <c r="AM6" s="1686"/>
      <c r="AN6" s="1686"/>
      <c r="AO6" s="1686"/>
      <c r="AP6" s="1686"/>
      <c r="AQ6" s="1686"/>
      <c r="AR6" s="1686"/>
      <c r="AS6" s="1686"/>
      <c r="AT6" s="1686"/>
    </row>
    <row r="7">
      <c r="A7" s="1419"/>
      <c r="B7" s="1687" t="s">
        <v>4326</v>
      </c>
      <c r="C7" s="1688" t="s">
        <v>4327</v>
      </c>
      <c r="D7" s="1688" t="s">
        <v>4181</v>
      </c>
      <c r="E7" s="1690" t="s">
        <v>4248</v>
      </c>
      <c r="F7" s="1690" t="s">
        <v>4328</v>
      </c>
      <c r="G7" s="1690">
        <v>13.0</v>
      </c>
      <c r="H7" s="1690">
        <v>24.0</v>
      </c>
      <c r="I7" s="1690">
        <v>20.0</v>
      </c>
      <c r="J7" s="1690"/>
      <c r="K7" s="1690">
        <v>40.0</v>
      </c>
      <c r="L7" s="1690"/>
      <c r="M7" s="1690"/>
      <c r="N7" s="1690"/>
      <c r="O7" s="1690">
        <v>6.0</v>
      </c>
      <c r="P7" s="1690">
        <v>17.0</v>
      </c>
      <c r="Q7" s="1690">
        <v>13.0</v>
      </c>
      <c r="R7" s="1690">
        <v>15.0</v>
      </c>
      <c r="S7" s="1690">
        <v>12.0</v>
      </c>
      <c r="T7" s="1690">
        <v>11.0</v>
      </c>
      <c r="U7" s="1690">
        <v>60.0</v>
      </c>
      <c r="V7" s="1690"/>
      <c r="W7" s="1690"/>
      <c r="X7" s="1690"/>
      <c r="Y7" s="1690" t="s">
        <v>4329</v>
      </c>
      <c r="Z7" s="1690"/>
      <c r="AA7" s="1690" t="s">
        <v>4330</v>
      </c>
      <c r="AB7" s="1690"/>
      <c r="AC7" s="1690"/>
      <c r="AD7" s="1690" t="s">
        <v>4331</v>
      </c>
      <c r="AE7" s="1690"/>
      <c r="AF7" s="1690"/>
      <c r="AG7" s="1690"/>
      <c r="AH7" s="1690" t="s">
        <v>4332</v>
      </c>
      <c r="AI7" s="1690"/>
      <c r="AJ7" s="1690"/>
      <c r="AK7" s="1690"/>
      <c r="AL7" s="1690"/>
      <c r="AM7" s="1690"/>
      <c r="AN7" s="1690"/>
      <c r="AO7" s="1690"/>
      <c r="AP7" s="1690"/>
      <c r="AQ7" s="1690" t="s">
        <v>4333</v>
      </c>
      <c r="AR7" s="1690"/>
      <c r="AS7" s="1690"/>
      <c r="AT7" s="1690"/>
    </row>
    <row r="8">
      <c r="A8" s="1419"/>
      <c r="B8" s="1684" t="s">
        <v>4334</v>
      </c>
      <c r="C8" s="1685" t="s">
        <v>4335</v>
      </c>
      <c r="D8" s="1685" t="s">
        <v>4202</v>
      </c>
      <c r="E8" s="1686" t="s">
        <v>4248</v>
      </c>
      <c r="F8" s="1686" t="s">
        <v>4304</v>
      </c>
      <c r="G8" s="1686">
        <v>15.0</v>
      </c>
      <c r="H8" s="1686">
        <v>10.0</v>
      </c>
      <c r="I8" s="1686">
        <v>10.0</v>
      </c>
      <c r="J8" s="1686"/>
      <c r="K8" s="1686">
        <v>40.0</v>
      </c>
      <c r="L8" s="1686"/>
      <c r="M8" s="1686"/>
      <c r="N8" s="1686"/>
      <c r="O8" s="1686">
        <v>3.0</v>
      </c>
      <c r="P8" s="1686">
        <v>18.0</v>
      </c>
      <c r="Q8" s="1686">
        <v>10.0</v>
      </c>
      <c r="R8" s="1686">
        <v>14.0</v>
      </c>
      <c r="S8" s="1686">
        <v>13.0</v>
      </c>
      <c r="T8" s="1686">
        <v>11.0</v>
      </c>
      <c r="U8" s="1686"/>
      <c r="V8" s="1686"/>
      <c r="W8" s="1686"/>
      <c r="X8" s="1686"/>
      <c r="Y8" s="1686" t="s">
        <v>4336</v>
      </c>
      <c r="Z8" s="1686"/>
      <c r="AA8" s="1686"/>
      <c r="AB8" s="1686"/>
      <c r="AC8" s="1686"/>
      <c r="AD8" s="1686"/>
      <c r="AE8" s="1686"/>
      <c r="AF8" s="1686"/>
      <c r="AG8" s="1686"/>
      <c r="AH8" s="1686" t="s">
        <v>4337</v>
      </c>
      <c r="AI8" s="1686" t="s">
        <v>4338</v>
      </c>
      <c r="AJ8" s="1686" t="s">
        <v>4339</v>
      </c>
      <c r="AK8" s="1686" t="s">
        <v>4340</v>
      </c>
      <c r="AL8" s="1686"/>
      <c r="AM8" s="1686"/>
      <c r="AN8" s="1686"/>
      <c r="AO8" s="1686"/>
      <c r="AP8" s="1686"/>
      <c r="AQ8" s="1686"/>
      <c r="AR8" s="1686"/>
      <c r="AS8" s="1686"/>
      <c r="AT8" s="1686"/>
    </row>
    <row r="9">
      <c r="A9" s="1419"/>
      <c r="B9" s="1687" t="s">
        <v>4341</v>
      </c>
      <c r="C9" s="1688" t="s">
        <v>4342</v>
      </c>
      <c r="D9" s="1688"/>
      <c r="E9" s="1690" t="s">
        <v>4248</v>
      </c>
      <c r="F9" s="1690" t="s">
        <v>4217</v>
      </c>
      <c r="G9" s="1690">
        <v>12.0</v>
      </c>
      <c r="H9" s="1690">
        <v>5.0</v>
      </c>
      <c r="I9" s="1690">
        <v>30.0</v>
      </c>
      <c r="J9" s="1690">
        <v>30.0</v>
      </c>
      <c r="K9" s="1689"/>
      <c r="L9" s="1690"/>
      <c r="M9" s="1690"/>
      <c r="N9" s="1690"/>
      <c r="O9" s="1690">
        <v>2.0</v>
      </c>
      <c r="P9" s="1690">
        <v>15.0</v>
      </c>
      <c r="Q9" s="1690">
        <v>11.0</v>
      </c>
      <c r="R9" s="1690">
        <v>1.0</v>
      </c>
      <c r="S9" s="1690">
        <v>10.0</v>
      </c>
      <c r="T9" s="1690">
        <v>3.0</v>
      </c>
      <c r="U9" s="1690"/>
      <c r="V9" s="1690">
        <v>10.0</v>
      </c>
      <c r="W9" s="1690"/>
      <c r="X9" s="1690"/>
      <c r="Y9" s="1690"/>
      <c r="Z9" s="1690"/>
      <c r="AA9" s="1690"/>
      <c r="AB9" s="1690"/>
      <c r="AC9" s="1690"/>
      <c r="AD9" s="1690"/>
      <c r="AE9" s="1690"/>
      <c r="AF9" s="1690"/>
      <c r="AG9" s="1690"/>
      <c r="AH9" s="1690" t="s">
        <v>4343</v>
      </c>
      <c r="AI9" s="1690"/>
      <c r="AJ9" s="1690"/>
      <c r="AK9" s="1690"/>
      <c r="AL9" s="1690"/>
      <c r="AM9" s="1690"/>
      <c r="AN9" s="1690"/>
      <c r="AO9" s="1690"/>
      <c r="AP9" s="1690"/>
      <c r="AQ9" s="1690"/>
      <c r="AR9" s="1690"/>
      <c r="AS9" s="1690"/>
      <c r="AT9" s="1690"/>
    </row>
    <row r="10">
      <c r="A10" s="1419"/>
      <c r="B10" s="1684" t="s">
        <v>4344</v>
      </c>
      <c r="C10" s="1685" t="s">
        <v>4345</v>
      </c>
      <c r="D10" s="1685"/>
      <c r="E10" s="1686" t="s">
        <v>4248</v>
      </c>
      <c r="F10" s="1686" t="s">
        <v>4217</v>
      </c>
      <c r="G10" s="1686">
        <v>12.0</v>
      </c>
      <c r="H10" s="1686">
        <v>1.0</v>
      </c>
      <c r="I10" s="1686">
        <v>5.0</v>
      </c>
      <c r="J10" s="1686"/>
      <c r="K10" s="1686">
        <v>30.0</v>
      </c>
      <c r="L10" s="1686"/>
      <c r="M10" s="1686"/>
      <c r="N10" s="1686"/>
      <c r="O10" s="1686">
        <v>2.0</v>
      </c>
      <c r="P10" s="1686">
        <v>15.0</v>
      </c>
      <c r="Q10" s="1686">
        <v>8.0</v>
      </c>
      <c r="R10" s="1686">
        <v>2.0</v>
      </c>
      <c r="S10" s="1686">
        <v>12.0</v>
      </c>
      <c r="T10" s="1686">
        <v>4.0</v>
      </c>
      <c r="U10" s="1686"/>
      <c r="V10" s="1686">
        <v>60.0</v>
      </c>
      <c r="W10" s="1686"/>
      <c r="X10" s="1686"/>
      <c r="Y10" s="1686"/>
      <c r="Z10" s="1686"/>
      <c r="AA10" s="1686"/>
      <c r="AB10" s="1686"/>
      <c r="AC10" s="1686"/>
      <c r="AD10" s="1686"/>
      <c r="AE10" s="1686"/>
      <c r="AF10" s="1686"/>
      <c r="AG10" s="1686"/>
      <c r="AH10" s="1686" t="s">
        <v>4346</v>
      </c>
      <c r="AI10" s="1686"/>
      <c r="AJ10" s="1686"/>
      <c r="AK10" s="1686"/>
      <c r="AL10" s="1686"/>
      <c r="AM10" s="1686"/>
      <c r="AN10" s="1686"/>
      <c r="AO10" s="1686"/>
      <c r="AP10" s="1686"/>
      <c r="AQ10" s="1686"/>
      <c r="AR10" s="1686"/>
      <c r="AS10" s="1686"/>
      <c r="AT10" s="1686"/>
    </row>
    <row r="11">
      <c r="A11" s="1419"/>
      <c r="B11" s="1687" t="s">
        <v>4347</v>
      </c>
      <c r="C11" s="1688" t="s">
        <v>4348</v>
      </c>
      <c r="D11" s="1688"/>
      <c r="E11" s="1690" t="s">
        <v>4248</v>
      </c>
      <c r="F11" s="1690" t="s">
        <v>4217</v>
      </c>
      <c r="G11" s="1690">
        <v>12.0</v>
      </c>
      <c r="H11" s="1690">
        <v>2.0</v>
      </c>
      <c r="I11" s="1690">
        <v>40.0</v>
      </c>
      <c r="J11" s="1690"/>
      <c r="K11" s="1690"/>
      <c r="L11" s="1690">
        <v>40.0</v>
      </c>
      <c r="M11" s="1690"/>
      <c r="N11" s="1690"/>
      <c r="O11" s="1690">
        <v>3.0</v>
      </c>
      <c r="P11" s="1690">
        <v>15.0</v>
      </c>
      <c r="Q11" s="1690">
        <v>10.0</v>
      </c>
      <c r="R11" s="1690">
        <v>3.0</v>
      </c>
      <c r="S11" s="1690">
        <v>12.0</v>
      </c>
      <c r="T11" s="1690">
        <v>7.0</v>
      </c>
      <c r="U11" s="1690">
        <v>60.0</v>
      </c>
      <c r="V11" s="1690"/>
      <c r="W11" s="1690"/>
      <c r="X11" s="1690"/>
      <c r="Y11" s="1690"/>
      <c r="Z11" s="1690"/>
      <c r="AA11" s="1690"/>
      <c r="AB11" s="1690"/>
      <c r="AC11" s="1690"/>
      <c r="AD11" s="1690" t="s">
        <v>4349</v>
      </c>
      <c r="AE11" s="1690"/>
      <c r="AF11" s="1690"/>
      <c r="AG11" s="1690"/>
      <c r="AH11" s="1690" t="s">
        <v>4350</v>
      </c>
      <c r="AI11" s="1690"/>
      <c r="AJ11" s="1690"/>
      <c r="AK11" s="1690"/>
      <c r="AL11" s="1690"/>
      <c r="AM11" s="1690"/>
      <c r="AN11" s="1690"/>
      <c r="AO11" s="1690"/>
      <c r="AP11" s="1690"/>
      <c r="AQ11" s="1690"/>
      <c r="AR11" s="1690"/>
      <c r="AS11" s="1690"/>
      <c r="AT11" s="1690"/>
    </row>
    <row r="12">
      <c r="A12" s="1419"/>
      <c r="B12" s="1684" t="s">
        <v>4351</v>
      </c>
      <c r="C12" s="1685" t="s">
        <v>4352</v>
      </c>
      <c r="D12" s="1685"/>
      <c r="E12" s="1686" t="s">
        <v>4248</v>
      </c>
      <c r="F12" s="1686" t="s">
        <v>4217</v>
      </c>
      <c r="G12" s="1686">
        <v>11.0</v>
      </c>
      <c r="H12" s="1686">
        <v>1.0</v>
      </c>
      <c r="I12" s="1686">
        <v>20.0</v>
      </c>
      <c r="J12" s="1686">
        <v>20.0</v>
      </c>
      <c r="K12" s="1686"/>
      <c r="L12" s="1686"/>
      <c r="M12" s="1686"/>
      <c r="N12" s="1686"/>
      <c r="O12" s="1686">
        <v>1.0</v>
      </c>
      <c r="P12" s="1686">
        <v>13.0</v>
      </c>
      <c r="Q12" s="1686">
        <v>8.0</v>
      </c>
      <c r="R12" s="1686">
        <v>1.0</v>
      </c>
      <c r="S12" s="1686">
        <v>8.0</v>
      </c>
      <c r="T12" s="1686">
        <v>3.0</v>
      </c>
      <c r="U12" s="1686">
        <v>30.0</v>
      </c>
      <c r="V12" s="1686"/>
      <c r="W12" s="1686"/>
      <c r="X12" s="1686"/>
      <c r="Y12" s="1686"/>
      <c r="Z12" s="1686"/>
      <c r="AA12" s="1686"/>
      <c r="AB12" s="1686"/>
      <c r="AC12" s="1686"/>
      <c r="AD12" s="1686" t="s">
        <v>4353</v>
      </c>
      <c r="AE12" s="1686" t="s">
        <v>4354</v>
      </c>
      <c r="AF12" s="1686"/>
      <c r="AG12" s="1686"/>
      <c r="AH12" s="1686" t="s">
        <v>4355</v>
      </c>
      <c r="AI12" s="1686"/>
      <c r="AJ12" s="1686"/>
      <c r="AK12" s="1686"/>
      <c r="AL12" s="1686"/>
      <c r="AM12" s="1686"/>
      <c r="AN12" s="1686"/>
      <c r="AO12" s="1686"/>
      <c r="AP12" s="1686"/>
      <c r="AQ12" s="1686"/>
      <c r="AR12" s="1686"/>
      <c r="AS12" s="1686"/>
      <c r="AT12" s="1686"/>
    </row>
    <row r="13">
      <c r="A13" s="1419"/>
      <c r="B13" s="1687" t="s">
        <v>4356</v>
      </c>
      <c r="C13" s="1688" t="s">
        <v>4357</v>
      </c>
      <c r="D13" s="1688"/>
      <c r="E13" s="1690" t="s">
        <v>4248</v>
      </c>
      <c r="F13" s="1690" t="s">
        <v>4217</v>
      </c>
      <c r="G13" s="1690">
        <v>13.0</v>
      </c>
      <c r="H13" s="1690">
        <v>1.0</v>
      </c>
      <c r="I13" s="1690">
        <v>10.0</v>
      </c>
      <c r="J13" s="1690"/>
      <c r="K13" s="1690">
        <v>60.0</v>
      </c>
      <c r="L13" s="1690"/>
      <c r="M13" s="1690"/>
      <c r="N13" s="1690"/>
      <c r="O13" s="1690">
        <v>5.0</v>
      </c>
      <c r="P13" s="1690">
        <v>16.0</v>
      </c>
      <c r="Q13" s="1690">
        <v>8.0</v>
      </c>
      <c r="R13" s="1690">
        <v>2.0</v>
      </c>
      <c r="S13" s="1690">
        <v>14.0</v>
      </c>
      <c r="T13" s="1690">
        <v>6.0</v>
      </c>
      <c r="U13" s="1690"/>
      <c r="V13" s="1690"/>
      <c r="W13" s="1690"/>
      <c r="X13" s="1690"/>
      <c r="Y13" s="1690"/>
      <c r="Z13" s="1690"/>
      <c r="AA13" s="1690"/>
      <c r="AB13" s="1690"/>
      <c r="AC13" s="1690"/>
      <c r="AD13" s="1690"/>
      <c r="AE13" s="1690"/>
      <c r="AF13" s="1690"/>
      <c r="AG13" s="1690"/>
      <c r="AH13" s="1690" t="s">
        <v>4358</v>
      </c>
      <c r="AI13" s="1690"/>
      <c r="AJ13" s="1690"/>
      <c r="AK13" s="1690"/>
      <c r="AL13" s="1690"/>
      <c r="AM13" s="1690"/>
      <c r="AN13" s="1690"/>
      <c r="AO13" s="1690"/>
      <c r="AP13" s="1690"/>
      <c r="AQ13" s="1690"/>
      <c r="AR13" s="1690"/>
      <c r="AS13" s="1690"/>
      <c r="AT13" s="1690"/>
    </row>
    <row r="14">
      <c r="A14" s="1419"/>
      <c r="B14" s="1684" t="s">
        <v>4359</v>
      </c>
      <c r="C14" s="1685" t="s">
        <v>4360</v>
      </c>
      <c r="D14" s="1685"/>
      <c r="E14" s="1686" t="s">
        <v>4248</v>
      </c>
      <c r="F14" s="1686" t="s">
        <v>4217</v>
      </c>
      <c r="G14" s="1686">
        <v>10.0</v>
      </c>
      <c r="H14" s="1686">
        <v>2.0</v>
      </c>
      <c r="I14" s="1686">
        <v>20.0</v>
      </c>
      <c r="J14" s="1686"/>
      <c r="K14" s="1686"/>
      <c r="L14" s="1686">
        <v>20.0</v>
      </c>
      <c r="M14" s="1686"/>
      <c r="N14" s="1686"/>
      <c r="O14" s="1686">
        <v>2.0</v>
      </c>
      <c r="P14" s="1686">
        <v>11.0</v>
      </c>
      <c r="Q14" s="1686">
        <v>10.0</v>
      </c>
      <c r="R14" s="1686">
        <v>1.0</v>
      </c>
      <c r="S14" s="1686">
        <v>8.0</v>
      </c>
      <c r="T14" s="1686">
        <v>3.0</v>
      </c>
      <c r="U14" s="1686">
        <v>30.0</v>
      </c>
      <c r="V14" s="1686"/>
      <c r="W14" s="1686"/>
      <c r="X14" s="1686"/>
      <c r="Y14" s="1686"/>
      <c r="Z14" s="1686"/>
      <c r="AA14" s="1686"/>
      <c r="AB14" s="1686"/>
      <c r="AC14" s="1686"/>
      <c r="AD14" s="1686" t="s">
        <v>4361</v>
      </c>
      <c r="AE14" s="1686"/>
      <c r="AF14" s="1686"/>
      <c r="AG14" s="1686"/>
      <c r="AH14" s="1686" t="s">
        <v>4362</v>
      </c>
      <c r="AI14" s="1686"/>
      <c r="AJ14" s="1686"/>
      <c r="AK14" s="1686"/>
      <c r="AL14" s="1686"/>
      <c r="AM14" s="1686"/>
      <c r="AN14" s="1686"/>
      <c r="AO14" s="1686"/>
      <c r="AP14" s="1686"/>
      <c r="AQ14" s="1686"/>
      <c r="AR14" s="1686"/>
      <c r="AS14" s="1686"/>
      <c r="AT14" s="1686"/>
    </row>
    <row r="15">
      <c r="A15" s="1419"/>
      <c r="B15" s="1687" t="s">
        <v>4363</v>
      </c>
      <c r="C15" s="1688" t="s">
        <v>4364</v>
      </c>
      <c r="D15" s="1688"/>
      <c r="E15" s="1690" t="s">
        <v>705</v>
      </c>
      <c r="F15" s="1690" t="s">
        <v>4217</v>
      </c>
      <c r="G15" s="1690">
        <v>12.0</v>
      </c>
      <c r="H15" s="1690">
        <v>3.0</v>
      </c>
      <c r="I15" s="1690">
        <v>5.0</v>
      </c>
      <c r="J15" s="1690">
        <v>30.0</v>
      </c>
      <c r="K15" s="1690"/>
      <c r="L15" s="1690"/>
      <c r="M15" s="1690"/>
      <c r="N15" s="1690"/>
      <c r="O15" s="1690">
        <v>4.0</v>
      </c>
      <c r="P15" s="1690">
        <v>15.0</v>
      </c>
      <c r="Q15" s="1690">
        <v>11.0</v>
      </c>
      <c r="R15" s="1690">
        <v>3.0</v>
      </c>
      <c r="S15" s="1690">
        <v>10.0</v>
      </c>
      <c r="T15" s="1690">
        <v>4.0</v>
      </c>
      <c r="U15" s="1690">
        <v>30.0</v>
      </c>
      <c r="V15" s="1690"/>
      <c r="W15" s="1690"/>
      <c r="X15" s="1690"/>
      <c r="Y15" s="1690"/>
      <c r="Z15" s="1690"/>
      <c r="AA15" s="1690"/>
      <c r="AB15" s="1690"/>
      <c r="AC15" s="1690"/>
      <c r="AD15" s="1690" t="s">
        <v>4365</v>
      </c>
      <c r="AE15" s="1690" t="s">
        <v>4366</v>
      </c>
      <c r="AF15" s="1690"/>
      <c r="AG15" s="1690"/>
      <c r="AH15" s="1690" t="s">
        <v>4367</v>
      </c>
      <c r="AI15" s="1690"/>
      <c r="AJ15" s="1690"/>
      <c r="AK15" s="1690"/>
      <c r="AL15" s="1690"/>
      <c r="AM15" s="1690"/>
      <c r="AN15" s="1690"/>
      <c r="AO15" s="1690"/>
      <c r="AP15" s="1690"/>
      <c r="AQ15" s="1690" t="s">
        <v>4368</v>
      </c>
      <c r="AR15" s="1690"/>
      <c r="AS15" s="1690"/>
      <c r="AT15" s="1690"/>
    </row>
    <row r="16">
      <c r="A16" s="1419"/>
      <c r="B16" s="1684" t="s">
        <v>4369</v>
      </c>
      <c r="C16" s="1685" t="s">
        <v>4370</v>
      </c>
      <c r="D16" s="1685"/>
      <c r="E16" s="1686" t="s">
        <v>4248</v>
      </c>
      <c r="F16" s="1715" t="s">
        <v>4217</v>
      </c>
      <c r="G16" s="1715">
        <v>11.0</v>
      </c>
      <c r="H16" s="1686">
        <v>1.0</v>
      </c>
      <c r="I16" s="1686">
        <v>5.0</v>
      </c>
      <c r="J16" s="1686"/>
      <c r="K16" s="1686">
        <v>60.0</v>
      </c>
      <c r="L16" s="1686"/>
      <c r="M16" s="1686"/>
      <c r="N16" s="1686"/>
      <c r="O16" s="1686">
        <v>3.0</v>
      </c>
      <c r="P16" s="1686">
        <v>13.0</v>
      </c>
      <c r="Q16" s="1686">
        <v>8.0</v>
      </c>
      <c r="R16" s="1686">
        <v>2.0</v>
      </c>
      <c r="S16" s="1686">
        <v>12.0</v>
      </c>
      <c r="T16" s="1686">
        <v>7.0</v>
      </c>
      <c r="U16" s="1686">
        <v>120.0</v>
      </c>
      <c r="V16" s="1686"/>
      <c r="W16" s="1686"/>
      <c r="X16" s="1686"/>
      <c r="Y16" s="1686"/>
      <c r="Z16" s="1686"/>
      <c r="AA16" s="1686"/>
      <c r="AB16" s="1686"/>
      <c r="AC16" s="1686"/>
      <c r="AD16" s="1686" t="s">
        <v>4371</v>
      </c>
      <c r="AE16" s="1686"/>
      <c r="AF16" s="1686"/>
      <c r="AG16" s="1686"/>
      <c r="AH16" s="1686" t="s">
        <v>4372</v>
      </c>
      <c r="AI16" s="1686"/>
      <c r="AJ16" s="1686"/>
      <c r="AK16" s="1686"/>
      <c r="AL16" s="1686"/>
      <c r="AM16" s="1686"/>
      <c r="AN16" s="1686"/>
      <c r="AO16" s="1686"/>
      <c r="AP16" s="1686"/>
      <c r="AQ16" s="1686"/>
      <c r="AR16" s="1686"/>
      <c r="AS16" s="1686"/>
      <c r="AT16" s="1686"/>
    </row>
    <row r="17">
      <c r="A17" s="1419"/>
      <c r="B17" s="1687" t="s">
        <v>4373</v>
      </c>
      <c r="C17" s="1688" t="s">
        <v>4374</v>
      </c>
      <c r="D17" s="1688"/>
      <c r="E17" s="1690" t="s">
        <v>4248</v>
      </c>
      <c r="F17" s="1690" t="s">
        <v>4217</v>
      </c>
      <c r="G17" s="1690">
        <v>10.0</v>
      </c>
      <c r="H17" s="1690">
        <v>1.0</v>
      </c>
      <c r="I17" s="1690">
        <v>20.0</v>
      </c>
      <c r="J17" s="1690"/>
      <c r="K17" s="1690"/>
      <c r="L17" s="1690">
        <v>20.0</v>
      </c>
      <c r="M17" s="1690"/>
      <c r="N17" s="1690"/>
      <c r="O17" s="1690">
        <v>2.0</v>
      </c>
      <c r="P17" s="1690">
        <v>11.0</v>
      </c>
      <c r="Q17" s="1690">
        <v>9.0</v>
      </c>
      <c r="R17" s="1690">
        <v>2.0</v>
      </c>
      <c r="S17" s="1690">
        <v>10.0</v>
      </c>
      <c r="T17" s="1690">
        <v>4.0</v>
      </c>
      <c r="U17" s="1690">
        <v>30.0</v>
      </c>
      <c r="V17" s="1690"/>
      <c r="W17" s="1690"/>
      <c r="X17" s="1690"/>
      <c r="Y17" s="1690"/>
      <c r="Z17" s="1690"/>
      <c r="AA17" s="1690"/>
      <c r="AB17" s="1690"/>
      <c r="AC17" s="1690"/>
      <c r="AD17" s="1690" t="s">
        <v>4375</v>
      </c>
      <c r="AE17" s="1690"/>
      <c r="AF17" s="1690"/>
      <c r="AG17" s="1690"/>
      <c r="AH17" s="1690" t="s">
        <v>4362</v>
      </c>
      <c r="AI17" s="1690"/>
      <c r="AJ17" s="1690"/>
      <c r="AK17" s="1690"/>
      <c r="AL17" s="1690"/>
      <c r="AM17" s="1690"/>
      <c r="AN17" s="1690"/>
      <c r="AO17" s="1690"/>
      <c r="AP17" s="1690"/>
      <c r="AQ17" s="1690"/>
      <c r="AR17" s="1690"/>
      <c r="AS17" s="1690"/>
      <c r="AT17" s="1690"/>
    </row>
    <row r="18">
      <c r="A18" s="1419"/>
      <c r="B18" s="1684" t="s">
        <v>4376</v>
      </c>
      <c r="C18" s="1685" t="s">
        <v>4377</v>
      </c>
      <c r="D18" s="1685"/>
      <c r="E18" s="1686" t="s">
        <v>4248</v>
      </c>
      <c r="F18" s="1686" t="s">
        <v>4217</v>
      </c>
      <c r="G18" s="1686">
        <v>12.0</v>
      </c>
      <c r="H18" s="1686">
        <v>2.0</v>
      </c>
      <c r="I18" s="1686">
        <v>10.0</v>
      </c>
      <c r="J18" s="1686"/>
      <c r="K18" s="1686">
        <v>50.0</v>
      </c>
      <c r="L18" s="1686"/>
      <c r="M18" s="1686"/>
      <c r="N18" s="1686"/>
      <c r="O18" s="1686">
        <v>2.0</v>
      </c>
      <c r="P18" s="1686">
        <v>14.0</v>
      </c>
      <c r="Q18" s="1686">
        <v>10.0</v>
      </c>
      <c r="R18" s="1686">
        <v>5.0</v>
      </c>
      <c r="S18" s="1686">
        <v>13.0</v>
      </c>
      <c r="T18" s="1686">
        <v>6.0</v>
      </c>
      <c r="U18" s="1686"/>
      <c r="V18" s="1686"/>
      <c r="W18" s="1686"/>
      <c r="X18" s="1686"/>
      <c r="Y18" s="1686"/>
      <c r="Z18" s="1686"/>
      <c r="AA18" s="1686"/>
      <c r="AB18" s="1686"/>
      <c r="AC18" s="1686"/>
      <c r="AD18" s="1686" t="s">
        <v>4378</v>
      </c>
      <c r="AE18" s="1686"/>
      <c r="AF18" s="1686"/>
      <c r="AG18" s="1686"/>
      <c r="AH18" s="1686" t="s">
        <v>4379</v>
      </c>
      <c r="AI18" s="1686"/>
      <c r="AJ18" s="1686"/>
      <c r="AK18" s="1686"/>
      <c r="AL18" s="1686"/>
      <c r="AM18" s="1686"/>
      <c r="AN18" s="1686"/>
      <c r="AO18" s="1686"/>
      <c r="AP18" s="1686"/>
      <c r="AQ18" s="1686"/>
      <c r="AR18" s="1686"/>
      <c r="AS18" s="1686"/>
      <c r="AT18" s="1686"/>
    </row>
    <row r="19">
      <c r="A19" s="1419"/>
      <c r="B19" s="1687" t="s">
        <v>4380</v>
      </c>
      <c r="C19" s="1688" t="s">
        <v>4381</v>
      </c>
      <c r="D19" s="1688"/>
      <c r="E19" s="1689" t="s">
        <v>4248</v>
      </c>
      <c r="F19" s="1689" t="s">
        <v>4217</v>
      </c>
      <c r="G19" s="1689">
        <v>12.0</v>
      </c>
      <c r="H19" s="1689">
        <v>1.0</v>
      </c>
      <c r="I19" s="1689">
        <v>20.0</v>
      </c>
      <c r="J19" s="1689"/>
      <c r="K19" s="1689"/>
      <c r="L19" s="1689">
        <v>20.0</v>
      </c>
      <c r="M19" s="1689"/>
      <c r="N19" s="1689"/>
      <c r="O19" s="1689">
        <v>2.0</v>
      </c>
      <c r="P19" s="1689">
        <v>14.0</v>
      </c>
      <c r="Q19" s="1689">
        <v>8.0</v>
      </c>
      <c r="R19" s="1689">
        <v>1.0</v>
      </c>
      <c r="S19" s="1689">
        <v>10.0</v>
      </c>
      <c r="T19" s="1689">
        <v>2.0</v>
      </c>
      <c r="U19" s="1689">
        <v>30.0</v>
      </c>
      <c r="V19" s="1689"/>
      <c r="W19" s="1689"/>
      <c r="X19" s="1689"/>
      <c r="Y19" s="1690"/>
      <c r="Z19" s="1690"/>
      <c r="AA19" s="1690"/>
      <c r="AB19" s="1690"/>
      <c r="AC19" s="1690"/>
      <c r="AD19" s="1690" t="s">
        <v>4382</v>
      </c>
      <c r="AE19" s="1690" t="s">
        <v>4383</v>
      </c>
      <c r="AF19" s="1690"/>
      <c r="AG19" s="1690"/>
      <c r="AH19" s="1690" t="s">
        <v>4384</v>
      </c>
      <c r="AI19" s="1690"/>
      <c r="AJ19" s="1690"/>
      <c r="AK19" s="1690"/>
      <c r="AL19" s="1690"/>
      <c r="AM19" s="1690"/>
      <c r="AN19" s="1690"/>
      <c r="AO19" s="1690"/>
      <c r="AP19" s="1690"/>
      <c r="AQ19" s="1690"/>
      <c r="AR19" s="1690"/>
      <c r="AS19" s="1690"/>
      <c r="AT19" s="1690"/>
    </row>
    <row r="20">
      <c r="A20" s="1419"/>
      <c r="B20" s="1684" t="s">
        <v>4385</v>
      </c>
      <c r="C20" s="1685" t="s">
        <v>4386</v>
      </c>
      <c r="D20" s="1685"/>
      <c r="E20" s="1686" t="s">
        <v>4248</v>
      </c>
      <c r="F20" s="1686" t="s">
        <v>4217</v>
      </c>
      <c r="G20" s="1686">
        <v>13.0</v>
      </c>
      <c r="H20" s="1686">
        <v>1.0</v>
      </c>
      <c r="I20" s="1686">
        <v>30.0</v>
      </c>
      <c r="J20" s="1686"/>
      <c r="K20" s="1686"/>
      <c r="L20" s="1686">
        <v>30.0</v>
      </c>
      <c r="M20" s="1686"/>
      <c r="N20" s="1686"/>
      <c r="O20" s="1686">
        <v>3.0</v>
      </c>
      <c r="P20" s="1686">
        <v>16.0</v>
      </c>
      <c r="Q20" s="1686">
        <v>8.0</v>
      </c>
      <c r="R20" s="1686">
        <v>2.0</v>
      </c>
      <c r="S20" s="1686">
        <v>12.0</v>
      </c>
      <c r="T20" s="1686">
        <v>3.0</v>
      </c>
      <c r="U20" s="1686">
        <v>60.0</v>
      </c>
      <c r="V20" s="1686"/>
      <c r="W20" s="1686"/>
      <c r="X20" s="1686"/>
      <c r="Y20" s="1686"/>
      <c r="Z20" s="1686"/>
      <c r="AA20" s="1686"/>
      <c r="AB20" s="1686"/>
      <c r="AC20" s="1686"/>
      <c r="AD20" s="1686"/>
      <c r="AE20" s="1686"/>
      <c r="AF20" s="1686"/>
      <c r="AG20" s="1686"/>
      <c r="AH20" s="1686" t="s">
        <v>4387</v>
      </c>
      <c r="AI20" s="1686"/>
      <c r="AJ20" s="1686"/>
      <c r="AK20" s="1686"/>
      <c r="AL20" s="1686"/>
      <c r="AM20" s="1686"/>
      <c r="AN20" s="1686"/>
      <c r="AO20" s="1686"/>
      <c r="AP20" s="1686"/>
      <c r="AQ20" s="1686"/>
      <c r="AR20" s="1686"/>
      <c r="AS20" s="1686"/>
      <c r="AT20" s="1686"/>
    </row>
    <row r="21">
      <c r="A21" s="1419"/>
      <c r="B21" s="1687"/>
      <c r="C21" s="1688"/>
      <c r="D21" s="1688"/>
      <c r="E21" s="1690"/>
      <c r="F21" s="1690"/>
      <c r="G21" s="1690"/>
      <c r="H21" s="1690"/>
      <c r="I21" s="1690"/>
      <c r="J21" s="1690"/>
      <c r="K21" s="1690"/>
      <c r="L21" s="1690"/>
      <c r="M21" s="1690"/>
      <c r="N21" s="1690"/>
      <c r="O21" s="1690"/>
      <c r="P21" s="1690"/>
      <c r="Q21" s="1690"/>
      <c r="R21" s="1690"/>
      <c r="S21" s="1690"/>
      <c r="T21" s="1690"/>
      <c r="U21" s="1690"/>
      <c r="V21" s="1690"/>
      <c r="W21" s="1690"/>
      <c r="X21" s="1690"/>
      <c r="Y21" s="1690"/>
      <c r="Z21" s="1690"/>
      <c r="AA21" s="1690"/>
      <c r="AB21" s="1690"/>
      <c r="AC21" s="1690"/>
      <c r="AD21" s="1690"/>
      <c r="AE21" s="1690"/>
      <c r="AF21" s="1690"/>
      <c r="AG21" s="1690"/>
      <c r="AH21" s="1690"/>
      <c r="AI21" s="1690"/>
      <c r="AJ21" s="1690"/>
      <c r="AK21" s="1690"/>
      <c r="AL21" s="1690"/>
      <c r="AM21" s="1690"/>
      <c r="AN21" s="1690"/>
      <c r="AO21" s="1690"/>
      <c r="AP21" s="1690"/>
      <c r="AQ21" s="1690"/>
      <c r="AR21" s="1690"/>
      <c r="AS21" s="1690"/>
      <c r="AT21" s="1690"/>
    </row>
    <row r="22">
      <c r="A22" s="1419"/>
      <c r="B22" s="1684"/>
      <c r="C22" s="1685"/>
      <c r="D22" s="1685"/>
      <c r="E22" s="1686"/>
      <c r="F22" s="1686"/>
      <c r="G22" s="1686"/>
      <c r="H22" s="1686"/>
      <c r="I22" s="1686"/>
      <c r="J22" s="1686"/>
      <c r="K22" s="1686"/>
      <c r="L22" s="1686"/>
      <c r="M22" s="1686"/>
      <c r="N22" s="1686"/>
      <c r="O22" s="1686"/>
      <c r="P22" s="1686"/>
      <c r="Q22" s="1686"/>
      <c r="R22" s="1686"/>
      <c r="S22" s="1686"/>
      <c r="T22" s="1686"/>
      <c r="U22" s="1686"/>
      <c r="V22" s="1686"/>
      <c r="W22" s="1686"/>
      <c r="X22" s="1686"/>
      <c r="Y22" s="1686"/>
      <c r="Z22" s="1686"/>
      <c r="AA22" s="1686"/>
      <c r="AB22" s="1686"/>
      <c r="AC22" s="1686"/>
      <c r="AD22" s="1686"/>
      <c r="AE22" s="1686"/>
      <c r="AF22" s="1686"/>
      <c r="AG22" s="1686"/>
      <c r="AH22" s="1686"/>
      <c r="AI22" s="1686"/>
      <c r="AJ22" s="1686"/>
      <c r="AK22" s="1686"/>
      <c r="AL22" s="1686"/>
      <c r="AM22" s="1686"/>
      <c r="AN22" s="1686"/>
      <c r="AO22" s="1686"/>
      <c r="AP22" s="1686"/>
      <c r="AQ22" s="1686"/>
      <c r="AR22" s="1686"/>
      <c r="AS22" s="1686"/>
      <c r="AT22" s="1686"/>
    </row>
    <row r="23">
      <c r="A23" s="1419"/>
      <c r="B23" s="1687"/>
      <c r="C23" s="1688"/>
      <c r="D23" s="1688"/>
      <c r="E23" s="1690"/>
      <c r="F23" s="1690"/>
      <c r="G23" s="1690"/>
      <c r="H23" s="1690"/>
      <c r="I23" s="1690"/>
      <c r="J23" s="1690"/>
      <c r="K23" s="1690"/>
      <c r="L23" s="1690"/>
      <c r="M23" s="1690"/>
      <c r="N23" s="1690"/>
      <c r="O23" s="1690"/>
      <c r="P23" s="1690"/>
      <c r="Q23" s="1690"/>
      <c r="R23" s="1690"/>
      <c r="S23" s="1690"/>
      <c r="T23" s="1690"/>
      <c r="U23" s="1690"/>
      <c r="V23" s="1690"/>
      <c r="W23" s="1690"/>
      <c r="X23" s="1690"/>
      <c r="Y23" s="1690"/>
      <c r="Z23" s="1690"/>
      <c r="AA23" s="1690"/>
      <c r="AB23" s="1690"/>
      <c r="AC23" s="1690"/>
      <c r="AD23" s="1690"/>
      <c r="AE23" s="1690"/>
      <c r="AF23" s="1690"/>
      <c r="AG23" s="1690"/>
      <c r="AH23" s="1690"/>
      <c r="AI23" s="1690"/>
      <c r="AJ23" s="1690"/>
      <c r="AK23" s="1690"/>
      <c r="AL23" s="1690"/>
      <c r="AM23" s="1690"/>
      <c r="AN23" s="1690"/>
      <c r="AO23" s="1690"/>
      <c r="AP23" s="1690"/>
      <c r="AQ23" s="1690"/>
      <c r="AR23" s="1690"/>
      <c r="AS23" s="1690"/>
      <c r="AT23" s="1690"/>
    </row>
    <row r="24">
      <c r="A24" s="1419"/>
      <c r="B24" s="1684"/>
      <c r="C24" s="1685"/>
      <c r="D24" s="1685"/>
      <c r="E24" s="1686"/>
      <c r="F24" s="1686"/>
      <c r="G24" s="1715"/>
      <c r="H24" s="1686"/>
      <c r="I24" s="1686"/>
      <c r="J24" s="1686"/>
      <c r="K24" s="1686"/>
      <c r="L24" s="1686"/>
      <c r="M24" s="1686"/>
      <c r="N24" s="1686"/>
      <c r="O24" s="1686"/>
      <c r="P24" s="1686"/>
      <c r="Q24" s="1686"/>
      <c r="R24" s="1686"/>
      <c r="S24" s="1686"/>
      <c r="T24" s="1686"/>
      <c r="U24" s="1686"/>
      <c r="V24" s="1686"/>
      <c r="W24" s="1686"/>
      <c r="X24" s="1686"/>
      <c r="Y24" s="1686"/>
      <c r="Z24" s="1686"/>
      <c r="AA24" s="1686"/>
      <c r="AB24" s="1686"/>
      <c r="AC24" s="1686"/>
      <c r="AD24" s="1686"/>
      <c r="AE24" s="1686"/>
      <c r="AF24" s="1686"/>
      <c r="AG24" s="1686"/>
      <c r="AH24" s="1686"/>
      <c r="AI24" s="1686"/>
      <c r="AJ24" s="1686"/>
      <c r="AK24" s="1686"/>
      <c r="AL24" s="1686"/>
      <c r="AM24" s="1686"/>
      <c r="AN24" s="1686"/>
      <c r="AO24" s="1686"/>
      <c r="AP24" s="1686"/>
      <c r="AQ24" s="1686"/>
      <c r="AR24" s="1686"/>
      <c r="AS24" s="1686"/>
      <c r="AT24" s="1686"/>
    </row>
    <row r="25">
      <c r="A25" s="1419"/>
      <c r="B25" s="1687"/>
      <c r="C25" s="1688"/>
      <c r="D25" s="1688"/>
      <c r="E25" s="1690"/>
      <c r="F25" s="1690"/>
      <c r="G25" s="1690"/>
      <c r="H25" s="1690"/>
      <c r="I25" s="1690"/>
      <c r="J25" s="1690"/>
      <c r="K25" s="1690"/>
      <c r="L25" s="1690"/>
      <c r="M25" s="1690"/>
      <c r="N25" s="1690"/>
      <c r="O25" s="1690"/>
      <c r="P25" s="1690"/>
      <c r="Q25" s="1690"/>
      <c r="R25" s="1690"/>
      <c r="S25" s="1690"/>
      <c r="T25" s="1690"/>
      <c r="U25" s="1690"/>
      <c r="V25" s="1690"/>
      <c r="W25" s="1690"/>
      <c r="X25" s="1690"/>
      <c r="Y25" s="1690"/>
      <c r="Z25" s="1690"/>
      <c r="AA25" s="1690"/>
      <c r="AB25" s="1690"/>
      <c r="AC25" s="1690"/>
      <c r="AD25" s="1690"/>
      <c r="AE25" s="1690"/>
      <c r="AF25" s="1690"/>
      <c r="AG25" s="1690"/>
      <c r="AH25" s="1690"/>
      <c r="AI25" s="1690"/>
      <c r="AJ25" s="1690"/>
      <c r="AK25" s="1690"/>
      <c r="AL25" s="1690"/>
      <c r="AM25" s="1690"/>
      <c r="AN25" s="1690"/>
      <c r="AO25" s="1690"/>
      <c r="AP25" s="1690"/>
      <c r="AQ25" s="1690"/>
      <c r="AR25" s="1690"/>
      <c r="AS25" s="1690"/>
      <c r="AT25" s="1690"/>
    </row>
    <row r="26">
      <c r="A26" s="1419"/>
      <c r="B26" s="1684"/>
      <c r="C26" s="1685"/>
      <c r="D26" s="1685"/>
      <c r="E26" s="1686"/>
      <c r="F26" s="1686"/>
      <c r="G26" s="1686"/>
      <c r="H26" s="1686"/>
      <c r="I26" s="1686"/>
      <c r="J26" s="1686"/>
      <c r="K26" s="1686"/>
      <c r="L26" s="1686"/>
      <c r="M26" s="1686"/>
      <c r="N26" s="1686"/>
      <c r="O26" s="1686"/>
      <c r="P26" s="1686"/>
      <c r="Q26" s="1686"/>
      <c r="R26" s="1686"/>
      <c r="S26" s="1686"/>
      <c r="T26" s="1686"/>
      <c r="U26" s="1686"/>
      <c r="V26" s="1686"/>
      <c r="W26" s="1686"/>
      <c r="X26" s="1686"/>
      <c r="Y26" s="1686"/>
      <c r="Z26" s="1686"/>
      <c r="AA26" s="1686"/>
      <c r="AB26" s="1686"/>
      <c r="AC26" s="1686"/>
      <c r="AD26" s="1686"/>
      <c r="AE26" s="1686"/>
      <c r="AF26" s="1686"/>
      <c r="AG26" s="1686"/>
      <c r="AH26" s="1686"/>
      <c r="AI26" s="1686"/>
      <c r="AJ26" s="1686"/>
      <c r="AK26" s="1686"/>
      <c r="AL26" s="1686"/>
      <c r="AM26" s="1686"/>
      <c r="AN26" s="1686"/>
      <c r="AO26" s="1686"/>
      <c r="AP26" s="1686"/>
      <c r="AQ26" s="1686"/>
      <c r="AR26" s="1686"/>
      <c r="AS26" s="1686"/>
      <c r="AT26" s="1686"/>
    </row>
    <row r="27">
      <c r="A27" s="1419"/>
      <c r="B27" s="1687"/>
      <c r="C27" s="1688"/>
      <c r="D27" s="1688"/>
      <c r="E27" s="1689"/>
      <c r="F27" s="1689"/>
      <c r="G27" s="1689"/>
      <c r="H27" s="1689"/>
      <c r="I27" s="1689"/>
      <c r="J27" s="1689"/>
      <c r="K27" s="1689"/>
      <c r="L27" s="1689"/>
      <c r="M27" s="1689"/>
      <c r="N27" s="1689"/>
      <c r="O27" s="1689"/>
      <c r="P27" s="1689"/>
      <c r="Q27" s="1689"/>
      <c r="R27" s="1689"/>
      <c r="S27" s="1689"/>
      <c r="T27" s="1689"/>
      <c r="U27" s="1689"/>
      <c r="V27" s="1689"/>
      <c r="W27" s="1689"/>
      <c r="X27" s="1689"/>
      <c r="Y27" s="1690"/>
      <c r="Z27" s="1690"/>
      <c r="AA27" s="1690"/>
      <c r="AB27" s="1690"/>
      <c r="AC27" s="1690"/>
      <c r="AD27" s="1690"/>
      <c r="AE27" s="1690"/>
      <c r="AF27" s="1690"/>
      <c r="AG27" s="1690"/>
      <c r="AH27" s="1690"/>
      <c r="AI27" s="1690"/>
      <c r="AJ27" s="1690"/>
      <c r="AK27" s="1690"/>
      <c r="AL27" s="1690"/>
      <c r="AM27" s="1690"/>
      <c r="AN27" s="1690"/>
      <c r="AO27" s="1690"/>
      <c r="AP27" s="1690"/>
      <c r="AQ27" s="1690"/>
      <c r="AR27" s="1690"/>
      <c r="AS27" s="1690"/>
      <c r="AT27" s="1690"/>
    </row>
    <row r="28">
      <c r="A28" s="1419"/>
      <c r="B28" s="1684"/>
      <c r="C28" s="1685"/>
      <c r="D28" s="1685"/>
      <c r="E28" s="1691"/>
      <c r="F28" s="1691"/>
      <c r="G28" s="1691"/>
      <c r="H28" s="1691"/>
      <c r="I28" s="1691"/>
      <c r="J28" s="1691"/>
      <c r="K28" s="1691"/>
      <c r="L28" s="1691"/>
      <c r="M28" s="1691"/>
      <c r="N28" s="1691"/>
      <c r="O28" s="1691"/>
      <c r="P28" s="1691"/>
      <c r="Q28" s="1691"/>
      <c r="R28" s="1691"/>
      <c r="S28" s="1691"/>
      <c r="T28" s="1691"/>
      <c r="U28" s="1691"/>
      <c r="V28" s="1691"/>
      <c r="W28" s="1691"/>
      <c r="X28" s="1691"/>
      <c r="Y28" s="1686"/>
      <c r="Z28" s="1686"/>
      <c r="AA28" s="1686"/>
      <c r="AB28" s="1686"/>
      <c r="AC28" s="1686"/>
      <c r="AD28" s="1686"/>
      <c r="AE28" s="1686"/>
      <c r="AF28" s="1686"/>
      <c r="AG28" s="1686"/>
      <c r="AH28" s="1686"/>
      <c r="AI28" s="1686"/>
      <c r="AJ28" s="1686"/>
      <c r="AK28" s="1686"/>
      <c r="AL28" s="1686"/>
      <c r="AM28" s="1686"/>
      <c r="AN28" s="1686"/>
      <c r="AO28" s="1686"/>
      <c r="AP28" s="1686"/>
      <c r="AQ28" s="1686"/>
      <c r="AR28" s="1686"/>
      <c r="AS28" s="1686"/>
      <c r="AT28" s="1686"/>
    </row>
    <row r="29">
      <c r="A29" s="1419"/>
      <c r="B29" s="1687"/>
      <c r="C29" s="1688"/>
      <c r="D29" s="1688"/>
      <c r="E29" s="1689"/>
      <c r="F29" s="1689"/>
      <c r="G29" s="1689"/>
      <c r="H29" s="1689"/>
      <c r="I29" s="1689"/>
      <c r="J29" s="1689"/>
      <c r="K29" s="1689"/>
      <c r="L29" s="1689"/>
      <c r="M29" s="1689"/>
      <c r="N29" s="1689"/>
      <c r="O29" s="1689"/>
      <c r="P29" s="1689"/>
      <c r="Q29" s="1689"/>
      <c r="R29" s="1689"/>
      <c r="S29" s="1689"/>
      <c r="T29" s="1689"/>
      <c r="U29" s="1689"/>
      <c r="V29" s="1689"/>
      <c r="W29" s="1689"/>
      <c r="X29" s="1689"/>
      <c r="Y29" s="1690"/>
      <c r="Z29" s="1690"/>
      <c r="AA29" s="1690"/>
      <c r="AB29" s="1690"/>
      <c r="AC29" s="1690"/>
      <c r="AD29" s="1690"/>
      <c r="AE29" s="1690"/>
      <c r="AF29" s="1690"/>
      <c r="AG29" s="1690"/>
      <c r="AH29" s="1690"/>
      <c r="AI29" s="1690"/>
      <c r="AJ29" s="1690"/>
      <c r="AK29" s="1690"/>
      <c r="AL29" s="1690"/>
      <c r="AM29" s="1690"/>
      <c r="AN29" s="1690"/>
      <c r="AO29" s="1690"/>
      <c r="AP29" s="1690"/>
      <c r="AQ29" s="1690"/>
      <c r="AR29" s="1690"/>
      <c r="AS29" s="1690"/>
      <c r="AT29" s="1690"/>
    </row>
    <row r="30">
      <c r="A30" s="1419"/>
      <c r="B30" s="1684"/>
      <c r="C30" s="1685"/>
      <c r="D30" s="1685"/>
      <c r="E30" s="1691"/>
      <c r="F30" s="1691"/>
      <c r="G30" s="1691"/>
      <c r="H30" s="1691"/>
      <c r="I30" s="1691"/>
      <c r="J30" s="1691"/>
      <c r="K30" s="1691"/>
      <c r="L30" s="1691"/>
      <c r="M30" s="1691"/>
      <c r="N30" s="1691"/>
      <c r="O30" s="1691"/>
      <c r="P30" s="1691"/>
      <c r="Q30" s="1691"/>
      <c r="R30" s="1691"/>
      <c r="S30" s="1691"/>
      <c r="T30" s="1691"/>
      <c r="U30" s="1691"/>
      <c r="V30" s="1691"/>
      <c r="W30" s="1691"/>
      <c r="X30" s="1691"/>
      <c r="Y30" s="1686"/>
      <c r="Z30" s="1686"/>
      <c r="AA30" s="1686"/>
      <c r="AB30" s="1686"/>
      <c r="AC30" s="1686"/>
      <c r="AD30" s="1686"/>
      <c r="AE30" s="1686"/>
      <c r="AF30" s="1686"/>
      <c r="AG30" s="1686"/>
      <c r="AH30" s="1686"/>
      <c r="AI30" s="1686"/>
      <c r="AJ30" s="1686"/>
      <c r="AK30" s="1686"/>
      <c r="AL30" s="1686"/>
      <c r="AM30" s="1686"/>
      <c r="AN30" s="1686"/>
      <c r="AO30" s="1686"/>
      <c r="AP30" s="1686"/>
      <c r="AQ30" s="1686"/>
      <c r="AR30" s="1686"/>
      <c r="AS30" s="1686"/>
      <c r="AT30" s="1686"/>
    </row>
    <row r="31">
      <c r="A31" s="1419"/>
      <c r="B31" s="1687"/>
      <c r="C31" s="1688"/>
      <c r="D31" s="1688"/>
      <c r="E31" s="1689"/>
      <c r="F31" s="1689"/>
      <c r="G31" s="1689"/>
      <c r="H31" s="1689"/>
      <c r="I31" s="1689"/>
      <c r="J31" s="1689"/>
      <c r="K31" s="1689"/>
      <c r="L31" s="1689"/>
      <c r="M31" s="1689"/>
      <c r="N31" s="1689"/>
      <c r="O31" s="1689"/>
      <c r="P31" s="1689"/>
      <c r="Q31" s="1689"/>
      <c r="R31" s="1689"/>
      <c r="S31" s="1689"/>
      <c r="T31" s="1689"/>
      <c r="U31" s="1689"/>
      <c r="V31" s="1689"/>
      <c r="W31" s="1689"/>
      <c r="X31" s="1689"/>
      <c r="Y31" s="1690"/>
      <c r="Z31" s="1690"/>
      <c r="AA31" s="1690"/>
      <c r="AB31" s="1690"/>
      <c r="AC31" s="1690"/>
      <c r="AD31" s="1690"/>
      <c r="AE31" s="1690"/>
      <c r="AF31" s="1690"/>
      <c r="AG31" s="1690"/>
      <c r="AH31" s="1690"/>
      <c r="AI31" s="1690"/>
      <c r="AJ31" s="1690"/>
      <c r="AK31" s="1690"/>
      <c r="AL31" s="1690"/>
      <c r="AM31" s="1690"/>
      <c r="AN31" s="1690"/>
      <c r="AO31" s="1690"/>
      <c r="AP31" s="1690"/>
      <c r="AQ31" s="1690"/>
      <c r="AR31" s="1690"/>
      <c r="AS31" s="1690"/>
      <c r="AT31" s="1690"/>
    </row>
    <row r="32">
      <c r="A32" s="1419"/>
      <c r="B32" s="1684"/>
      <c r="C32" s="1685"/>
      <c r="D32" s="1685"/>
      <c r="E32" s="1691"/>
      <c r="F32" s="1691"/>
      <c r="G32" s="1691"/>
      <c r="H32" s="1691"/>
      <c r="I32" s="1691"/>
      <c r="J32" s="1691"/>
      <c r="K32" s="1691"/>
      <c r="L32" s="1691"/>
      <c r="M32" s="1691"/>
      <c r="N32" s="1691"/>
      <c r="O32" s="1691"/>
      <c r="P32" s="1691"/>
      <c r="Q32" s="1691"/>
      <c r="R32" s="1691"/>
      <c r="S32" s="1691"/>
      <c r="T32" s="1691"/>
      <c r="U32" s="1691"/>
      <c r="V32" s="1691"/>
      <c r="W32" s="1691"/>
      <c r="X32" s="1691"/>
      <c r="Y32" s="1686"/>
      <c r="Z32" s="1686"/>
      <c r="AA32" s="1686"/>
      <c r="AB32" s="1686"/>
      <c r="AC32" s="1686"/>
      <c r="AD32" s="1686"/>
      <c r="AE32" s="1686"/>
      <c r="AF32" s="1686"/>
      <c r="AG32" s="1686"/>
      <c r="AH32" s="1686"/>
      <c r="AI32" s="1686"/>
      <c r="AJ32" s="1686"/>
      <c r="AK32" s="1686"/>
      <c r="AL32" s="1686"/>
      <c r="AM32" s="1686"/>
      <c r="AN32" s="1686"/>
      <c r="AO32" s="1686"/>
      <c r="AP32" s="1686"/>
      <c r="AQ32" s="1686"/>
      <c r="AR32" s="1686"/>
      <c r="AS32" s="1686"/>
      <c r="AT32" s="1686"/>
    </row>
    <row r="33">
      <c r="A33" s="1419"/>
      <c r="B33" s="1687"/>
      <c r="C33" s="1688"/>
      <c r="D33" s="1688"/>
      <c r="E33" s="1690"/>
      <c r="F33" s="1690"/>
      <c r="G33" s="1690"/>
      <c r="H33" s="1690"/>
      <c r="I33" s="1690"/>
      <c r="J33" s="1690"/>
      <c r="K33" s="1690"/>
      <c r="L33" s="1690"/>
      <c r="M33" s="1690"/>
      <c r="N33" s="1690"/>
      <c r="O33" s="1690"/>
      <c r="P33" s="1690"/>
      <c r="Q33" s="1690"/>
      <c r="R33" s="1690"/>
      <c r="S33" s="1690"/>
      <c r="T33" s="1690"/>
      <c r="U33" s="1690"/>
      <c r="V33" s="1690"/>
      <c r="W33" s="1690"/>
      <c r="X33" s="1690"/>
      <c r="Y33" s="1690"/>
      <c r="Z33" s="1690"/>
      <c r="AA33" s="1690"/>
      <c r="AB33" s="1690"/>
      <c r="AC33" s="1690"/>
      <c r="AD33" s="1690"/>
      <c r="AE33" s="1690"/>
      <c r="AF33" s="1690"/>
      <c r="AG33" s="1690"/>
      <c r="AH33" s="1690"/>
      <c r="AI33" s="1690"/>
      <c r="AJ33" s="1690"/>
      <c r="AK33" s="1690"/>
      <c r="AL33" s="1690"/>
      <c r="AM33" s="1690"/>
      <c r="AN33" s="1690"/>
      <c r="AO33" s="1690"/>
      <c r="AP33" s="1690"/>
      <c r="AQ33" s="1690"/>
      <c r="AR33" s="1690"/>
      <c r="AS33" s="1690"/>
      <c r="AT33" s="1690"/>
    </row>
    <row r="34">
      <c r="A34" s="1419"/>
      <c r="B34" s="1684"/>
      <c r="C34" s="1685"/>
      <c r="D34" s="1685"/>
      <c r="E34" s="1686"/>
      <c r="F34" s="1686"/>
      <c r="G34" s="1686"/>
      <c r="H34" s="1686"/>
      <c r="I34" s="1686"/>
      <c r="J34" s="1686"/>
      <c r="K34" s="1686"/>
      <c r="L34" s="1686"/>
      <c r="M34" s="1686"/>
      <c r="N34" s="1686"/>
      <c r="O34" s="1686"/>
      <c r="P34" s="1686"/>
      <c r="Q34" s="1686"/>
      <c r="R34" s="1686"/>
      <c r="S34" s="1686"/>
      <c r="T34" s="1686"/>
      <c r="U34" s="1686"/>
      <c r="V34" s="1686"/>
      <c r="W34" s="1686"/>
      <c r="X34" s="1686"/>
      <c r="Y34" s="1686"/>
      <c r="Z34" s="1686"/>
      <c r="AA34" s="1686"/>
      <c r="AB34" s="1686"/>
      <c r="AC34" s="1686"/>
      <c r="AD34" s="1686"/>
      <c r="AE34" s="1686"/>
      <c r="AF34" s="1686"/>
      <c r="AG34" s="1686"/>
      <c r="AH34" s="1686"/>
      <c r="AI34" s="1686"/>
      <c r="AJ34" s="1686"/>
      <c r="AK34" s="1686"/>
      <c r="AL34" s="1686"/>
      <c r="AM34" s="1686"/>
      <c r="AN34" s="1686"/>
      <c r="AO34" s="1686"/>
      <c r="AP34" s="1686"/>
      <c r="AQ34" s="1686"/>
      <c r="AR34" s="1686"/>
      <c r="AS34" s="1686"/>
      <c r="AT34" s="1686"/>
    </row>
    <row r="35">
      <c r="A35" s="1419"/>
      <c r="B35" s="1687"/>
      <c r="C35" s="1688"/>
      <c r="D35" s="1688"/>
      <c r="E35" s="1689"/>
      <c r="F35" s="1689"/>
      <c r="G35" s="1689"/>
      <c r="H35" s="1689"/>
      <c r="I35" s="1689"/>
      <c r="J35" s="1689"/>
      <c r="K35" s="1689"/>
      <c r="L35" s="1689"/>
      <c r="M35" s="1689"/>
      <c r="N35" s="1689"/>
      <c r="O35" s="1689"/>
      <c r="P35" s="1689"/>
      <c r="Q35" s="1689"/>
      <c r="R35" s="1689"/>
      <c r="S35" s="1689"/>
      <c r="T35" s="1689"/>
      <c r="U35" s="1689"/>
      <c r="V35" s="1689"/>
      <c r="W35" s="1689"/>
      <c r="X35" s="1689"/>
      <c r="Y35" s="1690"/>
      <c r="Z35" s="1690"/>
      <c r="AA35" s="1690"/>
      <c r="AB35" s="1690"/>
      <c r="AC35" s="1690"/>
      <c r="AD35" s="1690"/>
      <c r="AE35" s="1690"/>
      <c r="AF35" s="1690"/>
      <c r="AG35" s="1690"/>
      <c r="AH35" s="1690"/>
      <c r="AI35" s="1690"/>
      <c r="AJ35" s="1690"/>
      <c r="AK35" s="1690"/>
      <c r="AL35" s="1690"/>
      <c r="AM35" s="1690"/>
      <c r="AN35" s="1690"/>
      <c r="AO35" s="1690"/>
      <c r="AP35" s="1690"/>
      <c r="AQ35" s="1690"/>
      <c r="AR35" s="1690"/>
      <c r="AS35" s="1690"/>
      <c r="AT35" s="1690"/>
    </row>
    <row r="36">
      <c r="A36" s="1419"/>
      <c r="B36" s="1684"/>
      <c r="C36" s="1685"/>
      <c r="D36" s="1685"/>
      <c r="E36" s="1686"/>
      <c r="F36" s="1686"/>
      <c r="G36" s="1686"/>
      <c r="H36" s="1686"/>
      <c r="I36" s="1686"/>
      <c r="J36" s="1686"/>
      <c r="K36" s="1686"/>
      <c r="L36" s="1686"/>
      <c r="M36" s="1686"/>
      <c r="N36" s="1686"/>
      <c r="O36" s="1686"/>
      <c r="P36" s="1686"/>
      <c r="Q36" s="1686"/>
      <c r="R36" s="1686"/>
      <c r="S36" s="1686"/>
      <c r="T36" s="1686"/>
      <c r="U36" s="1686"/>
      <c r="V36" s="1686"/>
      <c r="W36" s="1686"/>
      <c r="X36" s="1686"/>
      <c r="Y36" s="1686"/>
      <c r="Z36" s="1686"/>
      <c r="AA36" s="1686"/>
      <c r="AB36" s="1686"/>
      <c r="AC36" s="1686"/>
      <c r="AD36" s="1686"/>
      <c r="AE36" s="1686"/>
      <c r="AF36" s="1686"/>
      <c r="AG36" s="1686"/>
      <c r="AH36" s="1686"/>
      <c r="AI36" s="1686"/>
      <c r="AJ36" s="1686"/>
      <c r="AK36" s="1686"/>
      <c r="AL36" s="1686"/>
      <c r="AM36" s="1686"/>
      <c r="AN36" s="1686"/>
      <c r="AO36" s="1686"/>
      <c r="AP36" s="1686"/>
      <c r="AQ36" s="1686"/>
      <c r="AR36" s="1686"/>
      <c r="AS36" s="1686"/>
      <c r="AT36" s="1686"/>
    </row>
    <row r="37">
      <c r="A37" s="1419"/>
      <c r="B37" s="1687"/>
      <c r="C37" s="1688"/>
      <c r="D37" s="1688"/>
      <c r="E37" s="1689"/>
      <c r="F37" s="1689"/>
      <c r="G37" s="1689"/>
      <c r="H37" s="1689"/>
      <c r="I37" s="1689"/>
      <c r="J37" s="1689"/>
      <c r="K37" s="1689"/>
      <c r="L37" s="1689"/>
      <c r="M37" s="1689"/>
      <c r="N37" s="1689"/>
      <c r="O37" s="1689"/>
      <c r="P37" s="1689"/>
      <c r="Q37" s="1689"/>
      <c r="R37" s="1689"/>
      <c r="S37" s="1689"/>
      <c r="T37" s="1689"/>
      <c r="U37" s="1689"/>
      <c r="V37" s="1689"/>
      <c r="W37" s="1689"/>
      <c r="X37" s="1689"/>
      <c r="Y37" s="1690"/>
      <c r="Z37" s="1690"/>
      <c r="AA37" s="1690"/>
      <c r="AB37" s="1690"/>
      <c r="AC37" s="1690"/>
      <c r="AD37" s="1690"/>
      <c r="AE37" s="1690"/>
      <c r="AF37" s="1690"/>
      <c r="AG37" s="1690"/>
      <c r="AH37" s="1690"/>
      <c r="AI37" s="1690"/>
      <c r="AJ37" s="1690"/>
      <c r="AK37" s="1690"/>
      <c r="AL37" s="1690"/>
      <c r="AM37" s="1690"/>
      <c r="AN37" s="1690"/>
      <c r="AO37" s="1690"/>
      <c r="AP37" s="1690"/>
      <c r="AQ37" s="1690"/>
      <c r="AR37" s="1690"/>
      <c r="AS37" s="1690"/>
      <c r="AT37" s="1690"/>
    </row>
    <row r="38">
      <c r="A38" s="1419"/>
      <c r="B38" s="1684"/>
      <c r="C38" s="1685"/>
      <c r="D38" s="1685"/>
      <c r="E38" s="1691"/>
      <c r="F38" s="1691"/>
      <c r="G38" s="1691"/>
      <c r="H38" s="1691"/>
      <c r="I38" s="1691"/>
      <c r="J38" s="1691"/>
      <c r="K38" s="1691"/>
      <c r="L38" s="1691"/>
      <c r="M38" s="1691"/>
      <c r="N38" s="1691"/>
      <c r="O38" s="1691"/>
      <c r="P38" s="1691"/>
      <c r="Q38" s="1691"/>
      <c r="R38" s="1691"/>
      <c r="S38" s="1691"/>
      <c r="T38" s="1691"/>
      <c r="U38" s="1691"/>
      <c r="V38" s="1691"/>
      <c r="W38" s="1691"/>
      <c r="X38" s="1691"/>
      <c r="Y38" s="1686"/>
      <c r="Z38" s="1686"/>
      <c r="AA38" s="1686"/>
      <c r="AB38" s="1686"/>
      <c r="AC38" s="1686"/>
      <c r="AD38" s="1686"/>
      <c r="AE38" s="1686"/>
      <c r="AF38" s="1686"/>
      <c r="AG38" s="1686"/>
      <c r="AH38" s="1686"/>
      <c r="AI38" s="1686"/>
      <c r="AJ38" s="1686"/>
      <c r="AK38" s="1686"/>
      <c r="AL38" s="1686"/>
      <c r="AM38" s="1686"/>
      <c r="AN38" s="1686"/>
      <c r="AO38" s="1686"/>
      <c r="AP38" s="1686"/>
      <c r="AQ38" s="1686"/>
      <c r="AR38" s="1686"/>
      <c r="AS38" s="1686"/>
      <c r="AT38" s="1686"/>
    </row>
    <row r="39">
      <c r="A39" s="1419"/>
      <c r="B39" s="1687"/>
      <c r="C39" s="1688"/>
      <c r="D39" s="1688"/>
      <c r="E39" s="1689"/>
      <c r="F39" s="1689"/>
      <c r="G39" s="1689"/>
      <c r="H39" s="1689"/>
      <c r="I39" s="1689"/>
      <c r="J39" s="1689"/>
      <c r="K39" s="1689"/>
      <c r="L39" s="1689"/>
      <c r="M39" s="1689"/>
      <c r="N39" s="1689"/>
      <c r="O39" s="1689"/>
      <c r="P39" s="1689"/>
      <c r="Q39" s="1689"/>
      <c r="R39" s="1689"/>
      <c r="S39" s="1689"/>
      <c r="T39" s="1689"/>
      <c r="U39" s="1689"/>
      <c r="V39" s="1689"/>
      <c r="W39" s="1689"/>
      <c r="X39" s="1689"/>
      <c r="Y39" s="1690"/>
      <c r="Z39" s="1690"/>
      <c r="AA39" s="1690"/>
      <c r="AB39" s="1690"/>
      <c r="AC39" s="1690"/>
      <c r="AD39" s="1690"/>
      <c r="AE39" s="1690"/>
      <c r="AF39" s="1690"/>
      <c r="AG39" s="1690"/>
      <c r="AH39" s="1690"/>
      <c r="AI39" s="1690"/>
      <c r="AJ39" s="1690"/>
      <c r="AK39" s="1690"/>
      <c r="AL39" s="1690"/>
      <c r="AM39" s="1690"/>
      <c r="AN39" s="1690"/>
      <c r="AO39" s="1690"/>
      <c r="AP39" s="1690"/>
      <c r="AQ39" s="1690"/>
      <c r="AR39" s="1690"/>
      <c r="AS39" s="1690"/>
      <c r="AT39" s="1690"/>
    </row>
    <row r="40">
      <c r="A40" s="1419"/>
      <c r="B40" s="1684"/>
      <c r="C40" s="1685"/>
      <c r="D40" s="1685"/>
      <c r="E40" s="1686"/>
      <c r="F40" s="1686"/>
      <c r="G40" s="1686"/>
      <c r="H40" s="1686"/>
      <c r="I40" s="1686"/>
      <c r="J40" s="1686"/>
      <c r="K40" s="1686"/>
      <c r="L40" s="1686"/>
      <c r="M40" s="1686"/>
      <c r="N40" s="1686"/>
      <c r="O40" s="1686"/>
      <c r="P40" s="1686"/>
      <c r="Q40" s="1686"/>
      <c r="R40" s="1686"/>
      <c r="S40" s="1686"/>
      <c r="T40" s="1686"/>
      <c r="U40" s="1686"/>
      <c r="V40" s="1686"/>
      <c r="W40" s="1686"/>
      <c r="X40" s="1686"/>
      <c r="Y40" s="1686"/>
      <c r="Z40" s="1686"/>
      <c r="AA40" s="1686"/>
      <c r="AB40" s="1686"/>
      <c r="AC40" s="1686"/>
      <c r="AD40" s="1686"/>
      <c r="AE40" s="1686"/>
      <c r="AF40" s="1686"/>
      <c r="AG40" s="1686"/>
      <c r="AH40" s="1686"/>
      <c r="AI40" s="1686"/>
      <c r="AJ40" s="1686"/>
      <c r="AK40" s="1686"/>
      <c r="AL40" s="1686"/>
      <c r="AM40" s="1686"/>
      <c r="AN40" s="1686"/>
      <c r="AO40" s="1686"/>
      <c r="AP40" s="1686"/>
      <c r="AQ40" s="1686"/>
      <c r="AR40" s="1686"/>
      <c r="AS40" s="1686"/>
      <c r="AT40" s="1686"/>
    </row>
    <row r="41">
      <c r="A41" s="1419"/>
      <c r="B41" s="1687"/>
      <c r="C41" s="1688"/>
      <c r="D41" s="1688"/>
      <c r="E41" s="1690"/>
      <c r="F41" s="1690"/>
      <c r="G41" s="1690"/>
      <c r="H41" s="1690"/>
      <c r="I41" s="1690"/>
      <c r="J41" s="1690"/>
      <c r="K41" s="1690"/>
      <c r="L41" s="1690"/>
      <c r="M41" s="1690"/>
      <c r="N41" s="1690"/>
      <c r="O41" s="1690"/>
      <c r="P41" s="1690"/>
      <c r="Q41" s="1690"/>
      <c r="R41" s="1690"/>
      <c r="S41" s="1690"/>
      <c r="T41" s="1690"/>
      <c r="U41" s="1690"/>
      <c r="V41" s="1690"/>
      <c r="W41" s="1690"/>
      <c r="X41" s="1690"/>
      <c r="Y41" s="1690"/>
      <c r="Z41" s="1690"/>
      <c r="AA41" s="1690"/>
      <c r="AB41" s="1690"/>
      <c r="AC41" s="1690"/>
      <c r="AD41" s="1690"/>
      <c r="AE41" s="1690"/>
      <c r="AF41" s="1690"/>
      <c r="AG41" s="1690"/>
      <c r="AH41" s="1690"/>
      <c r="AI41" s="1690"/>
      <c r="AJ41" s="1690"/>
      <c r="AK41" s="1690"/>
      <c r="AL41" s="1690"/>
      <c r="AM41" s="1690"/>
      <c r="AN41" s="1690"/>
      <c r="AO41" s="1690"/>
      <c r="AP41" s="1690"/>
      <c r="AQ41" s="1690"/>
      <c r="AR41" s="1690"/>
      <c r="AS41" s="1690"/>
      <c r="AT41" s="1690"/>
    </row>
    <row r="42">
      <c r="A42" s="1419"/>
      <c r="B42" s="1684"/>
      <c r="C42" s="1685"/>
      <c r="D42" s="1685"/>
      <c r="E42" s="1691"/>
      <c r="F42" s="1691"/>
      <c r="G42" s="1691"/>
      <c r="H42" s="1691"/>
      <c r="I42" s="1691"/>
      <c r="J42" s="1691"/>
      <c r="K42" s="1691"/>
      <c r="L42" s="1691"/>
      <c r="M42" s="1691"/>
      <c r="N42" s="1691"/>
      <c r="O42" s="1691"/>
      <c r="P42" s="1691"/>
      <c r="Q42" s="1691"/>
      <c r="R42" s="1691"/>
      <c r="S42" s="1691"/>
      <c r="T42" s="1691"/>
      <c r="U42" s="1691"/>
      <c r="V42" s="1691"/>
      <c r="W42" s="1691"/>
      <c r="X42" s="1691"/>
      <c r="Y42" s="1686"/>
      <c r="Z42" s="1686"/>
      <c r="AA42" s="1686"/>
      <c r="AB42" s="1686"/>
      <c r="AC42" s="1686"/>
      <c r="AD42" s="1686"/>
      <c r="AE42" s="1686"/>
      <c r="AF42" s="1686"/>
      <c r="AG42" s="1686"/>
      <c r="AH42" s="1686"/>
      <c r="AI42" s="1686"/>
      <c r="AJ42" s="1686"/>
      <c r="AK42" s="1686"/>
      <c r="AL42" s="1686"/>
      <c r="AM42" s="1686"/>
      <c r="AN42" s="1686"/>
      <c r="AO42" s="1686"/>
      <c r="AP42" s="1686"/>
      <c r="AQ42" s="1686"/>
      <c r="AR42" s="1686"/>
      <c r="AS42" s="1686"/>
      <c r="AT42" s="1686"/>
    </row>
    <row r="43">
      <c r="A43" s="1419"/>
      <c r="B43" s="1687"/>
      <c r="C43" s="1688"/>
      <c r="D43" s="1688"/>
      <c r="E43" s="1689"/>
      <c r="F43" s="1689"/>
      <c r="G43" s="1689"/>
      <c r="H43" s="1689"/>
      <c r="I43" s="1689"/>
      <c r="J43" s="1689"/>
      <c r="K43" s="1689"/>
      <c r="L43" s="1689"/>
      <c r="M43" s="1689"/>
      <c r="N43" s="1689"/>
      <c r="O43" s="1689"/>
      <c r="P43" s="1689"/>
      <c r="Q43" s="1689"/>
      <c r="R43" s="1689"/>
      <c r="S43" s="1689"/>
      <c r="T43" s="1689"/>
      <c r="U43" s="1689"/>
      <c r="V43" s="1689"/>
      <c r="W43" s="1689"/>
      <c r="X43" s="1689"/>
      <c r="Y43" s="1690"/>
      <c r="Z43" s="1690"/>
      <c r="AA43" s="1690"/>
      <c r="AB43" s="1690"/>
      <c r="AC43" s="1690"/>
      <c r="AD43" s="1690"/>
      <c r="AE43" s="1690"/>
      <c r="AF43" s="1690"/>
      <c r="AG43" s="1690"/>
      <c r="AH43" s="1690"/>
      <c r="AI43" s="1690"/>
      <c r="AJ43" s="1690"/>
      <c r="AK43" s="1690"/>
      <c r="AL43" s="1690"/>
      <c r="AM43" s="1690"/>
      <c r="AN43" s="1690"/>
      <c r="AO43" s="1690"/>
      <c r="AP43" s="1690"/>
      <c r="AQ43" s="1690"/>
      <c r="AR43" s="1690"/>
      <c r="AS43" s="1690"/>
      <c r="AT43" s="1690"/>
    </row>
    <row r="44">
      <c r="A44" s="1419"/>
      <c r="B44" s="1684"/>
      <c r="C44" s="1685"/>
      <c r="D44" s="1685"/>
      <c r="E44" s="1686"/>
      <c r="F44" s="1686"/>
      <c r="G44" s="1686"/>
      <c r="H44" s="1686"/>
      <c r="I44" s="1686"/>
      <c r="J44" s="1686"/>
      <c r="K44" s="1686"/>
      <c r="L44" s="1686"/>
      <c r="M44" s="1686"/>
      <c r="N44" s="1686"/>
      <c r="O44" s="1686"/>
      <c r="P44" s="1686"/>
      <c r="Q44" s="1686"/>
      <c r="R44" s="1686"/>
      <c r="S44" s="1686"/>
      <c r="T44" s="1686"/>
      <c r="U44" s="1686"/>
      <c r="V44" s="1686"/>
      <c r="W44" s="1686"/>
      <c r="X44" s="1686"/>
      <c r="Y44" s="1686"/>
      <c r="Z44" s="1686"/>
      <c r="AA44" s="1686"/>
      <c r="AB44" s="1686"/>
      <c r="AC44" s="1686"/>
      <c r="AD44" s="1686"/>
      <c r="AE44" s="1686"/>
      <c r="AF44" s="1686"/>
      <c r="AG44" s="1686"/>
      <c r="AH44" s="1686"/>
      <c r="AI44" s="1686"/>
      <c r="AJ44" s="1686"/>
      <c r="AK44" s="1686"/>
      <c r="AL44" s="1686"/>
      <c r="AM44" s="1686"/>
      <c r="AN44" s="1686"/>
      <c r="AO44" s="1686"/>
      <c r="AP44" s="1686"/>
      <c r="AQ44" s="1686"/>
      <c r="AR44" s="1686"/>
      <c r="AS44" s="1686"/>
      <c r="AT44" s="1686"/>
    </row>
    <row r="45">
      <c r="A45" s="1419"/>
      <c r="B45" s="1687"/>
      <c r="C45" s="1688"/>
      <c r="D45" s="1688"/>
      <c r="E45" s="1689"/>
      <c r="F45" s="1689"/>
      <c r="G45" s="1689"/>
      <c r="H45" s="1689"/>
      <c r="I45" s="1689"/>
      <c r="J45" s="1689"/>
      <c r="K45" s="1689"/>
      <c r="L45" s="1689"/>
      <c r="M45" s="1689"/>
      <c r="N45" s="1689"/>
      <c r="O45" s="1689"/>
      <c r="P45" s="1689"/>
      <c r="Q45" s="1689"/>
      <c r="R45" s="1689"/>
      <c r="S45" s="1689"/>
      <c r="T45" s="1689"/>
      <c r="U45" s="1689"/>
      <c r="V45" s="1689"/>
      <c r="W45" s="1689"/>
      <c r="X45" s="1689"/>
      <c r="Y45" s="1690"/>
      <c r="Z45" s="1690"/>
      <c r="AA45" s="1690"/>
      <c r="AB45" s="1690"/>
      <c r="AC45" s="1690"/>
      <c r="AD45" s="1690"/>
      <c r="AE45" s="1690"/>
      <c r="AF45" s="1690"/>
      <c r="AG45" s="1690"/>
      <c r="AH45" s="1690"/>
      <c r="AI45" s="1690"/>
      <c r="AJ45" s="1690"/>
      <c r="AK45" s="1690"/>
      <c r="AL45" s="1690"/>
      <c r="AM45" s="1690"/>
      <c r="AN45" s="1690"/>
      <c r="AO45" s="1690"/>
      <c r="AP45" s="1690"/>
      <c r="AQ45" s="1690"/>
      <c r="AR45" s="1690"/>
      <c r="AS45" s="1690"/>
      <c r="AT45" s="1690"/>
    </row>
    <row r="46">
      <c r="A46" s="1419"/>
      <c r="B46" s="1684"/>
      <c r="C46" s="1685"/>
      <c r="D46" s="1685"/>
      <c r="E46" s="1691"/>
      <c r="F46" s="1691"/>
      <c r="G46" s="1691"/>
      <c r="H46" s="1691"/>
      <c r="I46" s="1691"/>
      <c r="J46" s="1691"/>
      <c r="K46" s="1691"/>
      <c r="L46" s="1691"/>
      <c r="M46" s="1691"/>
      <c r="N46" s="1691"/>
      <c r="O46" s="1691"/>
      <c r="P46" s="1691"/>
      <c r="Q46" s="1691"/>
      <c r="R46" s="1691"/>
      <c r="S46" s="1691"/>
      <c r="T46" s="1691"/>
      <c r="U46" s="1691"/>
      <c r="V46" s="1691"/>
      <c r="W46" s="1691"/>
      <c r="X46" s="1691"/>
      <c r="Y46" s="1686"/>
      <c r="Z46" s="1686"/>
      <c r="AA46" s="1686"/>
      <c r="AB46" s="1686"/>
      <c r="AC46" s="1686"/>
      <c r="AD46" s="1686"/>
      <c r="AE46" s="1686"/>
      <c r="AF46" s="1686"/>
      <c r="AG46" s="1686"/>
      <c r="AH46" s="1686"/>
      <c r="AI46" s="1686"/>
      <c r="AJ46" s="1686"/>
      <c r="AK46" s="1686"/>
      <c r="AL46" s="1686"/>
      <c r="AM46" s="1686"/>
      <c r="AN46" s="1686"/>
      <c r="AO46" s="1686"/>
      <c r="AP46" s="1686"/>
      <c r="AQ46" s="1686"/>
      <c r="AR46" s="1686"/>
      <c r="AS46" s="1686"/>
      <c r="AT46" s="1686"/>
    </row>
    <row r="47">
      <c r="A47" s="1419"/>
      <c r="B47" s="1687"/>
      <c r="C47" s="1688"/>
      <c r="D47" s="1688"/>
      <c r="E47" s="1689"/>
      <c r="F47" s="1689"/>
      <c r="G47" s="1689"/>
      <c r="H47" s="1689"/>
      <c r="I47" s="1689"/>
      <c r="J47" s="1689"/>
      <c r="K47" s="1689"/>
      <c r="L47" s="1689"/>
      <c r="M47" s="1689"/>
      <c r="N47" s="1689"/>
      <c r="O47" s="1689"/>
      <c r="P47" s="1689"/>
      <c r="Q47" s="1689"/>
      <c r="R47" s="1689"/>
      <c r="S47" s="1689"/>
      <c r="T47" s="1689"/>
      <c r="U47" s="1689"/>
      <c r="V47" s="1689"/>
      <c r="W47" s="1689"/>
      <c r="X47" s="1689"/>
      <c r="Y47" s="1690"/>
      <c r="Z47" s="1690"/>
      <c r="AA47" s="1690"/>
      <c r="AB47" s="1690"/>
      <c r="AC47" s="1690"/>
      <c r="AD47" s="1690"/>
      <c r="AE47" s="1690"/>
      <c r="AF47" s="1690"/>
      <c r="AG47" s="1690"/>
      <c r="AH47" s="1690"/>
      <c r="AI47" s="1690"/>
      <c r="AJ47" s="1690"/>
      <c r="AK47" s="1690"/>
      <c r="AL47" s="1690"/>
      <c r="AM47" s="1690"/>
      <c r="AN47" s="1690"/>
      <c r="AO47" s="1690"/>
      <c r="AP47" s="1690"/>
      <c r="AQ47" s="1690"/>
      <c r="AR47" s="1690"/>
      <c r="AS47" s="1690"/>
      <c r="AT47" s="1690"/>
    </row>
    <row r="48">
      <c r="A48" s="1419"/>
      <c r="B48" s="1684"/>
      <c r="C48" s="1685"/>
      <c r="D48" s="1685"/>
      <c r="E48" s="1686"/>
      <c r="F48" s="1686"/>
      <c r="G48" s="1686"/>
      <c r="H48" s="1686"/>
      <c r="I48" s="1686"/>
      <c r="J48" s="1686"/>
      <c r="K48" s="1686"/>
      <c r="L48" s="1686"/>
      <c r="M48" s="1686"/>
      <c r="N48" s="1686"/>
      <c r="O48" s="1686"/>
      <c r="P48" s="1686"/>
      <c r="Q48" s="1686"/>
      <c r="R48" s="1686"/>
      <c r="S48" s="1686"/>
      <c r="T48" s="1686"/>
      <c r="U48" s="1686"/>
      <c r="V48" s="1686"/>
      <c r="W48" s="1686"/>
      <c r="X48" s="1686"/>
      <c r="Y48" s="1686"/>
      <c r="Z48" s="1686"/>
      <c r="AA48" s="1686"/>
      <c r="AB48" s="1686"/>
      <c r="AC48" s="1686"/>
      <c r="AD48" s="1686"/>
      <c r="AE48" s="1686"/>
      <c r="AF48" s="1686"/>
      <c r="AG48" s="1686"/>
      <c r="AH48" s="1686"/>
      <c r="AI48" s="1686"/>
      <c r="AJ48" s="1686"/>
      <c r="AK48" s="1686"/>
      <c r="AL48" s="1686"/>
      <c r="AM48" s="1686"/>
      <c r="AN48" s="1686"/>
      <c r="AO48" s="1686"/>
      <c r="AP48" s="1686"/>
      <c r="AQ48" s="1686"/>
      <c r="AR48" s="1686"/>
      <c r="AS48" s="1686"/>
      <c r="AT48" s="1686"/>
    </row>
    <row r="49">
      <c r="A49" s="1419"/>
      <c r="B49" s="1687"/>
      <c r="C49" s="1688"/>
      <c r="D49" s="1688"/>
      <c r="E49" s="1689"/>
      <c r="F49" s="1689"/>
      <c r="G49" s="1689"/>
      <c r="H49" s="1689"/>
      <c r="I49" s="1689"/>
      <c r="J49" s="1689"/>
      <c r="K49" s="1689"/>
      <c r="L49" s="1689"/>
      <c r="M49" s="1689"/>
      <c r="N49" s="1689"/>
      <c r="O49" s="1689"/>
      <c r="P49" s="1689"/>
      <c r="Q49" s="1689"/>
      <c r="R49" s="1689"/>
      <c r="S49" s="1689"/>
      <c r="T49" s="1689"/>
      <c r="U49" s="1689"/>
      <c r="V49" s="1689"/>
      <c r="W49" s="1689"/>
      <c r="X49" s="1689"/>
      <c r="Y49" s="1690"/>
      <c r="Z49" s="1690"/>
      <c r="AA49" s="1690"/>
      <c r="AB49" s="1690"/>
      <c r="AC49" s="1690"/>
      <c r="AD49" s="1690"/>
      <c r="AE49" s="1690"/>
      <c r="AF49" s="1690"/>
      <c r="AG49" s="1690"/>
      <c r="AH49" s="1690"/>
      <c r="AI49" s="1690"/>
      <c r="AJ49" s="1690"/>
      <c r="AK49" s="1690"/>
      <c r="AL49" s="1690"/>
      <c r="AM49" s="1690"/>
      <c r="AN49" s="1690"/>
      <c r="AO49" s="1690"/>
      <c r="AP49" s="1690"/>
      <c r="AQ49" s="1690"/>
      <c r="AR49" s="1690"/>
      <c r="AS49" s="1690"/>
      <c r="AT49" s="1690"/>
    </row>
    <row r="50">
      <c r="A50" s="1419"/>
      <c r="B50" s="1684"/>
      <c r="C50" s="1685"/>
      <c r="D50" s="1685"/>
      <c r="E50" s="1691"/>
      <c r="F50" s="1691"/>
      <c r="G50" s="1691"/>
      <c r="H50" s="1691"/>
      <c r="I50" s="1691"/>
      <c r="J50" s="1691"/>
      <c r="K50" s="1691"/>
      <c r="L50" s="1691"/>
      <c r="M50" s="1691"/>
      <c r="N50" s="1691"/>
      <c r="O50" s="1691"/>
      <c r="P50" s="1691"/>
      <c r="Q50" s="1691"/>
      <c r="R50" s="1691"/>
      <c r="S50" s="1691"/>
      <c r="T50" s="1691"/>
      <c r="U50" s="1691"/>
      <c r="V50" s="1691"/>
      <c r="W50" s="1691"/>
      <c r="X50" s="1691"/>
      <c r="Y50" s="1686"/>
      <c r="Z50" s="1686"/>
      <c r="AA50" s="1686"/>
      <c r="AB50" s="1686"/>
      <c r="AC50" s="1686"/>
      <c r="AD50" s="1686"/>
      <c r="AE50" s="1686"/>
      <c r="AF50" s="1686"/>
      <c r="AG50" s="1686"/>
      <c r="AH50" s="1686"/>
      <c r="AI50" s="1686"/>
      <c r="AJ50" s="1686"/>
      <c r="AK50" s="1686"/>
      <c r="AL50" s="1686"/>
      <c r="AM50" s="1686"/>
      <c r="AN50" s="1686"/>
      <c r="AO50" s="1686"/>
      <c r="AP50" s="1686"/>
      <c r="AQ50" s="1686"/>
      <c r="AR50" s="1686"/>
      <c r="AS50" s="1686"/>
      <c r="AT50" s="1686"/>
    </row>
    <row r="51">
      <c r="A51" s="1419"/>
      <c r="B51" s="1687"/>
      <c r="C51" s="1688"/>
      <c r="D51" s="1688"/>
      <c r="E51" s="1689"/>
      <c r="F51" s="1689"/>
      <c r="G51" s="1689"/>
      <c r="H51" s="1689"/>
      <c r="I51" s="1689"/>
      <c r="J51" s="1689"/>
      <c r="K51" s="1689"/>
      <c r="L51" s="1689"/>
      <c r="M51" s="1689"/>
      <c r="N51" s="1689"/>
      <c r="O51" s="1689"/>
      <c r="P51" s="1689"/>
      <c r="Q51" s="1689"/>
      <c r="R51" s="1689"/>
      <c r="S51" s="1689"/>
      <c r="T51" s="1689"/>
      <c r="U51" s="1689"/>
      <c r="V51" s="1689"/>
      <c r="W51" s="1689"/>
      <c r="X51" s="1689"/>
      <c r="Y51" s="1690"/>
      <c r="Z51" s="1690"/>
      <c r="AA51" s="1690"/>
      <c r="AB51" s="1690"/>
      <c r="AC51" s="1690"/>
      <c r="AD51" s="1690"/>
      <c r="AE51" s="1690"/>
      <c r="AF51" s="1690"/>
      <c r="AG51" s="1690"/>
      <c r="AH51" s="1690"/>
      <c r="AI51" s="1690"/>
      <c r="AJ51" s="1690"/>
      <c r="AK51" s="1690"/>
      <c r="AL51" s="1690"/>
      <c r="AM51" s="1690"/>
      <c r="AN51" s="1690"/>
      <c r="AO51" s="1690"/>
      <c r="AP51" s="1690"/>
      <c r="AQ51" s="1690"/>
      <c r="AR51" s="1690"/>
      <c r="AS51" s="1690"/>
      <c r="AT51" s="1690"/>
    </row>
    <row r="52">
      <c r="A52" s="1419"/>
      <c r="B52" s="1684"/>
      <c r="C52" s="1685"/>
      <c r="D52" s="1685"/>
      <c r="E52" s="1691"/>
      <c r="F52" s="1691"/>
      <c r="G52" s="1691"/>
      <c r="H52" s="1691"/>
      <c r="I52" s="1691"/>
      <c r="J52" s="1691"/>
      <c r="K52" s="1691"/>
      <c r="L52" s="1691"/>
      <c r="M52" s="1691"/>
      <c r="N52" s="1691"/>
      <c r="O52" s="1691"/>
      <c r="P52" s="1691"/>
      <c r="Q52" s="1691"/>
      <c r="R52" s="1691"/>
      <c r="S52" s="1691"/>
      <c r="T52" s="1691"/>
      <c r="U52" s="1691"/>
      <c r="V52" s="1691"/>
      <c r="W52" s="1691"/>
      <c r="X52" s="1691"/>
      <c r="Y52" s="1686"/>
      <c r="Z52" s="1686"/>
      <c r="AA52" s="1686"/>
      <c r="AB52" s="1686"/>
      <c r="AC52" s="1686"/>
      <c r="AD52" s="1686"/>
      <c r="AE52" s="1686"/>
      <c r="AF52" s="1686"/>
      <c r="AG52" s="1686"/>
      <c r="AH52" s="1686"/>
      <c r="AI52" s="1686"/>
      <c r="AJ52" s="1686"/>
      <c r="AK52" s="1686"/>
      <c r="AL52" s="1686"/>
      <c r="AM52" s="1686"/>
      <c r="AN52" s="1686"/>
      <c r="AO52" s="1686"/>
      <c r="AP52" s="1686"/>
      <c r="AQ52" s="1686"/>
      <c r="AR52" s="1686"/>
      <c r="AS52" s="1686"/>
      <c r="AT52" s="1686"/>
    </row>
    <row r="53">
      <c r="A53" s="1419"/>
      <c r="B53" s="1687"/>
      <c r="C53" s="1688"/>
      <c r="D53" s="1688"/>
      <c r="E53" s="1689"/>
      <c r="F53" s="1689"/>
      <c r="G53" s="1689"/>
      <c r="H53" s="1689"/>
      <c r="I53" s="1689"/>
      <c r="J53" s="1689"/>
      <c r="K53" s="1689"/>
      <c r="L53" s="1689"/>
      <c r="M53" s="1689"/>
      <c r="N53" s="1689"/>
      <c r="O53" s="1689"/>
      <c r="P53" s="1689"/>
      <c r="Q53" s="1689"/>
      <c r="R53" s="1689"/>
      <c r="S53" s="1689"/>
      <c r="T53" s="1689"/>
      <c r="U53" s="1689"/>
      <c r="V53" s="1689"/>
      <c r="W53" s="1689"/>
      <c r="X53" s="1689"/>
      <c r="Y53" s="1690"/>
      <c r="Z53" s="1690"/>
      <c r="AA53" s="1690"/>
      <c r="AB53" s="1690"/>
      <c r="AC53" s="1690"/>
      <c r="AD53" s="1690"/>
      <c r="AE53" s="1690"/>
      <c r="AF53" s="1690"/>
      <c r="AG53" s="1690"/>
      <c r="AH53" s="1690"/>
      <c r="AI53" s="1690"/>
      <c r="AJ53" s="1690"/>
      <c r="AK53" s="1690"/>
      <c r="AL53" s="1690"/>
      <c r="AM53" s="1690"/>
      <c r="AN53" s="1690"/>
      <c r="AO53" s="1690"/>
      <c r="AP53" s="1690"/>
      <c r="AQ53" s="1690"/>
      <c r="AR53" s="1690"/>
      <c r="AS53" s="1690"/>
      <c r="AT53" s="1690"/>
    </row>
    <row r="54">
      <c r="A54" s="1419"/>
      <c r="B54" s="1684"/>
      <c r="C54" s="1685"/>
      <c r="D54" s="1685"/>
      <c r="E54" s="1691"/>
      <c r="F54" s="1691"/>
      <c r="G54" s="1691"/>
      <c r="H54" s="1691"/>
      <c r="I54" s="1691"/>
      <c r="J54" s="1691"/>
      <c r="K54" s="1691"/>
      <c r="L54" s="1691"/>
      <c r="M54" s="1691"/>
      <c r="N54" s="1691"/>
      <c r="O54" s="1691"/>
      <c r="P54" s="1691"/>
      <c r="Q54" s="1691"/>
      <c r="R54" s="1691"/>
      <c r="S54" s="1691"/>
      <c r="T54" s="1691"/>
      <c r="U54" s="1691"/>
      <c r="V54" s="1691"/>
      <c r="W54" s="1691"/>
      <c r="X54" s="1691"/>
      <c r="Y54" s="1686"/>
      <c r="Z54" s="1686"/>
      <c r="AA54" s="1686"/>
      <c r="AB54" s="1686"/>
      <c r="AC54" s="1686"/>
      <c r="AD54" s="1686"/>
      <c r="AE54" s="1686"/>
      <c r="AF54" s="1686"/>
      <c r="AG54" s="1686"/>
      <c r="AH54" s="1686"/>
      <c r="AI54" s="1686"/>
      <c r="AJ54" s="1686"/>
      <c r="AK54" s="1686"/>
      <c r="AL54" s="1686"/>
      <c r="AM54" s="1686"/>
      <c r="AN54" s="1686"/>
      <c r="AO54" s="1686"/>
      <c r="AP54" s="1686"/>
      <c r="AQ54" s="1686"/>
      <c r="AR54" s="1686"/>
      <c r="AS54" s="1686"/>
      <c r="AT54" s="1686"/>
    </row>
    <row r="55">
      <c r="A55" s="1419"/>
      <c r="B55" s="1687"/>
      <c r="C55" s="1688"/>
      <c r="D55" s="1688"/>
      <c r="E55" s="1690"/>
      <c r="F55" s="1690"/>
      <c r="G55" s="1690"/>
      <c r="H55" s="1690"/>
      <c r="I55" s="1690"/>
      <c r="J55" s="1690"/>
      <c r="K55" s="1690"/>
      <c r="L55" s="1690"/>
      <c r="M55" s="1690"/>
      <c r="N55" s="1690"/>
      <c r="O55" s="1690"/>
      <c r="P55" s="1690"/>
      <c r="Q55" s="1690"/>
      <c r="R55" s="1690"/>
      <c r="S55" s="1690"/>
      <c r="T55" s="1690"/>
      <c r="U55" s="1690"/>
      <c r="V55" s="1690"/>
      <c r="W55" s="1690"/>
      <c r="X55" s="1690"/>
      <c r="Y55" s="1690"/>
      <c r="Z55" s="1690"/>
      <c r="AA55" s="1690"/>
      <c r="AB55" s="1690"/>
      <c r="AC55" s="1690"/>
      <c r="AD55" s="1690"/>
      <c r="AE55" s="1690"/>
      <c r="AF55" s="1690"/>
      <c r="AG55" s="1690"/>
      <c r="AH55" s="1690"/>
      <c r="AI55" s="1690"/>
      <c r="AJ55" s="1690"/>
      <c r="AK55" s="1690"/>
      <c r="AL55" s="1690"/>
      <c r="AM55" s="1690"/>
      <c r="AN55" s="1690"/>
      <c r="AO55" s="1690"/>
      <c r="AP55" s="1690"/>
      <c r="AQ55" s="1690"/>
      <c r="AR55" s="1690"/>
      <c r="AS55" s="1690"/>
      <c r="AT55" s="1690"/>
    </row>
    <row r="56">
      <c r="A56" s="1419"/>
      <c r="B56" s="1684"/>
      <c r="C56" s="1685"/>
      <c r="D56" s="1685"/>
      <c r="E56" s="1686"/>
      <c r="F56" s="1686"/>
      <c r="G56" s="1686"/>
      <c r="H56" s="1686"/>
      <c r="I56" s="1686"/>
      <c r="J56" s="1686"/>
      <c r="K56" s="1686"/>
      <c r="L56" s="1686"/>
      <c r="M56" s="1686"/>
      <c r="N56" s="1686"/>
      <c r="O56" s="1686"/>
      <c r="P56" s="1686"/>
      <c r="Q56" s="1686"/>
      <c r="R56" s="1686"/>
      <c r="S56" s="1686"/>
      <c r="T56" s="1686"/>
      <c r="U56" s="1686"/>
      <c r="V56" s="1686"/>
      <c r="W56" s="1686"/>
      <c r="X56" s="1686"/>
      <c r="Y56" s="1686"/>
      <c r="Z56" s="1686"/>
      <c r="AA56" s="1686"/>
      <c r="AB56" s="1686"/>
      <c r="AC56" s="1686"/>
      <c r="AD56" s="1686"/>
      <c r="AE56" s="1686"/>
      <c r="AF56" s="1686"/>
      <c r="AG56" s="1686"/>
      <c r="AH56" s="1686"/>
      <c r="AI56" s="1686"/>
      <c r="AJ56" s="1686"/>
      <c r="AK56" s="1686"/>
      <c r="AL56" s="1686"/>
      <c r="AM56" s="1686"/>
      <c r="AN56" s="1686"/>
      <c r="AO56" s="1686"/>
      <c r="AP56" s="1686"/>
      <c r="AQ56" s="1686"/>
      <c r="AR56" s="1686"/>
      <c r="AS56" s="1686"/>
      <c r="AT56" s="1686"/>
    </row>
    <row r="57">
      <c r="A57" s="1419"/>
      <c r="B57" s="1687"/>
      <c r="C57" s="1688"/>
      <c r="D57" s="1688"/>
      <c r="E57" s="1689"/>
      <c r="F57" s="1689"/>
      <c r="G57" s="1689"/>
      <c r="H57" s="1689"/>
      <c r="I57" s="1689"/>
      <c r="J57" s="1689"/>
      <c r="K57" s="1689"/>
      <c r="L57" s="1689"/>
      <c r="M57" s="1689"/>
      <c r="N57" s="1689"/>
      <c r="O57" s="1689"/>
      <c r="P57" s="1689"/>
      <c r="Q57" s="1689"/>
      <c r="R57" s="1689"/>
      <c r="S57" s="1689"/>
      <c r="T57" s="1689"/>
      <c r="U57" s="1689"/>
      <c r="V57" s="1689"/>
      <c r="W57" s="1689"/>
      <c r="X57" s="1689"/>
      <c r="Y57" s="1690"/>
      <c r="Z57" s="1690"/>
      <c r="AA57" s="1690"/>
      <c r="AB57" s="1690"/>
      <c r="AC57" s="1690"/>
      <c r="AD57" s="1690"/>
      <c r="AE57" s="1690"/>
      <c r="AF57" s="1690"/>
      <c r="AG57" s="1690"/>
      <c r="AH57" s="1690"/>
      <c r="AI57" s="1690"/>
      <c r="AJ57" s="1690"/>
      <c r="AK57" s="1690"/>
      <c r="AL57" s="1690"/>
      <c r="AM57" s="1690"/>
      <c r="AN57" s="1690"/>
      <c r="AO57" s="1690"/>
      <c r="AP57" s="1690"/>
      <c r="AQ57" s="1690"/>
      <c r="AR57" s="1690"/>
      <c r="AS57" s="1690"/>
      <c r="AT57" s="1690"/>
    </row>
    <row r="58">
      <c r="A58" s="1419"/>
      <c r="B58" s="1684"/>
      <c r="C58" s="1685"/>
      <c r="D58" s="1685"/>
      <c r="E58" s="1691"/>
      <c r="F58" s="1691"/>
      <c r="G58" s="1691"/>
      <c r="H58" s="1691"/>
      <c r="I58" s="1691"/>
      <c r="J58" s="1691"/>
      <c r="K58" s="1691"/>
      <c r="L58" s="1691"/>
      <c r="M58" s="1691"/>
      <c r="N58" s="1691"/>
      <c r="O58" s="1691"/>
      <c r="P58" s="1691"/>
      <c r="Q58" s="1691"/>
      <c r="R58" s="1691"/>
      <c r="S58" s="1691"/>
      <c r="T58" s="1691"/>
      <c r="U58" s="1691"/>
      <c r="V58" s="1691"/>
      <c r="W58" s="1691"/>
      <c r="X58" s="1691"/>
      <c r="Y58" s="1686"/>
      <c r="Z58" s="1686"/>
      <c r="AA58" s="1686"/>
      <c r="AB58" s="1686"/>
      <c r="AC58" s="1686"/>
      <c r="AD58" s="1686"/>
      <c r="AE58" s="1686"/>
      <c r="AF58" s="1686"/>
      <c r="AG58" s="1686"/>
      <c r="AH58" s="1686"/>
      <c r="AI58" s="1686"/>
      <c r="AJ58" s="1686"/>
      <c r="AK58" s="1686"/>
      <c r="AL58" s="1686"/>
      <c r="AM58" s="1686"/>
      <c r="AN58" s="1686"/>
      <c r="AO58" s="1686"/>
      <c r="AP58" s="1686"/>
      <c r="AQ58" s="1686"/>
      <c r="AR58" s="1686"/>
      <c r="AS58" s="1686"/>
      <c r="AT58" s="1686"/>
    </row>
    <row r="59">
      <c r="A59" s="1419"/>
      <c r="B59" s="1687"/>
      <c r="C59" s="1688"/>
      <c r="D59" s="1688"/>
      <c r="E59" s="1689"/>
      <c r="F59" s="1689"/>
      <c r="G59" s="1689"/>
      <c r="H59" s="1689"/>
      <c r="I59" s="1689"/>
      <c r="J59" s="1689"/>
      <c r="K59" s="1689"/>
      <c r="L59" s="1689"/>
      <c r="M59" s="1689"/>
      <c r="N59" s="1689"/>
      <c r="O59" s="1689"/>
      <c r="P59" s="1689"/>
      <c r="Q59" s="1689"/>
      <c r="R59" s="1689"/>
      <c r="S59" s="1689"/>
      <c r="T59" s="1689"/>
      <c r="U59" s="1689"/>
      <c r="V59" s="1689"/>
      <c r="W59" s="1689"/>
      <c r="X59" s="1689"/>
      <c r="Y59" s="1690"/>
      <c r="Z59" s="1690"/>
      <c r="AA59" s="1690"/>
      <c r="AB59" s="1690"/>
      <c r="AC59" s="1690"/>
      <c r="AD59" s="1690"/>
      <c r="AE59" s="1690"/>
      <c r="AF59" s="1690"/>
      <c r="AG59" s="1690"/>
      <c r="AH59" s="1690"/>
      <c r="AI59" s="1690"/>
      <c r="AJ59" s="1690"/>
      <c r="AK59" s="1690"/>
      <c r="AL59" s="1690"/>
      <c r="AM59" s="1690"/>
      <c r="AN59" s="1690"/>
      <c r="AO59" s="1690"/>
      <c r="AP59" s="1690"/>
      <c r="AQ59" s="1690"/>
      <c r="AR59" s="1690"/>
      <c r="AS59" s="1690"/>
      <c r="AT59" s="1690"/>
    </row>
    <row r="60">
      <c r="A60" s="1419"/>
      <c r="B60" s="1684"/>
      <c r="C60" s="1685"/>
      <c r="D60" s="1685"/>
      <c r="E60" s="1691"/>
      <c r="F60" s="1691"/>
      <c r="G60" s="1691"/>
      <c r="H60" s="1691"/>
      <c r="I60" s="1691"/>
      <c r="J60" s="1691"/>
      <c r="K60" s="1691"/>
      <c r="L60" s="1691"/>
      <c r="M60" s="1691"/>
      <c r="N60" s="1691"/>
      <c r="O60" s="1691"/>
      <c r="P60" s="1691"/>
      <c r="Q60" s="1691"/>
      <c r="R60" s="1691"/>
      <c r="S60" s="1691"/>
      <c r="T60" s="1691"/>
      <c r="U60" s="1691"/>
      <c r="V60" s="1691"/>
      <c r="W60" s="1691"/>
      <c r="X60" s="1691"/>
      <c r="Y60" s="1686"/>
      <c r="Z60" s="1686"/>
      <c r="AA60" s="1686"/>
      <c r="AB60" s="1686"/>
      <c r="AC60" s="1686"/>
      <c r="AD60" s="1686"/>
      <c r="AE60" s="1686"/>
      <c r="AF60" s="1686"/>
      <c r="AG60" s="1686"/>
      <c r="AH60" s="1686"/>
      <c r="AI60" s="1686"/>
      <c r="AJ60" s="1686"/>
      <c r="AK60" s="1686"/>
      <c r="AL60" s="1686"/>
      <c r="AM60" s="1686"/>
      <c r="AN60" s="1686"/>
      <c r="AO60" s="1686"/>
      <c r="AP60" s="1686"/>
      <c r="AQ60" s="1686"/>
      <c r="AR60" s="1686"/>
      <c r="AS60" s="1686"/>
      <c r="AT60" s="1686"/>
    </row>
    <row r="61">
      <c r="A61" s="1419"/>
      <c r="B61" s="1687"/>
      <c r="C61" s="1688"/>
      <c r="D61" s="1688"/>
      <c r="E61" s="1690"/>
      <c r="F61" s="1690"/>
      <c r="G61" s="1690"/>
      <c r="H61" s="1690"/>
      <c r="I61" s="1690"/>
      <c r="J61" s="1690"/>
      <c r="K61" s="1690"/>
      <c r="L61" s="1690"/>
      <c r="M61" s="1690"/>
      <c r="N61" s="1690"/>
      <c r="O61" s="1690"/>
      <c r="P61" s="1690"/>
      <c r="Q61" s="1690"/>
      <c r="R61" s="1690"/>
      <c r="S61" s="1690"/>
      <c r="T61" s="1690"/>
      <c r="U61" s="1690"/>
      <c r="V61" s="1690"/>
      <c r="W61" s="1690"/>
      <c r="X61" s="1690"/>
      <c r="Y61" s="1690"/>
      <c r="Z61" s="1690"/>
      <c r="AA61" s="1690"/>
      <c r="AB61" s="1690"/>
      <c r="AC61" s="1690"/>
      <c r="AD61" s="1690"/>
      <c r="AE61" s="1690"/>
      <c r="AF61" s="1690"/>
      <c r="AG61" s="1690"/>
      <c r="AH61" s="1690"/>
      <c r="AI61" s="1690"/>
      <c r="AJ61" s="1690"/>
      <c r="AK61" s="1690"/>
      <c r="AL61" s="1690"/>
      <c r="AM61" s="1690"/>
      <c r="AN61" s="1690"/>
      <c r="AO61" s="1690"/>
      <c r="AP61" s="1690"/>
      <c r="AQ61" s="1690"/>
      <c r="AR61" s="1690"/>
      <c r="AS61" s="1690"/>
      <c r="AT61" s="1690"/>
    </row>
    <row r="62">
      <c r="A62" s="1419"/>
      <c r="B62" s="1684"/>
      <c r="C62" s="1685"/>
      <c r="D62" s="1685"/>
      <c r="E62" s="1691"/>
      <c r="F62" s="1691"/>
      <c r="G62" s="1691"/>
      <c r="H62" s="1691"/>
      <c r="I62" s="1691"/>
      <c r="J62" s="1691"/>
      <c r="K62" s="1691"/>
      <c r="L62" s="1691"/>
      <c r="M62" s="1691"/>
      <c r="N62" s="1691"/>
      <c r="O62" s="1691"/>
      <c r="P62" s="1691"/>
      <c r="Q62" s="1691"/>
      <c r="R62" s="1691"/>
      <c r="S62" s="1691"/>
      <c r="T62" s="1691"/>
      <c r="U62" s="1691"/>
      <c r="V62" s="1691"/>
      <c r="W62" s="1691"/>
      <c r="X62" s="1691"/>
      <c r="Y62" s="1686"/>
      <c r="Z62" s="1686"/>
      <c r="AA62" s="1686"/>
      <c r="AB62" s="1686"/>
      <c r="AC62" s="1686"/>
      <c r="AD62" s="1686"/>
      <c r="AE62" s="1686"/>
      <c r="AF62" s="1686"/>
      <c r="AG62" s="1686"/>
      <c r="AH62" s="1686"/>
      <c r="AI62" s="1686"/>
      <c r="AJ62" s="1686"/>
      <c r="AK62" s="1686"/>
      <c r="AL62" s="1686"/>
      <c r="AM62" s="1686"/>
      <c r="AN62" s="1686"/>
      <c r="AO62" s="1686"/>
      <c r="AP62" s="1686"/>
      <c r="AQ62" s="1686"/>
      <c r="AR62" s="1686"/>
      <c r="AS62" s="1686"/>
      <c r="AT62" s="1686"/>
    </row>
    <row r="63">
      <c r="A63" s="1419"/>
      <c r="B63" s="1687"/>
      <c r="C63" s="1688"/>
      <c r="D63" s="1688"/>
      <c r="E63" s="1689"/>
      <c r="F63" s="1689"/>
      <c r="G63" s="1689"/>
      <c r="H63" s="1689"/>
      <c r="I63" s="1689"/>
      <c r="J63" s="1689"/>
      <c r="K63" s="1689"/>
      <c r="L63" s="1689"/>
      <c r="M63" s="1689"/>
      <c r="N63" s="1689"/>
      <c r="O63" s="1689"/>
      <c r="P63" s="1689"/>
      <c r="Q63" s="1689"/>
      <c r="R63" s="1689"/>
      <c r="S63" s="1689"/>
      <c r="T63" s="1689"/>
      <c r="U63" s="1689"/>
      <c r="V63" s="1689"/>
      <c r="W63" s="1689"/>
      <c r="X63" s="1689"/>
      <c r="Y63" s="1690"/>
      <c r="Z63" s="1690"/>
      <c r="AA63" s="1690"/>
      <c r="AB63" s="1690"/>
      <c r="AC63" s="1690"/>
      <c r="AD63" s="1690"/>
      <c r="AE63" s="1690"/>
      <c r="AF63" s="1690"/>
      <c r="AG63" s="1690"/>
      <c r="AH63" s="1690"/>
      <c r="AI63" s="1690"/>
      <c r="AJ63" s="1690"/>
      <c r="AK63" s="1690"/>
      <c r="AL63" s="1690"/>
      <c r="AM63" s="1690"/>
      <c r="AN63" s="1690"/>
      <c r="AO63" s="1690"/>
      <c r="AP63" s="1690"/>
      <c r="AQ63" s="1690"/>
      <c r="AR63" s="1690"/>
      <c r="AS63" s="1690"/>
      <c r="AT63" s="1690"/>
    </row>
    <row r="64">
      <c r="A64" s="1419"/>
      <c r="B64" s="1684"/>
      <c r="C64" s="1685"/>
      <c r="D64" s="1685"/>
      <c r="E64" s="1686"/>
      <c r="F64" s="1686"/>
      <c r="G64" s="1686"/>
      <c r="H64" s="1686"/>
      <c r="I64" s="1686"/>
      <c r="J64" s="1686"/>
      <c r="K64" s="1686"/>
      <c r="L64" s="1686"/>
      <c r="M64" s="1686"/>
      <c r="N64" s="1686"/>
      <c r="O64" s="1686"/>
      <c r="P64" s="1686"/>
      <c r="Q64" s="1686"/>
      <c r="R64" s="1686"/>
      <c r="S64" s="1686"/>
      <c r="T64" s="1686"/>
      <c r="U64" s="1686"/>
      <c r="V64" s="1686"/>
      <c r="W64" s="1686"/>
      <c r="X64" s="1686"/>
      <c r="Y64" s="1686"/>
      <c r="Z64" s="1686"/>
      <c r="AA64" s="1686"/>
      <c r="AB64" s="1686"/>
      <c r="AC64" s="1686"/>
      <c r="AD64" s="1686"/>
      <c r="AE64" s="1686"/>
      <c r="AF64" s="1686"/>
      <c r="AG64" s="1686"/>
      <c r="AH64" s="1686"/>
      <c r="AI64" s="1686"/>
      <c r="AJ64" s="1686"/>
      <c r="AK64" s="1686"/>
      <c r="AL64" s="1686"/>
      <c r="AM64" s="1686"/>
      <c r="AN64" s="1686"/>
      <c r="AO64" s="1686"/>
      <c r="AP64" s="1686"/>
      <c r="AQ64" s="1686"/>
      <c r="AR64" s="1686"/>
      <c r="AS64" s="1686"/>
      <c r="AT64" s="1686"/>
    </row>
    <row r="65">
      <c r="A65" s="1419"/>
      <c r="B65" s="1687"/>
      <c r="C65" s="1688"/>
      <c r="D65" s="1688"/>
      <c r="E65" s="1690"/>
      <c r="F65" s="1690"/>
      <c r="G65" s="1690"/>
      <c r="H65" s="1690"/>
      <c r="I65" s="1690"/>
      <c r="J65" s="1690"/>
      <c r="K65" s="1690"/>
      <c r="L65" s="1690"/>
      <c r="M65" s="1690"/>
      <c r="N65" s="1690"/>
      <c r="O65" s="1690"/>
      <c r="P65" s="1690"/>
      <c r="Q65" s="1690"/>
      <c r="R65" s="1690"/>
      <c r="S65" s="1690"/>
      <c r="T65" s="1690"/>
      <c r="U65" s="1690"/>
      <c r="V65" s="1690"/>
      <c r="W65" s="1690"/>
      <c r="X65" s="1690"/>
      <c r="Y65" s="1690"/>
      <c r="Z65" s="1690"/>
      <c r="AA65" s="1690"/>
      <c r="AB65" s="1690"/>
      <c r="AC65" s="1690"/>
      <c r="AD65" s="1690"/>
      <c r="AE65" s="1690"/>
      <c r="AF65" s="1690"/>
      <c r="AG65" s="1690"/>
      <c r="AH65" s="1690"/>
      <c r="AI65" s="1690"/>
      <c r="AJ65" s="1690"/>
      <c r="AK65" s="1690"/>
      <c r="AL65" s="1690"/>
      <c r="AM65" s="1690"/>
      <c r="AN65" s="1690"/>
      <c r="AO65" s="1690"/>
      <c r="AP65" s="1690"/>
      <c r="AQ65" s="1690"/>
      <c r="AR65" s="1690"/>
      <c r="AS65" s="1690"/>
      <c r="AT65" s="1690"/>
    </row>
    <row r="66">
      <c r="A66" s="1419"/>
      <c r="B66" s="1684"/>
      <c r="C66" s="1685"/>
      <c r="D66" s="1685"/>
      <c r="E66" s="1686"/>
      <c r="F66" s="1686"/>
      <c r="G66" s="1686"/>
      <c r="H66" s="1686"/>
      <c r="I66" s="1686"/>
      <c r="J66" s="1686"/>
      <c r="K66" s="1686"/>
      <c r="L66" s="1686"/>
      <c r="M66" s="1686"/>
      <c r="N66" s="1686"/>
      <c r="O66" s="1686"/>
      <c r="P66" s="1686"/>
      <c r="Q66" s="1686"/>
      <c r="R66" s="1686"/>
      <c r="S66" s="1686"/>
      <c r="T66" s="1686"/>
      <c r="U66" s="1686"/>
      <c r="V66" s="1686"/>
      <c r="W66" s="1686"/>
      <c r="X66" s="1686"/>
      <c r="Y66" s="1686"/>
      <c r="Z66" s="1686"/>
      <c r="AA66" s="1686"/>
      <c r="AB66" s="1686"/>
      <c r="AC66" s="1686"/>
      <c r="AD66" s="1686"/>
      <c r="AE66" s="1686"/>
      <c r="AF66" s="1686"/>
      <c r="AG66" s="1686"/>
      <c r="AH66" s="1686"/>
      <c r="AI66" s="1686"/>
      <c r="AJ66" s="1686"/>
      <c r="AK66" s="1686"/>
      <c r="AL66" s="1686"/>
      <c r="AM66" s="1686"/>
      <c r="AN66" s="1686"/>
      <c r="AO66" s="1686"/>
      <c r="AP66" s="1686"/>
      <c r="AQ66" s="1686"/>
      <c r="AR66" s="1686"/>
      <c r="AS66" s="1686"/>
      <c r="AT66" s="1686"/>
    </row>
    <row r="67">
      <c r="A67" s="1419"/>
      <c r="B67" s="1687"/>
      <c r="C67" s="1688"/>
      <c r="D67" s="1688"/>
      <c r="E67" s="1689"/>
      <c r="F67" s="1689"/>
      <c r="G67" s="1689"/>
      <c r="H67" s="1689"/>
      <c r="I67" s="1689"/>
      <c r="J67" s="1689"/>
      <c r="K67" s="1689"/>
      <c r="L67" s="1689"/>
      <c r="M67" s="1689"/>
      <c r="N67" s="1689"/>
      <c r="O67" s="1689"/>
      <c r="P67" s="1689"/>
      <c r="Q67" s="1689"/>
      <c r="R67" s="1689"/>
      <c r="S67" s="1689"/>
      <c r="T67" s="1689"/>
      <c r="U67" s="1689"/>
      <c r="V67" s="1689"/>
      <c r="W67" s="1689"/>
      <c r="X67" s="1689"/>
      <c r="Y67" s="1690"/>
      <c r="Z67" s="1690"/>
      <c r="AA67" s="1690"/>
      <c r="AB67" s="1690"/>
      <c r="AC67" s="1690"/>
      <c r="AD67" s="1690"/>
      <c r="AE67" s="1690"/>
      <c r="AF67" s="1690"/>
      <c r="AG67" s="1690"/>
      <c r="AH67" s="1690"/>
      <c r="AI67" s="1690"/>
      <c r="AJ67" s="1690"/>
      <c r="AK67" s="1690"/>
      <c r="AL67" s="1690"/>
      <c r="AM67" s="1690"/>
      <c r="AN67" s="1690"/>
      <c r="AO67" s="1690"/>
      <c r="AP67" s="1690"/>
      <c r="AQ67" s="1690"/>
      <c r="AR67" s="1690"/>
      <c r="AS67" s="1690"/>
      <c r="AT67" s="1690"/>
    </row>
    <row r="68">
      <c r="A68" s="1419"/>
      <c r="B68" s="1684"/>
      <c r="C68" s="1685"/>
      <c r="D68" s="1685"/>
      <c r="E68" s="1691"/>
      <c r="F68" s="1691"/>
      <c r="G68" s="1691"/>
      <c r="H68" s="1691"/>
      <c r="I68" s="1691"/>
      <c r="J68" s="1691"/>
      <c r="K68" s="1691"/>
      <c r="L68" s="1691"/>
      <c r="M68" s="1691"/>
      <c r="N68" s="1691"/>
      <c r="O68" s="1691"/>
      <c r="P68" s="1691"/>
      <c r="Q68" s="1691"/>
      <c r="R68" s="1691"/>
      <c r="S68" s="1691"/>
      <c r="T68" s="1691"/>
      <c r="U68" s="1691"/>
      <c r="V68" s="1691"/>
      <c r="W68" s="1691"/>
      <c r="X68" s="1691"/>
      <c r="Y68" s="1686"/>
      <c r="Z68" s="1686"/>
      <c r="AA68" s="1686"/>
      <c r="AB68" s="1686"/>
      <c r="AC68" s="1686"/>
      <c r="AD68" s="1686"/>
      <c r="AE68" s="1686"/>
      <c r="AF68" s="1686"/>
      <c r="AG68" s="1686"/>
      <c r="AH68" s="1686"/>
      <c r="AI68" s="1686"/>
      <c r="AJ68" s="1686"/>
      <c r="AK68" s="1686"/>
      <c r="AL68" s="1686"/>
      <c r="AM68" s="1686"/>
      <c r="AN68" s="1686"/>
      <c r="AO68" s="1686"/>
      <c r="AP68" s="1686"/>
      <c r="AQ68" s="1686"/>
      <c r="AR68" s="1686"/>
      <c r="AS68" s="1686"/>
      <c r="AT68" s="1686"/>
    </row>
    <row r="69">
      <c r="A69" s="1419"/>
      <c r="B69" s="1687"/>
      <c r="C69" s="1688"/>
      <c r="D69" s="1688"/>
      <c r="E69" s="1689"/>
      <c r="F69" s="1689"/>
      <c r="G69" s="1689"/>
      <c r="H69" s="1689"/>
      <c r="I69" s="1689"/>
      <c r="J69" s="1689"/>
      <c r="K69" s="1689"/>
      <c r="L69" s="1689"/>
      <c r="M69" s="1689"/>
      <c r="N69" s="1689"/>
      <c r="O69" s="1689"/>
      <c r="P69" s="1689"/>
      <c r="Q69" s="1689"/>
      <c r="R69" s="1689"/>
      <c r="S69" s="1689"/>
      <c r="T69" s="1689"/>
      <c r="U69" s="1689"/>
      <c r="V69" s="1689"/>
      <c r="W69" s="1689"/>
      <c r="X69" s="1689"/>
      <c r="Y69" s="1690"/>
      <c r="Z69" s="1690"/>
      <c r="AA69" s="1690"/>
      <c r="AB69" s="1690"/>
      <c r="AC69" s="1690"/>
      <c r="AD69" s="1690"/>
      <c r="AE69" s="1690"/>
      <c r="AF69" s="1690"/>
      <c r="AG69" s="1690"/>
      <c r="AH69" s="1690"/>
      <c r="AI69" s="1690"/>
      <c r="AJ69" s="1690"/>
      <c r="AK69" s="1690"/>
      <c r="AL69" s="1690"/>
      <c r="AM69" s="1690"/>
      <c r="AN69" s="1690"/>
      <c r="AO69" s="1690"/>
      <c r="AP69" s="1690"/>
      <c r="AQ69" s="1690"/>
      <c r="AR69" s="1690"/>
      <c r="AS69" s="1690"/>
      <c r="AT69" s="1690"/>
    </row>
    <row r="70">
      <c r="A70" s="1419"/>
      <c r="B70" s="1684"/>
      <c r="C70" s="1685"/>
      <c r="D70" s="1685"/>
      <c r="E70" s="1686"/>
      <c r="F70" s="1686"/>
      <c r="G70" s="1686"/>
      <c r="H70" s="1686"/>
      <c r="I70" s="1686"/>
      <c r="J70" s="1686"/>
      <c r="K70" s="1686"/>
      <c r="L70" s="1686"/>
      <c r="M70" s="1686"/>
      <c r="N70" s="1686"/>
      <c r="O70" s="1686"/>
      <c r="P70" s="1686"/>
      <c r="Q70" s="1686"/>
      <c r="R70" s="1686"/>
      <c r="S70" s="1686"/>
      <c r="T70" s="1686"/>
      <c r="U70" s="1686"/>
      <c r="V70" s="1686"/>
      <c r="W70" s="1686"/>
      <c r="X70" s="1686"/>
      <c r="Y70" s="1686"/>
      <c r="Z70" s="1686"/>
      <c r="AA70" s="1686"/>
      <c r="AB70" s="1686"/>
      <c r="AC70" s="1686"/>
      <c r="AD70" s="1686"/>
      <c r="AE70" s="1686"/>
      <c r="AF70" s="1686"/>
      <c r="AG70" s="1686"/>
      <c r="AH70" s="1686"/>
      <c r="AI70" s="1686"/>
      <c r="AJ70" s="1686"/>
      <c r="AK70" s="1686"/>
      <c r="AL70" s="1686"/>
      <c r="AM70" s="1686"/>
      <c r="AN70" s="1686"/>
      <c r="AO70" s="1686"/>
      <c r="AP70" s="1686"/>
      <c r="AQ70" s="1686"/>
      <c r="AR70" s="1686"/>
      <c r="AS70" s="1686"/>
      <c r="AT70" s="1686"/>
    </row>
    <row r="71">
      <c r="A71" s="1419"/>
      <c r="B71" s="1687"/>
      <c r="C71" s="1688"/>
      <c r="D71" s="1688"/>
      <c r="E71" s="1690"/>
      <c r="F71" s="1690"/>
      <c r="G71" s="1690"/>
      <c r="H71" s="1690"/>
      <c r="I71" s="1690"/>
      <c r="J71" s="1690"/>
      <c r="K71" s="1690"/>
      <c r="L71" s="1690"/>
      <c r="M71" s="1690"/>
      <c r="N71" s="1690"/>
      <c r="O71" s="1690"/>
      <c r="P71" s="1690"/>
      <c r="Q71" s="1690"/>
      <c r="R71" s="1690"/>
      <c r="S71" s="1690"/>
      <c r="T71" s="1690"/>
      <c r="U71" s="1690"/>
      <c r="V71" s="1690"/>
      <c r="W71" s="1690"/>
      <c r="X71" s="1690"/>
      <c r="Y71" s="1690"/>
      <c r="Z71" s="1690"/>
      <c r="AA71" s="1690"/>
      <c r="AB71" s="1690"/>
      <c r="AC71" s="1690"/>
      <c r="AD71" s="1690"/>
      <c r="AE71" s="1690"/>
      <c r="AF71" s="1690"/>
      <c r="AG71" s="1690"/>
      <c r="AH71" s="1690"/>
      <c r="AI71" s="1690"/>
      <c r="AJ71" s="1690"/>
      <c r="AK71" s="1690"/>
      <c r="AL71" s="1690"/>
      <c r="AM71" s="1690"/>
      <c r="AN71" s="1690"/>
      <c r="AO71" s="1690"/>
      <c r="AP71" s="1690"/>
      <c r="AQ71" s="1690"/>
      <c r="AR71" s="1690"/>
      <c r="AS71" s="1690"/>
      <c r="AT71" s="1690"/>
    </row>
    <row r="72">
      <c r="A72" s="1419"/>
      <c r="B72" s="1684"/>
      <c r="C72" s="1685"/>
      <c r="D72" s="1685"/>
      <c r="E72" s="1691"/>
      <c r="F72" s="1691"/>
      <c r="G72" s="1691"/>
      <c r="H72" s="1691"/>
      <c r="I72" s="1691"/>
      <c r="J72" s="1691"/>
      <c r="K72" s="1691"/>
      <c r="L72" s="1691"/>
      <c r="M72" s="1691"/>
      <c r="N72" s="1691"/>
      <c r="O72" s="1691"/>
      <c r="P72" s="1691"/>
      <c r="Q72" s="1691"/>
      <c r="R72" s="1691"/>
      <c r="S72" s="1691"/>
      <c r="T72" s="1691"/>
      <c r="U72" s="1691"/>
      <c r="V72" s="1691"/>
      <c r="W72" s="1691"/>
      <c r="X72" s="1691"/>
      <c r="Y72" s="1686"/>
      <c r="Z72" s="1686"/>
      <c r="AA72" s="1686"/>
      <c r="AB72" s="1686"/>
      <c r="AC72" s="1686"/>
      <c r="AD72" s="1686"/>
      <c r="AE72" s="1686"/>
      <c r="AF72" s="1686"/>
      <c r="AG72" s="1686"/>
      <c r="AH72" s="1686"/>
      <c r="AI72" s="1686"/>
      <c r="AJ72" s="1686"/>
      <c r="AK72" s="1686"/>
      <c r="AL72" s="1686"/>
      <c r="AM72" s="1686"/>
      <c r="AN72" s="1686"/>
      <c r="AO72" s="1686"/>
      <c r="AP72" s="1686"/>
      <c r="AQ72" s="1686"/>
      <c r="AR72" s="1686"/>
      <c r="AS72" s="1686"/>
      <c r="AT72" s="1686"/>
    </row>
    <row r="73">
      <c r="A73" s="1419"/>
      <c r="B73" s="1687"/>
      <c r="C73" s="1688"/>
      <c r="D73" s="1688"/>
      <c r="E73" s="1690"/>
      <c r="F73" s="1690"/>
      <c r="G73" s="1690"/>
      <c r="H73" s="1690"/>
      <c r="I73" s="1690"/>
      <c r="J73" s="1690"/>
      <c r="K73" s="1690"/>
      <c r="L73" s="1690"/>
      <c r="M73" s="1690"/>
      <c r="N73" s="1690"/>
      <c r="O73" s="1690"/>
      <c r="P73" s="1690"/>
      <c r="Q73" s="1690"/>
      <c r="R73" s="1690"/>
      <c r="S73" s="1690"/>
      <c r="T73" s="1690"/>
      <c r="U73" s="1690"/>
      <c r="V73" s="1690"/>
      <c r="W73" s="1690"/>
      <c r="X73" s="1690"/>
      <c r="Y73" s="1690"/>
      <c r="Z73" s="1690"/>
      <c r="AA73" s="1690"/>
      <c r="AB73" s="1690"/>
      <c r="AC73" s="1690"/>
      <c r="AD73" s="1690"/>
      <c r="AE73" s="1690"/>
      <c r="AF73" s="1690"/>
      <c r="AG73" s="1690"/>
      <c r="AH73" s="1690"/>
      <c r="AI73" s="1690"/>
      <c r="AJ73" s="1690"/>
      <c r="AK73" s="1690"/>
      <c r="AL73" s="1690"/>
      <c r="AM73" s="1690"/>
      <c r="AN73" s="1690"/>
      <c r="AO73" s="1690"/>
      <c r="AP73" s="1690"/>
      <c r="AQ73" s="1690"/>
      <c r="AR73" s="1690"/>
      <c r="AS73" s="1690"/>
      <c r="AT73" s="1690"/>
    </row>
    <row r="74">
      <c r="A74" s="1419"/>
      <c r="B74" s="1684"/>
      <c r="C74" s="1685"/>
      <c r="D74" s="1685"/>
      <c r="E74" s="1691"/>
      <c r="F74" s="1691"/>
      <c r="G74" s="1691"/>
      <c r="H74" s="1691"/>
      <c r="I74" s="1691"/>
      <c r="J74" s="1691"/>
      <c r="K74" s="1691"/>
      <c r="L74" s="1691"/>
      <c r="M74" s="1691"/>
      <c r="N74" s="1691"/>
      <c r="O74" s="1691"/>
      <c r="P74" s="1691"/>
      <c r="Q74" s="1691"/>
      <c r="R74" s="1691"/>
      <c r="S74" s="1691"/>
      <c r="T74" s="1691"/>
      <c r="U74" s="1691"/>
      <c r="V74" s="1691"/>
      <c r="W74" s="1691"/>
      <c r="X74" s="1691"/>
      <c r="Y74" s="1686"/>
      <c r="Z74" s="1686"/>
      <c r="AA74" s="1686"/>
      <c r="AB74" s="1686"/>
      <c r="AC74" s="1686"/>
      <c r="AD74" s="1686"/>
      <c r="AE74" s="1686"/>
      <c r="AF74" s="1686"/>
      <c r="AG74" s="1686"/>
      <c r="AH74" s="1686"/>
      <c r="AI74" s="1686"/>
      <c r="AJ74" s="1686"/>
      <c r="AK74" s="1686"/>
      <c r="AL74" s="1686"/>
      <c r="AM74" s="1686"/>
      <c r="AN74" s="1686"/>
      <c r="AO74" s="1686"/>
      <c r="AP74" s="1686"/>
      <c r="AQ74" s="1686"/>
      <c r="AR74" s="1686"/>
      <c r="AS74" s="1686"/>
      <c r="AT74" s="1686"/>
    </row>
    <row r="75">
      <c r="A75" s="1419"/>
      <c r="B75" s="1687"/>
      <c r="C75" s="1688"/>
      <c r="D75" s="1688"/>
      <c r="E75" s="1689"/>
      <c r="F75" s="1689"/>
      <c r="G75" s="1689"/>
      <c r="H75" s="1689"/>
      <c r="I75" s="1689"/>
      <c r="J75" s="1689"/>
      <c r="K75" s="1689"/>
      <c r="L75" s="1689"/>
      <c r="M75" s="1689"/>
      <c r="N75" s="1689"/>
      <c r="O75" s="1689"/>
      <c r="P75" s="1689"/>
      <c r="Q75" s="1689"/>
      <c r="R75" s="1689"/>
      <c r="S75" s="1689"/>
      <c r="T75" s="1689"/>
      <c r="U75" s="1689"/>
      <c r="V75" s="1689"/>
      <c r="W75" s="1689"/>
      <c r="X75" s="1689"/>
      <c r="Y75" s="1690"/>
      <c r="Z75" s="1690"/>
      <c r="AA75" s="1690"/>
      <c r="AB75" s="1690"/>
      <c r="AC75" s="1690"/>
      <c r="AD75" s="1690"/>
      <c r="AE75" s="1690"/>
      <c r="AF75" s="1690"/>
      <c r="AG75" s="1690"/>
      <c r="AH75" s="1690"/>
      <c r="AI75" s="1690"/>
      <c r="AJ75" s="1690"/>
      <c r="AK75" s="1690"/>
      <c r="AL75" s="1690"/>
      <c r="AM75" s="1690"/>
      <c r="AN75" s="1690"/>
      <c r="AO75" s="1690"/>
      <c r="AP75" s="1690"/>
      <c r="AQ75" s="1690"/>
      <c r="AR75" s="1690"/>
      <c r="AS75" s="1690"/>
      <c r="AT75" s="1690"/>
    </row>
    <row r="76">
      <c r="A76" s="1419"/>
      <c r="B76" s="1684"/>
      <c r="C76" s="1685"/>
      <c r="D76" s="1685"/>
      <c r="E76" s="1691"/>
      <c r="F76" s="1691"/>
      <c r="G76" s="1691"/>
      <c r="H76" s="1691"/>
      <c r="I76" s="1691"/>
      <c r="J76" s="1691"/>
      <c r="K76" s="1691"/>
      <c r="L76" s="1691"/>
      <c r="M76" s="1691"/>
      <c r="N76" s="1691"/>
      <c r="O76" s="1691"/>
      <c r="P76" s="1691"/>
      <c r="Q76" s="1691"/>
      <c r="R76" s="1691"/>
      <c r="S76" s="1691"/>
      <c r="T76" s="1691"/>
      <c r="U76" s="1691"/>
      <c r="V76" s="1691"/>
      <c r="W76" s="1691"/>
      <c r="X76" s="1691"/>
      <c r="Y76" s="1686"/>
      <c r="Z76" s="1686"/>
      <c r="AA76" s="1686"/>
      <c r="AB76" s="1686"/>
      <c r="AC76" s="1686"/>
      <c r="AD76" s="1686"/>
      <c r="AE76" s="1686"/>
      <c r="AF76" s="1686"/>
      <c r="AG76" s="1686"/>
      <c r="AH76" s="1686"/>
      <c r="AI76" s="1686"/>
      <c r="AJ76" s="1686"/>
      <c r="AK76" s="1686"/>
      <c r="AL76" s="1686"/>
      <c r="AM76" s="1686"/>
      <c r="AN76" s="1686"/>
      <c r="AO76" s="1686"/>
      <c r="AP76" s="1686"/>
      <c r="AQ76" s="1686"/>
      <c r="AR76" s="1686"/>
      <c r="AS76" s="1686"/>
      <c r="AT76" s="1686"/>
    </row>
    <row r="77">
      <c r="A77" s="1419"/>
      <c r="B77" s="1687"/>
      <c r="C77" s="1688"/>
      <c r="D77" s="1688"/>
      <c r="E77" s="1689"/>
      <c r="F77" s="1689"/>
      <c r="G77" s="1689"/>
      <c r="H77" s="1689"/>
      <c r="I77" s="1689"/>
      <c r="J77" s="1689"/>
      <c r="K77" s="1689"/>
      <c r="L77" s="1689"/>
      <c r="M77" s="1689"/>
      <c r="N77" s="1689"/>
      <c r="O77" s="1689"/>
      <c r="P77" s="1689"/>
      <c r="Q77" s="1689"/>
      <c r="R77" s="1689"/>
      <c r="S77" s="1689"/>
      <c r="T77" s="1689"/>
      <c r="U77" s="1689"/>
      <c r="V77" s="1689"/>
      <c r="W77" s="1689"/>
      <c r="X77" s="1689"/>
      <c r="Y77" s="1690"/>
      <c r="Z77" s="1690"/>
      <c r="AA77" s="1690"/>
      <c r="AB77" s="1690"/>
      <c r="AC77" s="1690"/>
      <c r="AD77" s="1690"/>
      <c r="AE77" s="1690"/>
      <c r="AF77" s="1690"/>
      <c r="AG77" s="1690"/>
      <c r="AH77" s="1690"/>
      <c r="AI77" s="1690"/>
      <c r="AJ77" s="1690"/>
      <c r="AK77" s="1690"/>
      <c r="AL77" s="1690"/>
      <c r="AM77" s="1690"/>
      <c r="AN77" s="1690"/>
      <c r="AO77" s="1690"/>
      <c r="AP77" s="1690"/>
      <c r="AQ77" s="1690"/>
      <c r="AR77" s="1690"/>
      <c r="AS77" s="1690"/>
      <c r="AT77" s="1690"/>
    </row>
    <row r="78">
      <c r="A78" s="1419"/>
      <c r="B78" s="1684"/>
      <c r="C78" s="1685"/>
      <c r="D78" s="1685"/>
      <c r="E78" s="1691"/>
      <c r="F78" s="1691"/>
      <c r="G78" s="1691"/>
      <c r="H78" s="1691"/>
      <c r="I78" s="1691"/>
      <c r="J78" s="1691"/>
      <c r="K78" s="1691"/>
      <c r="L78" s="1691"/>
      <c r="M78" s="1691"/>
      <c r="N78" s="1691"/>
      <c r="O78" s="1691"/>
      <c r="P78" s="1691"/>
      <c r="Q78" s="1691"/>
      <c r="R78" s="1691"/>
      <c r="S78" s="1691"/>
      <c r="T78" s="1691"/>
      <c r="U78" s="1691"/>
      <c r="V78" s="1691"/>
      <c r="W78" s="1691"/>
      <c r="X78" s="1691"/>
      <c r="Y78" s="1686"/>
      <c r="Z78" s="1686"/>
      <c r="AA78" s="1686"/>
      <c r="AB78" s="1686"/>
      <c r="AC78" s="1686"/>
      <c r="AD78" s="1686"/>
      <c r="AE78" s="1686"/>
      <c r="AF78" s="1686"/>
      <c r="AG78" s="1686"/>
      <c r="AH78" s="1686"/>
      <c r="AI78" s="1686"/>
      <c r="AJ78" s="1686"/>
      <c r="AK78" s="1686"/>
      <c r="AL78" s="1686"/>
      <c r="AM78" s="1686"/>
      <c r="AN78" s="1686"/>
      <c r="AO78" s="1686"/>
      <c r="AP78" s="1686"/>
      <c r="AQ78" s="1686"/>
      <c r="AR78" s="1686"/>
      <c r="AS78" s="1686"/>
      <c r="AT78" s="1686"/>
    </row>
    <row r="79">
      <c r="A79" s="1419"/>
      <c r="B79" s="1687"/>
      <c r="C79" s="1688"/>
      <c r="D79" s="1688"/>
      <c r="E79" s="1689"/>
      <c r="F79" s="1689"/>
      <c r="G79" s="1689"/>
      <c r="H79" s="1689"/>
      <c r="I79" s="1689"/>
      <c r="J79" s="1689"/>
      <c r="K79" s="1689"/>
      <c r="L79" s="1689"/>
      <c r="M79" s="1689"/>
      <c r="N79" s="1689"/>
      <c r="O79" s="1689"/>
      <c r="P79" s="1689"/>
      <c r="Q79" s="1689"/>
      <c r="R79" s="1689"/>
      <c r="S79" s="1689"/>
      <c r="T79" s="1689"/>
      <c r="U79" s="1689"/>
      <c r="V79" s="1689"/>
      <c r="W79" s="1689"/>
      <c r="X79" s="1689"/>
      <c r="Y79" s="1690"/>
      <c r="Z79" s="1690"/>
      <c r="AA79" s="1690"/>
      <c r="AB79" s="1690"/>
      <c r="AC79" s="1690"/>
      <c r="AD79" s="1690"/>
      <c r="AE79" s="1690"/>
      <c r="AF79" s="1690"/>
      <c r="AG79" s="1690"/>
      <c r="AH79" s="1690"/>
      <c r="AI79" s="1690"/>
      <c r="AJ79" s="1690"/>
      <c r="AK79" s="1690"/>
      <c r="AL79" s="1690"/>
      <c r="AM79" s="1690"/>
      <c r="AN79" s="1690"/>
      <c r="AO79" s="1690"/>
      <c r="AP79" s="1690"/>
      <c r="AQ79" s="1690"/>
      <c r="AR79" s="1690"/>
      <c r="AS79" s="1690"/>
      <c r="AT79" s="1690"/>
    </row>
    <row r="80">
      <c r="A80" s="1419"/>
      <c r="B80" s="1684"/>
      <c r="C80" s="1685"/>
      <c r="D80" s="1685"/>
      <c r="E80" s="1691"/>
      <c r="F80" s="1691"/>
      <c r="G80" s="1691"/>
      <c r="H80" s="1691"/>
      <c r="I80" s="1691"/>
      <c r="J80" s="1691"/>
      <c r="K80" s="1691"/>
      <c r="L80" s="1691"/>
      <c r="M80" s="1691"/>
      <c r="N80" s="1691"/>
      <c r="O80" s="1691"/>
      <c r="P80" s="1691"/>
      <c r="Q80" s="1691"/>
      <c r="R80" s="1691"/>
      <c r="S80" s="1691"/>
      <c r="T80" s="1691"/>
      <c r="U80" s="1691"/>
      <c r="V80" s="1691"/>
      <c r="W80" s="1691"/>
      <c r="X80" s="1691"/>
      <c r="Y80" s="1686"/>
      <c r="Z80" s="1686"/>
      <c r="AA80" s="1686"/>
      <c r="AB80" s="1686"/>
      <c r="AC80" s="1686"/>
      <c r="AD80" s="1686"/>
      <c r="AE80" s="1686"/>
      <c r="AF80" s="1686"/>
      <c r="AG80" s="1686"/>
      <c r="AH80" s="1686"/>
      <c r="AI80" s="1686"/>
      <c r="AJ80" s="1686"/>
      <c r="AK80" s="1686"/>
      <c r="AL80" s="1686"/>
      <c r="AM80" s="1686"/>
      <c r="AN80" s="1686"/>
      <c r="AO80" s="1686"/>
      <c r="AP80" s="1686"/>
      <c r="AQ80" s="1686"/>
      <c r="AR80" s="1686"/>
      <c r="AS80" s="1686"/>
      <c r="AT80" s="1686"/>
    </row>
    <row r="81">
      <c r="A81" s="1419"/>
      <c r="B81" s="1687"/>
      <c r="C81" s="1688"/>
      <c r="D81" s="1688"/>
      <c r="E81" s="1689"/>
      <c r="F81" s="1689"/>
      <c r="G81" s="1689"/>
      <c r="H81" s="1689"/>
      <c r="I81" s="1689"/>
      <c r="J81" s="1689"/>
      <c r="K81" s="1689"/>
      <c r="L81" s="1689"/>
      <c r="M81" s="1689"/>
      <c r="N81" s="1689"/>
      <c r="O81" s="1689"/>
      <c r="P81" s="1689"/>
      <c r="Q81" s="1689"/>
      <c r="R81" s="1689"/>
      <c r="S81" s="1689"/>
      <c r="T81" s="1689"/>
      <c r="U81" s="1689"/>
      <c r="V81" s="1689"/>
      <c r="W81" s="1689"/>
      <c r="X81" s="1689"/>
      <c r="Y81" s="1690"/>
      <c r="Z81" s="1690"/>
      <c r="AA81" s="1690"/>
      <c r="AB81" s="1690"/>
      <c r="AC81" s="1690"/>
      <c r="AD81" s="1690"/>
      <c r="AE81" s="1690"/>
      <c r="AF81" s="1690"/>
      <c r="AG81" s="1690"/>
      <c r="AH81" s="1690"/>
      <c r="AI81" s="1690"/>
      <c r="AJ81" s="1690"/>
      <c r="AK81" s="1690"/>
      <c r="AL81" s="1690"/>
      <c r="AM81" s="1690"/>
      <c r="AN81" s="1690"/>
      <c r="AO81" s="1690"/>
      <c r="AP81" s="1690"/>
      <c r="AQ81" s="1690"/>
      <c r="AR81" s="1690"/>
      <c r="AS81" s="1690"/>
      <c r="AT81" s="1690"/>
    </row>
    <row r="82">
      <c r="A82" s="1419"/>
      <c r="B82" s="1684"/>
      <c r="C82" s="1685"/>
      <c r="D82" s="1685"/>
      <c r="E82" s="1691"/>
      <c r="F82" s="1691"/>
      <c r="G82" s="1691"/>
      <c r="H82" s="1691"/>
      <c r="I82" s="1691"/>
      <c r="J82" s="1691"/>
      <c r="K82" s="1691"/>
      <c r="L82" s="1691"/>
      <c r="M82" s="1691"/>
      <c r="N82" s="1691"/>
      <c r="O82" s="1691"/>
      <c r="P82" s="1691"/>
      <c r="Q82" s="1691"/>
      <c r="R82" s="1691"/>
      <c r="S82" s="1691"/>
      <c r="T82" s="1691"/>
      <c r="U82" s="1691"/>
      <c r="V82" s="1691"/>
      <c r="W82" s="1691"/>
      <c r="X82" s="1691"/>
      <c r="Y82" s="1686"/>
      <c r="Z82" s="1686"/>
      <c r="AA82" s="1686"/>
      <c r="AB82" s="1686"/>
      <c r="AC82" s="1686"/>
      <c r="AD82" s="1686"/>
      <c r="AE82" s="1686"/>
      <c r="AF82" s="1686"/>
      <c r="AG82" s="1686"/>
      <c r="AH82" s="1686"/>
      <c r="AI82" s="1686"/>
      <c r="AJ82" s="1686"/>
      <c r="AK82" s="1686"/>
      <c r="AL82" s="1686"/>
      <c r="AM82" s="1686"/>
      <c r="AN82" s="1686"/>
      <c r="AO82" s="1686"/>
      <c r="AP82" s="1686"/>
      <c r="AQ82" s="1686"/>
      <c r="AR82" s="1686"/>
      <c r="AS82" s="1686"/>
      <c r="AT82" s="1686"/>
    </row>
    <row r="83">
      <c r="A83" s="1419"/>
      <c r="B83" s="1687"/>
      <c r="C83" s="1688"/>
      <c r="D83" s="1688"/>
      <c r="E83" s="1689"/>
      <c r="F83" s="1689"/>
      <c r="G83" s="1689"/>
      <c r="H83" s="1689"/>
      <c r="I83" s="1689"/>
      <c r="J83" s="1689"/>
      <c r="K83" s="1689"/>
      <c r="L83" s="1689"/>
      <c r="M83" s="1689"/>
      <c r="N83" s="1689"/>
      <c r="O83" s="1689"/>
      <c r="P83" s="1689"/>
      <c r="Q83" s="1689"/>
      <c r="R83" s="1689"/>
      <c r="S83" s="1689"/>
      <c r="T83" s="1689"/>
      <c r="U83" s="1689"/>
      <c r="V83" s="1689"/>
      <c r="W83" s="1689"/>
      <c r="X83" s="1689"/>
      <c r="Y83" s="1690"/>
      <c r="Z83" s="1690"/>
      <c r="AA83" s="1690"/>
      <c r="AB83" s="1690"/>
      <c r="AC83" s="1690"/>
      <c r="AD83" s="1690"/>
      <c r="AE83" s="1690"/>
      <c r="AF83" s="1690"/>
      <c r="AG83" s="1690"/>
      <c r="AH83" s="1690"/>
      <c r="AI83" s="1690"/>
      <c r="AJ83" s="1690"/>
      <c r="AK83" s="1690"/>
      <c r="AL83" s="1690"/>
      <c r="AM83" s="1690"/>
      <c r="AN83" s="1690"/>
      <c r="AO83" s="1690"/>
      <c r="AP83" s="1690"/>
      <c r="AQ83" s="1690"/>
      <c r="AR83" s="1690"/>
      <c r="AS83" s="1690"/>
      <c r="AT83" s="1690"/>
    </row>
    <row r="84">
      <c r="A84" s="1419"/>
      <c r="B84" s="1684"/>
      <c r="C84" s="1685"/>
      <c r="D84" s="1685"/>
      <c r="E84" s="1691"/>
      <c r="F84" s="1691"/>
      <c r="G84" s="1691"/>
      <c r="H84" s="1691"/>
      <c r="I84" s="1691"/>
      <c r="J84" s="1691"/>
      <c r="K84" s="1691"/>
      <c r="L84" s="1691"/>
      <c r="M84" s="1691"/>
      <c r="N84" s="1691"/>
      <c r="O84" s="1691"/>
      <c r="P84" s="1691"/>
      <c r="Q84" s="1691"/>
      <c r="R84" s="1691"/>
      <c r="S84" s="1691"/>
      <c r="T84" s="1691"/>
      <c r="U84" s="1691"/>
      <c r="V84" s="1691"/>
      <c r="W84" s="1691"/>
      <c r="X84" s="1691"/>
      <c r="Y84" s="1686"/>
      <c r="Z84" s="1686"/>
      <c r="AA84" s="1686"/>
      <c r="AB84" s="1686"/>
      <c r="AC84" s="1686"/>
      <c r="AD84" s="1686"/>
      <c r="AE84" s="1686"/>
      <c r="AF84" s="1686"/>
      <c r="AG84" s="1686"/>
      <c r="AH84" s="1686"/>
      <c r="AI84" s="1686"/>
      <c r="AJ84" s="1686"/>
      <c r="AK84" s="1686"/>
      <c r="AL84" s="1686"/>
      <c r="AM84" s="1686"/>
      <c r="AN84" s="1686"/>
      <c r="AO84" s="1686"/>
      <c r="AP84" s="1686"/>
      <c r="AQ84" s="1686"/>
      <c r="AR84" s="1686"/>
      <c r="AS84" s="1686"/>
      <c r="AT84" s="1686"/>
    </row>
    <row r="85">
      <c r="A85" s="1419"/>
      <c r="B85" s="1687"/>
      <c r="C85" s="1688"/>
      <c r="D85" s="1688"/>
      <c r="E85" s="1689"/>
      <c r="F85" s="1689"/>
      <c r="G85" s="1689"/>
      <c r="H85" s="1689"/>
      <c r="I85" s="1689"/>
      <c r="J85" s="1689"/>
      <c r="K85" s="1689"/>
      <c r="L85" s="1689"/>
      <c r="M85" s="1689"/>
      <c r="N85" s="1689"/>
      <c r="O85" s="1689"/>
      <c r="P85" s="1689"/>
      <c r="Q85" s="1689"/>
      <c r="R85" s="1689"/>
      <c r="S85" s="1689"/>
      <c r="T85" s="1689"/>
      <c r="U85" s="1689"/>
      <c r="V85" s="1689"/>
      <c r="W85" s="1689"/>
      <c r="X85" s="1689"/>
      <c r="Y85" s="1690"/>
      <c r="Z85" s="1690"/>
      <c r="AA85" s="1690"/>
      <c r="AB85" s="1690"/>
      <c r="AC85" s="1690"/>
      <c r="AD85" s="1690"/>
      <c r="AE85" s="1690"/>
      <c r="AF85" s="1690"/>
      <c r="AG85" s="1690"/>
      <c r="AH85" s="1690"/>
      <c r="AI85" s="1690"/>
      <c r="AJ85" s="1690"/>
      <c r="AK85" s="1690"/>
      <c r="AL85" s="1690"/>
      <c r="AM85" s="1690"/>
      <c r="AN85" s="1690"/>
      <c r="AO85" s="1690"/>
      <c r="AP85" s="1690"/>
      <c r="AQ85" s="1690"/>
      <c r="AR85" s="1690"/>
      <c r="AS85" s="1690"/>
      <c r="AT85" s="1690"/>
    </row>
    <row r="86">
      <c r="A86" s="1440" t="s">
        <v>2461</v>
      </c>
      <c r="B86" s="1684"/>
      <c r="C86" s="1685"/>
      <c r="D86" s="1685"/>
      <c r="E86" s="1691"/>
      <c r="F86" s="1691"/>
      <c r="G86" s="1691"/>
      <c r="H86" s="1691"/>
      <c r="I86" s="1691"/>
      <c r="J86" s="1691"/>
      <c r="K86" s="1691"/>
      <c r="L86" s="1691"/>
      <c r="M86" s="1691"/>
      <c r="N86" s="1691"/>
      <c r="O86" s="1691"/>
      <c r="P86" s="1691"/>
      <c r="Q86" s="1691"/>
      <c r="R86" s="1691"/>
      <c r="S86" s="1691"/>
      <c r="T86" s="1691"/>
      <c r="U86" s="1691"/>
      <c r="V86" s="1691"/>
      <c r="W86" s="1691"/>
      <c r="X86" s="1691"/>
      <c r="Y86" s="1686"/>
      <c r="Z86" s="1686"/>
      <c r="AA86" s="1686"/>
      <c r="AB86" s="1686"/>
      <c r="AC86" s="1686"/>
      <c r="AD86" s="1686"/>
      <c r="AE86" s="1686"/>
      <c r="AF86" s="1686"/>
      <c r="AG86" s="1686"/>
      <c r="AH86" s="1686"/>
      <c r="AI86" s="1686"/>
      <c r="AJ86" s="1686"/>
      <c r="AK86" s="1686"/>
      <c r="AL86" s="1686"/>
      <c r="AM86" s="1686"/>
      <c r="AN86" s="1686"/>
      <c r="AO86" s="1686"/>
      <c r="AP86" s="1686"/>
      <c r="AQ86" s="1686"/>
      <c r="AR86" s="1686"/>
      <c r="AS86" s="1686"/>
      <c r="AT86" s="1686"/>
    </row>
    <row r="87">
      <c r="A87" s="1419"/>
      <c r="B87" s="1687"/>
      <c r="C87" s="1688"/>
      <c r="D87" s="1688"/>
      <c r="E87" s="1689"/>
      <c r="F87" s="1689"/>
      <c r="G87" s="1689"/>
      <c r="H87" s="1689"/>
      <c r="I87" s="1689"/>
      <c r="J87" s="1689"/>
      <c r="K87" s="1689"/>
      <c r="L87" s="1689"/>
      <c r="M87" s="1689"/>
      <c r="N87" s="1689"/>
      <c r="O87" s="1689"/>
      <c r="P87" s="1689"/>
      <c r="Q87" s="1689"/>
      <c r="R87" s="1689"/>
      <c r="S87" s="1689"/>
      <c r="T87" s="1689"/>
      <c r="U87" s="1689"/>
      <c r="V87" s="1689"/>
      <c r="W87" s="1689"/>
      <c r="X87" s="1689"/>
      <c r="Y87" s="1690"/>
      <c r="Z87" s="1690"/>
      <c r="AA87" s="1690"/>
      <c r="AB87" s="1690"/>
      <c r="AC87" s="1690"/>
      <c r="AD87" s="1690"/>
      <c r="AE87" s="1690"/>
      <c r="AF87" s="1690"/>
      <c r="AG87" s="1690"/>
      <c r="AH87" s="1690"/>
      <c r="AI87" s="1690"/>
      <c r="AJ87" s="1690"/>
      <c r="AK87" s="1690"/>
      <c r="AL87" s="1690"/>
      <c r="AM87" s="1690"/>
      <c r="AN87" s="1690"/>
      <c r="AO87" s="1690"/>
      <c r="AP87" s="1690"/>
      <c r="AQ87" s="1690"/>
      <c r="AR87" s="1690"/>
      <c r="AS87" s="1690"/>
      <c r="AT87" s="1690"/>
    </row>
    <row r="88">
      <c r="A88" s="1419"/>
      <c r="B88" s="1684"/>
      <c r="C88" s="1685"/>
      <c r="D88" s="1685"/>
      <c r="E88" s="1691"/>
      <c r="F88" s="1691"/>
      <c r="G88" s="1691"/>
      <c r="H88" s="1691"/>
      <c r="I88" s="1691"/>
      <c r="J88" s="1691"/>
      <c r="K88" s="1691"/>
      <c r="L88" s="1691"/>
      <c r="M88" s="1691"/>
      <c r="N88" s="1691"/>
      <c r="O88" s="1691"/>
      <c r="P88" s="1691"/>
      <c r="Q88" s="1691"/>
      <c r="R88" s="1691"/>
      <c r="S88" s="1691"/>
      <c r="T88" s="1691"/>
      <c r="U88" s="1691"/>
      <c r="V88" s="1691"/>
      <c r="W88" s="1691"/>
      <c r="X88" s="1691"/>
      <c r="Y88" s="1686"/>
      <c r="Z88" s="1686"/>
      <c r="AA88" s="1686"/>
      <c r="AB88" s="1686"/>
      <c r="AC88" s="1686"/>
      <c r="AD88" s="1686"/>
      <c r="AE88" s="1686"/>
      <c r="AF88" s="1686"/>
      <c r="AG88" s="1686"/>
      <c r="AH88" s="1686"/>
      <c r="AI88" s="1686"/>
      <c r="AJ88" s="1686"/>
      <c r="AK88" s="1686"/>
      <c r="AL88" s="1686"/>
      <c r="AM88" s="1686"/>
      <c r="AN88" s="1686"/>
      <c r="AO88" s="1686"/>
      <c r="AP88" s="1686"/>
      <c r="AQ88" s="1686"/>
      <c r="AR88" s="1686"/>
      <c r="AS88" s="1686"/>
      <c r="AT88" s="1686"/>
    </row>
    <row r="89">
      <c r="A89" s="1419"/>
      <c r="B89" s="1687"/>
      <c r="C89" s="1688"/>
      <c r="D89" s="1688"/>
      <c r="E89" s="1689"/>
      <c r="F89" s="1689"/>
      <c r="G89" s="1689"/>
      <c r="H89" s="1689"/>
      <c r="I89" s="1689"/>
      <c r="J89" s="1689"/>
      <c r="K89" s="1689"/>
      <c r="L89" s="1689"/>
      <c r="M89" s="1689"/>
      <c r="N89" s="1689"/>
      <c r="O89" s="1689"/>
      <c r="P89" s="1689"/>
      <c r="Q89" s="1689"/>
      <c r="R89" s="1689"/>
      <c r="S89" s="1689"/>
      <c r="T89" s="1689"/>
      <c r="U89" s="1689"/>
      <c r="V89" s="1689"/>
      <c r="W89" s="1689"/>
      <c r="X89" s="1689"/>
      <c r="Y89" s="1690"/>
      <c r="Z89" s="1690"/>
      <c r="AA89" s="1690"/>
      <c r="AB89" s="1690"/>
      <c r="AC89" s="1690"/>
      <c r="AD89" s="1690"/>
      <c r="AE89" s="1690"/>
      <c r="AF89" s="1690"/>
      <c r="AG89" s="1690"/>
      <c r="AH89" s="1690"/>
      <c r="AI89" s="1690"/>
      <c r="AJ89" s="1690"/>
      <c r="AK89" s="1690"/>
      <c r="AL89" s="1690"/>
      <c r="AM89" s="1690"/>
      <c r="AN89" s="1690"/>
      <c r="AO89" s="1690"/>
      <c r="AP89" s="1690"/>
      <c r="AQ89" s="1690"/>
      <c r="AR89" s="1690"/>
      <c r="AS89" s="1690"/>
      <c r="AT89" s="1690"/>
    </row>
    <row r="90">
      <c r="A90" s="1419"/>
      <c r="B90" s="1684"/>
      <c r="C90" s="1685"/>
      <c r="D90" s="1685"/>
      <c r="E90" s="1691"/>
      <c r="F90" s="1691"/>
      <c r="G90" s="1691"/>
      <c r="H90" s="1691"/>
      <c r="I90" s="1691"/>
      <c r="J90" s="1691"/>
      <c r="K90" s="1691"/>
      <c r="L90" s="1691"/>
      <c r="M90" s="1691"/>
      <c r="N90" s="1691"/>
      <c r="O90" s="1691"/>
      <c r="P90" s="1691"/>
      <c r="Q90" s="1691"/>
      <c r="R90" s="1691"/>
      <c r="S90" s="1691"/>
      <c r="T90" s="1691"/>
      <c r="U90" s="1691"/>
      <c r="V90" s="1691"/>
      <c r="W90" s="1691"/>
      <c r="X90" s="1691"/>
      <c r="Y90" s="1686"/>
      <c r="Z90" s="1686"/>
      <c r="AA90" s="1686"/>
      <c r="AB90" s="1686"/>
      <c r="AC90" s="1686"/>
      <c r="AD90" s="1686"/>
      <c r="AE90" s="1686"/>
      <c r="AF90" s="1686"/>
      <c r="AG90" s="1686"/>
      <c r="AH90" s="1686"/>
      <c r="AI90" s="1686"/>
      <c r="AJ90" s="1686"/>
      <c r="AK90" s="1686"/>
      <c r="AL90" s="1686"/>
      <c r="AM90" s="1686"/>
      <c r="AN90" s="1686"/>
      <c r="AO90" s="1686"/>
      <c r="AP90" s="1686"/>
      <c r="AQ90" s="1686"/>
      <c r="AR90" s="1686"/>
      <c r="AS90" s="1686"/>
      <c r="AT90" s="1686"/>
    </row>
    <row r="91">
      <c r="A91" s="1419"/>
      <c r="B91" s="1687"/>
      <c r="C91" s="1688"/>
      <c r="D91" s="1688"/>
      <c r="E91" s="1690"/>
      <c r="F91" s="1690"/>
      <c r="G91" s="1690"/>
      <c r="H91" s="1690"/>
      <c r="I91" s="1690"/>
      <c r="J91" s="1690"/>
      <c r="K91" s="1690"/>
      <c r="L91" s="1690"/>
      <c r="M91" s="1690"/>
      <c r="N91" s="1690"/>
      <c r="O91" s="1690"/>
      <c r="P91" s="1690"/>
      <c r="Q91" s="1690"/>
      <c r="R91" s="1690"/>
      <c r="S91" s="1690"/>
      <c r="T91" s="1690"/>
      <c r="U91" s="1690"/>
      <c r="V91" s="1690"/>
      <c r="W91" s="1690"/>
      <c r="X91" s="1690"/>
      <c r="Y91" s="1690"/>
      <c r="Z91" s="1690"/>
      <c r="AA91" s="1690"/>
      <c r="AB91" s="1690"/>
      <c r="AC91" s="1690"/>
      <c r="AD91" s="1690"/>
      <c r="AE91" s="1690"/>
      <c r="AF91" s="1690"/>
      <c r="AG91" s="1690"/>
      <c r="AH91" s="1690"/>
      <c r="AI91" s="1690"/>
      <c r="AJ91" s="1690"/>
      <c r="AK91" s="1690"/>
      <c r="AL91" s="1690"/>
      <c r="AM91" s="1690"/>
      <c r="AN91" s="1690"/>
      <c r="AO91" s="1690"/>
      <c r="AP91" s="1690"/>
      <c r="AQ91" s="1690"/>
      <c r="AR91" s="1690"/>
      <c r="AS91" s="1690"/>
      <c r="AT91" s="1690"/>
    </row>
    <row r="92">
      <c r="A92" s="1419"/>
      <c r="B92" s="1684"/>
      <c r="C92" s="1685"/>
      <c r="D92" s="1685"/>
      <c r="E92" s="1691"/>
      <c r="F92" s="1691"/>
      <c r="G92" s="1691"/>
      <c r="H92" s="1691"/>
      <c r="I92" s="1691"/>
      <c r="J92" s="1691"/>
      <c r="K92" s="1691"/>
      <c r="L92" s="1691"/>
      <c r="M92" s="1691"/>
      <c r="N92" s="1691"/>
      <c r="O92" s="1691"/>
      <c r="P92" s="1691"/>
      <c r="Q92" s="1691"/>
      <c r="R92" s="1691"/>
      <c r="S92" s="1691"/>
      <c r="T92" s="1691"/>
      <c r="U92" s="1691"/>
      <c r="V92" s="1691"/>
      <c r="W92" s="1691"/>
      <c r="X92" s="1691"/>
      <c r="Y92" s="1686"/>
      <c r="Z92" s="1686"/>
      <c r="AA92" s="1686"/>
      <c r="AB92" s="1686"/>
      <c r="AC92" s="1686"/>
      <c r="AD92" s="1686"/>
      <c r="AE92" s="1686"/>
      <c r="AF92" s="1686"/>
      <c r="AG92" s="1686"/>
      <c r="AH92" s="1686"/>
      <c r="AI92" s="1686"/>
      <c r="AJ92" s="1686"/>
      <c r="AK92" s="1686"/>
      <c r="AL92" s="1686"/>
      <c r="AM92" s="1686"/>
      <c r="AN92" s="1686"/>
      <c r="AO92" s="1686"/>
      <c r="AP92" s="1686"/>
      <c r="AQ92" s="1686"/>
      <c r="AR92" s="1686"/>
      <c r="AS92" s="1686"/>
      <c r="AT92" s="1686"/>
    </row>
    <row r="93">
      <c r="A93" s="1419"/>
      <c r="B93" s="1687"/>
      <c r="C93" s="1688"/>
      <c r="D93" s="1688"/>
      <c r="E93" s="1689"/>
      <c r="F93" s="1689"/>
      <c r="G93" s="1689"/>
      <c r="H93" s="1689"/>
      <c r="I93" s="1689"/>
      <c r="J93" s="1689"/>
      <c r="K93" s="1689"/>
      <c r="L93" s="1689"/>
      <c r="M93" s="1689"/>
      <c r="N93" s="1689"/>
      <c r="O93" s="1689"/>
      <c r="P93" s="1689"/>
      <c r="Q93" s="1689"/>
      <c r="R93" s="1689"/>
      <c r="S93" s="1689"/>
      <c r="T93" s="1689"/>
      <c r="U93" s="1689"/>
      <c r="V93" s="1689"/>
      <c r="W93" s="1689"/>
      <c r="X93" s="1689"/>
      <c r="Y93" s="1690"/>
      <c r="Z93" s="1690"/>
      <c r="AA93" s="1690"/>
      <c r="AB93" s="1690"/>
      <c r="AC93" s="1690"/>
      <c r="AD93" s="1690"/>
      <c r="AE93" s="1690"/>
      <c r="AF93" s="1690"/>
      <c r="AG93" s="1690"/>
      <c r="AH93" s="1690"/>
      <c r="AI93" s="1690"/>
      <c r="AJ93" s="1690"/>
      <c r="AK93" s="1690"/>
      <c r="AL93" s="1690"/>
      <c r="AM93" s="1690"/>
      <c r="AN93" s="1690"/>
      <c r="AO93" s="1690"/>
      <c r="AP93" s="1690"/>
      <c r="AQ93" s="1690"/>
      <c r="AR93" s="1690"/>
      <c r="AS93" s="1690"/>
      <c r="AT93" s="1690"/>
    </row>
    <row r="94">
      <c r="A94" s="1419"/>
      <c r="B94" s="1684"/>
      <c r="C94" s="1685"/>
      <c r="D94" s="1685"/>
      <c r="E94" s="1686"/>
      <c r="F94" s="1686"/>
      <c r="G94" s="1686"/>
      <c r="H94" s="1686"/>
      <c r="I94" s="1686"/>
      <c r="J94" s="1686"/>
      <c r="K94" s="1686"/>
      <c r="L94" s="1686"/>
      <c r="M94" s="1686"/>
      <c r="N94" s="1686"/>
      <c r="O94" s="1686"/>
      <c r="P94" s="1686"/>
      <c r="Q94" s="1686"/>
      <c r="R94" s="1686"/>
      <c r="S94" s="1686"/>
      <c r="T94" s="1686"/>
      <c r="U94" s="1686"/>
      <c r="V94" s="1686"/>
      <c r="W94" s="1686"/>
      <c r="X94" s="1686"/>
      <c r="Y94" s="1686"/>
      <c r="Z94" s="1686"/>
      <c r="AA94" s="1686"/>
      <c r="AB94" s="1686"/>
      <c r="AC94" s="1686"/>
      <c r="AD94" s="1686"/>
      <c r="AE94" s="1686"/>
      <c r="AF94" s="1686"/>
      <c r="AG94" s="1686"/>
      <c r="AH94" s="1686"/>
      <c r="AI94" s="1686"/>
      <c r="AJ94" s="1686"/>
      <c r="AK94" s="1686"/>
      <c r="AL94" s="1686"/>
      <c r="AM94" s="1686"/>
      <c r="AN94" s="1686"/>
      <c r="AO94" s="1686"/>
      <c r="AP94" s="1686"/>
      <c r="AQ94" s="1686"/>
      <c r="AR94" s="1686"/>
      <c r="AS94" s="1686"/>
      <c r="AT94" s="1686"/>
    </row>
    <row r="95">
      <c r="A95" s="1419"/>
      <c r="B95" s="1687"/>
      <c r="C95" s="1688"/>
      <c r="D95" s="1688"/>
      <c r="E95" s="1689"/>
      <c r="F95" s="1689"/>
      <c r="G95" s="1689"/>
      <c r="H95" s="1689"/>
      <c r="I95" s="1689"/>
      <c r="J95" s="1689"/>
      <c r="K95" s="1689"/>
      <c r="L95" s="1689"/>
      <c r="M95" s="1689"/>
      <c r="N95" s="1689"/>
      <c r="O95" s="1689"/>
      <c r="P95" s="1689"/>
      <c r="Q95" s="1689"/>
      <c r="R95" s="1689"/>
      <c r="S95" s="1689"/>
      <c r="T95" s="1689"/>
      <c r="U95" s="1689"/>
      <c r="V95" s="1689"/>
      <c r="W95" s="1689"/>
      <c r="X95" s="1689"/>
      <c r="Y95" s="1690"/>
      <c r="Z95" s="1690"/>
      <c r="AA95" s="1690"/>
      <c r="AB95" s="1690"/>
      <c r="AC95" s="1690"/>
      <c r="AD95" s="1690"/>
      <c r="AE95" s="1690"/>
      <c r="AF95" s="1690"/>
      <c r="AG95" s="1690"/>
      <c r="AH95" s="1690"/>
      <c r="AI95" s="1690"/>
      <c r="AJ95" s="1690"/>
      <c r="AK95" s="1690"/>
      <c r="AL95" s="1690"/>
      <c r="AM95" s="1690"/>
      <c r="AN95" s="1690"/>
      <c r="AO95" s="1690"/>
      <c r="AP95" s="1690"/>
      <c r="AQ95" s="1690"/>
      <c r="AR95" s="1690"/>
      <c r="AS95" s="1690"/>
      <c r="AT95" s="1690"/>
    </row>
    <row r="96">
      <c r="A96" s="1419"/>
      <c r="B96" s="1684"/>
      <c r="C96" s="1685"/>
      <c r="D96" s="1685"/>
      <c r="E96" s="1686"/>
      <c r="F96" s="1686"/>
      <c r="G96" s="1686"/>
      <c r="H96" s="1686"/>
      <c r="I96" s="1686"/>
      <c r="J96" s="1686"/>
      <c r="K96" s="1686"/>
      <c r="L96" s="1686"/>
      <c r="M96" s="1686"/>
      <c r="N96" s="1686"/>
      <c r="O96" s="1686"/>
      <c r="P96" s="1686"/>
      <c r="Q96" s="1686"/>
      <c r="R96" s="1686"/>
      <c r="S96" s="1686"/>
      <c r="T96" s="1686"/>
      <c r="U96" s="1686"/>
      <c r="V96" s="1686"/>
      <c r="W96" s="1686"/>
      <c r="X96" s="1686"/>
      <c r="Y96" s="1686"/>
      <c r="Z96" s="1686"/>
      <c r="AA96" s="1686"/>
      <c r="AB96" s="1686"/>
      <c r="AC96" s="1686"/>
      <c r="AD96" s="1686"/>
      <c r="AE96" s="1686"/>
      <c r="AF96" s="1686"/>
      <c r="AG96" s="1686"/>
      <c r="AH96" s="1686"/>
      <c r="AI96" s="1686"/>
      <c r="AJ96" s="1686"/>
      <c r="AK96" s="1686"/>
      <c r="AL96" s="1686"/>
      <c r="AM96" s="1686"/>
      <c r="AN96" s="1686"/>
      <c r="AO96" s="1686"/>
      <c r="AP96" s="1686"/>
      <c r="AQ96" s="1686"/>
      <c r="AR96" s="1686"/>
      <c r="AS96" s="1686"/>
      <c r="AT96" s="1686"/>
    </row>
    <row r="97">
      <c r="A97" s="1419"/>
      <c r="B97" s="1687"/>
      <c r="C97" s="1688"/>
      <c r="D97" s="1688"/>
      <c r="E97" s="1690"/>
      <c r="F97" s="1690"/>
      <c r="G97" s="1690"/>
      <c r="H97" s="1690"/>
      <c r="I97" s="1690"/>
      <c r="J97" s="1690"/>
      <c r="K97" s="1690"/>
      <c r="L97" s="1690"/>
      <c r="M97" s="1690"/>
      <c r="N97" s="1690"/>
      <c r="O97" s="1690"/>
      <c r="P97" s="1690"/>
      <c r="Q97" s="1690"/>
      <c r="R97" s="1690"/>
      <c r="S97" s="1690"/>
      <c r="T97" s="1690"/>
      <c r="U97" s="1690"/>
      <c r="V97" s="1690"/>
      <c r="W97" s="1690"/>
      <c r="X97" s="1690"/>
      <c r="Y97" s="1690"/>
      <c r="Z97" s="1690"/>
      <c r="AA97" s="1690"/>
      <c r="AB97" s="1690"/>
      <c r="AC97" s="1690"/>
      <c r="AD97" s="1690"/>
      <c r="AE97" s="1690"/>
      <c r="AF97" s="1690"/>
      <c r="AG97" s="1690"/>
      <c r="AH97" s="1690"/>
      <c r="AI97" s="1690"/>
      <c r="AJ97" s="1690"/>
      <c r="AK97" s="1690"/>
      <c r="AL97" s="1690"/>
      <c r="AM97" s="1690"/>
      <c r="AN97" s="1690"/>
      <c r="AO97" s="1690"/>
      <c r="AP97" s="1690"/>
      <c r="AQ97" s="1690"/>
      <c r="AR97" s="1690"/>
      <c r="AS97" s="1690"/>
      <c r="AT97" s="1690"/>
    </row>
    <row r="98">
      <c r="A98" s="1419"/>
      <c r="B98" s="1684"/>
      <c r="C98" s="1685"/>
      <c r="D98" s="1685"/>
      <c r="E98" s="1691"/>
      <c r="F98" s="1691"/>
      <c r="G98" s="1691"/>
      <c r="H98" s="1691"/>
      <c r="I98" s="1691"/>
      <c r="J98" s="1691"/>
      <c r="K98" s="1691"/>
      <c r="L98" s="1691"/>
      <c r="M98" s="1691"/>
      <c r="N98" s="1691"/>
      <c r="O98" s="1691"/>
      <c r="P98" s="1691"/>
      <c r="Q98" s="1691"/>
      <c r="R98" s="1691"/>
      <c r="S98" s="1691"/>
      <c r="T98" s="1691"/>
      <c r="U98" s="1691"/>
      <c r="V98" s="1691"/>
      <c r="W98" s="1691"/>
      <c r="X98" s="1691"/>
      <c r="Y98" s="1686"/>
      <c r="Z98" s="1686"/>
      <c r="AA98" s="1686"/>
      <c r="AB98" s="1686"/>
      <c r="AC98" s="1686"/>
      <c r="AD98" s="1686"/>
      <c r="AE98" s="1686"/>
      <c r="AF98" s="1686"/>
      <c r="AG98" s="1686"/>
      <c r="AH98" s="1686"/>
      <c r="AI98" s="1686"/>
      <c r="AJ98" s="1686"/>
      <c r="AK98" s="1686"/>
      <c r="AL98" s="1686"/>
      <c r="AM98" s="1686"/>
      <c r="AN98" s="1686"/>
      <c r="AO98" s="1686"/>
      <c r="AP98" s="1686"/>
      <c r="AQ98" s="1686"/>
      <c r="AR98" s="1686"/>
      <c r="AS98" s="1686"/>
      <c r="AT98" s="1686"/>
    </row>
    <row r="99">
      <c r="A99" s="1419"/>
      <c r="B99" s="1687"/>
      <c r="C99" s="1688"/>
      <c r="D99" s="1688"/>
      <c r="E99" s="1689"/>
      <c r="F99" s="1689"/>
      <c r="G99" s="1689"/>
      <c r="H99" s="1689"/>
      <c r="I99" s="1689"/>
      <c r="J99" s="1689"/>
      <c r="K99" s="1689"/>
      <c r="L99" s="1689"/>
      <c r="M99" s="1689"/>
      <c r="N99" s="1689"/>
      <c r="O99" s="1689"/>
      <c r="P99" s="1689"/>
      <c r="Q99" s="1689"/>
      <c r="R99" s="1689"/>
      <c r="S99" s="1689"/>
      <c r="T99" s="1689"/>
      <c r="U99" s="1689"/>
      <c r="V99" s="1689"/>
      <c r="W99" s="1689"/>
      <c r="X99" s="1689"/>
      <c r="Y99" s="1690"/>
      <c r="Z99" s="1690"/>
      <c r="AA99" s="1690"/>
      <c r="AB99" s="1690"/>
      <c r="AC99" s="1690"/>
      <c r="AD99" s="1690"/>
      <c r="AE99" s="1690"/>
      <c r="AF99" s="1690"/>
      <c r="AG99" s="1690"/>
      <c r="AH99" s="1690"/>
      <c r="AI99" s="1690"/>
      <c r="AJ99" s="1690"/>
      <c r="AK99" s="1690"/>
      <c r="AL99" s="1690"/>
      <c r="AM99" s="1690"/>
      <c r="AN99" s="1690"/>
      <c r="AO99" s="1690"/>
      <c r="AP99" s="1690"/>
      <c r="AQ99" s="1690"/>
      <c r="AR99" s="1690"/>
      <c r="AS99" s="1690"/>
      <c r="AT99" s="1690"/>
    </row>
    <row r="100">
      <c r="A100" s="1419"/>
      <c r="B100" s="1684"/>
      <c r="C100" s="1685"/>
      <c r="D100" s="1685"/>
      <c r="E100" s="1691"/>
      <c r="F100" s="1691"/>
      <c r="G100" s="1691"/>
      <c r="H100" s="1691"/>
      <c r="I100" s="1691"/>
      <c r="J100" s="1691"/>
      <c r="K100" s="1691"/>
      <c r="L100" s="1691"/>
      <c r="M100" s="1691"/>
      <c r="N100" s="1691"/>
      <c r="O100" s="1691"/>
      <c r="P100" s="1691"/>
      <c r="Q100" s="1691"/>
      <c r="R100" s="1691"/>
      <c r="S100" s="1691"/>
      <c r="T100" s="1691"/>
      <c r="U100" s="1691"/>
      <c r="V100" s="1691"/>
      <c r="W100" s="1691"/>
      <c r="X100" s="1691"/>
      <c r="Y100" s="1686"/>
      <c r="Z100" s="1686"/>
      <c r="AA100" s="1686"/>
      <c r="AB100" s="1686"/>
      <c r="AC100" s="1686"/>
      <c r="AD100" s="1686"/>
      <c r="AE100" s="1686"/>
      <c r="AF100" s="1686"/>
      <c r="AG100" s="1686"/>
      <c r="AH100" s="1686"/>
      <c r="AI100" s="1686"/>
      <c r="AJ100" s="1686"/>
      <c r="AK100" s="1686"/>
      <c r="AL100" s="1686"/>
      <c r="AM100" s="1686"/>
      <c r="AN100" s="1686"/>
      <c r="AO100" s="1686"/>
      <c r="AP100" s="1686"/>
      <c r="AQ100" s="1686"/>
      <c r="AR100" s="1686"/>
      <c r="AS100" s="1686"/>
      <c r="AT100" s="1686"/>
    </row>
    <row r="101">
      <c r="A101" s="1419"/>
      <c r="B101" s="1687"/>
      <c r="C101" s="1688"/>
      <c r="D101" s="1688"/>
      <c r="E101" s="1689"/>
      <c r="F101" s="1689"/>
      <c r="G101" s="1689"/>
      <c r="H101" s="1689"/>
      <c r="I101" s="1689"/>
      <c r="J101" s="1689"/>
      <c r="K101" s="1689"/>
      <c r="L101" s="1689"/>
      <c r="M101" s="1689"/>
      <c r="N101" s="1689"/>
      <c r="O101" s="1689"/>
      <c r="P101" s="1689"/>
      <c r="Q101" s="1689"/>
      <c r="R101" s="1689"/>
      <c r="S101" s="1689"/>
      <c r="T101" s="1689"/>
      <c r="U101" s="1689"/>
      <c r="V101" s="1689"/>
      <c r="W101" s="1689"/>
      <c r="X101" s="1689"/>
      <c r="Y101" s="1690"/>
      <c r="Z101" s="1690"/>
      <c r="AA101" s="1690"/>
      <c r="AB101" s="1690"/>
      <c r="AC101" s="1690"/>
      <c r="AD101" s="1690"/>
      <c r="AE101" s="1690"/>
      <c r="AF101" s="1690"/>
      <c r="AG101" s="1690"/>
      <c r="AH101" s="1690"/>
      <c r="AI101" s="1690"/>
      <c r="AJ101" s="1690"/>
      <c r="AK101" s="1690"/>
      <c r="AL101" s="1690"/>
      <c r="AM101" s="1690"/>
      <c r="AN101" s="1690"/>
      <c r="AO101" s="1690"/>
      <c r="AP101" s="1690"/>
      <c r="AQ101" s="1690"/>
      <c r="AR101" s="1690"/>
      <c r="AS101" s="1690"/>
      <c r="AT101" s="1690"/>
    </row>
    <row r="102">
      <c r="A102" s="1419"/>
      <c r="B102" s="1684"/>
      <c r="C102" s="1685"/>
      <c r="D102" s="1685"/>
      <c r="E102" s="1691"/>
      <c r="F102" s="1691"/>
      <c r="G102" s="1691"/>
      <c r="H102" s="1691"/>
      <c r="I102" s="1691"/>
      <c r="J102" s="1691"/>
      <c r="K102" s="1691"/>
      <c r="L102" s="1691"/>
      <c r="M102" s="1691"/>
      <c r="N102" s="1691"/>
      <c r="O102" s="1691"/>
      <c r="P102" s="1691"/>
      <c r="Q102" s="1691"/>
      <c r="R102" s="1691"/>
      <c r="S102" s="1691"/>
      <c r="T102" s="1691"/>
      <c r="U102" s="1691"/>
      <c r="V102" s="1691"/>
      <c r="W102" s="1691"/>
      <c r="X102" s="1691"/>
      <c r="Y102" s="1686"/>
      <c r="Z102" s="1686"/>
      <c r="AA102" s="1686"/>
      <c r="AB102" s="1686"/>
      <c r="AC102" s="1686"/>
      <c r="AD102" s="1686"/>
      <c r="AE102" s="1686"/>
      <c r="AF102" s="1686"/>
      <c r="AG102" s="1686"/>
      <c r="AH102" s="1686"/>
      <c r="AI102" s="1686"/>
      <c r="AJ102" s="1686"/>
      <c r="AK102" s="1686"/>
      <c r="AL102" s="1686"/>
      <c r="AM102" s="1686"/>
      <c r="AN102" s="1686"/>
      <c r="AO102" s="1686"/>
      <c r="AP102" s="1686"/>
      <c r="AQ102" s="1686"/>
      <c r="AR102" s="1686"/>
      <c r="AS102" s="1686"/>
      <c r="AT102" s="1686"/>
    </row>
    <row r="103">
      <c r="A103" s="1419"/>
      <c r="B103" s="1687"/>
      <c r="C103" s="1688"/>
      <c r="D103" s="1688"/>
      <c r="E103" s="1689"/>
      <c r="F103" s="1689"/>
      <c r="G103" s="1689"/>
      <c r="H103" s="1689"/>
      <c r="I103" s="1689"/>
      <c r="J103" s="1689"/>
      <c r="K103" s="1689"/>
      <c r="L103" s="1689"/>
      <c r="M103" s="1689"/>
      <c r="N103" s="1689"/>
      <c r="O103" s="1689"/>
      <c r="P103" s="1689"/>
      <c r="Q103" s="1689"/>
      <c r="R103" s="1689"/>
      <c r="S103" s="1689"/>
      <c r="T103" s="1689"/>
      <c r="U103" s="1689"/>
      <c r="V103" s="1689"/>
      <c r="W103" s="1689"/>
      <c r="X103" s="1689"/>
      <c r="Y103" s="1690"/>
      <c r="Z103" s="1690"/>
      <c r="AA103" s="1690"/>
      <c r="AB103" s="1690"/>
      <c r="AC103" s="1690"/>
      <c r="AD103" s="1690"/>
      <c r="AE103" s="1690"/>
      <c r="AF103" s="1690"/>
      <c r="AG103" s="1690"/>
      <c r="AH103" s="1690"/>
      <c r="AI103" s="1690"/>
      <c r="AJ103" s="1690"/>
      <c r="AK103" s="1690"/>
      <c r="AL103" s="1690"/>
      <c r="AM103" s="1690"/>
      <c r="AN103" s="1690"/>
      <c r="AO103" s="1690"/>
      <c r="AP103" s="1690"/>
      <c r="AQ103" s="1690"/>
      <c r="AR103" s="1690"/>
      <c r="AS103" s="1690"/>
      <c r="AT103" s="1690"/>
    </row>
    <row r="104">
      <c r="A104" s="1419"/>
      <c r="B104" s="1684"/>
      <c r="C104" s="1685"/>
      <c r="D104" s="1685"/>
      <c r="E104" s="1691"/>
      <c r="F104" s="1691"/>
      <c r="G104" s="1691"/>
      <c r="H104" s="1691"/>
      <c r="I104" s="1691"/>
      <c r="J104" s="1691"/>
      <c r="K104" s="1691"/>
      <c r="L104" s="1691"/>
      <c r="M104" s="1691"/>
      <c r="N104" s="1691"/>
      <c r="O104" s="1691"/>
      <c r="P104" s="1691"/>
      <c r="Q104" s="1691"/>
      <c r="R104" s="1691"/>
      <c r="S104" s="1691"/>
      <c r="T104" s="1691"/>
      <c r="U104" s="1691"/>
      <c r="V104" s="1691"/>
      <c r="W104" s="1691"/>
      <c r="X104" s="1691"/>
      <c r="Y104" s="1686"/>
      <c r="Z104" s="1686"/>
      <c r="AA104" s="1686"/>
      <c r="AB104" s="1686"/>
      <c r="AC104" s="1686"/>
      <c r="AD104" s="1686"/>
      <c r="AE104" s="1686"/>
      <c r="AF104" s="1686"/>
      <c r="AG104" s="1686"/>
      <c r="AH104" s="1686"/>
      <c r="AI104" s="1686"/>
      <c r="AJ104" s="1686"/>
      <c r="AK104" s="1686"/>
      <c r="AL104" s="1686"/>
      <c r="AM104" s="1686"/>
      <c r="AN104" s="1686"/>
      <c r="AO104" s="1686"/>
      <c r="AP104" s="1686"/>
      <c r="AQ104" s="1686"/>
      <c r="AR104" s="1686"/>
      <c r="AS104" s="1686"/>
      <c r="AT104" s="1686"/>
    </row>
    <row r="105">
      <c r="A105" s="1419"/>
      <c r="B105" s="1687"/>
      <c r="C105" s="1688"/>
      <c r="D105" s="1688"/>
      <c r="E105" s="1689"/>
      <c r="F105" s="1689"/>
      <c r="G105" s="1689"/>
      <c r="H105" s="1689"/>
      <c r="I105" s="1689"/>
      <c r="J105" s="1689"/>
      <c r="K105" s="1689"/>
      <c r="L105" s="1689"/>
      <c r="M105" s="1689"/>
      <c r="N105" s="1689"/>
      <c r="O105" s="1689"/>
      <c r="P105" s="1689"/>
      <c r="Q105" s="1689"/>
      <c r="R105" s="1689"/>
      <c r="S105" s="1689"/>
      <c r="T105" s="1689"/>
      <c r="U105" s="1689"/>
      <c r="V105" s="1689"/>
      <c r="W105" s="1689"/>
      <c r="X105" s="1689"/>
      <c r="Y105" s="1690"/>
      <c r="Z105" s="1690"/>
      <c r="AA105" s="1690"/>
      <c r="AB105" s="1690"/>
      <c r="AC105" s="1690"/>
      <c r="AD105" s="1690"/>
      <c r="AE105" s="1690"/>
      <c r="AF105" s="1690"/>
      <c r="AG105" s="1690"/>
      <c r="AH105" s="1690"/>
      <c r="AI105" s="1690"/>
      <c r="AJ105" s="1690"/>
      <c r="AK105" s="1690"/>
      <c r="AL105" s="1690"/>
      <c r="AM105" s="1690"/>
      <c r="AN105" s="1690"/>
      <c r="AO105" s="1690"/>
      <c r="AP105" s="1690"/>
      <c r="AQ105" s="1690"/>
      <c r="AR105" s="1690"/>
      <c r="AS105" s="1690"/>
      <c r="AT105" s="1690"/>
    </row>
    <row r="106">
      <c r="A106" s="1419"/>
      <c r="B106" s="1684"/>
      <c r="C106" s="1685"/>
      <c r="D106" s="1685"/>
      <c r="E106" s="1686"/>
      <c r="F106" s="1686"/>
      <c r="G106" s="1686"/>
      <c r="H106" s="1686"/>
      <c r="I106" s="1686"/>
      <c r="J106" s="1686"/>
      <c r="K106" s="1686"/>
      <c r="L106" s="1686"/>
      <c r="M106" s="1686"/>
      <c r="N106" s="1686"/>
      <c r="O106" s="1686"/>
      <c r="P106" s="1686"/>
      <c r="Q106" s="1686"/>
      <c r="R106" s="1686"/>
      <c r="S106" s="1686"/>
      <c r="T106" s="1686"/>
      <c r="U106" s="1686"/>
      <c r="V106" s="1686"/>
      <c r="W106" s="1686"/>
      <c r="X106" s="1686"/>
      <c r="Y106" s="1686"/>
      <c r="Z106" s="1686"/>
      <c r="AA106" s="1686"/>
      <c r="AB106" s="1686"/>
      <c r="AC106" s="1686"/>
      <c r="AD106" s="1686"/>
      <c r="AE106" s="1686"/>
      <c r="AF106" s="1686"/>
      <c r="AG106" s="1686"/>
      <c r="AH106" s="1686"/>
      <c r="AI106" s="1686"/>
      <c r="AJ106" s="1686"/>
      <c r="AK106" s="1686"/>
      <c r="AL106" s="1686"/>
      <c r="AM106" s="1686"/>
      <c r="AN106" s="1686"/>
      <c r="AO106" s="1686"/>
      <c r="AP106" s="1686"/>
      <c r="AQ106" s="1686"/>
      <c r="AR106" s="1686"/>
      <c r="AS106" s="1686"/>
      <c r="AT106" s="1686"/>
    </row>
    <row r="107">
      <c r="A107" s="1440" t="s">
        <v>2461</v>
      </c>
      <c r="B107" s="1687"/>
      <c r="C107" s="1688"/>
      <c r="D107" s="1688"/>
      <c r="E107" s="1689"/>
      <c r="F107" s="1689"/>
      <c r="G107" s="1689"/>
      <c r="H107" s="1689"/>
      <c r="I107" s="1689"/>
      <c r="J107" s="1689"/>
      <c r="K107" s="1689"/>
      <c r="L107" s="1689"/>
      <c r="M107" s="1689"/>
      <c r="N107" s="1689"/>
      <c r="O107" s="1689"/>
      <c r="P107" s="1689"/>
      <c r="Q107" s="1689"/>
      <c r="R107" s="1689"/>
      <c r="S107" s="1689"/>
      <c r="T107" s="1689"/>
      <c r="U107" s="1689"/>
      <c r="V107" s="1689"/>
      <c r="W107" s="1689"/>
      <c r="X107" s="1689"/>
      <c r="Y107" s="1690"/>
      <c r="Z107" s="1690"/>
      <c r="AA107" s="1690"/>
      <c r="AB107" s="1690"/>
      <c r="AC107" s="1690"/>
      <c r="AD107" s="1690"/>
      <c r="AE107" s="1690"/>
      <c r="AF107" s="1690"/>
      <c r="AG107" s="1690"/>
      <c r="AH107" s="1690"/>
      <c r="AI107" s="1690"/>
      <c r="AJ107" s="1690"/>
      <c r="AK107" s="1690"/>
      <c r="AL107" s="1690"/>
      <c r="AM107" s="1690"/>
      <c r="AN107" s="1690"/>
      <c r="AO107" s="1690"/>
      <c r="AP107" s="1690"/>
      <c r="AQ107" s="1690"/>
      <c r="AR107" s="1690"/>
      <c r="AS107" s="1690"/>
      <c r="AT107" s="1690"/>
    </row>
    <row r="108">
      <c r="A108" s="1419"/>
      <c r="B108" s="1684"/>
      <c r="C108" s="1685"/>
      <c r="D108" s="1685"/>
      <c r="E108" s="1686"/>
      <c r="F108" s="1686"/>
      <c r="G108" s="1686"/>
      <c r="H108" s="1686"/>
      <c r="I108" s="1686"/>
      <c r="J108" s="1686"/>
      <c r="K108" s="1686"/>
      <c r="L108" s="1686"/>
      <c r="M108" s="1686"/>
      <c r="N108" s="1686"/>
      <c r="O108" s="1686"/>
      <c r="P108" s="1686"/>
      <c r="Q108" s="1686"/>
      <c r="R108" s="1686"/>
      <c r="S108" s="1686"/>
      <c r="T108" s="1686"/>
      <c r="U108" s="1686"/>
      <c r="V108" s="1686"/>
      <c r="W108" s="1686"/>
      <c r="X108" s="1686"/>
      <c r="Y108" s="1686"/>
      <c r="Z108" s="1686"/>
      <c r="AA108" s="1686"/>
      <c r="AB108" s="1686"/>
      <c r="AC108" s="1686"/>
      <c r="AD108" s="1686"/>
      <c r="AE108" s="1686"/>
      <c r="AF108" s="1686"/>
      <c r="AG108" s="1686"/>
      <c r="AH108" s="1686"/>
      <c r="AI108" s="1686"/>
      <c r="AJ108" s="1686"/>
      <c r="AK108" s="1686"/>
      <c r="AL108" s="1686"/>
      <c r="AM108" s="1686"/>
      <c r="AN108" s="1686"/>
      <c r="AO108" s="1686"/>
      <c r="AP108" s="1686"/>
      <c r="AQ108" s="1686"/>
      <c r="AR108" s="1686"/>
      <c r="AS108" s="1686"/>
      <c r="AT108" s="1686"/>
    </row>
    <row r="109">
      <c r="A109" s="1419"/>
      <c r="B109" s="1687"/>
      <c r="C109" s="1688"/>
      <c r="D109" s="1688"/>
      <c r="E109" s="1690"/>
      <c r="F109" s="1690"/>
      <c r="G109" s="1690"/>
      <c r="H109" s="1690"/>
      <c r="I109" s="1690"/>
      <c r="J109" s="1690"/>
      <c r="K109" s="1690"/>
      <c r="L109" s="1690"/>
      <c r="M109" s="1690"/>
      <c r="N109" s="1690"/>
      <c r="O109" s="1690"/>
      <c r="P109" s="1690"/>
      <c r="Q109" s="1690"/>
      <c r="R109" s="1690"/>
      <c r="S109" s="1690"/>
      <c r="T109" s="1690"/>
      <c r="U109" s="1690"/>
      <c r="V109" s="1690"/>
      <c r="W109" s="1690"/>
      <c r="X109" s="1690"/>
      <c r="Y109" s="1690"/>
      <c r="Z109" s="1690"/>
      <c r="AA109" s="1690"/>
      <c r="AB109" s="1690"/>
      <c r="AC109" s="1690"/>
      <c r="AD109" s="1690"/>
      <c r="AE109" s="1690"/>
      <c r="AF109" s="1690"/>
      <c r="AG109" s="1690"/>
      <c r="AH109" s="1690"/>
      <c r="AI109" s="1690"/>
      <c r="AJ109" s="1690"/>
      <c r="AK109" s="1690"/>
      <c r="AL109" s="1690"/>
      <c r="AM109" s="1690"/>
      <c r="AN109" s="1690"/>
      <c r="AO109" s="1690"/>
      <c r="AP109" s="1690"/>
      <c r="AQ109" s="1690"/>
      <c r="AR109" s="1690"/>
      <c r="AS109" s="1690"/>
      <c r="AT109" s="1690"/>
    </row>
    <row r="110">
      <c r="A110" s="1419"/>
      <c r="B110" s="1684"/>
      <c r="C110" s="1685"/>
      <c r="D110" s="1685"/>
      <c r="E110" s="1686"/>
      <c r="F110" s="1686"/>
      <c r="G110" s="1686"/>
      <c r="H110" s="1686"/>
      <c r="I110" s="1686"/>
      <c r="J110" s="1686"/>
      <c r="K110" s="1686"/>
      <c r="L110" s="1686"/>
      <c r="M110" s="1686"/>
      <c r="N110" s="1686"/>
      <c r="O110" s="1686"/>
      <c r="P110" s="1686"/>
      <c r="Q110" s="1686"/>
      <c r="R110" s="1686"/>
      <c r="S110" s="1686"/>
      <c r="T110" s="1686"/>
      <c r="U110" s="1686"/>
      <c r="V110" s="1686"/>
      <c r="W110" s="1686"/>
      <c r="X110" s="1686"/>
      <c r="Y110" s="1686"/>
      <c r="Z110" s="1686"/>
      <c r="AA110" s="1686"/>
      <c r="AB110" s="1686"/>
      <c r="AC110" s="1686"/>
      <c r="AD110" s="1686"/>
      <c r="AE110" s="1686"/>
      <c r="AF110" s="1686"/>
      <c r="AG110" s="1686"/>
      <c r="AH110" s="1686"/>
      <c r="AI110" s="1686"/>
      <c r="AJ110" s="1686"/>
      <c r="AK110" s="1686"/>
      <c r="AL110" s="1686"/>
      <c r="AM110" s="1686"/>
      <c r="AN110" s="1686"/>
      <c r="AO110" s="1686"/>
      <c r="AP110" s="1686"/>
      <c r="AQ110" s="1686"/>
      <c r="AR110" s="1686"/>
      <c r="AS110" s="1686"/>
      <c r="AT110" s="1686"/>
    </row>
    <row r="111">
      <c r="A111" s="1419"/>
      <c r="B111" s="1687"/>
      <c r="C111" s="1688"/>
      <c r="D111" s="1688"/>
      <c r="E111" s="1689"/>
      <c r="F111" s="1689"/>
      <c r="G111" s="1689"/>
      <c r="H111" s="1689"/>
      <c r="I111" s="1689"/>
      <c r="J111" s="1689"/>
      <c r="K111" s="1689"/>
      <c r="L111" s="1689"/>
      <c r="M111" s="1689"/>
      <c r="N111" s="1689"/>
      <c r="O111" s="1689"/>
      <c r="P111" s="1689"/>
      <c r="Q111" s="1689"/>
      <c r="R111" s="1689"/>
      <c r="S111" s="1689"/>
      <c r="T111" s="1689"/>
      <c r="U111" s="1689"/>
      <c r="V111" s="1689"/>
      <c r="W111" s="1689"/>
      <c r="X111" s="1689"/>
      <c r="Y111" s="1690"/>
      <c r="Z111" s="1690"/>
      <c r="AA111" s="1690"/>
      <c r="AB111" s="1690"/>
      <c r="AC111" s="1690"/>
      <c r="AD111" s="1690"/>
      <c r="AE111" s="1690"/>
      <c r="AF111" s="1690"/>
      <c r="AG111" s="1690"/>
      <c r="AH111" s="1690"/>
      <c r="AI111" s="1690"/>
      <c r="AJ111" s="1690"/>
      <c r="AK111" s="1690"/>
      <c r="AL111" s="1690"/>
      <c r="AM111" s="1690"/>
      <c r="AN111" s="1690"/>
      <c r="AO111" s="1690"/>
      <c r="AP111" s="1690"/>
      <c r="AQ111" s="1690"/>
      <c r="AR111" s="1690"/>
      <c r="AS111" s="1690"/>
      <c r="AT111" s="1690"/>
    </row>
    <row r="112">
      <c r="A112" s="1419"/>
      <c r="B112" s="1684"/>
      <c r="C112" s="1685"/>
      <c r="D112" s="1685"/>
      <c r="E112" s="1686"/>
      <c r="F112" s="1686"/>
      <c r="G112" s="1686"/>
      <c r="H112" s="1686"/>
      <c r="I112" s="1686"/>
      <c r="J112" s="1686"/>
      <c r="K112" s="1686"/>
      <c r="L112" s="1686"/>
      <c r="M112" s="1686"/>
      <c r="N112" s="1686"/>
      <c r="O112" s="1686"/>
      <c r="P112" s="1686"/>
      <c r="Q112" s="1686"/>
      <c r="R112" s="1686"/>
      <c r="S112" s="1686"/>
      <c r="T112" s="1686"/>
      <c r="U112" s="1686"/>
      <c r="V112" s="1686"/>
      <c r="W112" s="1686"/>
      <c r="X112" s="1686"/>
      <c r="Y112" s="1686"/>
      <c r="Z112" s="1686"/>
      <c r="AA112" s="1686"/>
      <c r="AB112" s="1686"/>
      <c r="AC112" s="1686"/>
      <c r="AD112" s="1686"/>
      <c r="AE112" s="1686"/>
      <c r="AF112" s="1686"/>
      <c r="AG112" s="1686"/>
      <c r="AH112" s="1686"/>
      <c r="AI112" s="1686"/>
      <c r="AJ112" s="1686"/>
      <c r="AK112" s="1686"/>
      <c r="AL112" s="1686"/>
      <c r="AM112" s="1686"/>
      <c r="AN112" s="1686"/>
      <c r="AO112" s="1686"/>
      <c r="AP112" s="1686"/>
      <c r="AQ112" s="1686"/>
      <c r="AR112" s="1686"/>
      <c r="AS112" s="1686"/>
      <c r="AT112" s="1686"/>
    </row>
    <row r="113">
      <c r="A113" s="1419"/>
      <c r="B113" s="1687"/>
      <c r="C113" s="1688"/>
      <c r="D113" s="1688"/>
      <c r="E113" s="1690"/>
      <c r="F113" s="1690"/>
      <c r="G113" s="1690"/>
      <c r="H113" s="1690"/>
      <c r="I113" s="1690"/>
      <c r="J113" s="1690"/>
      <c r="K113" s="1690"/>
      <c r="L113" s="1690"/>
      <c r="M113" s="1690"/>
      <c r="N113" s="1690"/>
      <c r="O113" s="1690"/>
      <c r="P113" s="1690"/>
      <c r="Q113" s="1690"/>
      <c r="R113" s="1690"/>
      <c r="S113" s="1690"/>
      <c r="T113" s="1690"/>
      <c r="U113" s="1690"/>
      <c r="V113" s="1690"/>
      <c r="W113" s="1690"/>
      <c r="X113" s="1690"/>
      <c r="Y113" s="1690"/>
      <c r="Z113" s="1690"/>
      <c r="AA113" s="1690"/>
      <c r="AB113" s="1690"/>
      <c r="AC113" s="1690"/>
      <c r="AD113" s="1690"/>
      <c r="AE113" s="1690"/>
      <c r="AF113" s="1690"/>
      <c r="AG113" s="1690"/>
      <c r="AH113" s="1690"/>
      <c r="AI113" s="1690"/>
      <c r="AJ113" s="1690"/>
      <c r="AK113" s="1690"/>
      <c r="AL113" s="1690"/>
      <c r="AM113" s="1690"/>
      <c r="AN113" s="1690"/>
      <c r="AO113" s="1690"/>
      <c r="AP113" s="1690"/>
      <c r="AQ113" s="1690"/>
      <c r="AR113" s="1690"/>
      <c r="AS113" s="1690"/>
      <c r="AT113" s="1690"/>
    </row>
    <row r="114">
      <c r="A114" s="1419"/>
      <c r="B114" s="1687"/>
      <c r="C114" s="1688"/>
      <c r="D114" s="1688"/>
      <c r="E114" s="1690"/>
      <c r="F114" s="1690"/>
      <c r="G114" s="1690"/>
      <c r="H114" s="1690"/>
      <c r="I114" s="1690"/>
      <c r="J114" s="1690"/>
      <c r="K114" s="1690"/>
      <c r="L114" s="1690"/>
      <c r="M114" s="1690"/>
      <c r="N114" s="1690"/>
      <c r="O114" s="1690"/>
      <c r="P114" s="1690"/>
      <c r="Q114" s="1690"/>
      <c r="R114" s="1690"/>
      <c r="S114" s="1690"/>
      <c r="T114" s="1690"/>
      <c r="U114" s="1690"/>
      <c r="V114" s="1690"/>
      <c r="W114" s="1690"/>
      <c r="X114" s="1690"/>
      <c r="Y114" s="1690"/>
      <c r="Z114" s="1690"/>
      <c r="AA114" s="1690"/>
      <c r="AB114" s="1690"/>
      <c r="AC114" s="1690"/>
      <c r="AD114" s="1690"/>
      <c r="AE114" s="1690"/>
      <c r="AF114" s="1690"/>
      <c r="AG114" s="1690"/>
      <c r="AH114" s="1690"/>
      <c r="AI114" s="1690"/>
      <c r="AJ114" s="1690"/>
      <c r="AK114" s="1690"/>
      <c r="AL114" s="1690"/>
      <c r="AM114" s="1690"/>
      <c r="AN114" s="1690"/>
      <c r="AO114" s="1690"/>
      <c r="AP114" s="1690"/>
      <c r="AQ114" s="1690"/>
      <c r="AR114" s="1690"/>
      <c r="AS114" s="1690"/>
      <c r="AT114" s="1690"/>
    </row>
    <row r="115">
      <c r="A115" s="1419"/>
      <c r="B115" s="1684"/>
      <c r="C115" s="1685"/>
      <c r="D115" s="1685"/>
      <c r="E115" s="1691"/>
      <c r="F115" s="1691"/>
      <c r="G115" s="1691"/>
      <c r="H115" s="1691"/>
      <c r="I115" s="1691"/>
      <c r="J115" s="1691"/>
      <c r="K115" s="1691"/>
      <c r="L115" s="1691"/>
      <c r="M115" s="1691"/>
      <c r="N115" s="1691"/>
      <c r="O115" s="1691"/>
      <c r="P115" s="1691"/>
      <c r="Q115" s="1691"/>
      <c r="R115" s="1691"/>
      <c r="S115" s="1691"/>
      <c r="T115" s="1691"/>
      <c r="U115" s="1691"/>
      <c r="V115" s="1691"/>
      <c r="W115" s="1691"/>
      <c r="X115" s="1691"/>
      <c r="Y115" s="1686"/>
      <c r="Z115" s="1686"/>
      <c r="AA115" s="1686"/>
      <c r="AB115" s="1686"/>
      <c r="AC115" s="1686"/>
      <c r="AD115" s="1686"/>
      <c r="AE115" s="1686"/>
      <c r="AF115" s="1686"/>
      <c r="AG115" s="1686"/>
      <c r="AH115" s="1686"/>
      <c r="AI115" s="1686"/>
      <c r="AJ115" s="1686"/>
      <c r="AK115" s="1686"/>
      <c r="AL115" s="1686"/>
      <c r="AM115" s="1686"/>
      <c r="AN115" s="1686"/>
      <c r="AO115" s="1686"/>
      <c r="AP115" s="1686"/>
      <c r="AQ115" s="1686"/>
      <c r="AR115" s="1686"/>
      <c r="AS115" s="1686"/>
      <c r="AT115" s="1686"/>
    </row>
    <row r="116">
      <c r="A116" s="1419"/>
      <c r="B116" s="1684"/>
      <c r="C116" s="1685"/>
      <c r="D116" s="1685"/>
      <c r="E116" s="1691"/>
      <c r="F116" s="1691"/>
      <c r="G116" s="1691"/>
      <c r="H116" s="1691"/>
      <c r="I116" s="1691"/>
      <c r="J116" s="1691"/>
      <c r="K116" s="1691"/>
      <c r="L116" s="1691"/>
      <c r="M116" s="1691"/>
      <c r="N116" s="1691"/>
      <c r="O116" s="1691"/>
      <c r="P116" s="1691"/>
      <c r="Q116" s="1691"/>
      <c r="R116" s="1691"/>
      <c r="S116" s="1691"/>
      <c r="T116" s="1691"/>
      <c r="U116" s="1691"/>
      <c r="V116" s="1691"/>
      <c r="W116" s="1691"/>
      <c r="X116" s="1691"/>
      <c r="Y116" s="1686"/>
      <c r="Z116" s="1686"/>
      <c r="AA116" s="1686"/>
      <c r="AB116" s="1686"/>
      <c r="AC116" s="1686"/>
      <c r="AD116" s="1686"/>
      <c r="AE116" s="1686"/>
      <c r="AF116" s="1686"/>
      <c r="AG116" s="1686"/>
      <c r="AH116" s="1686"/>
      <c r="AI116" s="1686"/>
      <c r="AJ116" s="1686"/>
      <c r="AK116" s="1686"/>
      <c r="AL116" s="1686"/>
      <c r="AM116" s="1686"/>
      <c r="AN116" s="1686"/>
      <c r="AO116" s="1686"/>
      <c r="AP116" s="1686"/>
      <c r="AQ116" s="1686"/>
      <c r="AR116" s="1686"/>
      <c r="AS116" s="1686"/>
      <c r="AT116" s="1686"/>
    </row>
    <row r="117">
      <c r="A117" s="1419"/>
      <c r="B117" s="1687"/>
      <c r="C117" s="1688"/>
      <c r="D117" s="1688"/>
      <c r="E117" s="1689"/>
      <c r="F117" s="1689"/>
      <c r="G117" s="1689"/>
      <c r="H117" s="1689"/>
      <c r="I117" s="1689"/>
      <c r="J117" s="1689"/>
      <c r="K117" s="1689"/>
      <c r="L117" s="1689"/>
      <c r="M117" s="1689"/>
      <c r="N117" s="1689"/>
      <c r="O117" s="1689"/>
      <c r="P117" s="1689"/>
      <c r="Q117" s="1689"/>
      <c r="R117" s="1689"/>
      <c r="S117" s="1689"/>
      <c r="T117" s="1689"/>
      <c r="U117" s="1689"/>
      <c r="V117" s="1689"/>
      <c r="W117" s="1689"/>
      <c r="X117" s="1689"/>
      <c r="Y117" s="1690"/>
      <c r="Z117" s="1690"/>
      <c r="AA117" s="1690"/>
      <c r="AB117" s="1690"/>
      <c r="AC117" s="1690"/>
      <c r="AD117" s="1690"/>
      <c r="AE117" s="1690"/>
      <c r="AF117" s="1690"/>
      <c r="AG117" s="1690"/>
      <c r="AH117" s="1690"/>
      <c r="AI117" s="1690"/>
      <c r="AJ117" s="1690"/>
      <c r="AK117" s="1690"/>
      <c r="AL117" s="1690"/>
      <c r="AM117" s="1690"/>
      <c r="AN117" s="1690"/>
      <c r="AO117" s="1690"/>
      <c r="AP117" s="1690"/>
      <c r="AQ117" s="1690"/>
      <c r="AR117" s="1690"/>
      <c r="AS117" s="1690"/>
      <c r="AT117" s="1690"/>
    </row>
    <row r="118">
      <c r="A118" s="1419"/>
      <c r="B118" s="1684"/>
      <c r="C118" s="1685"/>
      <c r="D118" s="1685"/>
      <c r="E118" s="1691"/>
      <c r="F118" s="1691"/>
      <c r="G118" s="1691"/>
      <c r="H118" s="1691"/>
      <c r="I118" s="1691"/>
      <c r="J118" s="1691"/>
      <c r="K118" s="1691"/>
      <c r="L118" s="1691"/>
      <c r="M118" s="1691"/>
      <c r="N118" s="1691"/>
      <c r="O118" s="1691"/>
      <c r="P118" s="1691"/>
      <c r="Q118" s="1691"/>
      <c r="R118" s="1691"/>
      <c r="S118" s="1691"/>
      <c r="T118" s="1691"/>
      <c r="U118" s="1691"/>
      <c r="V118" s="1691"/>
      <c r="W118" s="1691"/>
      <c r="X118" s="1691"/>
      <c r="Y118" s="1686"/>
      <c r="Z118" s="1686"/>
      <c r="AA118" s="1686"/>
      <c r="AB118" s="1686"/>
      <c r="AC118" s="1686"/>
      <c r="AD118" s="1686"/>
      <c r="AE118" s="1686"/>
      <c r="AF118" s="1686"/>
      <c r="AG118" s="1686"/>
      <c r="AH118" s="1686"/>
      <c r="AI118" s="1686"/>
      <c r="AJ118" s="1686"/>
      <c r="AK118" s="1686"/>
      <c r="AL118" s="1686"/>
      <c r="AM118" s="1686"/>
      <c r="AN118" s="1686"/>
      <c r="AO118" s="1686"/>
      <c r="AP118" s="1686"/>
      <c r="AQ118" s="1686"/>
      <c r="AR118" s="1686"/>
      <c r="AS118" s="1686"/>
      <c r="AT118" s="1686"/>
    </row>
    <row r="119">
      <c r="A119" s="1419"/>
      <c r="B119" s="1687"/>
      <c r="C119" s="1688"/>
      <c r="D119" s="1688"/>
      <c r="E119" s="1689"/>
      <c r="F119" s="1689"/>
      <c r="G119" s="1689"/>
      <c r="H119" s="1689"/>
      <c r="I119" s="1689"/>
      <c r="J119" s="1689"/>
      <c r="K119" s="1689"/>
      <c r="L119" s="1689"/>
      <c r="M119" s="1689"/>
      <c r="N119" s="1689"/>
      <c r="O119" s="1689"/>
      <c r="P119" s="1689"/>
      <c r="Q119" s="1689"/>
      <c r="R119" s="1689"/>
      <c r="S119" s="1689"/>
      <c r="T119" s="1689"/>
      <c r="U119" s="1689"/>
      <c r="V119" s="1689"/>
      <c r="W119" s="1689"/>
      <c r="X119" s="1689"/>
      <c r="Y119" s="1690"/>
      <c r="Z119" s="1690"/>
      <c r="AA119" s="1690"/>
      <c r="AB119" s="1690"/>
      <c r="AC119" s="1690"/>
      <c r="AD119" s="1690"/>
      <c r="AE119" s="1690"/>
      <c r="AF119" s="1690"/>
      <c r="AG119" s="1690"/>
      <c r="AH119" s="1690"/>
      <c r="AI119" s="1690"/>
      <c r="AJ119" s="1690"/>
      <c r="AK119" s="1690"/>
      <c r="AL119" s="1690"/>
      <c r="AM119" s="1690"/>
      <c r="AN119" s="1690"/>
      <c r="AO119" s="1690"/>
      <c r="AP119" s="1690"/>
      <c r="AQ119" s="1690"/>
      <c r="AR119" s="1690"/>
      <c r="AS119" s="1690"/>
      <c r="AT119" s="1690"/>
    </row>
    <row r="120">
      <c r="A120" s="1419"/>
      <c r="B120" s="1684"/>
      <c r="C120" s="1685"/>
      <c r="D120" s="1685"/>
      <c r="E120" s="1686"/>
      <c r="F120" s="1686"/>
      <c r="G120" s="1686"/>
      <c r="H120" s="1686"/>
      <c r="I120" s="1686"/>
      <c r="J120" s="1686"/>
      <c r="K120" s="1686"/>
      <c r="L120" s="1686"/>
      <c r="M120" s="1686"/>
      <c r="N120" s="1686"/>
      <c r="O120" s="1686"/>
      <c r="P120" s="1686"/>
      <c r="Q120" s="1686"/>
      <c r="R120" s="1686"/>
      <c r="S120" s="1686"/>
      <c r="T120" s="1686"/>
      <c r="U120" s="1686"/>
      <c r="V120" s="1686"/>
      <c r="W120" s="1686"/>
      <c r="X120" s="1686"/>
      <c r="Y120" s="1686"/>
      <c r="Z120" s="1686"/>
      <c r="AA120" s="1686"/>
      <c r="AB120" s="1686"/>
      <c r="AC120" s="1686"/>
      <c r="AD120" s="1686"/>
      <c r="AE120" s="1686"/>
      <c r="AF120" s="1686"/>
      <c r="AG120" s="1686"/>
      <c r="AH120" s="1686"/>
      <c r="AI120" s="1686"/>
      <c r="AJ120" s="1686"/>
      <c r="AK120" s="1686"/>
      <c r="AL120" s="1686"/>
      <c r="AM120" s="1686"/>
      <c r="AN120" s="1686"/>
      <c r="AO120" s="1686"/>
      <c r="AP120" s="1686"/>
      <c r="AQ120" s="1686"/>
      <c r="AR120" s="1686"/>
      <c r="AS120" s="1686"/>
      <c r="AT120" s="1686"/>
    </row>
    <row r="121">
      <c r="A121" s="1419"/>
      <c r="B121" s="1687"/>
      <c r="C121" s="1688"/>
      <c r="D121" s="1688"/>
      <c r="E121" s="1690"/>
      <c r="F121" s="1690"/>
      <c r="G121" s="1690"/>
      <c r="H121" s="1690"/>
      <c r="I121" s="1690"/>
      <c r="J121" s="1690"/>
      <c r="K121" s="1690"/>
      <c r="L121" s="1690"/>
      <c r="M121" s="1690"/>
      <c r="N121" s="1690"/>
      <c r="O121" s="1690"/>
      <c r="P121" s="1690"/>
      <c r="Q121" s="1690"/>
      <c r="R121" s="1690"/>
      <c r="S121" s="1690"/>
      <c r="T121" s="1690"/>
      <c r="U121" s="1690"/>
      <c r="V121" s="1690"/>
      <c r="W121" s="1690"/>
      <c r="X121" s="1690"/>
      <c r="Y121" s="1690"/>
      <c r="Z121" s="1690"/>
      <c r="AA121" s="1690"/>
      <c r="AB121" s="1690"/>
      <c r="AC121" s="1690"/>
      <c r="AD121" s="1690"/>
      <c r="AE121" s="1690"/>
      <c r="AF121" s="1690"/>
      <c r="AG121" s="1690"/>
      <c r="AH121" s="1690"/>
      <c r="AI121" s="1690"/>
      <c r="AJ121" s="1690"/>
      <c r="AK121" s="1690"/>
      <c r="AL121" s="1690"/>
      <c r="AM121" s="1690"/>
      <c r="AN121" s="1690"/>
      <c r="AO121" s="1690"/>
      <c r="AP121" s="1690"/>
      <c r="AQ121" s="1690"/>
      <c r="AR121" s="1690"/>
      <c r="AS121" s="1690"/>
      <c r="AT121" s="1690"/>
    </row>
    <row r="122">
      <c r="A122" s="1419"/>
      <c r="B122" s="1684"/>
      <c r="C122" s="1685"/>
      <c r="D122" s="1685"/>
      <c r="E122" s="1691"/>
      <c r="F122" s="1691"/>
      <c r="G122" s="1691"/>
      <c r="H122" s="1691"/>
      <c r="I122" s="1691"/>
      <c r="J122" s="1691"/>
      <c r="K122" s="1691"/>
      <c r="L122" s="1691"/>
      <c r="M122" s="1691"/>
      <c r="N122" s="1691"/>
      <c r="O122" s="1691"/>
      <c r="P122" s="1691"/>
      <c r="Q122" s="1691"/>
      <c r="R122" s="1691"/>
      <c r="S122" s="1691"/>
      <c r="T122" s="1691"/>
      <c r="U122" s="1691"/>
      <c r="V122" s="1691"/>
      <c r="W122" s="1691"/>
      <c r="X122" s="1691"/>
      <c r="Y122" s="1686"/>
      <c r="Z122" s="1686"/>
      <c r="AA122" s="1686"/>
      <c r="AB122" s="1686"/>
      <c r="AC122" s="1686"/>
      <c r="AD122" s="1686"/>
      <c r="AE122" s="1686"/>
      <c r="AF122" s="1686"/>
      <c r="AG122" s="1686"/>
      <c r="AH122" s="1686"/>
      <c r="AI122" s="1686"/>
      <c r="AJ122" s="1686"/>
      <c r="AK122" s="1686"/>
      <c r="AL122" s="1686"/>
      <c r="AM122" s="1686"/>
      <c r="AN122" s="1686"/>
      <c r="AO122" s="1686"/>
      <c r="AP122" s="1686"/>
      <c r="AQ122" s="1686"/>
      <c r="AR122" s="1686"/>
      <c r="AS122" s="1686"/>
      <c r="AT122" s="1686"/>
    </row>
    <row r="123">
      <c r="A123" s="1419"/>
      <c r="B123" s="1687"/>
      <c r="C123" s="1688"/>
      <c r="D123" s="1688"/>
      <c r="E123" s="1689"/>
      <c r="F123" s="1689"/>
      <c r="G123" s="1689"/>
      <c r="H123" s="1689"/>
      <c r="I123" s="1689"/>
      <c r="J123" s="1689"/>
      <c r="K123" s="1689"/>
      <c r="L123" s="1689"/>
      <c r="M123" s="1689"/>
      <c r="N123" s="1689"/>
      <c r="O123" s="1689"/>
      <c r="P123" s="1689"/>
      <c r="Q123" s="1689"/>
      <c r="R123" s="1689"/>
      <c r="S123" s="1689"/>
      <c r="T123" s="1689"/>
      <c r="U123" s="1689"/>
      <c r="V123" s="1689"/>
      <c r="W123" s="1689"/>
      <c r="X123" s="1689"/>
      <c r="Y123" s="1690"/>
      <c r="Z123" s="1690"/>
      <c r="AA123" s="1690"/>
      <c r="AB123" s="1690"/>
      <c r="AC123" s="1690"/>
      <c r="AD123" s="1690"/>
      <c r="AE123" s="1690"/>
      <c r="AF123" s="1690"/>
      <c r="AG123" s="1690"/>
      <c r="AH123" s="1690"/>
      <c r="AI123" s="1690"/>
      <c r="AJ123" s="1690"/>
      <c r="AK123" s="1690"/>
      <c r="AL123" s="1690"/>
      <c r="AM123" s="1690"/>
      <c r="AN123" s="1690"/>
      <c r="AO123" s="1690"/>
      <c r="AP123" s="1690"/>
      <c r="AQ123" s="1690"/>
      <c r="AR123" s="1690"/>
      <c r="AS123" s="1690"/>
      <c r="AT123" s="1690"/>
    </row>
    <row r="124">
      <c r="A124" s="1419"/>
      <c r="B124" s="1684"/>
      <c r="C124" s="1685"/>
      <c r="D124" s="1685"/>
      <c r="E124" s="1686"/>
      <c r="F124" s="1686"/>
      <c r="G124" s="1686"/>
      <c r="H124" s="1686"/>
      <c r="I124" s="1686"/>
      <c r="J124" s="1686"/>
      <c r="K124" s="1686"/>
      <c r="L124" s="1686"/>
      <c r="M124" s="1686"/>
      <c r="N124" s="1686"/>
      <c r="O124" s="1686"/>
      <c r="P124" s="1686"/>
      <c r="Q124" s="1686"/>
      <c r="R124" s="1686"/>
      <c r="S124" s="1686"/>
      <c r="T124" s="1686"/>
      <c r="U124" s="1686"/>
      <c r="V124" s="1686"/>
      <c r="W124" s="1686"/>
      <c r="X124" s="1686"/>
      <c r="Y124" s="1686"/>
      <c r="Z124" s="1686"/>
      <c r="AA124" s="1686"/>
      <c r="AB124" s="1686"/>
      <c r="AC124" s="1686"/>
      <c r="AD124" s="1686"/>
      <c r="AE124" s="1686"/>
      <c r="AF124" s="1686"/>
      <c r="AG124" s="1686"/>
      <c r="AH124" s="1686"/>
      <c r="AI124" s="1686"/>
      <c r="AJ124" s="1686"/>
      <c r="AK124" s="1686"/>
      <c r="AL124" s="1686"/>
      <c r="AM124" s="1686"/>
      <c r="AN124" s="1686"/>
      <c r="AO124" s="1686"/>
      <c r="AP124" s="1686"/>
      <c r="AQ124" s="1686"/>
      <c r="AR124" s="1686"/>
      <c r="AS124" s="1686"/>
      <c r="AT124" s="1686"/>
    </row>
    <row r="125">
      <c r="A125" s="1419"/>
      <c r="B125" s="1687"/>
      <c r="C125" s="1688"/>
      <c r="D125" s="1688"/>
      <c r="E125" s="1689"/>
      <c r="F125" s="1689"/>
      <c r="G125" s="1689"/>
      <c r="H125" s="1689"/>
      <c r="I125" s="1689"/>
      <c r="J125" s="1689"/>
      <c r="K125" s="1689"/>
      <c r="L125" s="1689"/>
      <c r="M125" s="1689"/>
      <c r="N125" s="1689"/>
      <c r="O125" s="1689"/>
      <c r="P125" s="1689"/>
      <c r="Q125" s="1689"/>
      <c r="R125" s="1689"/>
      <c r="S125" s="1689"/>
      <c r="T125" s="1689"/>
      <c r="U125" s="1689"/>
      <c r="V125" s="1689"/>
      <c r="W125" s="1689"/>
      <c r="X125" s="1689"/>
      <c r="Y125" s="1690"/>
      <c r="Z125" s="1690"/>
      <c r="AA125" s="1690"/>
      <c r="AB125" s="1690"/>
      <c r="AC125" s="1690"/>
      <c r="AD125" s="1690"/>
      <c r="AE125" s="1690"/>
      <c r="AF125" s="1690"/>
      <c r="AG125" s="1690"/>
      <c r="AH125" s="1690"/>
      <c r="AI125" s="1690"/>
      <c r="AJ125" s="1690"/>
      <c r="AK125" s="1690"/>
      <c r="AL125" s="1690"/>
      <c r="AM125" s="1690"/>
      <c r="AN125" s="1690"/>
      <c r="AO125" s="1690"/>
      <c r="AP125" s="1690"/>
      <c r="AQ125" s="1690"/>
      <c r="AR125" s="1690"/>
      <c r="AS125" s="1690"/>
      <c r="AT125" s="1690"/>
    </row>
    <row r="126">
      <c r="A126" s="1419"/>
      <c r="B126" s="1684"/>
      <c r="C126" s="1685"/>
      <c r="D126" s="1685"/>
      <c r="E126" s="1691"/>
      <c r="F126" s="1691"/>
      <c r="G126" s="1691"/>
      <c r="H126" s="1691"/>
      <c r="I126" s="1691"/>
      <c r="J126" s="1691"/>
      <c r="K126" s="1691"/>
      <c r="L126" s="1691"/>
      <c r="M126" s="1691"/>
      <c r="N126" s="1691"/>
      <c r="O126" s="1691"/>
      <c r="P126" s="1691"/>
      <c r="Q126" s="1691"/>
      <c r="R126" s="1691"/>
      <c r="S126" s="1691"/>
      <c r="T126" s="1691"/>
      <c r="U126" s="1691"/>
      <c r="V126" s="1691"/>
      <c r="W126" s="1691"/>
      <c r="X126" s="1691"/>
      <c r="Y126" s="1686"/>
      <c r="Z126" s="1686"/>
      <c r="AA126" s="1686"/>
      <c r="AB126" s="1686"/>
      <c r="AC126" s="1686"/>
      <c r="AD126" s="1686"/>
      <c r="AE126" s="1686"/>
      <c r="AF126" s="1686"/>
      <c r="AG126" s="1686"/>
      <c r="AH126" s="1686"/>
      <c r="AI126" s="1686"/>
      <c r="AJ126" s="1686"/>
      <c r="AK126" s="1686"/>
      <c r="AL126" s="1686"/>
      <c r="AM126" s="1686"/>
      <c r="AN126" s="1686"/>
      <c r="AO126" s="1686"/>
      <c r="AP126" s="1686"/>
      <c r="AQ126" s="1686"/>
      <c r="AR126" s="1686"/>
      <c r="AS126" s="1686"/>
      <c r="AT126" s="1686"/>
    </row>
    <row r="127">
      <c r="A127" s="1419"/>
      <c r="B127" s="1687"/>
      <c r="C127" s="1688"/>
      <c r="D127" s="1688"/>
      <c r="E127" s="1689"/>
      <c r="F127" s="1689"/>
      <c r="G127" s="1689"/>
      <c r="H127" s="1689"/>
      <c r="I127" s="1689"/>
      <c r="J127" s="1689"/>
      <c r="K127" s="1689"/>
      <c r="L127" s="1689"/>
      <c r="M127" s="1689"/>
      <c r="N127" s="1689"/>
      <c r="O127" s="1689"/>
      <c r="P127" s="1689"/>
      <c r="Q127" s="1689"/>
      <c r="R127" s="1689"/>
      <c r="S127" s="1689"/>
      <c r="T127" s="1689"/>
      <c r="U127" s="1689"/>
      <c r="V127" s="1689"/>
      <c r="W127" s="1689"/>
      <c r="X127" s="1689"/>
      <c r="Y127" s="1690"/>
      <c r="Z127" s="1690"/>
      <c r="AA127" s="1690"/>
      <c r="AB127" s="1690"/>
      <c r="AC127" s="1690"/>
      <c r="AD127" s="1690"/>
      <c r="AE127" s="1690"/>
      <c r="AF127" s="1690"/>
      <c r="AG127" s="1690"/>
      <c r="AH127" s="1690"/>
      <c r="AI127" s="1690"/>
      <c r="AJ127" s="1690"/>
      <c r="AK127" s="1690"/>
      <c r="AL127" s="1690"/>
      <c r="AM127" s="1690"/>
      <c r="AN127" s="1690"/>
      <c r="AO127" s="1690"/>
      <c r="AP127" s="1690"/>
      <c r="AQ127" s="1690"/>
      <c r="AR127" s="1690"/>
      <c r="AS127" s="1690"/>
      <c r="AT127" s="1690"/>
    </row>
    <row r="128">
      <c r="A128" s="1419"/>
      <c r="B128" s="1684"/>
      <c r="C128" s="1685"/>
      <c r="D128" s="1685"/>
      <c r="E128" s="1691"/>
      <c r="F128" s="1691"/>
      <c r="G128" s="1691"/>
      <c r="H128" s="1691"/>
      <c r="I128" s="1691"/>
      <c r="J128" s="1691"/>
      <c r="K128" s="1691"/>
      <c r="L128" s="1691"/>
      <c r="M128" s="1691"/>
      <c r="N128" s="1691"/>
      <c r="O128" s="1691"/>
      <c r="P128" s="1691"/>
      <c r="Q128" s="1691"/>
      <c r="R128" s="1691"/>
      <c r="S128" s="1691"/>
      <c r="T128" s="1691"/>
      <c r="U128" s="1691"/>
      <c r="V128" s="1691"/>
      <c r="W128" s="1691"/>
      <c r="X128" s="1691"/>
      <c r="Y128" s="1686"/>
      <c r="Z128" s="1686"/>
      <c r="AA128" s="1686"/>
      <c r="AB128" s="1686"/>
      <c r="AC128" s="1686"/>
      <c r="AD128" s="1686"/>
      <c r="AE128" s="1686"/>
      <c r="AF128" s="1686"/>
      <c r="AG128" s="1686"/>
      <c r="AH128" s="1686"/>
      <c r="AI128" s="1686"/>
      <c r="AJ128" s="1686"/>
      <c r="AK128" s="1686"/>
      <c r="AL128" s="1686"/>
      <c r="AM128" s="1686"/>
      <c r="AN128" s="1686"/>
      <c r="AO128" s="1686"/>
      <c r="AP128" s="1686"/>
      <c r="AQ128" s="1686"/>
      <c r="AR128" s="1686"/>
      <c r="AS128" s="1686"/>
      <c r="AT128" s="1686"/>
    </row>
    <row r="129">
      <c r="A129" s="1419"/>
      <c r="B129" s="1687"/>
      <c r="C129" s="1688"/>
      <c r="D129" s="1688"/>
      <c r="E129" s="1689"/>
      <c r="F129" s="1689"/>
      <c r="G129" s="1689"/>
      <c r="H129" s="1689"/>
      <c r="I129" s="1689"/>
      <c r="J129" s="1689"/>
      <c r="K129" s="1689"/>
      <c r="L129" s="1689"/>
      <c r="M129" s="1689"/>
      <c r="N129" s="1689"/>
      <c r="O129" s="1689"/>
      <c r="P129" s="1689"/>
      <c r="Q129" s="1689"/>
      <c r="R129" s="1689"/>
      <c r="S129" s="1689"/>
      <c r="T129" s="1689"/>
      <c r="U129" s="1689"/>
      <c r="V129" s="1689"/>
      <c r="W129" s="1689"/>
      <c r="X129" s="1689"/>
      <c r="Y129" s="1690"/>
      <c r="Z129" s="1690"/>
      <c r="AA129" s="1690"/>
      <c r="AB129" s="1690"/>
      <c r="AC129" s="1690"/>
      <c r="AD129" s="1690"/>
      <c r="AE129" s="1690"/>
      <c r="AF129" s="1690"/>
      <c r="AG129" s="1690"/>
      <c r="AH129" s="1690"/>
      <c r="AI129" s="1690"/>
      <c r="AJ129" s="1690"/>
      <c r="AK129" s="1690"/>
      <c r="AL129" s="1690"/>
      <c r="AM129" s="1690"/>
      <c r="AN129" s="1690"/>
      <c r="AO129" s="1690"/>
      <c r="AP129" s="1690"/>
      <c r="AQ129" s="1690"/>
      <c r="AR129" s="1690"/>
      <c r="AS129" s="1690"/>
      <c r="AT129" s="1690"/>
    </row>
    <row r="130">
      <c r="A130" s="1419"/>
      <c r="B130" s="1684"/>
      <c r="C130" s="1685"/>
      <c r="D130" s="1685"/>
      <c r="E130" s="1686"/>
      <c r="F130" s="1686"/>
      <c r="G130" s="1686"/>
      <c r="H130" s="1686"/>
      <c r="I130" s="1686"/>
      <c r="J130" s="1686"/>
      <c r="K130" s="1686"/>
      <c r="L130" s="1686"/>
      <c r="M130" s="1686"/>
      <c r="N130" s="1686"/>
      <c r="O130" s="1686"/>
      <c r="P130" s="1686"/>
      <c r="Q130" s="1686"/>
      <c r="R130" s="1686"/>
      <c r="S130" s="1686"/>
      <c r="T130" s="1686"/>
      <c r="U130" s="1686"/>
      <c r="V130" s="1686"/>
      <c r="W130" s="1686"/>
      <c r="X130" s="1686"/>
      <c r="Y130" s="1686"/>
      <c r="Z130" s="1686"/>
      <c r="AA130" s="1686"/>
      <c r="AB130" s="1686"/>
      <c r="AC130" s="1686"/>
      <c r="AD130" s="1686"/>
      <c r="AE130" s="1686"/>
      <c r="AF130" s="1686"/>
      <c r="AG130" s="1686"/>
      <c r="AH130" s="1686"/>
      <c r="AI130" s="1686"/>
      <c r="AJ130" s="1686"/>
      <c r="AK130" s="1686"/>
      <c r="AL130" s="1686"/>
      <c r="AM130" s="1686"/>
      <c r="AN130" s="1686"/>
      <c r="AO130" s="1686"/>
      <c r="AP130" s="1686"/>
      <c r="AQ130" s="1686"/>
      <c r="AR130" s="1686"/>
      <c r="AS130" s="1686"/>
      <c r="AT130" s="1686"/>
    </row>
    <row r="131">
      <c r="A131" s="1419"/>
      <c r="B131" s="1687"/>
      <c r="C131" s="1688"/>
      <c r="D131" s="1688"/>
      <c r="E131" s="1690"/>
      <c r="F131" s="1690"/>
      <c r="G131" s="1690"/>
      <c r="H131" s="1690"/>
      <c r="I131" s="1690"/>
      <c r="J131" s="1690"/>
      <c r="K131" s="1690"/>
      <c r="L131" s="1690"/>
      <c r="M131" s="1690"/>
      <c r="N131" s="1690"/>
      <c r="O131" s="1690"/>
      <c r="P131" s="1690"/>
      <c r="Q131" s="1690"/>
      <c r="R131" s="1690"/>
      <c r="S131" s="1690"/>
      <c r="T131" s="1690"/>
      <c r="U131" s="1690"/>
      <c r="V131" s="1690"/>
      <c r="W131" s="1690"/>
      <c r="X131" s="1690"/>
      <c r="Y131" s="1690"/>
      <c r="Z131" s="1690"/>
      <c r="AA131" s="1690"/>
      <c r="AB131" s="1690"/>
      <c r="AC131" s="1690"/>
      <c r="AD131" s="1690"/>
      <c r="AE131" s="1690"/>
      <c r="AF131" s="1690"/>
      <c r="AG131" s="1690"/>
      <c r="AH131" s="1690"/>
      <c r="AI131" s="1690"/>
      <c r="AJ131" s="1690"/>
      <c r="AK131" s="1690"/>
      <c r="AL131" s="1690"/>
      <c r="AM131" s="1690"/>
      <c r="AN131" s="1690"/>
      <c r="AO131" s="1690"/>
      <c r="AP131" s="1690"/>
      <c r="AQ131" s="1690"/>
      <c r="AR131" s="1690"/>
      <c r="AS131" s="1690"/>
      <c r="AT131" s="1690"/>
    </row>
    <row r="132">
      <c r="A132" s="1419"/>
      <c r="B132" s="1684"/>
      <c r="C132" s="1685"/>
      <c r="D132" s="1685"/>
      <c r="E132" s="1691"/>
      <c r="F132" s="1691"/>
      <c r="G132" s="1691"/>
      <c r="H132" s="1691"/>
      <c r="I132" s="1691"/>
      <c r="J132" s="1691"/>
      <c r="K132" s="1691"/>
      <c r="L132" s="1691"/>
      <c r="M132" s="1691"/>
      <c r="N132" s="1691"/>
      <c r="O132" s="1691"/>
      <c r="P132" s="1691"/>
      <c r="Q132" s="1691"/>
      <c r="R132" s="1691"/>
      <c r="S132" s="1691"/>
      <c r="T132" s="1691"/>
      <c r="U132" s="1691"/>
      <c r="V132" s="1691"/>
      <c r="W132" s="1691"/>
      <c r="X132" s="1691"/>
      <c r="Y132" s="1686"/>
      <c r="Z132" s="1686"/>
      <c r="AA132" s="1686"/>
      <c r="AB132" s="1686"/>
      <c r="AC132" s="1686"/>
      <c r="AD132" s="1686"/>
      <c r="AE132" s="1686"/>
      <c r="AF132" s="1686"/>
      <c r="AG132" s="1686"/>
      <c r="AH132" s="1686"/>
      <c r="AI132" s="1686"/>
      <c r="AJ132" s="1686"/>
      <c r="AK132" s="1686"/>
      <c r="AL132" s="1686"/>
      <c r="AM132" s="1686"/>
      <c r="AN132" s="1686"/>
      <c r="AO132" s="1686"/>
      <c r="AP132" s="1686"/>
      <c r="AQ132" s="1686"/>
      <c r="AR132" s="1686"/>
      <c r="AS132" s="1686"/>
      <c r="AT132" s="1686"/>
    </row>
    <row r="133">
      <c r="A133" s="1419"/>
      <c r="B133" s="1687"/>
      <c r="C133" s="1688"/>
      <c r="D133" s="1688"/>
      <c r="E133" s="1689"/>
      <c r="F133" s="1689"/>
      <c r="G133" s="1689"/>
      <c r="H133" s="1689"/>
      <c r="I133" s="1689"/>
      <c r="J133" s="1689"/>
      <c r="K133" s="1689"/>
      <c r="L133" s="1689"/>
      <c r="M133" s="1689"/>
      <c r="N133" s="1689"/>
      <c r="O133" s="1689"/>
      <c r="P133" s="1689"/>
      <c r="Q133" s="1689"/>
      <c r="R133" s="1689"/>
      <c r="S133" s="1689"/>
      <c r="T133" s="1689"/>
      <c r="U133" s="1689"/>
      <c r="V133" s="1689"/>
      <c r="W133" s="1689"/>
      <c r="X133" s="1689"/>
      <c r="Y133" s="1690"/>
      <c r="Z133" s="1690"/>
      <c r="AA133" s="1690"/>
      <c r="AB133" s="1690"/>
      <c r="AC133" s="1690"/>
      <c r="AD133" s="1690"/>
      <c r="AE133" s="1690"/>
      <c r="AF133" s="1690"/>
      <c r="AG133" s="1690"/>
      <c r="AH133" s="1690"/>
      <c r="AI133" s="1690"/>
      <c r="AJ133" s="1690"/>
      <c r="AK133" s="1690"/>
      <c r="AL133" s="1690"/>
      <c r="AM133" s="1690"/>
      <c r="AN133" s="1690"/>
      <c r="AO133" s="1690"/>
      <c r="AP133" s="1690"/>
      <c r="AQ133" s="1690"/>
      <c r="AR133" s="1690"/>
      <c r="AS133" s="1690"/>
      <c r="AT133" s="1690"/>
    </row>
    <row r="134">
      <c r="A134" s="1419"/>
      <c r="B134" s="1684"/>
      <c r="C134" s="1685"/>
      <c r="D134" s="1685"/>
      <c r="E134" s="1686"/>
      <c r="F134" s="1686"/>
      <c r="G134" s="1686"/>
      <c r="H134" s="1686"/>
      <c r="I134" s="1686"/>
      <c r="J134" s="1686"/>
      <c r="K134" s="1686"/>
      <c r="L134" s="1686"/>
      <c r="M134" s="1686"/>
      <c r="N134" s="1686"/>
      <c r="O134" s="1686"/>
      <c r="P134" s="1686"/>
      <c r="Q134" s="1686"/>
      <c r="R134" s="1686"/>
      <c r="S134" s="1686"/>
      <c r="T134" s="1686"/>
      <c r="U134" s="1686"/>
      <c r="V134" s="1686"/>
      <c r="W134" s="1686"/>
      <c r="X134" s="1686"/>
      <c r="Y134" s="1686"/>
      <c r="Z134" s="1686"/>
      <c r="AA134" s="1686"/>
      <c r="AB134" s="1686"/>
      <c r="AC134" s="1686"/>
      <c r="AD134" s="1686"/>
      <c r="AE134" s="1686"/>
      <c r="AF134" s="1686"/>
      <c r="AG134" s="1686"/>
      <c r="AH134" s="1686"/>
      <c r="AI134" s="1686"/>
      <c r="AJ134" s="1686"/>
      <c r="AK134" s="1686"/>
      <c r="AL134" s="1686"/>
      <c r="AM134" s="1686"/>
      <c r="AN134" s="1686"/>
      <c r="AO134" s="1686"/>
      <c r="AP134" s="1686"/>
      <c r="AQ134" s="1686"/>
      <c r="AR134" s="1686"/>
      <c r="AS134" s="1686"/>
      <c r="AT134" s="1686"/>
    </row>
    <row r="135">
      <c r="A135" s="1419"/>
      <c r="B135" s="1687"/>
      <c r="C135" s="1688"/>
      <c r="D135" s="1688"/>
      <c r="E135" s="1690"/>
      <c r="F135" s="1690"/>
      <c r="G135" s="1690"/>
      <c r="H135" s="1690"/>
      <c r="I135" s="1690"/>
      <c r="J135" s="1690"/>
      <c r="K135" s="1690"/>
      <c r="L135" s="1690"/>
      <c r="M135" s="1690"/>
      <c r="N135" s="1690"/>
      <c r="O135" s="1690"/>
      <c r="P135" s="1690"/>
      <c r="Q135" s="1690"/>
      <c r="R135" s="1690"/>
      <c r="S135" s="1690"/>
      <c r="T135" s="1690"/>
      <c r="U135" s="1690"/>
      <c r="V135" s="1690"/>
      <c r="W135" s="1690"/>
      <c r="X135" s="1690"/>
      <c r="Y135" s="1690"/>
      <c r="Z135" s="1690"/>
      <c r="AA135" s="1690"/>
      <c r="AB135" s="1690"/>
      <c r="AC135" s="1690"/>
      <c r="AD135" s="1690"/>
      <c r="AE135" s="1690"/>
      <c r="AF135" s="1690"/>
      <c r="AG135" s="1690"/>
      <c r="AH135" s="1690"/>
      <c r="AI135" s="1690"/>
      <c r="AJ135" s="1690"/>
      <c r="AK135" s="1690"/>
      <c r="AL135" s="1690"/>
      <c r="AM135" s="1690"/>
      <c r="AN135" s="1690"/>
      <c r="AO135" s="1690"/>
      <c r="AP135" s="1690"/>
      <c r="AQ135" s="1690"/>
      <c r="AR135" s="1690"/>
      <c r="AS135" s="1690"/>
      <c r="AT135" s="1690"/>
    </row>
    <row r="136">
      <c r="A136" s="1419"/>
      <c r="B136" s="1684"/>
      <c r="C136" s="1685"/>
      <c r="D136" s="1685"/>
      <c r="E136" s="1691"/>
      <c r="F136" s="1691"/>
      <c r="G136" s="1691"/>
      <c r="H136" s="1691"/>
      <c r="I136" s="1691"/>
      <c r="J136" s="1691"/>
      <c r="K136" s="1691"/>
      <c r="L136" s="1691"/>
      <c r="M136" s="1691"/>
      <c r="N136" s="1691"/>
      <c r="O136" s="1691"/>
      <c r="P136" s="1691"/>
      <c r="Q136" s="1691"/>
      <c r="R136" s="1691"/>
      <c r="S136" s="1691"/>
      <c r="T136" s="1691"/>
      <c r="U136" s="1691"/>
      <c r="V136" s="1691"/>
      <c r="W136" s="1691"/>
      <c r="X136" s="1691"/>
      <c r="Y136" s="1686"/>
      <c r="Z136" s="1686"/>
      <c r="AA136" s="1686"/>
      <c r="AB136" s="1686"/>
      <c r="AC136" s="1686"/>
      <c r="AD136" s="1686"/>
      <c r="AE136" s="1686"/>
      <c r="AF136" s="1686"/>
      <c r="AG136" s="1686"/>
      <c r="AH136" s="1686"/>
      <c r="AI136" s="1686"/>
      <c r="AJ136" s="1686"/>
      <c r="AK136" s="1686"/>
      <c r="AL136" s="1686"/>
      <c r="AM136" s="1686"/>
      <c r="AN136" s="1686"/>
      <c r="AO136" s="1686"/>
      <c r="AP136" s="1686"/>
      <c r="AQ136" s="1686"/>
      <c r="AR136" s="1686"/>
      <c r="AS136" s="1686"/>
      <c r="AT136" s="1686"/>
    </row>
    <row r="137">
      <c r="A137" s="1419"/>
      <c r="B137" s="1687"/>
      <c r="C137" s="1688"/>
      <c r="D137" s="1688"/>
      <c r="E137" s="1689"/>
      <c r="F137" s="1689"/>
      <c r="G137" s="1689"/>
      <c r="H137" s="1689"/>
      <c r="I137" s="1689"/>
      <c r="J137" s="1689"/>
      <c r="K137" s="1689"/>
      <c r="L137" s="1689"/>
      <c r="M137" s="1689"/>
      <c r="N137" s="1689"/>
      <c r="O137" s="1689"/>
      <c r="P137" s="1689"/>
      <c r="Q137" s="1689"/>
      <c r="R137" s="1689"/>
      <c r="S137" s="1689"/>
      <c r="T137" s="1689"/>
      <c r="U137" s="1689"/>
      <c r="V137" s="1689"/>
      <c r="W137" s="1689"/>
      <c r="X137" s="1689"/>
      <c r="Y137" s="1690"/>
      <c r="Z137" s="1690"/>
      <c r="AA137" s="1690"/>
      <c r="AB137" s="1690"/>
      <c r="AC137" s="1690"/>
      <c r="AD137" s="1690"/>
      <c r="AE137" s="1690"/>
      <c r="AF137" s="1690"/>
      <c r="AG137" s="1690"/>
      <c r="AH137" s="1690"/>
      <c r="AI137" s="1690"/>
      <c r="AJ137" s="1690"/>
      <c r="AK137" s="1690"/>
      <c r="AL137" s="1690"/>
      <c r="AM137" s="1690"/>
      <c r="AN137" s="1690"/>
      <c r="AO137" s="1690"/>
      <c r="AP137" s="1690"/>
      <c r="AQ137" s="1690"/>
      <c r="AR137" s="1690"/>
      <c r="AS137" s="1690"/>
      <c r="AT137" s="1690"/>
    </row>
    <row r="138">
      <c r="A138" s="1419"/>
      <c r="B138" s="1684"/>
      <c r="C138" s="1685"/>
      <c r="D138" s="1685"/>
      <c r="E138" s="1686"/>
      <c r="F138" s="1686"/>
      <c r="G138" s="1686"/>
      <c r="H138" s="1686"/>
      <c r="I138" s="1686"/>
      <c r="J138" s="1686"/>
      <c r="K138" s="1686"/>
      <c r="L138" s="1686"/>
      <c r="M138" s="1686"/>
      <c r="N138" s="1686"/>
      <c r="O138" s="1686"/>
      <c r="P138" s="1686"/>
      <c r="Q138" s="1686"/>
      <c r="R138" s="1686"/>
      <c r="S138" s="1686"/>
      <c r="T138" s="1686"/>
      <c r="U138" s="1686"/>
      <c r="V138" s="1686"/>
      <c r="W138" s="1686"/>
      <c r="X138" s="1686"/>
      <c r="Y138" s="1686"/>
      <c r="Z138" s="1686"/>
      <c r="AA138" s="1686"/>
      <c r="AB138" s="1686"/>
      <c r="AC138" s="1686"/>
      <c r="AD138" s="1686"/>
      <c r="AE138" s="1686"/>
      <c r="AF138" s="1686"/>
      <c r="AG138" s="1686"/>
      <c r="AH138" s="1686"/>
      <c r="AI138" s="1686"/>
      <c r="AJ138" s="1686"/>
      <c r="AK138" s="1686"/>
      <c r="AL138" s="1686"/>
      <c r="AM138" s="1686"/>
      <c r="AN138" s="1686"/>
      <c r="AO138" s="1686"/>
      <c r="AP138" s="1686"/>
      <c r="AQ138" s="1686"/>
      <c r="AR138" s="1686"/>
      <c r="AS138" s="1686"/>
      <c r="AT138" s="1686"/>
    </row>
    <row r="139">
      <c r="A139" s="1419"/>
      <c r="B139" s="1687"/>
      <c r="C139" s="1688"/>
      <c r="D139" s="1688"/>
      <c r="E139" s="1689"/>
      <c r="F139" s="1689"/>
      <c r="G139" s="1689"/>
      <c r="H139" s="1689"/>
      <c r="I139" s="1689"/>
      <c r="J139" s="1689"/>
      <c r="K139" s="1689"/>
      <c r="L139" s="1689"/>
      <c r="M139" s="1689"/>
      <c r="N139" s="1689"/>
      <c r="O139" s="1689"/>
      <c r="P139" s="1689"/>
      <c r="Q139" s="1689"/>
      <c r="R139" s="1689"/>
      <c r="S139" s="1689"/>
      <c r="T139" s="1689"/>
      <c r="U139" s="1689"/>
      <c r="V139" s="1689"/>
      <c r="W139" s="1689"/>
      <c r="X139" s="1689"/>
      <c r="Y139" s="1690"/>
      <c r="Z139" s="1690"/>
      <c r="AA139" s="1690"/>
      <c r="AB139" s="1690"/>
      <c r="AC139" s="1690"/>
      <c r="AD139" s="1690"/>
      <c r="AE139" s="1690"/>
      <c r="AF139" s="1690"/>
      <c r="AG139" s="1690"/>
      <c r="AH139" s="1690"/>
      <c r="AI139" s="1690"/>
      <c r="AJ139" s="1690"/>
      <c r="AK139" s="1690"/>
      <c r="AL139" s="1690"/>
      <c r="AM139" s="1690"/>
      <c r="AN139" s="1690"/>
      <c r="AO139" s="1690"/>
      <c r="AP139" s="1690"/>
      <c r="AQ139" s="1690"/>
      <c r="AR139" s="1690"/>
      <c r="AS139" s="1690"/>
      <c r="AT139" s="1690"/>
    </row>
    <row r="140">
      <c r="A140" s="1419"/>
      <c r="B140" s="1684"/>
      <c r="C140" s="1685"/>
      <c r="D140" s="1685"/>
      <c r="E140" s="1686"/>
      <c r="F140" s="1686"/>
      <c r="G140" s="1686"/>
      <c r="H140" s="1686"/>
      <c r="I140" s="1686"/>
      <c r="J140" s="1686"/>
      <c r="K140" s="1686"/>
      <c r="L140" s="1686"/>
      <c r="M140" s="1686"/>
      <c r="N140" s="1686"/>
      <c r="O140" s="1686"/>
      <c r="P140" s="1686"/>
      <c r="Q140" s="1686"/>
      <c r="R140" s="1686"/>
      <c r="S140" s="1686"/>
      <c r="T140" s="1686"/>
      <c r="U140" s="1686"/>
      <c r="V140" s="1686"/>
      <c r="W140" s="1686"/>
      <c r="X140" s="1686"/>
      <c r="Y140" s="1686"/>
      <c r="Z140" s="1686"/>
      <c r="AA140" s="1686"/>
      <c r="AB140" s="1686"/>
      <c r="AC140" s="1686"/>
      <c r="AD140" s="1686"/>
      <c r="AE140" s="1686"/>
      <c r="AF140" s="1686"/>
      <c r="AG140" s="1686"/>
      <c r="AH140" s="1686"/>
      <c r="AI140" s="1686"/>
      <c r="AJ140" s="1686"/>
      <c r="AK140" s="1686"/>
      <c r="AL140" s="1686"/>
      <c r="AM140" s="1686"/>
      <c r="AN140" s="1686"/>
      <c r="AO140" s="1686"/>
      <c r="AP140" s="1686"/>
      <c r="AQ140" s="1686"/>
      <c r="AR140" s="1686"/>
      <c r="AS140" s="1686"/>
      <c r="AT140" s="1686"/>
    </row>
    <row r="141">
      <c r="A141" s="1419"/>
      <c r="B141" s="1687"/>
      <c r="C141" s="1688"/>
      <c r="D141" s="1688"/>
      <c r="E141" s="1689"/>
      <c r="F141" s="1689"/>
      <c r="G141" s="1689"/>
      <c r="H141" s="1689"/>
      <c r="I141" s="1689"/>
      <c r="J141" s="1689"/>
      <c r="K141" s="1689"/>
      <c r="L141" s="1689"/>
      <c r="M141" s="1689"/>
      <c r="N141" s="1689"/>
      <c r="O141" s="1689"/>
      <c r="P141" s="1689"/>
      <c r="Q141" s="1689"/>
      <c r="R141" s="1689"/>
      <c r="S141" s="1689"/>
      <c r="T141" s="1689"/>
      <c r="U141" s="1689"/>
      <c r="V141" s="1689"/>
      <c r="W141" s="1689"/>
      <c r="X141" s="1689"/>
      <c r="Y141" s="1690"/>
      <c r="Z141" s="1690"/>
      <c r="AA141" s="1690"/>
      <c r="AB141" s="1690"/>
      <c r="AC141" s="1690"/>
      <c r="AD141" s="1690"/>
      <c r="AE141" s="1690"/>
      <c r="AF141" s="1690"/>
      <c r="AG141" s="1690"/>
      <c r="AH141" s="1690"/>
      <c r="AI141" s="1690"/>
      <c r="AJ141" s="1690"/>
      <c r="AK141" s="1690"/>
      <c r="AL141" s="1690"/>
      <c r="AM141" s="1690"/>
      <c r="AN141" s="1690"/>
      <c r="AO141" s="1690"/>
      <c r="AP141" s="1690"/>
      <c r="AQ141" s="1690"/>
      <c r="AR141" s="1690"/>
      <c r="AS141" s="1690"/>
      <c r="AT141" s="1690"/>
    </row>
    <row r="142">
      <c r="A142" s="1419"/>
      <c r="B142" s="1684"/>
      <c r="C142" s="1685"/>
      <c r="D142" s="1685"/>
      <c r="E142" s="1686"/>
      <c r="F142" s="1686"/>
      <c r="G142" s="1686"/>
      <c r="H142" s="1686"/>
      <c r="I142" s="1686"/>
      <c r="J142" s="1686"/>
      <c r="K142" s="1686"/>
      <c r="L142" s="1686"/>
      <c r="M142" s="1686"/>
      <c r="N142" s="1686"/>
      <c r="O142" s="1686"/>
      <c r="P142" s="1686"/>
      <c r="Q142" s="1686"/>
      <c r="R142" s="1686"/>
      <c r="S142" s="1686"/>
      <c r="T142" s="1686"/>
      <c r="U142" s="1686"/>
      <c r="V142" s="1686"/>
      <c r="W142" s="1686"/>
      <c r="X142" s="1686"/>
      <c r="Y142" s="1686"/>
      <c r="Z142" s="1686"/>
      <c r="AA142" s="1686"/>
      <c r="AB142" s="1686"/>
      <c r="AC142" s="1686"/>
      <c r="AD142" s="1686"/>
      <c r="AE142" s="1686"/>
      <c r="AF142" s="1686"/>
      <c r="AG142" s="1686"/>
      <c r="AH142" s="1686"/>
      <c r="AI142" s="1686"/>
      <c r="AJ142" s="1686"/>
      <c r="AK142" s="1686"/>
      <c r="AL142" s="1686"/>
      <c r="AM142" s="1686"/>
      <c r="AN142" s="1686"/>
      <c r="AO142" s="1686"/>
      <c r="AP142" s="1686"/>
      <c r="AQ142" s="1686"/>
      <c r="AR142" s="1686"/>
      <c r="AS142" s="1686"/>
      <c r="AT142" s="1686"/>
    </row>
    <row r="143">
      <c r="A143" s="1419"/>
      <c r="B143" s="1687"/>
      <c r="C143" s="1688"/>
      <c r="D143" s="1688"/>
      <c r="E143" s="1690"/>
      <c r="F143" s="1690"/>
      <c r="G143" s="1690"/>
      <c r="H143" s="1690"/>
      <c r="I143" s="1690"/>
      <c r="J143" s="1690"/>
      <c r="K143" s="1690"/>
      <c r="L143" s="1690"/>
      <c r="M143" s="1690"/>
      <c r="N143" s="1690"/>
      <c r="O143" s="1690"/>
      <c r="P143" s="1690"/>
      <c r="Q143" s="1690"/>
      <c r="R143" s="1690"/>
      <c r="S143" s="1690"/>
      <c r="T143" s="1690"/>
      <c r="U143" s="1690"/>
      <c r="V143" s="1690"/>
      <c r="W143" s="1690"/>
      <c r="X143" s="1690"/>
      <c r="Y143" s="1690"/>
      <c r="Z143" s="1690"/>
      <c r="AA143" s="1690"/>
      <c r="AB143" s="1690"/>
      <c r="AC143" s="1690"/>
      <c r="AD143" s="1690"/>
      <c r="AE143" s="1690"/>
      <c r="AF143" s="1690"/>
      <c r="AG143" s="1690"/>
      <c r="AH143" s="1690"/>
      <c r="AI143" s="1690"/>
      <c r="AJ143" s="1690"/>
      <c r="AK143" s="1690"/>
      <c r="AL143" s="1690"/>
      <c r="AM143" s="1690"/>
      <c r="AN143" s="1690"/>
      <c r="AO143" s="1690"/>
      <c r="AP143" s="1690"/>
      <c r="AQ143" s="1690"/>
      <c r="AR143" s="1690"/>
      <c r="AS143" s="1690"/>
      <c r="AT143" s="1690"/>
    </row>
    <row r="144">
      <c r="A144" s="1419"/>
      <c r="B144" s="1684"/>
      <c r="C144" s="1685"/>
      <c r="D144" s="1685"/>
      <c r="E144" s="1686"/>
      <c r="F144" s="1686"/>
      <c r="G144" s="1686"/>
      <c r="H144" s="1686"/>
      <c r="I144" s="1686"/>
      <c r="J144" s="1686"/>
      <c r="K144" s="1686"/>
      <c r="L144" s="1686"/>
      <c r="M144" s="1686"/>
      <c r="N144" s="1686"/>
      <c r="O144" s="1686"/>
      <c r="P144" s="1686"/>
      <c r="Q144" s="1686"/>
      <c r="R144" s="1686"/>
      <c r="S144" s="1686"/>
      <c r="T144" s="1686"/>
      <c r="U144" s="1686"/>
      <c r="V144" s="1686"/>
      <c r="W144" s="1686"/>
      <c r="X144" s="1686"/>
      <c r="Y144" s="1686"/>
      <c r="Z144" s="1686"/>
      <c r="AA144" s="1686"/>
      <c r="AB144" s="1686"/>
      <c r="AC144" s="1686"/>
      <c r="AD144" s="1686"/>
      <c r="AE144" s="1686"/>
      <c r="AF144" s="1686"/>
      <c r="AG144" s="1686"/>
      <c r="AH144" s="1686"/>
      <c r="AI144" s="1686"/>
      <c r="AJ144" s="1686"/>
      <c r="AK144" s="1686"/>
      <c r="AL144" s="1686"/>
      <c r="AM144" s="1686"/>
      <c r="AN144" s="1686"/>
      <c r="AO144" s="1686"/>
      <c r="AP144" s="1686"/>
      <c r="AQ144" s="1686"/>
      <c r="AR144" s="1686"/>
      <c r="AS144" s="1686"/>
      <c r="AT144" s="1686"/>
    </row>
    <row r="145">
      <c r="A145" s="1419"/>
      <c r="B145" s="1687"/>
      <c r="C145" s="1688"/>
      <c r="D145" s="1688"/>
      <c r="E145" s="1689"/>
      <c r="F145" s="1689"/>
      <c r="G145" s="1689"/>
      <c r="H145" s="1689"/>
      <c r="I145" s="1689"/>
      <c r="J145" s="1689"/>
      <c r="K145" s="1689"/>
      <c r="L145" s="1689"/>
      <c r="M145" s="1689"/>
      <c r="N145" s="1689"/>
      <c r="O145" s="1689"/>
      <c r="P145" s="1689"/>
      <c r="Q145" s="1689"/>
      <c r="R145" s="1689"/>
      <c r="S145" s="1689"/>
      <c r="T145" s="1689"/>
      <c r="U145" s="1689"/>
      <c r="V145" s="1689"/>
      <c r="W145" s="1689"/>
      <c r="X145" s="1689"/>
      <c r="Y145" s="1690"/>
      <c r="Z145" s="1690"/>
      <c r="AA145" s="1690"/>
      <c r="AB145" s="1690"/>
      <c r="AC145" s="1690"/>
      <c r="AD145" s="1690"/>
      <c r="AE145" s="1690"/>
      <c r="AF145" s="1690"/>
      <c r="AG145" s="1690"/>
      <c r="AH145" s="1690"/>
      <c r="AI145" s="1690"/>
      <c r="AJ145" s="1690"/>
      <c r="AK145" s="1690"/>
      <c r="AL145" s="1690"/>
      <c r="AM145" s="1690"/>
      <c r="AN145" s="1690"/>
      <c r="AO145" s="1690"/>
      <c r="AP145" s="1690"/>
      <c r="AQ145" s="1690"/>
      <c r="AR145" s="1690"/>
      <c r="AS145" s="1690"/>
      <c r="AT145" s="1690"/>
    </row>
    <row r="146">
      <c r="A146" s="1419"/>
      <c r="B146" s="1684"/>
      <c r="C146" s="1685"/>
      <c r="D146" s="1685"/>
      <c r="E146" s="1691"/>
      <c r="F146" s="1691"/>
      <c r="G146" s="1691"/>
      <c r="H146" s="1691"/>
      <c r="I146" s="1691"/>
      <c r="J146" s="1691"/>
      <c r="K146" s="1691"/>
      <c r="L146" s="1691"/>
      <c r="M146" s="1691"/>
      <c r="N146" s="1691"/>
      <c r="O146" s="1691"/>
      <c r="P146" s="1691"/>
      <c r="Q146" s="1691"/>
      <c r="R146" s="1691"/>
      <c r="S146" s="1691"/>
      <c r="T146" s="1691"/>
      <c r="U146" s="1691"/>
      <c r="V146" s="1691"/>
      <c r="W146" s="1691"/>
      <c r="X146" s="1691"/>
      <c r="Y146" s="1686"/>
      <c r="Z146" s="1686"/>
      <c r="AA146" s="1686"/>
      <c r="AB146" s="1686"/>
      <c r="AC146" s="1686"/>
      <c r="AD146" s="1686"/>
      <c r="AE146" s="1686"/>
      <c r="AF146" s="1686"/>
      <c r="AG146" s="1686"/>
      <c r="AH146" s="1686"/>
      <c r="AI146" s="1686"/>
      <c r="AJ146" s="1686"/>
      <c r="AK146" s="1686"/>
      <c r="AL146" s="1686"/>
      <c r="AM146" s="1686"/>
      <c r="AN146" s="1686"/>
      <c r="AO146" s="1686"/>
      <c r="AP146" s="1686"/>
      <c r="AQ146" s="1686"/>
      <c r="AR146" s="1686"/>
      <c r="AS146" s="1686"/>
      <c r="AT146" s="1686"/>
    </row>
    <row r="147">
      <c r="A147" s="1419"/>
      <c r="B147" s="1687"/>
      <c r="C147" s="1688"/>
      <c r="D147" s="1688"/>
      <c r="E147" s="1690"/>
      <c r="F147" s="1690"/>
      <c r="G147" s="1690"/>
      <c r="H147" s="1690"/>
      <c r="I147" s="1690"/>
      <c r="J147" s="1690"/>
      <c r="K147" s="1690"/>
      <c r="L147" s="1690"/>
      <c r="M147" s="1690"/>
      <c r="N147" s="1690"/>
      <c r="O147" s="1690"/>
      <c r="P147" s="1690"/>
      <c r="Q147" s="1690"/>
      <c r="R147" s="1690"/>
      <c r="S147" s="1690"/>
      <c r="T147" s="1690"/>
      <c r="U147" s="1690"/>
      <c r="V147" s="1690"/>
      <c r="W147" s="1690"/>
      <c r="X147" s="1690"/>
      <c r="Y147" s="1690"/>
      <c r="Z147" s="1690"/>
      <c r="AA147" s="1690"/>
      <c r="AB147" s="1690"/>
      <c r="AC147" s="1690"/>
      <c r="AD147" s="1690"/>
      <c r="AE147" s="1690"/>
      <c r="AF147" s="1690"/>
      <c r="AG147" s="1690"/>
      <c r="AH147" s="1690"/>
      <c r="AI147" s="1690"/>
      <c r="AJ147" s="1690"/>
      <c r="AK147" s="1690"/>
      <c r="AL147" s="1690"/>
      <c r="AM147" s="1690"/>
      <c r="AN147" s="1690"/>
      <c r="AO147" s="1690"/>
      <c r="AP147" s="1690"/>
      <c r="AQ147" s="1690"/>
      <c r="AR147" s="1690"/>
      <c r="AS147" s="1690"/>
      <c r="AT147" s="1690"/>
    </row>
    <row r="148">
      <c r="A148" s="1419"/>
      <c r="B148" s="1684"/>
      <c r="C148" s="1685"/>
      <c r="D148" s="1685"/>
      <c r="E148" s="1691"/>
      <c r="F148" s="1691"/>
      <c r="G148" s="1691"/>
      <c r="H148" s="1691"/>
      <c r="I148" s="1691"/>
      <c r="J148" s="1691"/>
      <c r="K148" s="1691"/>
      <c r="L148" s="1691"/>
      <c r="M148" s="1691"/>
      <c r="N148" s="1691"/>
      <c r="O148" s="1691"/>
      <c r="P148" s="1691"/>
      <c r="Q148" s="1691"/>
      <c r="R148" s="1691"/>
      <c r="S148" s="1691"/>
      <c r="T148" s="1691"/>
      <c r="U148" s="1691"/>
      <c r="V148" s="1691"/>
      <c r="W148" s="1691"/>
      <c r="X148" s="1691"/>
      <c r="Y148" s="1686"/>
      <c r="Z148" s="1686"/>
      <c r="AA148" s="1686"/>
      <c r="AB148" s="1686"/>
      <c r="AC148" s="1686"/>
      <c r="AD148" s="1686"/>
      <c r="AE148" s="1686"/>
      <c r="AF148" s="1686"/>
      <c r="AG148" s="1686"/>
      <c r="AH148" s="1686"/>
      <c r="AI148" s="1686"/>
      <c r="AJ148" s="1686"/>
      <c r="AK148" s="1686"/>
      <c r="AL148" s="1686"/>
      <c r="AM148" s="1686"/>
      <c r="AN148" s="1686"/>
      <c r="AO148" s="1686"/>
      <c r="AP148" s="1686"/>
      <c r="AQ148" s="1686"/>
      <c r="AR148" s="1686"/>
      <c r="AS148" s="1686"/>
      <c r="AT148" s="1686"/>
    </row>
    <row r="149">
      <c r="A149" s="1419"/>
      <c r="B149" s="1687"/>
      <c r="C149" s="1688"/>
      <c r="D149" s="1688"/>
      <c r="E149" s="1689"/>
      <c r="F149" s="1689"/>
      <c r="G149" s="1689"/>
      <c r="H149" s="1689"/>
      <c r="I149" s="1689"/>
      <c r="J149" s="1689"/>
      <c r="K149" s="1689"/>
      <c r="L149" s="1689"/>
      <c r="M149" s="1689"/>
      <c r="N149" s="1689"/>
      <c r="O149" s="1689"/>
      <c r="P149" s="1689"/>
      <c r="Q149" s="1689"/>
      <c r="R149" s="1689"/>
      <c r="S149" s="1689"/>
      <c r="T149" s="1689"/>
      <c r="U149" s="1689"/>
      <c r="V149" s="1689"/>
      <c r="W149" s="1689"/>
      <c r="X149" s="1689"/>
      <c r="Y149" s="1690"/>
      <c r="Z149" s="1690"/>
      <c r="AA149" s="1690"/>
      <c r="AB149" s="1690"/>
      <c r="AC149" s="1690"/>
      <c r="AD149" s="1690"/>
      <c r="AE149" s="1690"/>
      <c r="AF149" s="1690"/>
      <c r="AG149" s="1690"/>
      <c r="AH149" s="1690"/>
      <c r="AI149" s="1690"/>
      <c r="AJ149" s="1690"/>
      <c r="AK149" s="1690"/>
      <c r="AL149" s="1690"/>
      <c r="AM149" s="1690"/>
      <c r="AN149" s="1690"/>
      <c r="AO149" s="1690"/>
      <c r="AP149" s="1690"/>
      <c r="AQ149" s="1690"/>
      <c r="AR149" s="1690"/>
      <c r="AS149" s="1690"/>
      <c r="AT149" s="1690"/>
    </row>
    <row r="150">
      <c r="A150" s="1419"/>
      <c r="B150" s="1684"/>
      <c r="C150" s="1685"/>
      <c r="D150" s="1685"/>
      <c r="E150" s="1691"/>
      <c r="F150" s="1691"/>
      <c r="G150" s="1691"/>
      <c r="H150" s="1691"/>
      <c r="I150" s="1691"/>
      <c r="J150" s="1691"/>
      <c r="K150" s="1691"/>
      <c r="L150" s="1691"/>
      <c r="M150" s="1691"/>
      <c r="N150" s="1691"/>
      <c r="O150" s="1691"/>
      <c r="P150" s="1691"/>
      <c r="Q150" s="1691"/>
      <c r="R150" s="1691"/>
      <c r="S150" s="1691"/>
      <c r="T150" s="1691"/>
      <c r="U150" s="1691"/>
      <c r="V150" s="1691"/>
      <c r="W150" s="1691"/>
      <c r="X150" s="1691"/>
      <c r="Y150" s="1686"/>
      <c r="Z150" s="1686"/>
      <c r="AA150" s="1686"/>
      <c r="AB150" s="1686"/>
      <c r="AC150" s="1686"/>
      <c r="AD150" s="1686"/>
      <c r="AE150" s="1686"/>
      <c r="AF150" s="1686"/>
      <c r="AG150" s="1686"/>
      <c r="AH150" s="1686"/>
      <c r="AI150" s="1686"/>
      <c r="AJ150" s="1686"/>
      <c r="AK150" s="1686"/>
      <c r="AL150" s="1686"/>
      <c r="AM150" s="1686"/>
      <c r="AN150" s="1686"/>
      <c r="AO150" s="1686"/>
      <c r="AP150" s="1686"/>
      <c r="AQ150" s="1686"/>
      <c r="AR150" s="1686"/>
      <c r="AS150" s="1686"/>
      <c r="AT150" s="1686"/>
    </row>
    <row r="151">
      <c r="A151" s="1419"/>
      <c r="B151" s="1687"/>
      <c r="C151" s="1688"/>
      <c r="D151" s="1688"/>
      <c r="E151" s="1689"/>
      <c r="F151" s="1689"/>
      <c r="G151" s="1689"/>
      <c r="H151" s="1689"/>
      <c r="I151" s="1689"/>
      <c r="J151" s="1689"/>
      <c r="K151" s="1689"/>
      <c r="L151" s="1689"/>
      <c r="M151" s="1689"/>
      <c r="N151" s="1689"/>
      <c r="O151" s="1689"/>
      <c r="P151" s="1689"/>
      <c r="Q151" s="1689"/>
      <c r="R151" s="1689"/>
      <c r="S151" s="1689"/>
      <c r="T151" s="1689"/>
      <c r="U151" s="1689"/>
      <c r="V151" s="1689"/>
      <c r="W151" s="1689"/>
      <c r="X151" s="1689"/>
      <c r="Y151" s="1690"/>
      <c r="Z151" s="1690"/>
      <c r="AA151" s="1690"/>
      <c r="AB151" s="1690"/>
      <c r="AC151" s="1690"/>
      <c r="AD151" s="1690"/>
      <c r="AE151" s="1690"/>
      <c r="AF151" s="1690"/>
      <c r="AG151" s="1690"/>
      <c r="AH151" s="1690"/>
      <c r="AI151" s="1690"/>
      <c r="AJ151" s="1690"/>
      <c r="AK151" s="1690"/>
      <c r="AL151" s="1690"/>
      <c r="AM151" s="1690"/>
      <c r="AN151" s="1690"/>
      <c r="AO151" s="1690"/>
      <c r="AP151" s="1690"/>
      <c r="AQ151" s="1690"/>
      <c r="AR151" s="1690"/>
      <c r="AS151" s="1690"/>
      <c r="AT151" s="1690"/>
    </row>
    <row r="152">
      <c r="A152" s="1419"/>
      <c r="B152" s="1684"/>
      <c r="C152" s="1685"/>
      <c r="D152" s="1685"/>
      <c r="E152" s="1691"/>
      <c r="F152" s="1691"/>
      <c r="G152" s="1691"/>
      <c r="H152" s="1691"/>
      <c r="I152" s="1691"/>
      <c r="J152" s="1691"/>
      <c r="K152" s="1691"/>
      <c r="L152" s="1691"/>
      <c r="M152" s="1691"/>
      <c r="N152" s="1691"/>
      <c r="O152" s="1691"/>
      <c r="P152" s="1691"/>
      <c r="Q152" s="1691"/>
      <c r="R152" s="1691"/>
      <c r="S152" s="1691"/>
      <c r="T152" s="1691"/>
      <c r="U152" s="1691"/>
      <c r="V152" s="1691"/>
      <c r="W152" s="1691"/>
      <c r="X152" s="1691"/>
      <c r="Y152" s="1686"/>
      <c r="Z152" s="1686"/>
      <c r="AA152" s="1686"/>
      <c r="AB152" s="1686"/>
      <c r="AC152" s="1686"/>
      <c r="AD152" s="1686"/>
      <c r="AE152" s="1686"/>
      <c r="AF152" s="1686"/>
      <c r="AG152" s="1686"/>
      <c r="AH152" s="1686"/>
      <c r="AI152" s="1686"/>
      <c r="AJ152" s="1686"/>
      <c r="AK152" s="1686"/>
      <c r="AL152" s="1686"/>
      <c r="AM152" s="1686"/>
      <c r="AN152" s="1686"/>
      <c r="AO152" s="1686"/>
      <c r="AP152" s="1686"/>
      <c r="AQ152" s="1686"/>
      <c r="AR152" s="1686"/>
      <c r="AS152" s="1686"/>
      <c r="AT152" s="1686"/>
    </row>
    <row r="153">
      <c r="A153" s="1419"/>
      <c r="B153" s="1687"/>
      <c r="C153" s="1688"/>
      <c r="D153" s="1688"/>
      <c r="E153" s="1689"/>
      <c r="F153" s="1689"/>
      <c r="G153" s="1689"/>
      <c r="H153" s="1689"/>
      <c r="I153" s="1689"/>
      <c r="J153" s="1689"/>
      <c r="K153" s="1689"/>
      <c r="L153" s="1689"/>
      <c r="M153" s="1689"/>
      <c r="N153" s="1689"/>
      <c r="O153" s="1689"/>
      <c r="P153" s="1689"/>
      <c r="Q153" s="1689"/>
      <c r="R153" s="1689"/>
      <c r="S153" s="1689"/>
      <c r="T153" s="1689"/>
      <c r="U153" s="1689"/>
      <c r="V153" s="1689"/>
      <c r="W153" s="1689"/>
      <c r="X153" s="1689"/>
      <c r="Y153" s="1690"/>
      <c r="Z153" s="1690"/>
      <c r="AA153" s="1690"/>
      <c r="AB153" s="1690"/>
      <c r="AC153" s="1690"/>
      <c r="AD153" s="1690"/>
      <c r="AE153" s="1690"/>
      <c r="AF153" s="1690"/>
      <c r="AG153" s="1690"/>
      <c r="AH153" s="1690"/>
      <c r="AI153" s="1690"/>
      <c r="AJ153" s="1690"/>
      <c r="AK153" s="1690"/>
      <c r="AL153" s="1690"/>
      <c r="AM153" s="1690"/>
      <c r="AN153" s="1690"/>
      <c r="AO153" s="1690"/>
      <c r="AP153" s="1690"/>
      <c r="AQ153" s="1690"/>
      <c r="AR153" s="1690"/>
      <c r="AS153" s="1690"/>
      <c r="AT153" s="1690"/>
    </row>
    <row r="154">
      <c r="A154" s="1419"/>
      <c r="B154" s="1684"/>
      <c r="C154" s="1685"/>
      <c r="D154" s="1685"/>
      <c r="E154" s="1691"/>
      <c r="F154" s="1691"/>
      <c r="G154" s="1691"/>
      <c r="H154" s="1691"/>
      <c r="I154" s="1691"/>
      <c r="J154" s="1691"/>
      <c r="K154" s="1691"/>
      <c r="L154" s="1691"/>
      <c r="M154" s="1691"/>
      <c r="N154" s="1691"/>
      <c r="O154" s="1691"/>
      <c r="P154" s="1691"/>
      <c r="Q154" s="1691"/>
      <c r="R154" s="1691"/>
      <c r="S154" s="1691"/>
      <c r="T154" s="1691"/>
      <c r="U154" s="1691"/>
      <c r="V154" s="1691"/>
      <c r="W154" s="1691"/>
      <c r="X154" s="1691"/>
      <c r="Y154" s="1686"/>
      <c r="Z154" s="1686"/>
      <c r="AA154" s="1686"/>
      <c r="AB154" s="1686"/>
      <c r="AC154" s="1686"/>
      <c r="AD154" s="1686"/>
      <c r="AE154" s="1686"/>
      <c r="AF154" s="1686"/>
      <c r="AG154" s="1686"/>
      <c r="AH154" s="1686"/>
      <c r="AI154" s="1686"/>
      <c r="AJ154" s="1686"/>
      <c r="AK154" s="1686"/>
      <c r="AL154" s="1686"/>
      <c r="AM154" s="1686"/>
      <c r="AN154" s="1686"/>
      <c r="AO154" s="1686"/>
      <c r="AP154" s="1686"/>
      <c r="AQ154" s="1686"/>
      <c r="AR154" s="1686"/>
      <c r="AS154" s="1686"/>
      <c r="AT154" s="1686"/>
    </row>
    <row r="155">
      <c r="A155" s="1419"/>
      <c r="B155" s="1687"/>
      <c r="C155" s="1688"/>
      <c r="D155" s="1688"/>
      <c r="E155" s="1689"/>
      <c r="F155" s="1689"/>
      <c r="G155" s="1689"/>
      <c r="H155" s="1689"/>
      <c r="I155" s="1689"/>
      <c r="J155" s="1689"/>
      <c r="K155" s="1689"/>
      <c r="L155" s="1689"/>
      <c r="M155" s="1689"/>
      <c r="N155" s="1689"/>
      <c r="O155" s="1689"/>
      <c r="P155" s="1689"/>
      <c r="Q155" s="1689"/>
      <c r="R155" s="1689"/>
      <c r="S155" s="1689"/>
      <c r="T155" s="1689"/>
      <c r="U155" s="1689"/>
      <c r="V155" s="1689"/>
      <c r="W155" s="1689"/>
      <c r="X155" s="1689"/>
      <c r="Y155" s="1690"/>
      <c r="Z155" s="1690"/>
      <c r="AA155" s="1690"/>
      <c r="AB155" s="1690"/>
      <c r="AC155" s="1690"/>
      <c r="AD155" s="1690"/>
      <c r="AE155" s="1690"/>
      <c r="AF155" s="1690"/>
      <c r="AG155" s="1690"/>
      <c r="AH155" s="1690"/>
      <c r="AI155" s="1690"/>
      <c r="AJ155" s="1690"/>
      <c r="AK155" s="1690"/>
      <c r="AL155" s="1690"/>
      <c r="AM155" s="1690"/>
      <c r="AN155" s="1690"/>
      <c r="AO155" s="1690"/>
      <c r="AP155" s="1690"/>
      <c r="AQ155" s="1690"/>
      <c r="AR155" s="1690"/>
      <c r="AS155" s="1690"/>
      <c r="AT155" s="1690"/>
    </row>
    <row r="156">
      <c r="A156" s="1419"/>
      <c r="B156" s="1684"/>
      <c r="C156" s="1685"/>
      <c r="D156" s="1685"/>
      <c r="E156" s="1691"/>
      <c r="F156" s="1691"/>
      <c r="G156" s="1691"/>
      <c r="H156" s="1691"/>
      <c r="I156" s="1691"/>
      <c r="J156" s="1691"/>
      <c r="K156" s="1691"/>
      <c r="L156" s="1691"/>
      <c r="M156" s="1691"/>
      <c r="N156" s="1691"/>
      <c r="O156" s="1691"/>
      <c r="P156" s="1691"/>
      <c r="Q156" s="1691"/>
      <c r="R156" s="1691"/>
      <c r="S156" s="1691"/>
      <c r="T156" s="1691"/>
      <c r="U156" s="1691"/>
      <c r="V156" s="1691"/>
      <c r="W156" s="1691"/>
      <c r="X156" s="1691"/>
      <c r="Y156" s="1686"/>
      <c r="Z156" s="1686"/>
      <c r="AA156" s="1686"/>
      <c r="AB156" s="1686"/>
      <c r="AC156" s="1686"/>
      <c r="AD156" s="1686"/>
      <c r="AE156" s="1686"/>
      <c r="AF156" s="1686"/>
      <c r="AG156" s="1686"/>
      <c r="AH156" s="1686"/>
      <c r="AI156" s="1686"/>
      <c r="AJ156" s="1686"/>
      <c r="AK156" s="1686"/>
      <c r="AL156" s="1686"/>
      <c r="AM156" s="1686"/>
      <c r="AN156" s="1686"/>
      <c r="AO156" s="1686"/>
      <c r="AP156" s="1686"/>
      <c r="AQ156" s="1686"/>
      <c r="AR156" s="1686"/>
      <c r="AS156" s="1686"/>
      <c r="AT156" s="1686"/>
    </row>
    <row r="157">
      <c r="A157" s="1419"/>
      <c r="B157" s="1687"/>
      <c r="C157" s="1688"/>
      <c r="D157" s="1688"/>
      <c r="E157" s="1689"/>
      <c r="F157" s="1689"/>
      <c r="G157" s="1689"/>
      <c r="H157" s="1689"/>
      <c r="I157" s="1689"/>
      <c r="J157" s="1689"/>
      <c r="K157" s="1689"/>
      <c r="L157" s="1689"/>
      <c r="M157" s="1689"/>
      <c r="N157" s="1689"/>
      <c r="O157" s="1689"/>
      <c r="P157" s="1689"/>
      <c r="Q157" s="1689"/>
      <c r="R157" s="1689"/>
      <c r="S157" s="1689"/>
      <c r="T157" s="1689"/>
      <c r="U157" s="1689"/>
      <c r="V157" s="1689"/>
      <c r="W157" s="1689"/>
      <c r="X157" s="1689"/>
      <c r="Y157" s="1690"/>
      <c r="Z157" s="1690"/>
      <c r="AA157" s="1690"/>
      <c r="AB157" s="1690"/>
      <c r="AC157" s="1690"/>
      <c r="AD157" s="1690"/>
      <c r="AE157" s="1690"/>
      <c r="AF157" s="1690"/>
      <c r="AG157" s="1690"/>
      <c r="AH157" s="1690"/>
      <c r="AI157" s="1690"/>
      <c r="AJ157" s="1690"/>
      <c r="AK157" s="1690"/>
      <c r="AL157" s="1690"/>
      <c r="AM157" s="1690"/>
      <c r="AN157" s="1690"/>
      <c r="AO157" s="1690"/>
      <c r="AP157" s="1690"/>
      <c r="AQ157" s="1690"/>
      <c r="AR157" s="1690"/>
      <c r="AS157" s="1690"/>
      <c r="AT157" s="1690"/>
    </row>
    <row r="158">
      <c r="A158" s="1419"/>
      <c r="B158" s="1684"/>
      <c r="C158" s="1685"/>
      <c r="D158" s="1685"/>
      <c r="E158" s="1691"/>
      <c r="F158" s="1691"/>
      <c r="G158" s="1691"/>
      <c r="H158" s="1691"/>
      <c r="I158" s="1691"/>
      <c r="J158" s="1691"/>
      <c r="K158" s="1691"/>
      <c r="L158" s="1691"/>
      <c r="M158" s="1691"/>
      <c r="N158" s="1691"/>
      <c r="O158" s="1691"/>
      <c r="P158" s="1691"/>
      <c r="Q158" s="1691"/>
      <c r="R158" s="1691"/>
      <c r="S158" s="1691"/>
      <c r="T158" s="1691"/>
      <c r="U158" s="1691"/>
      <c r="V158" s="1691"/>
      <c r="W158" s="1691"/>
      <c r="X158" s="1691"/>
      <c r="Y158" s="1686"/>
      <c r="Z158" s="1686"/>
      <c r="AA158" s="1686"/>
      <c r="AB158" s="1686"/>
      <c r="AC158" s="1686"/>
      <c r="AD158" s="1686"/>
      <c r="AE158" s="1686"/>
      <c r="AF158" s="1686"/>
      <c r="AG158" s="1686"/>
      <c r="AH158" s="1686"/>
      <c r="AI158" s="1686"/>
      <c r="AJ158" s="1686"/>
      <c r="AK158" s="1686"/>
      <c r="AL158" s="1686"/>
      <c r="AM158" s="1686"/>
      <c r="AN158" s="1686"/>
      <c r="AO158" s="1686"/>
      <c r="AP158" s="1686"/>
      <c r="AQ158" s="1686"/>
      <c r="AR158" s="1686"/>
      <c r="AS158" s="1686"/>
      <c r="AT158" s="1686"/>
    </row>
    <row r="159">
      <c r="A159" s="1419"/>
      <c r="B159" s="1687"/>
      <c r="C159" s="1688"/>
      <c r="D159" s="1688"/>
      <c r="E159" s="1689"/>
      <c r="F159" s="1689"/>
      <c r="G159" s="1689"/>
      <c r="H159" s="1689"/>
      <c r="I159" s="1689"/>
      <c r="J159" s="1689"/>
      <c r="K159" s="1689"/>
      <c r="L159" s="1689"/>
      <c r="M159" s="1689"/>
      <c r="N159" s="1689"/>
      <c r="O159" s="1689"/>
      <c r="P159" s="1689"/>
      <c r="Q159" s="1689"/>
      <c r="R159" s="1689"/>
      <c r="S159" s="1689"/>
      <c r="T159" s="1689"/>
      <c r="U159" s="1689"/>
      <c r="V159" s="1689"/>
      <c r="W159" s="1689"/>
      <c r="X159" s="1689"/>
      <c r="Y159" s="1690"/>
      <c r="Z159" s="1690"/>
      <c r="AA159" s="1690"/>
      <c r="AB159" s="1690"/>
      <c r="AC159" s="1690"/>
      <c r="AD159" s="1690"/>
      <c r="AE159" s="1690"/>
      <c r="AF159" s="1690"/>
      <c r="AG159" s="1690"/>
      <c r="AH159" s="1690"/>
      <c r="AI159" s="1690"/>
      <c r="AJ159" s="1690"/>
      <c r="AK159" s="1690"/>
      <c r="AL159" s="1690"/>
      <c r="AM159" s="1690"/>
      <c r="AN159" s="1690"/>
      <c r="AO159" s="1690"/>
      <c r="AP159" s="1690"/>
      <c r="AQ159" s="1690"/>
      <c r="AR159" s="1690"/>
      <c r="AS159" s="1690"/>
      <c r="AT159" s="1690"/>
    </row>
    <row r="160">
      <c r="A160" s="1419"/>
      <c r="B160" s="1684"/>
      <c r="C160" s="1685"/>
      <c r="D160" s="1685"/>
      <c r="E160" s="1691"/>
      <c r="F160" s="1691"/>
      <c r="G160" s="1691"/>
      <c r="H160" s="1691"/>
      <c r="I160" s="1691"/>
      <c r="J160" s="1691"/>
      <c r="K160" s="1691"/>
      <c r="L160" s="1691"/>
      <c r="M160" s="1691"/>
      <c r="N160" s="1691"/>
      <c r="O160" s="1691"/>
      <c r="P160" s="1691"/>
      <c r="Q160" s="1691"/>
      <c r="R160" s="1691"/>
      <c r="S160" s="1691"/>
      <c r="T160" s="1691"/>
      <c r="U160" s="1691"/>
      <c r="V160" s="1691"/>
      <c r="W160" s="1691"/>
      <c r="X160" s="1691"/>
      <c r="Y160" s="1686"/>
      <c r="Z160" s="1686"/>
      <c r="AA160" s="1686"/>
      <c r="AB160" s="1686"/>
      <c r="AC160" s="1686"/>
      <c r="AD160" s="1686"/>
      <c r="AE160" s="1686"/>
      <c r="AF160" s="1686"/>
      <c r="AG160" s="1686"/>
      <c r="AH160" s="1686"/>
      <c r="AI160" s="1686"/>
      <c r="AJ160" s="1686"/>
      <c r="AK160" s="1686"/>
      <c r="AL160" s="1686"/>
      <c r="AM160" s="1686"/>
      <c r="AN160" s="1686"/>
      <c r="AO160" s="1686"/>
      <c r="AP160" s="1686"/>
      <c r="AQ160" s="1686"/>
      <c r="AR160" s="1686"/>
      <c r="AS160" s="1686"/>
      <c r="AT160" s="1686"/>
    </row>
    <row r="161">
      <c r="A161" s="1419"/>
      <c r="B161" s="1687"/>
      <c r="C161" s="1688"/>
      <c r="D161" s="1688"/>
      <c r="E161" s="1689"/>
      <c r="F161" s="1689"/>
      <c r="G161" s="1689"/>
      <c r="H161" s="1689"/>
      <c r="I161" s="1689"/>
      <c r="J161" s="1689"/>
      <c r="K161" s="1689"/>
      <c r="L161" s="1689"/>
      <c r="M161" s="1689"/>
      <c r="N161" s="1689"/>
      <c r="O161" s="1689"/>
      <c r="P161" s="1689"/>
      <c r="Q161" s="1689"/>
      <c r="R161" s="1689"/>
      <c r="S161" s="1689"/>
      <c r="T161" s="1689"/>
      <c r="U161" s="1689"/>
      <c r="V161" s="1689"/>
      <c r="W161" s="1689"/>
      <c r="X161" s="1689"/>
      <c r="Y161" s="1690"/>
      <c r="Z161" s="1690"/>
      <c r="AA161" s="1690"/>
      <c r="AB161" s="1690"/>
      <c r="AC161" s="1690"/>
      <c r="AD161" s="1690"/>
      <c r="AE161" s="1690"/>
      <c r="AF161" s="1690"/>
      <c r="AG161" s="1690"/>
      <c r="AH161" s="1690"/>
      <c r="AI161" s="1690"/>
      <c r="AJ161" s="1690"/>
      <c r="AK161" s="1690"/>
      <c r="AL161" s="1690"/>
      <c r="AM161" s="1690"/>
      <c r="AN161" s="1690"/>
      <c r="AO161" s="1690"/>
      <c r="AP161" s="1690"/>
      <c r="AQ161" s="1690"/>
      <c r="AR161" s="1690"/>
      <c r="AS161" s="1690"/>
      <c r="AT161" s="1690"/>
    </row>
    <row r="162">
      <c r="A162" s="1419"/>
      <c r="B162" s="1684"/>
      <c r="C162" s="1685"/>
      <c r="D162" s="1685"/>
      <c r="E162" s="1686"/>
      <c r="F162" s="1686"/>
      <c r="G162" s="1686"/>
      <c r="H162" s="1686"/>
      <c r="I162" s="1686"/>
      <c r="J162" s="1686"/>
      <c r="K162" s="1686"/>
      <c r="L162" s="1686"/>
      <c r="M162" s="1686"/>
      <c r="N162" s="1686"/>
      <c r="O162" s="1686"/>
      <c r="P162" s="1686"/>
      <c r="Q162" s="1686"/>
      <c r="R162" s="1686"/>
      <c r="S162" s="1686"/>
      <c r="T162" s="1686"/>
      <c r="U162" s="1686"/>
      <c r="V162" s="1686"/>
      <c r="W162" s="1686"/>
      <c r="X162" s="1686"/>
      <c r="Y162" s="1686"/>
      <c r="Z162" s="1686"/>
      <c r="AA162" s="1686"/>
      <c r="AB162" s="1686"/>
      <c r="AC162" s="1686"/>
      <c r="AD162" s="1686"/>
      <c r="AE162" s="1686"/>
      <c r="AF162" s="1686"/>
      <c r="AG162" s="1686"/>
      <c r="AH162" s="1686"/>
      <c r="AI162" s="1686"/>
      <c r="AJ162" s="1686"/>
      <c r="AK162" s="1686"/>
      <c r="AL162" s="1686"/>
      <c r="AM162" s="1686"/>
      <c r="AN162" s="1686"/>
      <c r="AO162" s="1686"/>
      <c r="AP162" s="1686"/>
      <c r="AQ162" s="1686"/>
      <c r="AR162" s="1686"/>
      <c r="AS162" s="1686"/>
      <c r="AT162" s="1686"/>
    </row>
    <row r="163">
      <c r="A163" s="1419"/>
      <c r="B163" s="1687"/>
      <c r="C163" s="1688"/>
      <c r="D163" s="1688"/>
      <c r="E163" s="1690"/>
      <c r="F163" s="1690"/>
      <c r="G163" s="1690"/>
      <c r="H163" s="1690"/>
      <c r="I163" s="1690"/>
      <c r="J163" s="1690"/>
      <c r="K163" s="1690"/>
      <c r="L163" s="1690"/>
      <c r="M163" s="1690"/>
      <c r="N163" s="1690"/>
      <c r="O163" s="1690"/>
      <c r="P163" s="1690"/>
      <c r="Q163" s="1690"/>
      <c r="R163" s="1690"/>
      <c r="S163" s="1690"/>
      <c r="T163" s="1690"/>
      <c r="U163" s="1690"/>
      <c r="V163" s="1690"/>
      <c r="W163" s="1690"/>
      <c r="X163" s="1690"/>
      <c r="Y163" s="1690"/>
      <c r="Z163" s="1690"/>
      <c r="AA163" s="1690"/>
      <c r="AB163" s="1690"/>
      <c r="AC163" s="1690"/>
      <c r="AD163" s="1690"/>
      <c r="AE163" s="1690"/>
      <c r="AF163" s="1690"/>
      <c r="AG163" s="1690"/>
      <c r="AH163" s="1690"/>
      <c r="AI163" s="1690"/>
      <c r="AJ163" s="1690"/>
      <c r="AK163" s="1690"/>
      <c r="AL163" s="1690"/>
      <c r="AM163" s="1690"/>
      <c r="AN163" s="1690"/>
      <c r="AO163" s="1690"/>
      <c r="AP163" s="1690"/>
      <c r="AQ163" s="1690"/>
      <c r="AR163" s="1690"/>
      <c r="AS163" s="1690"/>
      <c r="AT163" s="1690"/>
    </row>
    <row r="164">
      <c r="A164" s="1440" t="s">
        <v>2461</v>
      </c>
      <c r="B164" s="1684"/>
      <c r="C164" s="1685"/>
      <c r="D164" s="1685"/>
      <c r="E164" s="1686"/>
      <c r="F164" s="1686"/>
      <c r="G164" s="1686"/>
      <c r="H164" s="1686"/>
      <c r="I164" s="1686"/>
      <c r="J164" s="1686"/>
      <c r="K164" s="1686"/>
      <c r="L164" s="1686"/>
      <c r="M164" s="1686"/>
      <c r="N164" s="1686"/>
      <c r="O164" s="1686"/>
      <c r="P164" s="1686"/>
      <c r="Q164" s="1686"/>
      <c r="R164" s="1686"/>
      <c r="S164" s="1686"/>
      <c r="T164" s="1686"/>
      <c r="U164" s="1686"/>
      <c r="V164" s="1686"/>
      <c r="W164" s="1686"/>
      <c r="X164" s="1686"/>
      <c r="Y164" s="1686"/>
      <c r="Z164" s="1686"/>
      <c r="AA164" s="1686"/>
      <c r="AB164" s="1686"/>
      <c r="AC164" s="1686"/>
      <c r="AD164" s="1686"/>
      <c r="AE164" s="1686"/>
      <c r="AF164" s="1686"/>
      <c r="AG164" s="1686"/>
      <c r="AH164" s="1686"/>
      <c r="AI164" s="1686"/>
      <c r="AJ164" s="1686"/>
      <c r="AK164" s="1686"/>
      <c r="AL164" s="1686"/>
      <c r="AM164" s="1686"/>
      <c r="AN164" s="1686"/>
      <c r="AO164" s="1686"/>
      <c r="AP164" s="1686"/>
      <c r="AQ164" s="1686"/>
      <c r="AR164" s="1686"/>
      <c r="AS164" s="1686"/>
      <c r="AT164" s="1686"/>
    </row>
    <row r="165">
      <c r="A165" s="1419"/>
      <c r="B165" s="1687"/>
      <c r="C165" s="1688"/>
      <c r="D165" s="1688"/>
      <c r="E165" s="1690"/>
      <c r="F165" s="1690"/>
      <c r="G165" s="1690"/>
      <c r="H165" s="1690"/>
      <c r="I165" s="1690"/>
      <c r="J165" s="1690"/>
      <c r="K165" s="1690"/>
      <c r="L165" s="1690"/>
      <c r="M165" s="1690"/>
      <c r="N165" s="1690"/>
      <c r="O165" s="1690"/>
      <c r="P165" s="1690"/>
      <c r="Q165" s="1690"/>
      <c r="R165" s="1690"/>
      <c r="S165" s="1690"/>
      <c r="T165" s="1690"/>
      <c r="U165" s="1690"/>
      <c r="V165" s="1690"/>
      <c r="W165" s="1690"/>
      <c r="X165" s="1690"/>
      <c r="Y165" s="1690"/>
      <c r="Z165" s="1690"/>
      <c r="AA165" s="1690"/>
      <c r="AB165" s="1690"/>
      <c r="AC165" s="1690"/>
      <c r="AD165" s="1690"/>
      <c r="AE165" s="1690"/>
      <c r="AF165" s="1690"/>
      <c r="AG165" s="1690"/>
      <c r="AH165" s="1690"/>
      <c r="AI165" s="1690"/>
      <c r="AJ165" s="1690"/>
      <c r="AK165" s="1690"/>
      <c r="AL165" s="1690"/>
      <c r="AM165" s="1690"/>
      <c r="AN165" s="1690"/>
      <c r="AO165" s="1690"/>
      <c r="AP165" s="1690"/>
      <c r="AQ165" s="1690"/>
      <c r="AR165" s="1690"/>
      <c r="AS165" s="1690"/>
      <c r="AT165" s="1690"/>
    </row>
    <row r="166">
      <c r="A166" s="1419"/>
      <c r="B166" s="1684"/>
      <c r="C166" s="1685"/>
      <c r="D166" s="1685"/>
      <c r="E166" s="1691"/>
      <c r="F166" s="1691"/>
      <c r="G166" s="1691"/>
      <c r="H166" s="1691"/>
      <c r="I166" s="1691"/>
      <c r="J166" s="1691"/>
      <c r="K166" s="1691"/>
      <c r="L166" s="1691"/>
      <c r="M166" s="1691"/>
      <c r="N166" s="1691"/>
      <c r="O166" s="1691"/>
      <c r="P166" s="1691"/>
      <c r="Q166" s="1691"/>
      <c r="R166" s="1691"/>
      <c r="S166" s="1691"/>
      <c r="T166" s="1691"/>
      <c r="U166" s="1691"/>
      <c r="V166" s="1691"/>
      <c r="W166" s="1691"/>
      <c r="X166" s="1691"/>
      <c r="Y166" s="1686"/>
      <c r="Z166" s="1686"/>
      <c r="AA166" s="1686"/>
      <c r="AB166" s="1686"/>
      <c r="AC166" s="1686"/>
      <c r="AD166" s="1686"/>
      <c r="AE166" s="1686"/>
      <c r="AF166" s="1686"/>
      <c r="AG166" s="1686"/>
      <c r="AH166" s="1686"/>
      <c r="AI166" s="1686"/>
      <c r="AJ166" s="1686"/>
      <c r="AK166" s="1686"/>
      <c r="AL166" s="1686"/>
      <c r="AM166" s="1686"/>
      <c r="AN166" s="1686"/>
      <c r="AO166" s="1686"/>
      <c r="AP166" s="1686"/>
      <c r="AQ166" s="1686"/>
      <c r="AR166" s="1686"/>
      <c r="AS166" s="1686"/>
      <c r="AT166" s="1686"/>
    </row>
    <row r="167">
      <c r="A167" s="1419"/>
      <c r="B167" s="1687"/>
      <c r="C167" s="1688"/>
      <c r="D167" s="1688"/>
      <c r="E167" s="1689"/>
      <c r="F167" s="1689"/>
      <c r="G167" s="1689"/>
      <c r="H167" s="1689"/>
      <c r="I167" s="1689"/>
      <c r="J167" s="1689"/>
      <c r="K167" s="1689"/>
      <c r="L167" s="1689"/>
      <c r="M167" s="1689"/>
      <c r="N167" s="1689"/>
      <c r="O167" s="1689"/>
      <c r="P167" s="1689"/>
      <c r="Q167" s="1689"/>
      <c r="R167" s="1689"/>
      <c r="S167" s="1689"/>
      <c r="T167" s="1689"/>
      <c r="U167" s="1689"/>
      <c r="V167" s="1689"/>
      <c r="W167" s="1689"/>
      <c r="X167" s="1689"/>
      <c r="Y167" s="1690"/>
      <c r="Z167" s="1690"/>
      <c r="AA167" s="1690"/>
      <c r="AB167" s="1690"/>
      <c r="AC167" s="1690"/>
      <c r="AD167" s="1690"/>
      <c r="AE167" s="1690"/>
      <c r="AF167" s="1690"/>
      <c r="AG167" s="1690"/>
      <c r="AH167" s="1690"/>
      <c r="AI167" s="1690"/>
      <c r="AJ167" s="1690"/>
      <c r="AK167" s="1690"/>
      <c r="AL167" s="1690"/>
      <c r="AM167" s="1690"/>
      <c r="AN167" s="1690"/>
      <c r="AO167" s="1690"/>
      <c r="AP167" s="1690"/>
      <c r="AQ167" s="1690"/>
      <c r="AR167" s="1690"/>
      <c r="AS167" s="1690"/>
      <c r="AT167" s="1690"/>
    </row>
    <row r="168">
      <c r="A168" s="1419"/>
      <c r="B168" s="1684"/>
      <c r="C168" s="1685"/>
      <c r="D168" s="1685"/>
      <c r="E168" s="1686"/>
      <c r="F168" s="1686"/>
      <c r="G168" s="1686"/>
      <c r="H168" s="1686"/>
      <c r="I168" s="1686"/>
      <c r="J168" s="1686"/>
      <c r="K168" s="1686"/>
      <c r="L168" s="1686"/>
      <c r="M168" s="1686"/>
      <c r="N168" s="1686"/>
      <c r="O168" s="1686"/>
      <c r="P168" s="1686"/>
      <c r="Q168" s="1686"/>
      <c r="R168" s="1686"/>
      <c r="S168" s="1686"/>
      <c r="T168" s="1686"/>
      <c r="U168" s="1686"/>
      <c r="V168" s="1686"/>
      <c r="W168" s="1686"/>
      <c r="X168" s="1686"/>
      <c r="Y168" s="1686"/>
      <c r="Z168" s="1686"/>
      <c r="AA168" s="1686"/>
      <c r="AB168" s="1686"/>
      <c r="AC168" s="1686"/>
      <c r="AD168" s="1686"/>
      <c r="AE168" s="1686"/>
      <c r="AF168" s="1686"/>
      <c r="AG168" s="1686"/>
      <c r="AH168" s="1686"/>
      <c r="AI168" s="1686"/>
      <c r="AJ168" s="1686"/>
      <c r="AK168" s="1686"/>
      <c r="AL168" s="1686"/>
      <c r="AM168" s="1686"/>
      <c r="AN168" s="1686"/>
      <c r="AO168" s="1686"/>
      <c r="AP168" s="1686"/>
      <c r="AQ168" s="1686"/>
      <c r="AR168" s="1686"/>
      <c r="AS168" s="1686"/>
      <c r="AT168" s="1686"/>
    </row>
    <row r="169">
      <c r="A169" s="1419"/>
      <c r="B169" s="1687"/>
      <c r="C169" s="1688"/>
      <c r="D169" s="1688"/>
      <c r="E169" s="1689"/>
      <c r="F169" s="1689"/>
      <c r="G169" s="1689"/>
      <c r="H169" s="1689"/>
      <c r="I169" s="1689"/>
      <c r="J169" s="1689"/>
      <c r="K169" s="1689"/>
      <c r="L169" s="1689"/>
      <c r="M169" s="1689"/>
      <c r="N169" s="1689"/>
      <c r="O169" s="1689"/>
      <c r="P169" s="1689"/>
      <c r="Q169" s="1689"/>
      <c r="R169" s="1689"/>
      <c r="S169" s="1689"/>
      <c r="T169" s="1689"/>
      <c r="U169" s="1689"/>
      <c r="V169" s="1689"/>
      <c r="W169" s="1689"/>
      <c r="X169" s="1689"/>
      <c r="Y169" s="1690"/>
      <c r="Z169" s="1690"/>
      <c r="AA169" s="1690"/>
      <c r="AB169" s="1690"/>
      <c r="AC169" s="1690"/>
      <c r="AD169" s="1690"/>
      <c r="AE169" s="1690"/>
      <c r="AF169" s="1690"/>
      <c r="AG169" s="1690"/>
      <c r="AH169" s="1690"/>
      <c r="AI169" s="1690"/>
      <c r="AJ169" s="1690"/>
      <c r="AK169" s="1690"/>
      <c r="AL169" s="1690"/>
      <c r="AM169" s="1690"/>
      <c r="AN169" s="1690"/>
      <c r="AO169" s="1690"/>
      <c r="AP169" s="1690"/>
      <c r="AQ169" s="1690"/>
      <c r="AR169" s="1690"/>
      <c r="AS169" s="1690"/>
      <c r="AT169" s="1690"/>
    </row>
    <row r="170">
      <c r="A170" s="1419"/>
      <c r="B170" s="1684"/>
      <c r="C170" s="1685"/>
      <c r="D170" s="1685"/>
      <c r="E170" s="1691"/>
      <c r="F170" s="1691"/>
      <c r="G170" s="1691"/>
      <c r="H170" s="1691"/>
      <c r="I170" s="1691"/>
      <c r="J170" s="1691"/>
      <c r="K170" s="1691"/>
      <c r="L170" s="1691"/>
      <c r="M170" s="1691"/>
      <c r="N170" s="1691"/>
      <c r="O170" s="1691"/>
      <c r="P170" s="1691"/>
      <c r="Q170" s="1691"/>
      <c r="R170" s="1691"/>
      <c r="S170" s="1691"/>
      <c r="T170" s="1691"/>
      <c r="U170" s="1691"/>
      <c r="V170" s="1691"/>
      <c r="W170" s="1691"/>
      <c r="X170" s="1691"/>
      <c r="Y170" s="1686"/>
      <c r="Z170" s="1686"/>
      <c r="AA170" s="1686"/>
      <c r="AB170" s="1686"/>
      <c r="AC170" s="1686"/>
      <c r="AD170" s="1686"/>
      <c r="AE170" s="1686"/>
      <c r="AF170" s="1686"/>
      <c r="AG170" s="1686"/>
      <c r="AH170" s="1686"/>
      <c r="AI170" s="1686"/>
      <c r="AJ170" s="1686"/>
      <c r="AK170" s="1686"/>
      <c r="AL170" s="1686"/>
      <c r="AM170" s="1686"/>
      <c r="AN170" s="1686"/>
      <c r="AO170" s="1686"/>
      <c r="AP170" s="1686"/>
      <c r="AQ170" s="1686"/>
      <c r="AR170" s="1686"/>
      <c r="AS170" s="1686"/>
      <c r="AT170" s="1686"/>
    </row>
    <row r="171">
      <c r="A171" s="1419"/>
      <c r="B171" s="1687"/>
      <c r="C171" s="1688"/>
      <c r="D171" s="1688"/>
      <c r="E171" s="1690"/>
      <c r="F171" s="1690"/>
      <c r="G171" s="1690"/>
      <c r="H171" s="1690"/>
      <c r="I171" s="1690"/>
      <c r="J171" s="1690"/>
      <c r="K171" s="1690"/>
      <c r="L171" s="1690"/>
      <c r="M171" s="1690"/>
      <c r="N171" s="1690"/>
      <c r="O171" s="1690"/>
      <c r="P171" s="1690"/>
      <c r="Q171" s="1690"/>
      <c r="R171" s="1690"/>
      <c r="S171" s="1690"/>
      <c r="T171" s="1690"/>
      <c r="U171" s="1690"/>
      <c r="V171" s="1690"/>
      <c r="W171" s="1690"/>
      <c r="X171" s="1690"/>
      <c r="Y171" s="1690"/>
      <c r="Z171" s="1690"/>
      <c r="AA171" s="1690"/>
      <c r="AB171" s="1690"/>
      <c r="AC171" s="1690"/>
      <c r="AD171" s="1690"/>
      <c r="AE171" s="1690"/>
      <c r="AF171" s="1690"/>
      <c r="AG171" s="1690"/>
      <c r="AH171" s="1690"/>
      <c r="AI171" s="1690"/>
      <c r="AJ171" s="1690"/>
      <c r="AK171" s="1690"/>
      <c r="AL171" s="1690"/>
      <c r="AM171" s="1690"/>
      <c r="AN171" s="1690"/>
      <c r="AO171" s="1690"/>
      <c r="AP171" s="1690"/>
      <c r="AQ171" s="1690"/>
      <c r="AR171" s="1690"/>
      <c r="AS171" s="1690"/>
      <c r="AT171" s="1690"/>
    </row>
    <row r="172">
      <c r="A172" s="1419"/>
      <c r="B172" s="1684"/>
      <c r="C172" s="1685"/>
      <c r="D172" s="1685"/>
      <c r="E172" s="1691"/>
      <c r="F172" s="1691"/>
      <c r="G172" s="1691"/>
      <c r="H172" s="1691"/>
      <c r="I172" s="1691"/>
      <c r="J172" s="1691"/>
      <c r="K172" s="1691"/>
      <c r="L172" s="1691"/>
      <c r="M172" s="1691"/>
      <c r="N172" s="1691"/>
      <c r="O172" s="1691"/>
      <c r="P172" s="1691"/>
      <c r="Q172" s="1691"/>
      <c r="R172" s="1691"/>
      <c r="S172" s="1691"/>
      <c r="T172" s="1691"/>
      <c r="U172" s="1691"/>
      <c r="V172" s="1691"/>
      <c r="W172" s="1691"/>
      <c r="X172" s="1691"/>
      <c r="Y172" s="1686"/>
      <c r="Z172" s="1686"/>
      <c r="AA172" s="1686"/>
      <c r="AB172" s="1686"/>
      <c r="AC172" s="1686"/>
      <c r="AD172" s="1686"/>
      <c r="AE172" s="1686"/>
      <c r="AF172" s="1686"/>
      <c r="AG172" s="1686"/>
      <c r="AH172" s="1686"/>
      <c r="AI172" s="1686"/>
      <c r="AJ172" s="1686"/>
      <c r="AK172" s="1686"/>
      <c r="AL172" s="1686"/>
      <c r="AM172" s="1686"/>
      <c r="AN172" s="1686"/>
      <c r="AO172" s="1686"/>
      <c r="AP172" s="1686"/>
      <c r="AQ172" s="1686"/>
      <c r="AR172" s="1686"/>
      <c r="AS172" s="1686"/>
      <c r="AT172" s="1686"/>
    </row>
    <row r="173">
      <c r="A173" s="1419"/>
      <c r="B173" s="1687"/>
      <c r="C173" s="1688"/>
      <c r="D173" s="1688"/>
      <c r="E173" s="1690"/>
      <c r="F173" s="1690"/>
      <c r="G173" s="1690"/>
      <c r="H173" s="1690"/>
      <c r="I173" s="1690"/>
      <c r="J173" s="1690"/>
      <c r="K173" s="1690"/>
      <c r="L173" s="1690"/>
      <c r="M173" s="1690"/>
      <c r="N173" s="1690"/>
      <c r="O173" s="1690"/>
      <c r="P173" s="1690"/>
      <c r="Q173" s="1690"/>
      <c r="R173" s="1690"/>
      <c r="S173" s="1690"/>
      <c r="T173" s="1690"/>
      <c r="U173" s="1690"/>
      <c r="V173" s="1690"/>
      <c r="W173" s="1690"/>
      <c r="X173" s="1690"/>
      <c r="Y173" s="1690"/>
      <c r="Z173" s="1690"/>
      <c r="AA173" s="1690"/>
      <c r="AB173" s="1690"/>
      <c r="AC173" s="1690"/>
      <c r="AD173" s="1690"/>
      <c r="AE173" s="1690"/>
      <c r="AF173" s="1690"/>
      <c r="AG173" s="1690"/>
      <c r="AH173" s="1690"/>
      <c r="AI173" s="1690"/>
      <c r="AJ173" s="1690"/>
      <c r="AK173" s="1690"/>
      <c r="AL173" s="1690"/>
      <c r="AM173" s="1690"/>
      <c r="AN173" s="1690"/>
      <c r="AO173" s="1690"/>
      <c r="AP173" s="1690"/>
      <c r="AQ173" s="1690"/>
      <c r="AR173" s="1690"/>
      <c r="AS173" s="1690"/>
      <c r="AT173" s="1690"/>
    </row>
    <row r="174">
      <c r="A174" s="1419"/>
      <c r="B174" s="1684"/>
      <c r="C174" s="1685"/>
      <c r="D174" s="1685"/>
      <c r="E174" s="1691"/>
      <c r="F174" s="1691"/>
      <c r="G174" s="1691"/>
      <c r="H174" s="1691"/>
      <c r="I174" s="1691"/>
      <c r="J174" s="1691"/>
      <c r="K174" s="1691"/>
      <c r="L174" s="1691"/>
      <c r="M174" s="1691"/>
      <c r="N174" s="1691"/>
      <c r="O174" s="1691"/>
      <c r="P174" s="1691"/>
      <c r="Q174" s="1691"/>
      <c r="R174" s="1691"/>
      <c r="S174" s="1691"/>
      <c r="T174" s="1691"/>
      <c r="U174" s="1691"/>
      <c r="V174" s="1691"/>
      <c r="W174" s="1691"/>
      <c r="X174" s="1691"/>
      <c r="Y174" s="1686"/>
      <c r="Z174" s="1686"/>
      <c r="AA174" s="1686"/>
      <c r="AB174" s="1686"/>
      <c r="AC174" s="1686"/>
      <c r="AD174" s="1686"/>
      <c r="AE174" s="1686"/>
      <c r="AF174" s="1686"/>
      <c r="AG174" s="1686"/>
      <c r="AH174" s="1686"/>
      <c r="AI174" s="1686"/>
      <c r="AJ174" s="1686"/>
      <c r="AK174" s="1686"/>
      <c r="AL174" s="1686"/>
      <c r="AM174" s="1686"/>
      <c r="AN174" s="1686"/>
      <c r="AO174" s="1686"/>
      <c r="AP174" s="1686"/>
      <c r="AQ174" s="1686"/>
      <c r="AR174" s="1686"/>
      <c r="AS174" s="1686"/>
      <c r="AT174" s="1686"/>
    </row>
    <row r="175">
      <c r="A175" s="1419"/>
      <c r="B175" s="1687"/>
      <c r="C175" s="1688"/>
      <c r="D175" s="1688"/>
      <c r="E175" s="1689"/>
      <c r="F175" s="1689"/>
      <c r="G175" s="1689"/>
      <c r="H175" s="1689"/>
      <c r="I175" s="1689"/>
      <c r="J175" s="1689"/>
      <c r="K175" s="1689"/>
      <c r="L175" s="1689"/>
      <c r="M175" s="1689"/>
      <c r="N175" s="1689"/>
      <c r="O175" s="1689"/>
      <c r="P175" s="1689"/>
      <c r="Q175" s="1689"/>
      <c r="R175" s="1689"/>
      <c r="S175" s="1689"/>
      <c r="T175" s="1689"/>
      <c r="U175" s="1689"/>
      <c r="V175" s="1689"/>
      <c r="W175" s="1689"/>
      <c r="X175" s="1689"/>
      <c r="Y175" s="1690"/>
      <c r="Z175" s="1690"/>
      <c r="AA175" s="1690"/>
      <c r="AB175" s="1690"/>
      <c r="AC175" s="1690"/>
      <c r="AD175" s="1690"/>
      <c r="AE175" s="1690"/>
      <c r="AF175" s="1690"/>
      <c r="AG175" s="1690"/>
      <c r="AH175" s="1690"/>
      <c r="AI175" s="1690"/>
      <c r="AJ175" s="1690"/>
      <c r="AK175" s="1690"/>
      <c r="AL175" s="1690"/>
      <c r="AM175" s="1690"/>
      <c r="AN175" s="1690"/>
      <c r="AO175" s="1690"/>
      <c r="AP175" s="1690"/>
      <c r="AQ175" s="1690"/>
      <c r="AR175" s="1690"/>
      <c r="AS175" s="1690"/>
      <c r="AT175" s="1690"/>
    </row>
    <row r="176">
      <c r="A176" s="1419"/>
      <c r="B176" s="1684"/>
      <c r="C176" s="1685"/>
      <c r="D176" s="1685"/>
      <c r="E176" s="1691"/>
      <c r="F176" s="1691"/>
      <c r="G176" s="1691"/>
      <c r="H176" s="1691"/>
      <c r="I176" s="1691"/>
      <c r="J176" s="1691"/>
      <c r="K176" s="1691"/>
      <c r="L176" s="1691"/>
      <c r="M176" s="1691"/>
      <c r="N176" s="1691"/>
      <c r="O176" s="1691"/>
      <c r="P176" s="1691"/>
      <c r="Q176" s="1691"/>
      <c r="R176" s="1691"/>
      <c r="S176" s="1691"/>
      <c r="T176" s="1691"/>
      <c r="U176" s="1691"/>
      <c r="V176" s="1691"/>
      <c r="W176" s="1691"/>
      <c r="X176" s="1691"/>
      <c r="Y176" s="1686"/>
      <c r="Z176" s="1686"/>
      <c r="AA176" s="1686"/>
      <c r="AB176" s="1686"/>
      <c r="AC176" s="1686"/>
      <c r="AD176" s="1686"/>
      <c r="AE176" s="1686"/>
      <c r="AF176" s="1686"/>
      <c r="AG176" s="1686"/>
      <c r="AH176" s="1686"/>
      <c r="AI176" s="1686"/>
      <c r="AJ176" s="1686"/>
      <c r="AK176" s="1686"/>
      <c r="AL176" s="1686"/>
      <c r="AM176" s="1686"/>
      <c r="AN176" s="1686"/>
      <c r="AO176" s="1686"/>
      <c r="AP176" s="1686"/>
      <c r="AQ176" s="1686"/>
      <c r="AR176" s="1686"/>
      <c r="AS176" s="1686"/>
      <c r="AT176" s="1686"/>
    </row>
    <row r="177">
      <c r="A177" s="1419"/>
      <c r="B177" s="1687"/>
      <c r="C177" s="1688"/>
      <c r="D177" s="1688"/>
      <c r="E177" s="1690"/>
      <c r="F177" s="1690"/>
      <c r="G177" s="1690"/>
      <c r="H177" s="1690"/>
      <c r="I177" s="1690"/>
      <c r="J177" s="1690"/>
      <c r="K177" s="1690"/>
      <c r="L177" s="1690"/>
      <c r="M177" s="1690"/>
      <c r="N177" s="1690"/>
      <c r="O177" s="1690"/>
      <c r="P177" s="1690"/>
      <c r="Q177" s="1690"/>
      <c r="R177" s="1690"/>
      <c r="S177" s="1690"/>
      <c r="T177" s="1690"/>
      <c r="U177" s="1690"/>
      <c r="V177" s="1690"/>
      <c r="W177" s="1690"/>
      <c r="X177" s="1690"/>
      <c r="Y177" s="1690"/>
      <c r="Z177" s="1690"/>
      <c r="AA177" s="1690"/>
      <c r="AB177" s="1690"/>
      <c r="AC177" s="1690"/>
      <c r="AD177" s="1690"/>
      <c r="AE177" s="1690"/>
      <c r="AF177" s="1690"/>
      <c r="AG177" s="1690"/>
      <c r="AH177" s="1690"/>
      <c r="AI177" s="1690"/>
      <c r="AJ177" s="1690"/>
      <c r="AK177" s="1690"/>
      <c r="AL177" s="1690"/>
      <c r="AM177" s="1690"/>
      <c r="AN177" s="1690"/>
      <c r="AO177" s="1690"/>
      <c r="AP177" s="1690"/>
      <c r="AQ177" s="1690"/>
      <c r="AR177" s="1690"/>
      <c r="AS177" s="1690"/>
      <c r="AT177" s="1690"/>
    </row>
    <row r="178">
      <c r="A178" s="1419"/>
      <c r="B178" s="1684"/>
      <c r="C178" s="1685"/>
      <c r="D178" s="1685"/>
      <c r="E178" s="1686"/>
      <c r="F178" s="1686"/>
      <c r="G178" s="1686"/>
      <c r="H178" s="1686"/>
      <c r="I178" s="1686"/>
      <c r="J178" s="1686"/>
      <c r="K178" s="1686"/>
      <c r="L178" s="1686"/>
      <c r="M178" s="1686"/>
      <c r="N178" s="1686"/>
      <c r="O178" s="1686"/>
      <c r="P178" s="1686"/>
      <c r="Q178" s="1686"/>
      <c r="R178" s="1686"/>
      <c r="S178" s="1686"/>
      <c r="T178" s="1686"/>
      <c r="U178" s="1686"/>
      <c r="V178" s="1686"/>
      <c r="W178" s="1686"/>
      <c r="X178" s="1686"/>
      <c r="Y178" s="1686"/>
      <c r="Z178" s="1686"/>
      <c r="AA178" s="1686"/>
      <c r="AB178" s="1686"/>
      <c r="AC178" s="1686"/>
      <c r="AD178" s="1686"/>
      <c r="AE178" s="1686"/>
      <c r="AF178" s="1686"/>
      <c r="AG178" s="1686"/>
      <c r="AH178" s="1686"/>
      <c r="AI178" s="1686"/>
      <c r="AJ178" s="1686"/>
      <c r="AK178" s="1686"/>
      <c r="AL178" s="1686"/>
      <c r="AM178" s="1686"/>
      <c r="AN178" s="1686"/>
      <c r="AO178" s="1686"/>
      <c r="AP178" s="1686"/>
      <c r="AQ178" s="1686"/>
      <c r="AR178" s="1686"/>
      <c r="AS178" s="1686"/>
      <c r="AT178" s="1686"/>
    </row>
    <row r="179">
      <c r="A179" s="1419"/>
      <c r="B179" s="1687"/>
      <c r="C179" s="1688"/>
      <c r="D179" s="1688"/>
      <c r="E179" s="1689"/>
      <c r="F179" s="1689"/>
      <c r="G179" s="1689"/>
      <c r="H179" s="1689"/>
      <c r="I179" s="1689"/>
      <c r="J179" s="1689"/>
      <c r="K179" s="1689"/>
      <c r="L179" s="1689"/>
      <c r="M179" s="1689"/>
      <c r="N179" s="1689"/>
      <c r="O179" s="1689"/>
      <c r="P179" s="1689"/>
      <c r="Q179" s="1689"/>
      <c r="R179" s="1689"/>
      <c r="S179" s="1689"/>
      <c r="T179" s="1689"/>
      <c r="U179" s="1689"/>
      <c r="V179" s="1689"/>
      <c r="W179" s="1689"/>
      <c r="X179" s="1689"/>
      <c r="Y179" s="1690"/>
      <c r="Z179" s="1690"/>
      <c r="AA179" s="1690"/>
      <c r="AB179" s="1690"/>
      <c r="AC179" s="1690"/>
      <c r="AD179" s="1690"/>
      <c r="AE179" s="1690"/>
      <c r="AF179" s="1690"/>
      <c r="AG179" s="1690"/>
      <c r="AH179" s="1690"/>
      <c r="AI179" s="1690"/>
      <c r="AJ179" s="1690"/>
      <c r="AK179" s="1690"/>
      <c r="AL179" s="1690"/>
      <c r="AM179" s="1690"/>
      <c r="AN179" s="1690"/>
      <c r="AO179" s="1690"/>
      <c r="AP179" s="1690"/>
      <c r="AQ179" s="1690"/>
      <c r="AR179" s="1690"/>
      <c r="AS179" s="1690"/>
      <c r="AT179" s="1690"/>
    </row>
    <row r="180">
      <c r="A180" s="1419"/>
      <c r="B180" s="1684"/>
      <c r="C180" s="1685"/>
      <c r="D180" s="1685"/>
      <c r="E180" s="1686"/>
      <c r="F180" s="1686"/>
      <c r="G180" s="1686"/>
      <c r="H180" s="1686"/>
      <c r="I180" s="1686"/>
      <c r="J180" s="1686"/>
      <c r="K180" s="1686"/>
      <c r="L180" s="1686"/>
      <c r="M180" s="1686"/>
      <c r="N180" s="1686"/>
      <c r="O180" s="1686"/>
      <c r="P180" s="1686"/>
      <c r="Q180" s="1686"/>
      <c r="R180" s="1686"/>
      <c r="S180" s="1686"/>
      <c r="T180" s="1686"/>
      <c r="U180" s="1686"/>
      <c r="V180" s="1686"/>
      <c r="W180" s="1686"/>
      <c r="X180" s="1686"/>
      <c r="Y180" s="1686"/>
      <c r="Z180" s="1686"/>
      <c r="AA180" s="1686"/>
      <c r="AB180" s="1686"/>
      <c r="AC180" s="1686"/>
      <c r="AD180" s="1686"/>
      <c r="AE180" s="1686"/>
      <c r="AF180" s="1686"/>
      <c r="AG180" s="1686"/>
      <c r="AH180" s="1686"/>
      <c r="AI180" s="1686"/>
      <c r="AJ180" s="1686"/>
      <c r="AK180" s="1686"/>
      <c r="AL180" s="1686"/>
      <c r="AM180" s="1686"/>
      <c r="AN180" s="1686"/>
      <c r="AO180" s="1686"/>
      <c r="AP180" s="1686"/>
      <c r="AQ180" s="1686"/>
      <c r="AR180" s="1686"/>
      <c r="AS180" s="1686"/>
      <c r="AT180" s="1686"/>
    </row>
    <row r="181">
      <c r="A181" s="1419"/>
      <c r="B181" s="1687"/>
      <c r="C181" s="1688"/>
      <c r="D181" s="1688"/>
      <c r="E181" s="1689"/>
      <c r="F181" s="1689"/>
      <c r="G181" s="1689"/>
      <c r="H181" s="1689"/>
      <c r="I181" s="1689"/>
      <c r="J181" s="1689"/>
      <c r="K181" s="1689"/>
      <c r="L181" s="1689"/>
      <c r="M181" s="1689"/>
      <c r="N181" s="1689"/>
      <c r="O181" s="1689"/>
      <c r="P181" s="1689"/>
      <c r="Q181" s="1689"/>
      <c r="R181" s="1689"/>
      <c r="S181" s="1689"/>
      <c r="T181" s="1689"/>
      <c r="U181" s="1689"/>
      <c r="V181" s="1689"/>
      <c r="W181" s="1689"/>
      <c r="X181" s="1689"/>
      <c r="Y181" s="1690"/>
      <c r="Z181" s="1690"/>
      <c r="AA181" s="1690"/>
      <c r="AB181" s="1690"/>
      <c r="AC181" s="1690"/>
      <c r="AD181" s="1690"/>
      <c r="AE181" s="1690"/>
      <c r="AF181" s="1690"/>
      <c r="AG181" s="1690"/>
      <c r="AH181" s="1690"/>
      <c r="AI181" s="1690"/>
      <c r="AJ181" s="1690"/>
      <c r="AK181" s="1690"/>
      <c r="AL181" s="1690"/>
      <c r="AM181" s="1690"/>
      <c r="AN181" s="1690"/>
      <c r="AO181" s="1690"/>
      <c r="AP181" s="1690"/>
      <c r="AQ181" s="1690"/>
      <c r="AR181" s="1690"/>
      <c r="AS181" s="1690"/>
      <c r="AT181" s="1690"/>
    </row>
    <row r="182">
      <c r="A182" s="1419"/>
      <c r="B182" s="1684"/>
      <c r="C182" s="1685"/>
      <c r="D182" s="1685"/>
      <c r="E182" s="1691"/>
      <c r="F182" s="1691"/>
      <c r="G182" s="1691"/>
      <c r="H182" s="1691"/>
      <c r="I182" s="1691"/>
      <c r="J182" s="1691"/>
      <c r="K182" s="1691"/>
      <c r="L182" s="1691"/>
      <c r="M182" s="1691"/>
      <c r="N182" s="1691"/>
      <c r="O182" s="1691"/>
      <c r="P182" s="1691"/>
      <c r="Q182" s="1691"/>
      <c r="R182" s="1691"/>
      <c r="S182" s="1691"/>
      <c r="T182" s="1691"/>
      <c r="U182" s="1691"/>
      <c r="V182" s="1691"/>
      <c r="W182" s="1691"/>
      <c r="X182" s="1691"/>
      <c r="Y182" s="1686"/>
      <c r="Z182" s="1686"/>
      <c r="AA182" s="1686"/>
      <c r="AB182" s="1686"/>
      <c r="AC182" s="1686"/>
      <c r="AD182" s="1686"/>
      <c r="AE182" s="1686"/>
      <c r="AF182" s="1686"/>
      <c r="AG182" s="1686"/>
      <c r="AH182" s="1686"/>
      <c r="AI182" s="1686"/>
      <c r="AJ182" s="1686"/>
      <c r="AK182" s="1686"/>
      <c r="AL182" s="1686"/>
      <c r="AM182" s="1686"/>
      <c r="AN182" s="1686"/>
      <c r="AO182" s="1686"/>
      <c r="AP182" s="1686"/>
      <c r="AQ182" s="1686"/>
      <c r="AR182" s="1686"/>
      <c r="AS182" s="1686"/>
      <c r="AT182" s="1686"/>
    </row>
    <row r="183">
      <c r="A183" s="1419"/>
      <c r="B183" s="1687"/>
      <c r="C183" s="1688"/>
      <c r="D183" s="1688"/>
      <c r="E183" s="1689"/>
      <c r="F183" s="1689"/>
      <c r="G183" s="1689"/>
      <c r="H183" s="1689"/>
      <c r="I183" s="1689"/>
      <c r="J183" s="1689"/>
      <c r="K183" s="1689"/>
      <c r="L183" s="1689"/>
      <c r="M183" s="1689"/>
      <c r="N183" s="1689"/>
      <c r="O183" s="1689"/>
      <c r="P183" s="1689"/>
      <c r="Q183" s="1689"/>
      <c r="R183" s="1689"/>
      <c r="S183" s="1689"/>
      <c r="T183" s="1689"/>
      <c r="U183" s="1689"/>
      <c r="V183" s="1689"/>
      <c r="W183" s="1689"/>
      <c r="X183" s="1689"/>
      <c r="Y183" s="1690"/>
      <c r="Z183" s="1690"/>
      <c r="AA183" s="1690"/>
      <c r="AB183" s="1690"/>
      <c r="AC183" s="1690"/>
      <c r="AD183" s="1690"/>
      <c r="AE183" s="1690"/>
      <c r="AF183" s="1690"/>
      <c r="AG183" s="1690"/>
      <c r="AH183" s="1690"/>
      <c r="AI183" s="1690"/>
      <c r="AJ183" s="1690"/>
      <c r="AK183" s="1690"/>
      <c r="AL183" s="1690"/>
      <c r="AM183" s="1690"/>
      <c r="AN183" s="1690"/>
      <c r="AO183" s="1690"/>
      <c r="AP183" s="1690"/>
      <c r="AQ183" s="1690"/>
      <c r="AR183" s="1690"/>
      <c r="AS183" s="1690"/>
      <c r="AT183" s="1690"/>
    </row>
    <row r="184">
      <c r="A184" s="1419"/>
      <c r="B184" s="1684"/>
      <c r="C184" s="1685"/>
      <c r="D184" s="1685"/>
      <c r="E184" s="1691"/>
      <c r="F184" s="1691"/>
      <c r="G184" s="1691"/>
      <c r="H184" s="1691"/>
      <c r="I184" s="1691"/>
      <c r="J184" s="1691"/>
      <c r="K184" s="1691"/>
      <c r="L184" s="1691"/>
      <c r="M184" s="1691"/>
      <c r="N184" s="1691"/>
      <c r="O184" s="1691"/>
      <c r="P184" s="1691"/>
      <c r="Q184" s="1691"/>
      <c r="R184" s="1691"/>
      <c r="S184" s="1691"/>
      <c r="T184" s="1691"/>
      <c r="U184" s="1691"/>
      <c r="V184" s="1691"/>
      <c r="W184" s="1691"/>
      <c r="X184" s="1691"/>
      <c r="Y184" s="1686"/>
      <c r="Z184" s="1686"/>
      <c r="AA184" s="1686"/>
      <c r="AB184" s="1686"/>
      <c r="AC184" s="1686"/>
      <c r="AD184" s="1686"/>
      <c r="AE184" s="1686"/>
      <c r="AF184" s="1686"/>
      <c r="AG184" s="1686"/>
      <c r="AH184" s="1686"/>
      <c r="AI184" s="1686"/>
      <c r="AJ184" s="1686"/>
      <c r="AK184" s="1686"/>
      <c r="AL184" s="1686"/>
      <c r="AM184" s="1686"/>
      <c r="AN184" s="1686"/>
      <c r="AO184" s="1686"/>
      <c r="AP184" s="1686"/>
      <c r="AQ184" s="1686"/>
      <c r="AR184" s="1686"/>
      <c r="AS184" s="1686"/>
      <c r="AT184" s="1686"/>
    </row>
    <row r="185">
      <c r="A185" s="1419"/>
      <c r="B185" s="1687"/>
      <c r="C185" s="1688"/>
      <c r="D185" s="1688"/>
      <c r="E185" s="1689"/>
      <c r="F185" s="1689"/>
      <c r="G185" s="1689"/>
      <c r="H185" s="1689"/>
      <c r="I185" s="1689"/>
      <c r="J185" s="1689"/>
      <c r="K185" s="1689"/>
      <c r="L185" s="1689"/>
      <c r="M185" s="1689"/>
      <c r="N185" s="1689"/>
      <c r="O185" s="1689"/>
      <c r="P185" s="1689"/>
      <c r="Q185" s="1689"/>
      <c r="R185" s="1689"/>
      <c r="S185" s="1689"/>
      <c r="T185" s="1689"/>
      <c r="U185" s="1689"/>
      <c r="V185" s="1689"/>
      <c r="W185" s="1689"/>
      <c r="X185" s="1689"/>
      <c r="Y185" s="1690"/>
      <c r="Z185" s="1690"/>
      <c r="AA185" s="1690"/>
      <c r="AB185" s="1690"/>
      <c r="AC185" s="1690"/>
      <c r="AD185" s="1690"/>
      <c r="AE185" s="1690"/>
      <c r="AF185" s="1690"/>
      <c r="AG185" s="1690"/>
      <c r="AH185" s="1690"/>
      <c r="AI185" s="1690"/>
      <c r="AJ185" s="1690"/>
      <c r="AK185" s="1690"/>
      <c r="AL185" s="1690"/>
      <c r="AM185" s="1690"/>
      <c r="AN185" s="1690"/>
      <c r="AO185" s="1690"/>
      <c r="AP185" s="1690"/>
      <c r="AQ185" s="1690"/>
      <c r="AR185" s="1690"/>
      <c r="AS185" s="1690"/>
      <c r="AT185" s="1690"/>
    </row>
    <row r="186">
      <c r="A186" s="1419"/>
      <c r="B186" s="1684"/>
      <c r="C186" s="1685"/>
      <c r="D186" s="1685"/>
      <c r="E186" s="1686"/>
      <c r="F186" s="1686"/>
      <c r="G186" s="1686"/>
      <c r="H186" s="1686"/>
      <c r="I186" s="1686"/>
      <c r="J186" s="1686"/>
      <c r="K186" s="1686"/>
      <c r="L186" s="1686"/>
      <c r="M186" s="1686"/>
      <c r="N186" s="1686"/>
      <c r="O186" s="1686"/>
      <c r="P186" s="1686"/>
      <c r="Q186" s="1686"/>
      <c r="R186" s="1686"/>
      <c r="S186" s="1686"/>
      <c r="T186" s="1686"/>
      <c r="U186" s="1686"/>
      <c r="V186" s="1686"/>
      <c r="W186" s="1686"/>
      <c r="X186" s="1686"/>
      <c r="Y186" s="1686"/>
      <c r="Z186" s="1686"/>
      <c r="AA186" s="1686"/>
      <c r="AB186" s="1686"/>
      <c r="AC186" s="1686"/>
      <c r="AD186" s="1686"/>
      <c r="AE186" s="1686"/>
      <c r="AF186" s="1686"/>
      <c r="AG186" s="1686"/>
      <c r="AH186" s="1686"/>
      <c r="AI186" s="1686"/>
      <c r="AJ186" s="1686"/>
      <c r="AK186" s="1686"/>
      <c r="AL186" s="1686"/>
      <c r="AM186" s="1686"/>
      <c r="AN186" s="1686"/>
      <c r="AO186" s="1686"/>
      <c r="AP186" s="1686"/>
      <c r="AQ186" s="1686"/>
      <c r="AR186" s="1686"/>
      <c r="AS186" s="1686"/>
      <c r="AT186" s="1686"/>
    </row>
    <row r="187">
      <c r="A187" s="1419"/>
      <c r="B187" s="1687"/>
      <c r="C187" s="1688"/>
      <c r="D187" s="1688"/>
      <c r="E187" s="1689"/>
      <c r="F187" s="1689"/>
      <c r="G187" s="1689"/>
      <c r="H187" s="1689"/>
      <c r="I187" s="1689"/>
      <c r="J187" s="1689"/>
      <c r="K187" s="1689"/>
      <c r="L187" s="1689"/>
      <c r="M187" s="1689"/>
      <c r="N187" s="1689"/>
      <c r="O187" s="1689"/>
      <c r="P187" s="1689"/>
      <c r="Q187" s="1689"/>
      <c r="R187" s="1689"/>
      <c r="S187" s="1689"/>
      <c r="T187" s="1689"/>
      <c r="U187" s="1689"/>
      <c r="V187" s="1689"/>
      <c r="W187" s="1689"/>
      <c r="X187" s="1689"/>
      <c r="Y187" s="1690"/>
      <c r="Z187" s="1690"/>
      <c r="AA187" s="1690"/>
      <c r="AB187" s="1690"/>
      <c r="AC187" s="1690"/>
      <c r="AD187" s="1690"/>
      <c r="AE187" s="1690"/>
      <c r="AF187" s="1690"/>
      <c r="AG187" s="1690"/>
      <c r="AH187" s="1690"/>
      <c r="AI187" s="1690"/>
      <c r="AJ187" s="1690"/>
      <c r="AK187" s="1690"/>
      <c r="AL187" s="1690"/>
      <c r="AM187" s="1690"/>
      <c r="AN187" s="1690"/>
      <c r="AO187" s="1690"/>
      <c r="AP187" s="1690"/>
      <c r="AQ187" s="1690"/>
      <c r="AR187" s="1690"/>
      <c r="AS187" s="1690"/>
      <c r="AT187" s="1690"/>
    </row>
    <row r="188">
      <c r="A188" s="1419"/>
      <c r="B188" s="1684"/>
      <c r="C188" s="1685"/>
      <c r="D188" s="1685"/>
      <c r="E188" s="1691"/>
      <c r="F188" s="1691"/>
      <c r="G188" s="1691"/>
      <c r="H188" s="1691"/>
      <c r="I188" s="1691"/>
      <c r="J188" s="1691"/>
      <c r="K188" s="1691"/>
      <c r="L188" s="1691"/>
      <c r="M188" s="1691"/>
      <c r="N188" s="1691"/>
      <c r="O188" s="1691"/>
      <c r="P188" s="1691"/>
      <c r="Q188" s="1691"/>
      <c r="R188" s="1691"/>
      <c r="S188" s="1691"/>
      <c r="T188" s="1691"/>
      <c r="U188" s="1691"/>
      <c r="V188" s="1691"/>
      <c r="W188" s="1691"/>
      <c r="X188" s="1691"/>
      <c r="Y188" s="1686"/>
      <c r="Z188" s="1686"/>
      <c r="AA188" s="1686"/>
      <c r="AB188" s="1686"/>
      <c r="AC188" s="1686"/>
      <c r="AD188" s="1686"/>
      <c r="AE188" s="1686"/>
      <c r="AF188" s="1686"/>
      <c r="AG188" s="1686"/>
      <c r="AH188" s="1686"/>
      <c r="AI188" s="1686"/>
      <c r="AJ188" s="1686"/>
      <c r="AK188" s="1686"/>
      <c r="AL188" s="1686"/>
      <c r="AM188" s="1686"/>
      <c r="AN188" s="1686"/>
      <c r="AO188" s="1686"/>
      <c r="AP188" s="1686"/>
      <c r="AQ188" s="1686"/>
      <c r="AR188" s="1686"/>
      <c r="AS188" s="1686"/>
      <c r="AT188" s="1686"/>
    </row>
    <row r="189">
      <c r="A189" s="1419"/>
      <c r="B189" s="1687"/>
      <c r="C189" s="1688"/>
      <c r="D189" s="1688"/>
      <c r="E189" s="1689"/>
      <c r="F189" s="1689"/>
      <c r="G189" s="1689"/>
      <c r="H189" s="1689"/>
      <c r="I189" s="1689"/>
      <c r="J189" s="1689"/>
      <c r="K189" s="1689"/>
      <c r="L189" s="1689"/>
      <c r="M189" s="1689"/>
      <c r="N189" s="1689"/>
      <c r="O189" s="1689"/>
      <c r="P189" s="1689"/>
      <c r="Q189" s="1689"/>
      <c r="R189" s="1689"/>
      <c r="S189" s="1689"/>
      <c r="T189" s="1689"/>
      <c r="U189" s="1689"/>
      <c r="V189" s="1689"/>
      <c r="W189" s="1689"/>
      <c r="X189" s="1689"/>
      <c r="Y189" s="1690"/>
      <c r="Z189" s="1690"/>
      <c r="AA189" s="1690"/>
      <c r="AB189" s="1690"/>
      <c r="AC189" s="1690"/>
      <c r="AD189" s="1690"/>
      <c r="AE189" s="1690"/>
      <c r="AF189" s="1690"/>
      <c r="AG189" s="1690"/>
      <c r="AH189" s="1690"/>
      <c r="AI189" s="1690"/>
      <c r="AJ189" s="1690"/>
      <c r="AK189" s="1690"/>
      <c r="AL189" s="1690"/>
      <c r="AM189" s="1690"/>
      <c r="AN189" s="1690"/>
      <c r="AO189" s="1690"/>
      <c r="AP189" s="1690"/>
      <c r="AQ189" s="1690"/>
      <c r="AR189" s="1690"/>
      <c r="AS189" s="1690"/>
      <c r="AT189" s="1690"/>
    </row>
    <row r="190">
      <c r="A190" s="1419"/>
      <c r="B190" s="1684"/>
      <c r="C190" s="1685"/>
      <c r="D190" s="1685"/>
      <c r="E190" s="1686"/>
      <c r="F190" s="1686"/>
      <c r="G190" s="1686"/>
      <c r="H190" s="1686"/>
      <c r="I190" s="1686"/>
      <c r="J190" s="1686"/>
      <c r="K190" s="1686"/>
      <c r="L190" s="1686"/>
      <c r="M190" s="1686"/>
      <c r="N190" s="1686"/>
      <c r="O190" s="1686"/>
      <c r="P190" s="1686"/>
      <c r="Q190" s="1686"/>
      <c r="R190" s="1686"/>
      <c r="S190" s="1686"/>
      <c r="T190" s="1686"/>
      <c r="U190" s="1686"/>
      <c r="V190" s="1686"/>
      <c r="W190" s="1686"/>
      <c r="X190" s="1686"/>
      <c r="Y190" s="1686"/>
      <c r="Z190" s="1686"/>
      <c r="AA190" s="1686"/>
      <c r="AB190" s="1686"/>
      <c r="AC190" s="1686"/>
      <c r="AD190" s="1686"/>
      <c r="AE190" s="1686"/>
      <c r="AF190" s="1686"/>
      <c r="AG190" s="1686"/>
      <c r="AH190" s="1686"/>
      <c r="AI190" s="1686"/>
      <c r="AJ190" s="1686"/>
      <c r="AK190" s="1686"/>
      <c r="AL190" s="1686"/>
      <c r="AM190" s="1686"/>
      <c r="AN190" s="1686"/>
      <c r="AO190" s="1686"/>
      <c r="AP190" s="1686"/>
      <c r="AQ190" s="1686"/>
      <c r="AR190" s="1686"/>
      <c r="AS190" s="1686"/>
      <c r="AT190" s="1686"/>
    </row>
    <row r="191">
      <c r="A191" s="1419"/>
      <c r="B191" s="1687"/>
      <c r="C191" s="1688"/>
      <c r="D191" s="1688"/>
      <c r="E191" s="1690"/>
      <c r="F191" s="1690"/>
      <c r="G191" s="1690"/>
      <c r="H191" s="1690"/>
      <c r="I191" s="1690"/>
      <c r="J191" s="1690"/>
      <c r="K191" s="1690"/>
      <c r="L191" s="1690"/>
      <c r="M191" s="1690"/>
      <c r="N191" s="1690"/>
      <c r="O191" s="1690"/>
      <c r="P191" s="1690"/>
      <c r="Q191" s="1690"/>
      <c r="R191" s="1690"/>
      <c r="S191" s="1690"/>
      <c r="T191" s="1690"/>
      <c r="U191" s="1690"/>
      <c r="V191" s="1690"/>
      <c r="W191" s="1690"/>
      <c r="X191" s="1690"/>
      <c r="Y191" s="1690"/>
      <c r="Z191" s="1690"/>
      <c r="AA191" s="1690"/>
      <c r="AB191" s="1690"/>
      <c r="AC191" s="1690"/>
      <c r="AD191" s="1690"/>
      <c r="AE191" s="1690"/>
      <c r="AF191" s="1690"/>
      <c r="AG191" s="1690"/>
      <c r="AH191" s="1690"/>
      <c r="AI191" s="1690"/>
      <c r="AJ191" s="1690"/>
      <c r="AK191" s="1690"/>
      <c r="AL191" s="1690"/>
      <c r="AM191" s="1690"/>
      <c r="AN191" s="1690"/>
      <c r="AO191" s="1690"/>
      <c r="AP191" s="1690"/>
      <c r="AQ191" s="1690"/>
      <c r="AR191" s="1690"/>
      <c r="AS191" s="1690"/>
      <c r="AT191" s="1690"/>
    </row>
    <row r="192">
      <c r="A192" s="1419"/>
      <c r="B192" s="1684"/>
      <c r="C192" s="1685"/>
      <c r="D192" s="1685"/>
      <c r="E192" s="1691"/>
      <c r="F192" s="1691"/>
      <c r="G192" s="1691"/>
      <c r="H192" s="1691"/>
      <c r="I192" s="1691"/>
      <c r="J192" s="1691"/>
      <c r="K192" s="1691"/>
      <c r="L192" s="1691"/>
      <c r="M192" s="1691"/>
      <c r="N192" s="1691"/>
      <c r="O192" s="1691"/>
      <c r="P192" s="1691"/>
      <c r="Q192" s="1691"/>
      <c r="R192" s="1691"/>
      <c r="S192" s="1691"/>
      <c r="T192" s="1691"/>
      <c r="U192" s="1691"/>
      <c r="V192" s="1691"/>
      <c r="W192" s="1691"/>
      <c r="X192" s="1691"/>
      <c r="Y192" s="1686"/>
      <c r="Z192" s="1686"/>
      <c r="AA192" s="1686"/>
      <c r="AB192" s="1686"/>
      <c r="AC192" s="1686"/>
      <c r="AD192" s="1686"/>
      <c r="AE192" s="1686"/>
      <c r="AF192" s="1686"/>
      <c r="AG192" s="1686"/>
      <c r="AH192" s="1686"/>
      <c r="AI192" s="1686"/>
      <c r="AJ192" s="1686"/>
      <c r="AK192" s="1686"/>
      <c r="AL192" s="1686"/>
      <c r="AM192" s="1686"/>
      <c r="AN192" s="1686"/>
      <c r="AO192" s="1686"/>
      <c r="AP192" s="1686"/>
      <c r="AQ192" s="1686"/>
      <c r="AR192" s="1686"/>
      <c r="AS192" s="1686"/>
      <c r="AT192" s="1686"/>
    </row>
    <row r="193">
      <c r="A193" s="1419"/>
      <c r="B193" s="1687"/>
      <c r="C193" s="1688"/>
      <c r="D193" s="1688"/>
      <c r="E193" s="1690"/>
      <c r="F193" s="1690"/>
      <c r="G193" s="1690"/>
      <c r="H193" s="1690"/>
      <c r="I193" s="1690"/>
      <c r="J193" s="1690"/>
      <c r="K193" s="1690"/>
      <c r="L193" s="1690"/>
      <c r="M193" s="1690"/>
      <c r="N193" s="1690"/>
      <c r="O193" s="1690"/>
      <c r="P193" s="1690"/>
      <c r="Q193" s="1690"/>
      <c r="R193" s="1690"/>
      <c r="S193" s="1690"/>
      <c r="T193" s="1690"/>
      <c r="U193" s="1690"/>
      <c r="V193" s="1690"/>
      <c r="W193" s="1690"/>
      <c r="X193" s="1690"/>
      <c r="Y193" s="1690"/>
      <c r="Z193" s="1690"/>
      <c r="AA193" s="1690"/>
      <c r="AB193" s="1690"/>
      <c r="AC193" s="1690"/>
      <c r="AD193" s="1690"/>
      <c r="AE193" s="1690"/>
      <c r="AF193" s="1690"/>
      <c r="AG193" s="1690"/>
      <c r="AH193" s="1690"/>
      <c r="AI193" s="1690"/>
      <c r="AJ193" s="1690"/>
      <c r="AK193" s="1690"/>
      <c r="AL193" s="1690"/>
      <c r="AM193" s="1690"/>
      <c r="AN193" s="1690"/>
      <c r="AO193" s="1690"/>
      <c r="AP193" s="1690"/>
      <c r="AQ193" s="1690"/>
      <c r="AR193" s="1690"/>
      <c r="AS193" s="1690"/>
      <c r="AT193" s="1690"/>
    </row>
    <row r="194">
      <c r="A194" s="1419"/>
      <c r="B194" s="1684"/>
      <c r="C194" s="1685"/>
      <c r="D194" s="1685"/>
      <c r="E194" s="1686"/>
      <c r="F194" s="1686"/>
      <c r="G194" s="1686"/>
      <c r="H194" s="1686"/>
      <c r="I194" s="1686"/>
      <c r="J194" s="1686"/>
      <c r="K194" s="1686"/>
      <c r="L194" s="1686"/>
      <c r="M194" s="1686"/>
      <c r="N194" s="1686"/>
      <c r="O194" s="1686"/>
      <c r="P194" s="1686"/>
      <c r="Q194" s="1686"/>
      <c r="R194" s="1686"/>
      <c r="S194" s="1686"/>
      <c r="T194" s="1686"/>
      <c r="U194" s="1686"/>
      <c r="V194" s="1686"/>
      <c r="W194" s="1686"/>
      <c r="X194" s="1686"/>
      <c r="Y194" s="1686"/>
      <c r="Z194" s="1686"/>
      <c r="AA194" s="1686"/>
      <c r="AB194" s="1686"/>
      <c r="AC194" s="1686"/>
      <c r="AD194" s="1686"/>
      <c r="AE194" s="1686"/>
      <c r="AF194" s="1686"/>
      <c r="AG194" s="1686"/>
      <c r="AH194" s="1686"/>
      <c r="AI194" s="1686"/>
      <c r="AJ194" s="1686"/>
      <c r="AK194" s="1686"/>
      <c r="AL194" s="1686"/>
      <c r="AM194" s="1686"/>
      <c r="AN194" s="1686"/>
      <c r="AO194" s="1686"/>
      <c r="AP194" s="1686"/>
      <c r="AQ194" s="1686"/>
      <c r="AR194" s="1686"/>
      <c r="AS194" s="1686"/>
      <c r="AT194" s="1686"/>
    </row>
    <row r="195">
      <c r="A195" s="1419"/>
      <c r="B195" s="1687"/>
      <c r="C195" s="1688"/>
      <c r="D195" s="1688"/>
      <c r="E195" s="1689"/>
      <c r="F195" s="1689"/>
      <c r="G195" s="1689"/>
      <c r="H195" s="1689"/>
      <c r="I195" s="1689"/>
      <c r="J195" s="1689"/>
      <c r="K195" s="1689"/>
      <c r="L195" s="1689"/>
      <c r="M195" s="1689"/>
      <c r="N195" s="1689"/>
      <c r="O195" s="1689"/>
      <c r="P195" s="1689"/>
      <c r="Q195" s="1689"/>
      <c r="R195" s="1689"/>
      <c r="S195" s="1689"/>
      <c r="T195" s="1689"/>
      <c r="U195" s="1689"/>
      <c r="V195" s="1689"/>
      <c r="W195" s="1689"/>
      <c r="X195" s="1689"/>
      <c r="Y195" s="1690"/>
      <c r="Z195" s="1690"/>
      <c r="AA195" s="1690"/>
      <c r="AB195" s="1690"/>
      <c r="AC195" s="1690"/>
      <c r="AD195" s="1690"/>
      <c r="AE195" s="1690"/>
      <c r="AF195" s="1690"/>
      <c r="AG195" s="1690"/>
      <c r="AH195" s="1690"/>
      <c r="AI195" s="1690"/>
      <c r="AJ195" s="1690"/>
      <c r="AK195" s="1690"/>
      <c r="AL195" s="1690"/>
      <c r="AM195" s="1690"/>
      <c r="AN195" s="1690"/>
      <c r="AO195" s="1690"/>
      <c r="AP195" s="1690"/>
      <c r="AQ195" s="1690"/>
      <c r="AR195" s="1690"/>
      <c r="AS195" s="1690"/>
      <c r="AT195" s="1690"/>
    </row>
    <row r="196">
      <c r="A196" s="1419"/>
      <c r="B196" s="1684"/>
      <c r="C196" s="1685"/>
      <c r="D196" s="1685"/>
      <c r="E196" s="1686"/>
      <c r="F196" s="1686"/>
      <c r="G196" s="1686"/>
      <c r="H196" s="1686"/>
      <c r="I196" s="1686"/>
      <c r="J196" s="1686"/>
      <c r="K196" s="1686"/>
      <c r="L196" s="1686"/>
      <c r="M196" s="1686"/>
      <c r="N196" s="1686"/>
      <c r="O196" s="1686"/>
      <c r="P196" s="1686"/>
      <c r="Q196" s="1686"/>
      <c r="R196" s="1686"/>
      <c r="S196" s="1686"/>
      <c r="T196" s="1686"/>
      <c r="U196" s="1686"/>
      <c r="V196" s="1686"/>
      <c r="W196" s="1686"/>
      <c r="X196" s="1686"/>
      <c r="Y196" s="1686"/>
      <c r="Z196" s="1686"/>
      <c r="AA196" s="1686"/>
      <c r="AB196" s="1686"/>
      <c r="AC196" s="1686"/>
      <c r="AD196" s="1686"/>
      <c r="AE196" s="1686"/>
      <c r="AF196" s="1686"/>
      <c r="AG196" s="1686"/>
      <c r="AH196" s="1686"/>
      <c r="AI196" s="1686"/>
      <c r="AJ196" s="1686"/>
      <c r="AK196" s="1686"/>
      <c r="AL196" s="1686"/>
      <c r="AM196" s="1686"/>
      <c r="AN196" s="1686"/>
      <c r="AO196" s="1686"/>
      <c r="AP196" s="1686"/>
      <c r="AQ196" s="1686"/>
      <c r="AR196" s="1686"/>
      <c r="AS196" s="1686"/>
      <c r="AT196" s="1686"/>
    </row>
    <row r="197">
      <c r="A197" s="1419"/>
      <c r="B197" s="1687"/>
      <c r="C197" s="1688"/>
      <c r="D197" s="1688"/>
      <c r="E197" s="1690"/>
      <c r="F197" s="1690"/>
      <c r="G197" s="1690"/>
      <c r="H197" s="1690"/>
      <c r="I197" s="1690"/>
      <c r="J197" s="1690"/>
      <c r="K197" s="1690"/>
      <c r="L197" s="1690"/>
      <c r="M197" s="1690"/>
      <c r="N197" s="1690"/>
      <c r="O197" s="1690"/>
      <c r="P197" s="1690"/>
      <c r="Q197" s="1690"/>
      <c r="R197" s="1690"/>
      <c r="S197" s="1690"/>
      <c r="T197" s="1690"/>
      <c r="U197" s="1690"/>
      <c r="V197" s="1690"/>
      <c r="W197" s="1690"/>
      <c r="X197" s="1690"/>
      <c r="Y197" s="1690"/>
      <c r="Z197" s="1690"/>
      <c r="AA197" s="1690"/>
      <c r="AB197" s="1690"/>
      <c r="AC197" s="1690"/>
      <c r="AD197" s="1690"/>
      <c r="AE197" s="1690"/>
      <c r="AF197" s="1690"/>
      <c r="AG197" s="1690"/>
      <c r="AH197" s="1690"/>
      <c r="AI197" s="1690"/>
      <c r="AJ197" s="1690"/>
      <c r="AK197" s="1690"/>
      <c r="AL197" s="1690"/>
      <c r="AM197" s="1690"/>
      <c r="AN197" s="1690"/>
      <c r="AO197" s="1690"/>
      <c r="AP197" s="1690"/>
      <c r="AQ197" s="1690"/>
      <c r="AR197" s="1690"/>
      <c r="AS197" s="1690"/>
      <c r="AT197" s="1690"/>
    </row>
    <row r="198">
      <c r="A198" s="1419"/>
      <c r="B198" s="1684"/>
      <c r="C198" s="1685"/>
      <c r="D198" s="1685"/>
      <c r="E198" s="1691"/>
      <c r="F198" s="1691"/>
      <c r="G198" s="1691"/>
      <c r="H198" s="1691"/>
      <c r="I198" s="1691"/>
      <c r="J198" s="1691"/>
      <c r="K198" s="1691"/>
      <c r="L198" s="1691"/>
      <c r="M198" s="1691"/>
      <c r="N198" s="1691"/>
      <c r="O198" s="1691"/>
      <c r="P198" s="1691"/>
      <c r="Q198" s="1691"/>
      <c r="R198" s="1691"/>
      <c r="S198" s="1691"/>
      <c r="T198" s="1691"/>
      <c r="U198" s="1691"/>
      <c r="V198" s="1691"/>
      <c r="W198" s="1691"/>
      <c r="X198" s="1691"/>
      <c r="Y198" s="1686"/>
      <c r="Z198" s="1686"/>
      <c r="AA198" s="1686"/>
      <c r="AB198" s="1686"/>
      <c r="AC198" s="1686"/>
      <c r="AD198" s="1686"/>
      <c r="AE198" s="1686"/>
      <c r="AF198" s="1686"/>
      <c r="AG198" s="1686"/>
      <c r="AH198" s="1686"/>
      <c r="AI198" s="1686"/>
      <c r="AJ198" s="1686"/>
      <c r="AK198" s="1686"/>
      <c r="AL198" s="1686"/>
      <c r="AM198" s="1686"/>
      <c r="AN198" s="1686"/>
      <c r="AO198" s="1686"/>
      <c r="AP198" s="1686"/>
      <c r="AQ198" s="1686"/>
      <c r="AR198" s="1686"/>
      <c r="AS198" s="1686"/>
      <c r="AT198" s="1686"/>
    </row>
    <row r="199">
      <c r="A199" s="1419"/>
      <c r="B199" s="1687"/>
      <c r="C199" s="1688"/>
      <c r="D199" s="1688"/>
      <c r="E199" s="1689"/>
      <c r="F199" s="1689"/>
      <c r="G199" s="1689"/>
      <c r="H199" s="1689"/>
      <c r="I199" s="1689"/>
      <c r="J199" s="1689"/>
      <c r="K199" s="1689"/>
      <c r="L199" s="1689"/>
      <c r="M199" s="1689"/>
      <c r="N199" s="1689"/>
      <c r="O199" s="1689"/>
      <c r="P199" s="1689"/>
      <c r="Q199" s="1689"/>
      <c r="R199" s="1689"/>
      <c r="S199" s="1689"/>
      <c r="T199" s="1689"/>
      <c r="U199" s="1689"/>
      <c r="V199" s="1689"/>
      <c r="W199" s="1689"/>
      <c r="X199" s="1689"/>
      <c r="Y199" s="1690"/>
      <c r="Z199" s="1690"/>
      <c r="AA199" s="1690"/>
      <c r="AB199" s="1690"/>
      <c r="AC199" s="1690"/>
      <c r="AD199" s="1690"/>
      <c r="AE199" s="1690"/>
      <c r="AF199" s="1690"/>
      <c r="AG199" s="1690"/>
      <c r="AH199" s="1690"/>
      <c r="AI199" s="1690"/>
      <c r="AJ199" s="1690"/>
      <c r="AK199" s="1690"/>
      <c r="AL199" s="1690"/>
      <c r="AM199" s="1690"/>
      <c r="AN199" s="1690"/>
      <c r="AO199" s="1690"/>
      <c r="AP199" s="1690"/>
      <c r="AQ199" s="1690"/>
      <c r="AR199" s="1690"/>
      <c r="AS199" s="1690"/>
      <c r="AT199" s="1690"/>
    </row>
    <row r="200">
      <c r="A200" s="1419"/>
      <c r="B200" s="1684"/>
      <c r="C200" s="1685"/>
      <c r="D200" s="1685"/>
      <c r="E200" s="1691"/>
      <c r="F200" s="1691"/>
      <c r="G200" s="1691"/>
      <c r="H200" s="1691"/>
      <c r="I200" s="1691"/>
      <c r="J200" s="1691"/>
      <c r="K200" s="1691"/>
      <c r="L200" s="1691"/>
      <c r="M200" s="1691"/>
      <c r="N200" s="1691"/>
      <c r="O200" s="1691"/>
      <c r="P200" s="1691"/>
      <c r="Q200" s="1691"/>
      <c r="R200" s="1691"/>
      <c r="S200" s="1691"/>
      <c r="T200" s="1691"/>
      <c r="U200" s="1691"/>
      <c r="V200" s="1691"/>
      <c r="W200" s="1691"/>
      <c r="X200" s="1691"/>
      <c r="Y200" s="1686"/>
      <c r="Z200" s="1686"/>
      <c r="AA200" s="1686"/>
      <c r="AB200" s="1686"/>
      <c r="AC200" s="1686"/>
      <c r="AD200" s="1686"/>
      <c r="AE200" s="1686"/>
      <c r="AF200" s="1686"/>
      <c r="AG200" s="1686"/>
      <c r="AH200" s="1686"/>
      <c r="AI200" s="1686"/>
      <c r="AJ200" s="1686"/>
      <c r="AK200" s="1686"/>
      <c r="AL200" s="1686"/>
      <c r="AM200" s="1686"/>
      <c r="AN200" s="1686"/>
      <c r="AO200" s="1686"/>
      <c r="AP200" s="1686"/>
      <c r="AQ200" s="1686"/>
      <c r="AR200" s="1686"/>
      <c r="AS200" s="1686"/>
      <c r="AT200" s="1686"/>
    </row>
    <row r="201">
      <c r="A201" s="1419"/>
      <c r="B201" s="1687"/>
      <c r="C201" s="1688"/>
      <c r="D201" s="1688"/>
      <c r="E201" s="1690"/>
      <c r="F201" s="1690"/>
      <c r="G201" s="1690"/>
      <c r="H201" s="1690"/>
      <c r="I201" s="1690"/>
      <c r="J201" s="1690"/>
      <c r="K201" s="1690"/>
      <c r="L201" s="1690"/>
      <c r="M201" s="1690"/>
      <c r="N201" s="1690"/>
      <c r="O201" s="1690"/>
      <c r="P201" s="1690"/>
      <c r="Q201" s="1690"/>
      <c r="R201" s="1690"/>
      <c r="S201" s="1690"/>
      <c r="T201" s="1690"/>
      <c r="U201" s="1690"/>
      <c r="V201" s="1690"/>
      <c r="W201" s="1690"/>
      <c r="X201" s="1690"/>
      <c r="Y201" s="1690"/>
      <c r="Z201" s="1690"/>
      <c r="AA201" s="1690"/>
      <c r="AB201" s="1690"/>
      <c r="AC201" s="1690"/>
      <c r="AD201" s="1690"/>
      <c r="AE201" s="1690"/>
      <c r="AF201" s="1690"/>
      <c r="AG201" s="1690"/>
      <c r="AH201" s="1690"/>
      <c r="AI201" s="1690"/>
      <c r="AJ201" s="1690"/>
      <c r="AK201" s="1690"/>
      <c r="AL201" s="1690"/>
      <c r="AM201" s="1690"/>
      <c r="AN201" s="1690"/>
      <c r="AO201" s="1690"/>
      <c r="AP201" s="1690"/>
      <c r="AQ201" s="1690"/>
      <c r="AR201" s="1690"/>
      <c r="AS201" s="1690"/>
      <c r="AT201" s="1690"/>
    </row>
    <row r="202">
      <c r="A202" s="1440" t="s">
        <v>2461</v>
      </c>
      <c r="B202" s="1684"/>
      <c r="C202" s="1685"/>
      <c r="D202" s="1685"/>
      <c r="E202" s="1691"/>
      <c r="F202" s="1691"/>
      <c r="G202" s="1691"/>
      <c r="H202" s="1691"/>
      <c r="I202" s="1691"/>
      <c r="J202" s="1691"/>
      <c r="K202" s="1691"/>
      <c r="L202" s="1691"/>
      <c r="M202" s="1691"/>
      <c r="N202" s="1691"/>
      <c r="O202" s="1691"/>
      <c r="P202" s="1691"/>
      <c r="Q202" s="1691"/>
      <c r="R202" s="1691"/>
      <c r="S202" s="1691"/>
      <c r="T202" s="1691"/>
      <c r="U202" s="1691"/>
      <c r="V202" s="1691"/>
      <c r="W202" s="1691"/>
      <c r="X202" s="1691"/>
      <c r="Y202" s="1686"/>
      <c r="Z202" s="1686"/>
      <c r="AA202" s="1686"/>
      <c r="AB202" s="1686"/>
      <c r="AC202" s="1686"/>
      <c r="AD202" s="1686"/>
      <c r="AE202" s="1686"/>
      <c r="AF202" s="1686"/>
      <c r="AG202" s="1686"/>
      <c r="AH202" s="1686"/>
      <c r="AI202" s="1686"/>
      <c r="AJ202" s="1686"/>
      <c r="AK202" s="1686"/>
      <c r="AL202" s="1686"/>
      <c r="AM202" s="1686"/>
      <c r="AN202" s="1686"/>
      <c r="AO202" s="1686"/>
      <c r="AP202" s="1686"/>
      <c r="AQ202" s="1686"/>
      <c r="AR202" s="1686"/>
      <c r="AS202" s="1686"/>
      <c r="AT202" s="1686"/>
    </row>
    <row r="203">
      <c r="A203" s="1440" t="s">
        <v>2461</v>
      </c>
      <c r="B203" s="1687"/>
      <c r="C203" s="1688"/>
      <c r="D203" s="1688"/>
      <c r="E203" s="1689"/>
      <c r="F203" s="1689"/>
      <c r="G203" s="1689"/>
      <c r="H203" s="1689"/>
      <c r="I203" s="1689"/>
      <c r="J203" s="1689"/>
      <c r="K203" s="1689"/>
      <c r="L203" s="1689"/>
      <c r="M203" s="1689"/>
      <c r="N203" s="1689"/>
      <c r="O203" s="1689"/>
      <c r="P203" s="1689"/>
      <c r="Q203" s="1689"/>
      <c r="R203" s="1689"/>
      <c r="S203" s="1689"/>
      <c r="T203" s="1689"/>
      <c r="U203" s="1689"/>
      <c r="V203" s="1689"/>
      <c r="W203" s="1689"/>
      <c r="X203" s="1689"/>
      <c r="Y203" s="1690"/>
      <c r="Z203" s="1690"/>
      <c r="AA203" s="1690"/>
      <c r="AB203" s="1690"/>
      <c r="AC203" s="1690"/>
      <c r="AD203" s="1690"/>
      <c r="AE203" s="1690"/>
      <c r="AF203" s="1690"/>
      <c r="AG203" s="1690"/>
      <c r="AH203" s="1690"/>
      <c r="AI203" s="1690"/>
      <c r="AJ203" s="1690"/>
      <c r="AK203" s="1690"/>
      <c r="AL203" s="1690"/>
      <c r="AM203" s="1690"/>
      <c r="AN203" s="1690"/>
      <c r="AO203" s="1690"/>
      <c r="AP203" s="1690"/>
      <c r="AQ203" s="1690"/>
      <c r="AR203" s="1690"/>
      <c r="AS203" s="1690"/>
      <c r="AT203" s="1690"/>
    </row>
    <row r="204">
      <c r="A204" s="1419"/>
      <c r="B204" s="1684"/>
      <c r="C204" s="1685"/>
      <c r="D204" s="1685"/>
      <c r="E204" s="1686"/>
      <c r="F204" s="1686"/>
      <c r="G204" s="1686"/>
      <c r="H204" s="1686"/>
      <c r="I204" s="1686"/>
      <c r="J204" s="1686"/>
      <c r="K204" s="1686"/>
      <c r="L204" s="1686"/>
      <c r="M204" s="1686"/>
      <c r="N204" s="1686"/>
      <c r="O204" s="1686"/>
      <c r="P204" s="1686"/>
      <c r="Q204" s="1686"/>
      <c r="R204" s="1686"/>
      <c r="S204" s="1686"/>
      <c r="T204" s="1686"/>
      <c r="U204" s="1686"/>
      <c r="V204" s="1686"/>
      <c r="W204" s="1686"/>
      <c r="X204" s="1686"/>
      <c r="Y204" s="1686"/>
      <c r="Z204" s="1686"/>
      <c r="AA204" s="1686"/>
      <c r="AB204" s="1686"/>
      <c r="AC204" s="1686"/>
      <c r="AD204" s="1686"/>
      <c r="AE204" s="1686"/>
      <c r="AF204" s="1686"/>
      <c r="AG204" s="1686"/>
      <c r="AH204" s="1686"/>
      <c r="AI204" s="1686"/>
      <c r="AJ204" s="1686"/>
      <c r="AK204" s="1686"/>
      <c r="AL204" s="1686"/>
      <c r="AM204" s="1686"/>
      <c r="AN204" s="1686"/>
      <c r="AO204" s="1686"/>
      <c r="AP204" s="1686"/>
      <c r="AQ204" s="1686"/>
      <c r="AR204" s="1686"/>
      <c r="AS204" s="1686"/>
      <c r="AT204" s="1686"/>
    </row>
    <row r="205">
      <c r="A205" s="1419"/>
      <c r="B205" s="1687"/>
      <c r="C205" s="1688"/>
      <c r="D205" s="1688"/>
      <c r="E205" s="1690"/>
      <c r="F205" s="1690"/>
      <c r="G205" s="1690"/>
      <c r="H205" s="1690"/>
      <c r="I205" s="1690"/>
      <c r="J205" s="1690"/>
      <c r="K205" s="1690"/>
      <c r="L205" s="1690"/>
      <c r="M205" s="1690"/>
      <c r="N205" s="1690"/>
      <c r="O205" s="1690"/>
      <c r="P205" s="1690"/>
      <c r="Q205" s="1690"/>
      <c r="R205" s="1690"/>
      <c r="S205" s="1690"/>
      <c r="T205" s="1690"/>
      <c r="U205" s="1690"/>
      <c r="V205" s="1690"/>
      <c r="W205" s="1690"/>
      <c r="X205" s="1690"/>
      <c r="Y205" s="1690"/>
      <c r="Z205" s="1690"/>
      <c r="AA205" s="1690"/>
      <c r="AB205" s="1690"/>
      <c r="AC205" s="1690"/>
      <c r="AD205" s="1690"/>
      <c r="AE205" s="1690"/>
      <c r="AF205" s="1690"/>
      <c r="AG205" s="1690"/>
      <c r="AH205" s="1690"/>
      <c r="AI205" s="1690"/>
      <c r="AJ205" s="1690"/>
      <c r="AK205" s="1690"/>
      <c r="AL205" s="1690"/>
      <c r="AM205" s="1690"/>
      <c r="AN205" s="1690"/>
      <c r="AO205" s="1690"/>
      <c r="AP205" s="1690"/>
      <c r="AQ205" s="1690"/>
      <c r="AR205" s="1690"/>
      <c r="AS205" s="1690"/>
      <c r="AT205" s="1690"/>
    </row>
    <row r="206">
      <c r="A206" s="1419"/>
      <c r="B206" s="1684"/>
      <c r="C206" s="1685"/>
      <c r="D206" s="1685"/>
      <c r="E206" s="1691"/>
      <c r="F206" s="1691"/>
      <c r="G206" s="1691"/>
      <c r="H206" s="1691"/>
      <c r="I206" s="1691"/>
      <c r="J206" s="1691"/>
      <c r="K206" s="1691"/>
      <c r="L206" s="1691"/>
      <c r="M206" s="1691"/>
      <c r="N206" s="1691"/>
      <c r="O206" s="1691"/>
      <c r="P206" s="1691"/>
      <c r="Q206" s="1691"/>
      <c r="R206" s="1691"/>
      <c r="S206" s="1691"/>
      <c r="T206" s="1691"/>
      <c r="U206" s="1691"/>
      <c r="V206" s="1691"/>
      <c r="W206" s="1691"/>
      <c r="X206" s="1691"/>
      <c r="Y206" s="1686"/>
      <c r="Z206" s="1686"/>
      <c r="AA206" s="1686"/>
      <c r="AB206" s="1686"/>
      <c r="AC206" s="1686"/>
      <c r="AD206" s="1686"/>
      <c r="AE206" s="1686"/>
      <c r="AF206" s="1686"/>
      <c r="AG206" s="1686"/>
      <c r="AH206" s="1686"/>
      <c r="AI206" s="1686"/>
      <c r="AJ206" s="1686"/>
      <c r="AK206" s="1686"/>
      <c r="AL206" s="1686"/>
      <c r="AM206" s="1686"/>
      <c r="AN206" s="1686"/>
      <c r="AO206" s="1686"/>
      <c r="AP206" s="1686"/>
      <c r="AQ206" s="1686"/>
      <c r="AR206" s="1686"/>
      <c r="AS206" s="1686"/>
      <c r="AT206" s="1686"/>
    </row>
    <row r="207">
      <c r="A207" s="1419"/>
      <c r="B207" s="1687"/>
      <c r="C207" s="1688"/>
      <c r="D207" s="1688"/>
      <c r="E207" s="1689"/>
      <c r="F207" s="1689"/>
      <c r="G207" s="1689"/>
      <c r="H207" s="1689"/>
      <c r="I207" s="1689"/>
      <c r="J207" s="1689"/>
      <c r="K207" s="1689"/>
      <c r="L207" s="1689"/>
      <c r="M207" s="1689"/>
      <c r="N207" s="1689"/>
      <c r="O207" s="1689"/>
      <c r="P207" s="1689"/>
      <c r="Q207" s="1689"/>
      <c r="R207" s="1689"/>
      <c r="S207" s="1689"/>
      <c r="T207" s="1689"/>
      <c r="U207" s="1689"/>
      <c r="V207" s="1689"/>
      <c r="W207" s="1689"/>
      <c r="X207" s="1689"/>
      <c r="Y207" s="1690"/>
      <c r="Z207" s="1690"/>
      <c r="AA207" s="1690"/>
      <c r="AB207" s="1690"/>
      <c r="AC207" s="1690"/>
      <c r="AD207" s="1690"/>
      <c r="AE207" s="1690"/>
      <c r="AF207" s="1690"/>
      <c r="AG207" s="1690"/>
      <c r="AH207" s="1690"/>
      <c r="AI207" s="1690"/>
      <c r="AJ207" s="1690"/>
      <c r="AK207" s="1690"/>
      <c r="AL207" s="1690"/>
      <c r="AM207" s="1690"/>
      <c r="AN207" s="1690"/>
      <c r="AO207" s="1690"/>
      <c r="AP207" s="1690"/>
      <c r="AQ207" s="1690"/>
      <c r="AR207" s="1690"/>
      <c r="AS207" s="1690"/>
      <c r="AT207" s="1690"/>
    </row>
    <row r="208">
      <c r="A208" s="1419"/>
      <c r="B208" s="1684"/>
      <c r="C208" s="1685"/>
      <c r="D208" s="1685"/>
      <c r="E208" s="1691"/>
      <c r="F208" s="1691"/>
      <c r="G208" s="1691"/>
      <c r="H208" s="1691"/>
      <c r="I208" s="1691"/>
      <c r="J208" s="1691"/>
      <c r="K208" s="1691"/>
      <c r="L208" s="1691"/>
      <c r="M208" s="1691"/>
      <c r="N208" s="1691"/>
      <c r="O208" s="1691"/>
      <c r="P208" s="1691"/>
      <c r="Q208" s="1691"/>
      <c r="R208" s="1691"/>
      <c r="S208" s="1691"/>
      <c r="T208" s="1691"/>
      <c r="U208" s="1691"/>
      <c r="V208" s="1691"/>
      <c r="W208" s="1691"/>
      <c r="X208" s="1691"/>
      <c r="Y208" s="1686"/>
      <c r="Z208" s="1686"/>
      <c r="AA208" s="1686"/>
      <c r="AB208" s="1686"/>
      <c r="AC208" s="1686"/>
      <c r="AD208" s="1686"/>
      <c r="AE208" s="1686"/>
      <c r="AF208" s="1686"/>
      <c r="AG208" s="1686"/>
      <c r="AH208" s="1686"/>
      <c r="AI208" s="1686"/>
      <c r="AJ208" s="1686"/>
      <c r="AK208" s="1686"/>
      <c r="AL208" s="1686"/>
      <c r="AM208" s="1686"/>
      <c r="AN208" s="1686"/>
      <c r="AO208" s="1686"/>
      <c r="AP208" s="1686"/>
      <c r="AQ208" s="1686"/>
      <c r="AR208" s="1686"/>
      <c r="AS208" s="1686"/>
      <c r="AT208" s="1686"/>
    </row>
    <row r="209">
      <c r="A209" s="1419"/>
      <c r="B209" s="1687"/>
      <c r="C209" s="1688"/>
      <c r="D209" s="1688"/>
      <c r="E209" s="1689"/>
      <c r="F209" s="1689"/>
      <c r="G209" s="1689"/>
      <c r="H209" s="1689"/>
      <c r="I209" s="1689"/>
      <c r="J209" s="1689"/>
      <c r="K209" s="1689"/>
      <c r="L209" s="1689"/>
      <c r="M209" s="1689"/>
      <c r="N209" s="1689"/>
      <c r="O209" s="1689"/>
      <c r="P209" s="1689"/>
      <c r="Q209" s="1689"/>
      <c r="R209" s="1689"/>
      <c r="S209" s="1689"/>
      <c r="T209" s="1689"/>
      <c r="U209" s="1689"/>
      <c r="V209" s="1689"/>
      <c r="W209" s="1689"/>
      <c r="X209" s="1689"/>
      <c r="Y209" s="1690"/>
      <c r="Z209" s="1690"/>
      <c r="AA209" s="1690"/>
      <c r="AB209" s="1690"/>
      <c r="AC209" s="1690"/>
      <c r="AD209" s="1690"/>
      <c r="AE209" s="1690"/>
      <c r="AF209" s="1690"/>
      <c r="AG209" s="1690"/>
      <c r="AH209" s="1690"/>
      <c r="AI209" s="1690"/>
      <c r="AJ209" s="1690"/>
      <c r="AK209" s="1690"/>
      <c r="AL209" s="1690"/>
      <c r="AM209" s="1690"/>
      <c r="AN209" s="1690"/>
      <c r="AO209" s="1690"/>
      <c r="AP209" s="1690"/>
      <c r="AQ209" s="1690"/>
      <c r="AR209" s="1690"/>
      <c r="AS209" s="1690"/>
      <c r="AT209" s="1690"/>
    </row>
    <row r="210">
      <c r="A210" s="1419"/>
      <c r="B210" s="1684"/>
      <c r="C210" s="1685"/>
      <c r="D210" s="1685"/>
      <c r="E210" s="1686"/>
      <c r="F210" s="1686"/>
      <c r="G210" s="1686"/>
      <c r="H210" s="1686"/>
      <c r="I210" s="1686"/>
      <c r="J210" s="1686"/>
      <c r="K210" s="1686"/>
      <c r="L210" s="1686"/>
      <c r="M210" s="1686"/>
      <c r="N210" s="1686"/>
      <c r="O210" s="1686"/>
      <c r="P210" s="1686"/>
      <c r="Q210" s="1686"/>
      <c r="R210" s="1686"/>
      <c r="S210" s="1686"/>
      <c r="T210" s="1686"/>
      <c r="U210" s="1686"/>
      <c r="V210" s="1686"/>
      <c r="W210" s="1686"/>
      <c r="X210" s="1686"/>
      <c r="Y210" s="1686"/>
      <c r="Z210" s="1686"/>
      <c r="AA210" s="1686"/>
      <c r="AB210" s="1686"/>
      <c r="AC210" s="1686"/>
      <c r="AD210" s="1686"/>
      <c r="AE210" s="1686"/>
      <c r="AF210" s="1686"/>
      <c r="AG210" s="1686"/>
      <c r="AH210" s="1686"/>
      <c r="AI210" s="1686"/>
      <c r="AJ210" s="1686"/>
      <c r="AK210" s="1686"/>
      <c r="AL210" s="1686"/>
      <c r="AM210" s="1686"/>
      <c r="AN210" s="1686"/>
      <c r="AO210" s="1686"/>
      <c r="AP210" s="1686"/>
      <c r="AQ210" s="1686"/>
      <c r="AR210" s="1686"/>
      <c r="AS210" s="1686"/>
      <c r="AT210" s="1686"/>
    </row>
    <row r="211">
      <c r="A211" s="1419"/>
      <c r="B211" s="1687"/>
      <c r="C211" s="1688"/>
      <c r="D211" s="1688"/>
      <c r="E211" s="1689"/>
      <c r="F211" s="1689"/>
      <c r="G211" s="1689"/>
      <c r="H211" s="1689"/>
      <c r="I211" s="1689"/>
      <c r="J211" s="1689"/>
      <c r="K211" s="1689"/>
      <c r="L211" s="1689"/>
      <c r="M211" s="1689"/>
      <c r="N211" s="1689"/>
      <c r="O211" s="1689"/>
      <c r="P211" s="1689"/>
      <c r="Q211" s="1689"/>
      <c r="R211" s="1689"/>
      <c r="S211" s="1689"/>
      <c r="T211" s="1689"/>
      <c r="U211" s="1689"/>
      <c r="V211" s="1689"/>
      <c r="W211" s="1689"/>
      <c r="X211" s="1689"/>
      <c r="Y211" s="1690"/>
      <c r="Z211" s="1690"/>
      <c r="AA211" s="1690"/>
      <c r="AB211" s="1690"/>
      <c r="AC211" s="1690"/>
      <c r="AD211" s="1690"/>
      <c r="AE211" s="1690"/>
      <c r="AF211" s="1690"/>
      <c r="AG211" s="1690"/>
      <c r="AH211" s="1690"/>
      <c r="AI211" s="1690"/>
      <c r="AJ211" s="1690"/>
      <c r="AK211" s="1690"/>
      <c r="AL211" s="1690"/>
      <c r="AM211" s="1690"/>
      <c r="AN211" s="1690"/>
      <c r="AO211" s="1690"/>
      <c r="AP211" s="1690"/>
      <c r="AQ211" s="1690"/>
      <c r="AR211" s="1690"/>
      <c r="AS211" s="1690"/>
      <c r="AT211" s="1690"/>
    </row>
    <row r="212">
      <c r="A212" s="1419"/>
      <c r="B212" s="1684"/>
      <c r="C212" s="1685"/>
      <c r="D212" s="1685"/>
      <c r="E212" s="1691"/>
      <c r="F212" s="1691"/>
      <c r="G212" s="1691"/>
      <c r="H212" s="1691"/>
      <c r="I212" s="1691"/>
      <c r="J212" s="1691"/>
      <c r="K212" s="1691"/>
      <c r="L212" s="1691"/>
      <c r="M212" s="1691"/>
      <c r="N212" s="1691"/>
      <c r="O212" s="1691"/>
      <c r="P212" s="1691"/>
      <c r="Q212" s="1691"/>
      <c r="R212" s="1691"/>
      <c r="S212" s="1691"/>
      <c r="T212" s="1691"/>
      <c r="U212" s="1691"/>
      <c r="V212" s="1691"/>
      <c r="W212" s="1691"/>
      <c r="X212" s="1691"/>
      <c r="Y212" s="1686"/>
      <c r="Z212" s="1686"/>
      <c r="AA212" s="1686"/>
      <c r="AB212" s="1686"/>
      <c r="AC212" s="1686"/>
      <c r="AD212" s="1686"/>
      <c r="AE212" s="1686"/>
      <c r="AF212" s="1686"/>
      <c r="AG212" s="1686"/>
      <c r="AH212" s="1686"/>
      <c r="AI212" s="1686"/>
      <c r="AJ212" s="1686"/>
      <c r="AK212" s="1686"/>
      <c r="AL212" s="1686"/>
      <c r="AM212" s="1686"/>
      <c r="AN212" s="1686"/>
      <c r="AO212" s="1686"/>
      <c r="AP212" s="1686"/>
      <c r="AQ212" s="1686"/>
      <c r="AR212" s="1686"/>
      <c r="AS212" s="1686"/>
      <c r="AT212" s="1686"/>
    </row>
    <row r="213">
      <c r="A213" s="1419"/>
      <c r="B213" s="1687"/>
      <c r="C213" s="1688"/>
      <c r="D213" s="1688"/>
      <c r="E213" s="1690"/>
      <c r="F213" s="1690"/>
      <c r="G213" s="1690"/>
      <c r="H213" s="1690"/>
      <c r="I213" s="1690"/>
      <c r="J213" s="1690"/>
      <c r="K213" s="1690"/>
      <c r="L213" s="1690"/>
      <c r="M213" s="1690"/>
      <c r="N213" s="1690"/>
      <c r="O213" s="1690"/>
      <c r="P213" s="1690"/>
      <c r="Q213" s="1690"/>
      <c r="R213" s="1690"/>
      <c r="S213" s="1690"/>
      <c r="T213" s="1690"/>
      <c r="U213" s="1690"/>
      <c r="V213" s="1690"/>
      <c r="W213" s="1690"/>
      <c r="X213" s="1690"/>
      <c r="Y213" s="1690"/>
      <c r="Z213" s="1690"/>
      <c r="AA213" s="1690"/>
      <c r="AB213" s="1690"/>
      <c r="AC213" s="1690"/>
      <c r="AD213" s="1690"/>
      <c r="AE213" s="1690"/>
      <c r="AF213" s="1690"/>
      <c r="AG213" s="1690"/>
      <c r="AH213" s="1690"/>
      <c r="AI213" s="1690"/>
      <c r="AJ213" s="1690"/>
      <c r="AK213" s="1690"/>
      <c r="AL213" s="1690"/>
      <c r="AM213" s="1690"/>
      <c r="AN213" s="1690"/>
      <c r="AO213" s="1690"/>
      <c r="AP213" s="1690"/>
      <c r="AQ213" s="1690"/>
      <c r="AR213" s="1690"/>
      <c r="AS213" s="1690"/>
      <c r="AT213" s="1690"/>
    </row>
    <row r="214">
      <c r="A214" s="1419"/>
      <c r="B214" s="1684"/>
      <c r="C214" s="1685"/>
      <c r="D214" s="1685"/>
      <c r="E214" s="1686"/>
      <c r="F214" s="1686"/>
      <c r="G214" s="1686"/>
      <c r="H214" s="1686"/>
      <c r="I214" s="1686"/>
      <c r="J214" s="1686"/>
      <c r="K214" s="1686"/>
      <c r="L214" s="1686"/>
      <c r="M214" s="1686"/>
      <c r="N214" s="1686"/>
      <c r="O214" s="1686"/>
      <c r="P214" s="1686"/>
      <c r="Q214" s="1686"/>
      <c r="R214" s="1686"/>
      <c r="S214" s="1686"/>
      <c r="T214" s="1686"/>
      <c r="U214" s="1686"/>
      <c r="V214" s="1686"/>
      <c r="W214" s="1686"/>
      <c r="X214" s="1686"/>
      <c r="Y214" s="1686"/>
      <c r="Z214" s="1686"/>
      <c r="AA214" s="1686"/>
      <c r="AB214" s="1686"/>
      <c r="AC214" s="1686"/>
      <c r="AD214" s="1686"/>
      <c r="AE214" s="1686"/>
      <c r="AF214" s="1686"/>
      <c r="AG214" s="1686"/>
      <c r="AH214" s="1686"/>
      <c r="AI214" s="1686"/>
      <c r="AJ214" s="1686"/>
      <c r="AK214" s="1686"/>
      <c r="AL214" s="1686"/>
      <c r="AM214" s="1686"/>
      <c r="AN214" s="1686"/>
      <c r="AO214" s="1686"/>
      <c r="AP214" s="1686"/>
      <c r="AQ214" s="1686"/>
      <c r="AR214" s="1686"/>
      <c r="AS214" s="1686"/>
      <c r="AT214" s="1686"/>
    </row>
    <row r="215">
      <c r="A215" s="1419"/>
      <c r="B215" s="1687"/>
      <c r="C215" s="1688"/>
      <c r="D215" s="1688"/>
      <c r="E215" s="1689"/>
      <c r="F215" s="1689"/>
      <c r="G215" s="1689"/>
      <c r="H215" s="1689"/>
      <c r="I215" s="1689"/>
      <c r="J215" s="1689"/>
      <c r="K215" s="1689"/>
      <c r="L215" s="1689"/>
      <c r="M215" s="1689"/>
      <c r="N215" s="1689"/>
      <c r="O215" s="1689"/>
      <c r="P215" s="1689"/>
      <c r="Q215" s="1689"/>
      <c r="R215" s="1689"/>
      <c r="S215" s="1689"/>
      <c r="T215" s="1689"/>
      <c r="U215" s="1689"/>
      <c r="V215" s="1689"/>
      <c r="W215" s="1689"/>
      <c r="X215" s="1689"/>
      <c r="Y215" s="1690"/>
      <c r="Z215" s="1690"/>
      <c r="AA215" s="1690"/>
      <c r="AB215" s="1690"/>
      <c r="AC215" s="1690"/>
      <c r="AD215" s="1690"/>
      <c r="AE215" s="1690"/>
      <c r="AF215" s="1690"/>
      <c r="AG215" s="1690"/>
      <c r="AH215" s="1690"/>
      <c r="AI215" s="1690"/>
      <c r="AJ215" s="1690"/>
      <c r="AK215" s="1690"/>
      <c r="AL215" s="1690"/>
      <c r="AM215" s="1690"/>
      <c r="AN215" s="1690"/>
      <c r="AO215" s="1690"/>
      <c r="AP215" s="1690"/>
      <c r="AQ215" s="1690"/>
      <c r="AR215" s="1690"/>
      <c r="AS215" s="1690"/>
      <c r="AT215" s="1690"/>
    </row>
    <row r="216">
      <c r="A216" s="1419"/>
      <c r="B216" s="1684"/>
      <c r="C216" s="1685"/>
      <c r="D216" s="1685"/>
      <c r="E216" s="1686"/>
      <c r="F216" s="1686"/>
      <c r="G216" s="1686"/>
      <c r="H216" s="1686"/>
      <c r="I216" s="1686"/>
      <c r="J216" s="1686"/>
      <c r="K216" s="1686"/>
      <c r="L216" s="1686"/>
      <c r="M216" s="1686"/>
      <c r="N216" s="1686"/>
      <c r="O216" s="1686"/>
      <c r="P216" s="1686"/>
      <c r="Q216" s="1686"/>
      <c r="R216" s="1686"/>
      <c r="S216" s="1686"/>
      <c r="T216" s="1686"/>
      <c r="U216" s="1686"/>
      <c r="V216" s="1686"/>
      <c r="W216" s="1686"/>
      <c r="X216" s="1686"/>
      <c r="Y216" s="1686"/>
      <c r="Z216" s="1686"/>
      <c r="AA216" s="1686"/>
      <c r="AB216" s="1686"/>
      <c r="AC216" s="1686"/>
      <c r="AD216" s="1686"/>
      <c r="AE216" s="1686"/>
      <c r="AF216" s="1686"/>
      <c r="AG216" s="1686"/>
      <c r="AH216" s="1686"/>
      <c r="AI216" s="1686"/>
      <c r="AJ216" s="1686"/>
      <c r="AK216" s="1686"/>
      <c r="AL216" s="1686"/>
      <c r="AM216" s="1686"/>
      <c r="AN216" s="1686"/>
      <c r="AO216" s="1686"/>
      <c r="AP216" s="1686"/>
      <c r="AQ216" s="1686"/>
      <c r="AR216" s="1686"/>
      <c r="AS216" s="1686"/>
      <c r="AT216" s="1686"/>
    </row>
    <row r="217">
      <c r="A217" s="1419"/>
      <c r="B217" s="1687"/>
      <c r="C217" s="1688"/>
      <c r="D217" s="1688"/>
      <c r="E217" s="1690"/>
      <c r="F217" s="1690"/>
      <c r="G217" s="1690"/>
      <c r="H217" s="1690"/>
      <c r="I217" s="1690"/>
      <c r="J217" s="1690"/>
      <c r="K217" s="1690"/>
      <c r="L217" s="1690"/>
      <c r="M217" s="1690"/>
      <c r="N217" s="1690"/>
      <c r="O217" s="1690"/>
      <c r="P217" s="1690"/>
      <c r="Q217" s="1690"/>
      <c r="R217" s="1690"/>
      <c r="S217" s="1690"/>
      <c r="T217" s="1690"/>
      <c r="U217" s="1690"/>
      <c r="V217" s="1690"/>
      <c r="W217" s="1690"/>
      <c r="X217" s="1690"/>
      <c r="Y217" s="1690"/>
      <c r="Z217" s="1690"/>
      <c r="AA217" s="1690"/>
      <c r="AB217" s="1690"/>
      <c r="AC217" s="1690"/>
      <c r="AD217" s="1690"/>
      <c r="AE217" s="1690"/>
      <c r="AF217" s="1690"/>
      <c r="AG217" s="1690"/>
      <c r="AH217" s="1690"/>
      <c r="AI217" s="1690"/>
      <c r="AJ217" s="1690"/>
      <c r="AK217" s="1690"/>
      <c r="AL217" s="1690"/>
      <c r="AM217" s="1690"/>
      <c r="AN217" s="1690"/>
      <c r="AO217" s="1690"/>
      <c r="AP217" s="1690"/>
      <c r="AQ217" s="1690"/>
      <c r="AR217" s="1690"/>
      <c r="AS217" s="1690"/>
      <c r="AT217" s="1690"/>
    </row>
    <row r="218">
      <c r="A218" s="1419"/>
      <c r="B218" s="1684"/>
      <c r="C218" s="1685"/>
      <c r="D218" s="1685"/>
      <c r="E218" s="1691"/>
      <c r="F218" s="1691"/>
      <c r="G218" s="1691"/>
      <c r="H218" s="1691"/>
      <c r="I218" s="1691"/>
      <c r="J218" s="1691"/>
      <c r="K218" s="1691"/>
      <c r="L218" s="1691"/>
      <c r="M218" s="1691"/>
      <c r="N218" s="1691"/>
      <c r="O218" s="1691"/>
      <c r="P218" s="1691"/>
      <c r="Q218" s="1691"/>
      <c r="R218" s="1691"/>
      <c r="S218" s="1691"/>
      <c r="T218" s="1691"/>
      <c r="U218" s="1691"/>
      <c r="V218" s="1691"/>
      <c r="W218" s="1691"/>
      <c r="X218" s="1691"/>
      <c r="Y218" s="1686"/>
      <c r="Z218" s="1686"/>
      <c r="AA218" s="1686"/>
      <c r="AB218" s="1686"/>
      <c r="AC218" s="1686"/>
      <c r="AD218" s="1686"/>
      <c r="AE218" s="1686"/>
      <c r="AF218" s="1686"/>
      <c r="AG218" s="1686"/>
      <c r="AH218" s="1686"/>
      <c r="AI218" s="1686"/>
      <c r="AJ218" s="1686"/>
      <c r="AK218" s="1686"/>
      <c r="AL218" s="1686"/>
      <c r="AM218" s="1686"/>
      <c r="AN218" s="1686"/>
      <c r="AO218" s="1686"/>
      <c r="AP218" s="1686"/>
      <c r="AQ218" s="1686"/>
      <c r="AR218" s="1686"/>
      <c r="AS218" s="1686"/>
      <c r="AT218" s="1686"/>
    </row>
    <row r="219">
      <c r="A219" s="1419"/>
      <c r="B219" s="1687"/>
      <c r="C219" s="1688"/>
      <c r="D219" s="1688"/>
      <c r="E219" s="1690"/>
      <c r="F219" s="1690"/>
      <c r="G219" s="1690"/>
      <c r="H219" s="1690"/>
      <c r="I219" s="1690"/>
      <c r="J219" s="1690"/>
      <c r="K219" s="1690"/>
      <c r="L219" s="1690"/>
      <c r="M219" s="1690"/>
      <c r="N219" s="1690"/>
      <c r="O219" s="1690"/>
      <c r="P219" s="1690"/>
      <c r="Q219" s="1690"/>
      <c r="R219" s="1690"/>
      <c r="S219" s="1690"/>
      <c r="T219" s="1690"/>
      <c r="U219" s="1690"/>
      <c r="V219" s="1690"/>
      <c r="W219" s="1690"/>
      <c r="X219" s="1690"/>
      <c r="Y219" s="1690"/>
      <c r="Z219" s="1690"/>
      <c r="AA219" s="1690"/>
      <c r="AB219" s="1690"/>
      <c r="AC219" s="1690"/>
      <c r="AD219" s="1690"/>
      <c r="AE219" s="1690"/>
      <c r="AF219" s="1690"/>
      <c r="AG219" s="1690"/>
      <c r="AH219" s="1690"/>
      <c r="AI219" s="1690"/>
      <c r="AJ219" s="1690"/>
      <c r="AK219" s="1690"/>
      <c r="AL219" s="1690"/>
      <c r="AM219" s="1690"/>
      <c r="AN219" s="1690"/>
      <c r="AO219" s="1690"/>
      <c r="AP219" s="1690"/>
      <c r="AQ219" s="1690"/>
      <c r="AR219" s="1690"/>
      <c r="AS219" s="1690"/>
      <c r="AT219" s="1690"/>
    </row>
    <row r="220">
      <c r="A220" s="1419"/>
      <c r="B220" s="1684"/>
      <c r="C220" s="1685"/>
      <c r="D220" s="1685"/>
      <c r="E220" s="1691"/>
      <c r="F220" s="1691"/>
      <c r="G220" s="1691"/>
      <c r="H220" s="1691"/>
      <c r="I220" s="1691"/>
      <c r="J220" s="1691"/>
      <c r="K220" s="1691"/>
      <c r="L220" s="1691"/>
      <c r="M220" s="1691"/>
      <c r="N220" s="1691"/>
      <c r="O220" s="1691"/>
      <c r="P220" s="1691"/>
      <c r="Q220" s="1691"/>
      <c r="R220" s="1691"/>
      <c r="S220" s="1691"/>
      <c r="T220" s="1691"/>
      <c r="U220" s="1691"/>
      <c r="V220" s="1691"/>
      <c r="W220" s="1691"/>
      <c r="X220" s="1691"/>
      <c r="Y220" s="1686"/>
      <c r="Z220" s="1686"/>
      <c r="AA220" s="1686"/>
      <c r="AB220" s="1686"/>
      <c r="AC220" s="1686"/>
      <c r="AD220" s="1686"/>
      <c r="AE220" s="1686"/>
      <c r="AF220" s="1686"/>
      <c r="AG220" s="1686"/>
      <c r="AH220" s="1686"/>
      <c r="AI220" s="1686"/>
      <c r="AJ220" s="1686"/>
      <c r="AK220" s="1686"/>
      <c r="AL220" s="1686"/>
      <c r="AM220" s="1686"/>
      <c r="AN220" s="1686"/>
      <c r="AO220" s="1686"/>
      <c r="AP220" s="1686"/>
      <c r="AQ220" s="1686"/>
      <c r="AR220" s="1686"/>
      <c r="AS220" s="1686"/>
      <c r="AT220" s="1686"/>
    </row>
    <row r="221">
      <c r="A221" s="1419"/>
      <c r="B221" s="1687"/>
      <c r="C221" s="1688"/>
      <c r="D221" s="1688"/>
      <c r="E221" s="1689"/>
      <c r="F221" s="1689"/>
      <c r="G221" s="1689"/>
      <c r="H221" s="1689"/>
      <c r="I221" s="1689"/>
      <c r="J221" s="1689"/>
      <c r="K221" s="1689"/>
      <c r="L221" s="1689"/>
      <c r="M221" s="1689"/>
      <c r="N221" s="1689"/>
      <c r="O221" s="1689"/>
      <c r="P221" s="1689"/>
      <c r="Q221" s="1689"/>
      <c r="R221" s="1689"/>
      <c r="S221" s="1689"/>
      <c r="T221" s="1689"/>
      <c r="U221" s="1689"/>
      <c r="V221" s="1689"/>
      <c r="W221" s="1689"/>
      <c r="X221" s="1689"/>
      <c r="Y221" s="1690"/>
      <c r="Z221" s="1690"/>
      <c r="AA221" s="1690"/>
      <c r="AB221" s="1690"/>
      <c r="AC221" s="1690"/>
      <c r="AD221" s="1690"/>
      <c r="AE221" s="1690"/>
      <c r="AF221" s="1690"/>
      <c r="AG221" s="1690"/>
      <c r="AH221" s="1690"/>
      <c r="AI221" s="1690"/>
      <c r="AJ221" s="1690"/>
      <c r="AK221" s="1690"/>
      <c r="AL221" s="1690"/>
      <c r="AM221" s="1690"/>
      <c r="AN221" s="1690"/>
      <c r="AO221" s="1690"/>
      <c r="AP221" s="1690"/>
      <c r="AQ221" s="1690"/>
      <c r="AR221" s="1690"/>
      <c r="AS221" s="1690"/>
      <c r="AT221" s="1690"/>
    </row>
    <row r="222">
      <c r="A222" s="1419"/>
      <c r="B222" s="1684"/>
      <c r="C222" s="1685"/>
      <c r="D222" s="1685"/>
      <c r="E222" s="1686"/>
      <c r="F222" s="1686"/>
      <c r="G222" s="1686"/>
      <c r="H222" s="1686"/>
      <c r="I222" s="1686"/>
      <c r="J222" s="1686"/>
      <c r="K222" s="1686"/>
      <c r="L222" s="1686"/>
      <c r="M222" s="1686"/>
      <c r="N222" s="1686"/>
      <c r="O222" s="1686"/>
      <c r="P222" s="1686"/>
      <c r="Q222" s="1686"/>
      <c r="R222" s="1686"/>
      <c r="S222" s="1686"/>
      <c r="T222" s="1686"/>
      <c r="U222" s="1686"/>
      <c r="V222" s="1686"/>
      <c r="W222" s="1686"/>
      <c r="X222" s="1686"/>
      <c r="Y222" s="1686"/>
      <c r="Z222" s="1686"/>
      <c r="AA222" s="1686"/>
      <c r="AB222" s="1686"/>
      <c r="AC222" s="1686"/>
      <c r="AD222" s="1686"/>
      <c r="AE222" s="1686"/>
      <c r="AF222" s="1686"/>
      <c r="AG222" s="1686"/>
      <c r="AH222" s="1686"/>
      <c r="AI222" s="1686"/>
      <c r="AJ222" s="1686"/>
      <c r="AK222" s="1686"/>
      <c r="AL222" s="1686"/>
      <c r="AM222" s="1686"/>
      <c r="AN222" s="1686"/>
      <c r="AO222" s="1686"/>
      <c r="AP222" s="1686"/>
      <c r="AQ222" s="1686"/>
      <c r="AR222" s="1686"/>
      <c r="AS222" s="1686"/>
      <c r="AT222" s="1686"/>
    </row>
    <row r="223">
      <c r="A223" s="1419"/>
      <c r="B223" s="1687"/>
      <c r="C223" s="1688"/>
      <c r="D223" s="1688"/>
      <c r="E223" s="1690"/>
      <c r="F223" s="1690"/>
      <c r="G223" s="1690"/>
      <c r="H223" s="1690"/>
      <c r="I223" s="1690"/>
      <c r="J223" s="1690"/>
      <c r="K223" s="1690"/>
      <c r="L223" s="1690"/>
      <c r="M223" s="1690"/>
      <c r="N223" s="1690"/>
      <c r="O223" s="1690"/>
      <c r="P223" s="1690"/>
      <c r="Q223" s="1690"/>
      <c r="R223" s="1690"/>
      <c r="S223" s="1690"/>
      <c r="T223" s="1690"/>
      <c r="U223" s="1690"/>
      <c r="V223" s="1690"/>
      <c r="W223" s="1690"/>
      <c r="X223" s="1690"/>
      <c r="Y223" s="1690"/>
      <c r="Z223" s="1690"/>
      <c r="AA223" s="1690"/>
      <c r="AB223" s="1690"/>
      <c r="AC223" s="1690"/>
      <c r="AD223" s="1690"/>
      <c r="AE223" s="1690"/>
      <c r="AF223" s="1690"/>
      <c r="AG223" s="1690"/>
      <c r="AH223" s="1690"/>
      <c r="AI223" s="1690"/>
      <c r="AJ223" s="1690"/>
      <c r="AK223" s="1690"/>
      <c r="AL223" s="1690"/>
      <c r="AM223" s="1690"/>
      <c r="AN223" s="1690"/>
      <c r="AO223" s="1690"/>
      <c r="AP223" s="1690"/>
      <c r="AQ223" s="1690"/>
      <c r="AR223" s="1690"/>
      <c r="AS223" s="1690"/>
      <c r="AT223" s="1690"/>
    </row>
    <row r="224">
      <c r="A224" s="1419"/>
      <c r="B224" s="1684"/>
      <c r="C224" s="1685"/>
      <c r="D224" s="1685"/>
      <c r="E224" s="1686"/>
      <c r="F224" s="1686"/>
      <c r="G224" s="1686"/>
      <c r="H224" s="1686"/>
      <c r="I224" s="1686"/>
      <c r="J224" s="1686"/>
      <c r="K224" s="1686"/>
      <c r="L224" s="1686"/>
      <c r="M224" s="1686"/>
      <c r="N224" s="1686"/>
      <c r="O224" s="1686"/>
      <c r="P224" s="1686"/>
      <c r="Q224" s="1686"/>
      <c r="R224" s="1686"/>
      <c r="S224" s="1686"/>
      <c r="T224" s="1686"/>
      <c r="U224" s="1686"/>
      <c r="V224" s="1686"/>
      <c r="W224" s="1686"/>
      <c r="X224" s="1686"/>
      <c r="Y224" s="1686"/>
      <c r="Z224" s="1686"/>
      <c r="AA224" s="1686"/>
      <c r="AB224" s="1686"/>
      <c r="AC224" s="1686"/>
      <c r="AD224" s="1686"/>
      <c r="AE224" s="1686"/>
      <c r="AF224" s="1686"/>
      <c r="AG224" s="1686"/>
      <c r="AH224" s="1686"/>
      <c r="AI224" s="1686"/>
      <c r="AJ224" s="1686"/>
      <c r="AK224" s="1686"/>
      <c r="AL224" s="1686"/>
      <c r="AM224" s="1686"/>
      <c r="AN224" s="1686"/>
      <c r="AO224" s="1686"/>
      <c r="AP224" s="1686"/>
      <c r="AQ224" s="1686"/>
      <c r="AR224" s="1686"/>
      <c r="AS224" s="1686"/>
      <c r="AT224" s="1686"/>
    </row>
    <row r="225">
      <c r="A225" s="1419"/>
      <c r="B225" s="1687"/>
      <c r="C225" s="1688"/>
      <c r="D225" s="1688"/>
      <c r="E225" s="1690"/>
      <c r="F225" s="1690"/>
      <c r="G225" s="1690"/>
      <c r="H225" s="1690"/>
      <c r="I225" s="1690"/>
      <c r="J225" s="1690"/>
      <c r="K225" s="1690"/>
      <c r="L225" s="1690"/>
      <c r="M225" s="1690"/>
      <c r="N225" s="1690"/>
      <c r="O225" s="1690"/>
      <c r="P225" s="1690"/>
      <c r="Q225" s="1690"/>
      <c r="R225" s="1690"/>
      <c r="S225" s="1690"/>
      <c r="T225" s="1690"/>
      <c r="U225" s="1690"/>
      <c r="V225" s="1690"/>
      <c r="W225" s="1690"/>
      <c r="X225" s="1690"/>
      <c r="Y225" s="1690"/>
      <c r="Z225" s="1690"/>
      <c r="AA225" s="1690"/>
      <c r="AB225" s="1690"/>
      <c r="AC225" s="1690"/>
      <c r="AD225" s="1690"/>
      <c r="AE225" s="1690"/>
      <c r="AF225" s="1690"/>
      <c r="AG225" s="1690"/>
      <c r="AH225" s="1690"/>
      <c r="AI225" s="1690"/>
      <c r="AJ225" s="1690"/>
      <c r="AK225" s="1690"/>
      <c r="AL225" s="1690"/>
      <c r="AM225" s="1690"/>
      <c r="AN225" s="1690"/>
      <c r="AO225" s="1690"/>
      <c r="AP225" s="1690"/>
      <c r="AQ225" s="1690"/>
      <c r="AR225" s="1690"/>
      <c r="AS225" s="1690"/>
      <c r="AT225" s="1690"/>
    </row>
    <row r="226">
      <c r="A226" s="1419"/>
      <c r="B226" s="1684"/>
      <c r="C226" s="1685"/>
      <c r="D226" s="1685"/>
      <c r="E226" s="1691"/>
      <c r="F226" s="1691"/>
      <c r="G226" s="1691"/>
      <c r="H226" s="1691"/>
      <c r="I226" s="1691"/>
      <c r="J226" s="1691"/>
      <c r="K226" s="1691"/>
      <c r="L226" s="1691"/>
      <c r="M226" s="1691"/>
      <c r="N226" s="1691"/>
      <c r="O226" s="1691"/>
      <c r="P226" s="1691"/>
      <c r="Q226" s="1691"/>
      <c r="R226" s="1691"/>
      <c r="S226" s="1691"/>
      <c r="T226" s="1691"/>
      <c r="U226" s="1691"/>
      <c r="V226" s="1691"/>
      <c r="W226" s="1691"/>
      <c r="X226" s="1691"/>
      <c r="Y226" s="1686"/>
      <c r="Z226" s="1686"/>
      <c r="AA226" s="1686"/>
      <c r="AB226" s="1686"/>
      <c r="AC226" s="1686"/>
      <c r="AD226" s="1686"/>
      <c r="AE226" s="1686"/>
      <c r="AF226" s="1686"/>
      <c r="AG226" s="1686"/>
      <c r="AH226" s="1686"/>
      <c r="AI226" s="1686"/>
      <c r="AJ226" s="1686"/>
      <c r="AK226" s="1686"/>
      <c r="AL226" s="1686"/>
      <c r="AM226" s="1686"/>
      <c r="AN226" s="1686"/>
      <c r="AO226" s="1686"/>
      <c r="AP226" s="1686"/>
      <c r="AQ226" s="1686"/>
      <c r="AR226" s="1686"/>
      <c r="AS226" s="1686"/>
      <c r="AT226" s="1686"/>
    </row>
    <row r="227">
      <c r="A227" s="1419"/>
      <c r="B227" s="1687"/>
      <c r="C227" s="1688"/>
      <c r="D227" s="1688"/>
      <c r="E227" s="1690"/>
      <c r="F227" s="1690"/>
      <c r="G227" s="1690"/>
      <c r="H227" s="1690"/>
      <c r="I227" s="1690"/>
      <c r="J227" s="1690"/>
      <c r="K227" s="1690"/>
      <c r="L227" s="1690"/>
      <c r="M227" s="1690"/>
      <c r="N227" s="1690"/>
      <c r="O227" s="1690"/>
      <c r="P227" s="1690"/>
      <c r="Q227" s="1690"/>
      <c r="R227" s="1690"/>
      <c r="S227" s="1690"/>
      <c r="T227" s="1690"/>
      <c r="U227" s="1690"/>
      <c r="V227" s="1690"/>
      <c r="W227" s="1690"/>
      <c r="X227" s="1690"/>
      <c r="Y227" s="1690"/>
      <c r="Z227" s="1690"/>
      <c r="AA227" s="1690"/>
      <c r="AB227" s="1690"/>
      <c r="AC227" s="1690"/>
      <c r="AD227" s="1690"/>
      <c r="AE227" s="1690"/>
      <c r="AF227" s="1690"/>
      <c r="AG227" s="1690"/>
      <c r="AH227" s="1690"/>
      <c r="AI227" s="1690"/>
      <c r="AJ227" s="1690"/>
      <c r="AK227" s="1690"/>
      <c r="AL227" s="1690"/>
      <c r="AM227" s="1690"/>
      <c r="AN227" s="1690"/>
      <c r="AO227" s="1690"/>
      <c r="AP227" s="1690"/>
      <c r="AQ227" s="1690"/>
      <c r="AR227" s="1690"/>
      <c r="AS227" s="1690"/>
      <c r="AT227" s="1690"/>
    </row>
    <row r="228">
      <c r="A228" s="1419"/>
      <c r="B228" s="1684"/>
      <c r="C228" s="1685"/>
      <c r="D228" s="1685"/>
      <c r="E228" s="1691"/>
      <c r="F228" s="1691"/>
      <c r="G228" s="1691"/>
      <c r="H228" s="1691"/>
      <c r="I228" s="1691"/>
      <c r="J228" s="1691"/>
      <c r="K228" s="1691"/>
      <c r="L228" s="1691"/>
      <c r="M228" s="1691"/>
      <c r="N228" s="1691"/>
      <c r="O228" s="1691"/>
      <c r="P228" s="1691"/>
      <c r="Q228" s="1691"/>
      <c r="R228" s="1691"/>
      <c r="S228" s="1691"/>
      <c r="T228" s="1691"/>
      <c r="U228" s="1691"/>
      <c r="V228" s="1691"/>
      <c r="W228" s="1691"/>
      <c r="X228" s="1691"/>
      <c r="Y228" s="1686"/>
      <c r="Z228" s="1686"/>
      <c r="AA228" s="1686"/>
      <c r="AB228" s="1686"/>
      <c r="AC228" s="1686"/>
      <c r="AD228" s="1686"/>
      <c r="AE228" s="1686"/>
      <c r="AF228" s="1686"/>
      <c r="AG228" s="1686"/>
      <c r="AH228" s="1686"/>
      <c r="AI228" s="1686"/>
      <c r="AJ228" s="1686"/>
      <c r="AK228" s="1686"/>
      <c r="AL228" s="1686"/>
      <c r="AM228" s="1686"/>
      <c r="AN228" s="1686"/>
      <c r="AO228" s="1686"/>
      <c r="AP228" s="1686"/>
      <c r="AQ228" s="1686"/>
      <c r="AR228" s="1686"/>
      <c r="AS228" s="1686"/>
      <c r="AT228" s="1686"/>
    </row>
    <row r="229">
      <c r="A229" s="1419"/>
      <c r="B229" s="1687"/>
      <c r="C229" s="1688"/>
      <c r="D229" s="1688"/>
      <c r="E229" s="1689"/>
      <c r="F229" s="1689"/>
      <c r="G229" s="1689"/>
      <c r="H229" s="1689"/>
      <c r="I229" s="1689"/>
      <c r="J229" s="1689"/>
      <c r="K229" s="1689"/>
      <c r="L229" s="1689"/>
      <c r="M229" s="1689"/>
      <c r="N229" s="1689"/>
      <c r="O229" s="1689"/>
      <c r="P229" s="1689"/>
      <c r="Q229" s="1689"/>
      <c r="R229" s="1689"/>
      <c r="S229" s="1689"/>
      <c r="T229" s="1689"/>
      <c r="U229" s="1689"/>
      <c r="V229" s="1689"/>
      <c r="W229" s="1689"/>
      <c r="X229" s="1689"/>
      <c r="Y229" s="1690"/>
      <c r="Z229" s="1690"/>
      <c r="AA229" s="1690"/>
      <c r="AB229" s="1690"/>
      <c r="AC229" s="1690"/>
      <c r="AD229" s="1690"/>
      <c r="AE229" s="1690"/>
      <c r="AF229" s="1690"/>
      <c r="AG229" s="1690"/>
      <c r="AH229" s="1690"/>
      <c r="AI229" s="1690"/>
      <c r="AJ229" s="1690"/>
      <c r="AK229" s="1690"/>
      <c r="AL229" s="1690"/>
      <c r="AM229" s="1690"/>
      <c r="AN229" s="1690"/>
      <c r="AO229" s="1690"/>
      <c r="AP229" s="1690"/>
      <c r="AQ229" s="1690"/>
      <c r="AR229" s="1690"/>
      <c r="AS229" s="1690"/>
      <c r="AT229" s="1690"/>
    </row>
    <row r="230">
      <c r="A230" s="1419"/>
      <c r="B230" s="1684"/>
      <c r="C230" s="1685"/>
      <c r="D230" s="1685"/>
      <c r="E230" s="1691"/>
      <c r="F230" s="1691"/>
      <c r="G230" s="1691"/>
      <c r="H230" s="1691"/>
      <c r="I230" s="1691"/>
      <c r="J230" s="1691"/>
      <c r="K230" s="1691"/>
      <c r="L230" s="1691"/>
      <c r="M230" s="1691"/>
      <c r="N230" s="1691"/>
      <c r="O230" s="1691"/>
      <c r="P230" s="1691"/>
      <c r="Q230" s="1691"/>
      <c r="R230" s="1691"/>
      <c r="S230" s="1691"/>
      <c r="T230" s="1691"/>
      <c r="U230" s="1691"/>
      <c r="V230" s="1691"/>
      <c r="W230" s="1691"/>
      <c r="X230" s="1691"/>
      <c r="Y230" s="1686"/>
      <c r="Z230" s="1686"/>
      <c r="AA230" s="1686"/>
      <c r="AB230" s="1686"/>
      <c r="AC230" s="1686"/>
      <c r="AD230" s="1686"/>
      <c r="AE230" s="1686"/>
      <c r="AF230" s="1686"/>
      <c r="AG230" s="1686"/>
      <c r="AH230" s="1686"/>
      <c r="AI230" s="1686"/>
      <c r="AJ230" s="1686"/>
      <c r="AK230" s="1686"/>
      <c r="AL230" s="1686"/>
      <c r="AM230" s="1686"/>
      <c r="AN230" s="1686"/>
      <c r="AO230" s="1686"/>
      <c r="AP230" s="1686"/>
      <c r="AQ230" s="1686"/>
      <c r="AR230" s="1686"/>
      <c r="AS230" s="1686"/>
      <c r="AT230" s="1686"/>
    </row>
    <row r="231">
      <c r="A231" s="1419"/>
      <c r="B231" s="1687"/>
      <c r="C231" s="1688"/>
      <c r="D231" s="1688"/>
      <c r="E231" s="1690"/>
      <c r="F231" s="1690"/>
      <c r="G231" s="1690"/>
      <c r="H231" s="1690"/>
      <c r="I231" s="1690"/>
      <c r="J231" s="1690"/>
      <c r="K231" s="1690"/>
      <c r="L231" s="1690"/>
      <c r="M231" s="1690"/>
      <c r="N231" s="1690"/>
      <c r="O231" s="1690"/>
      <c r="P231" s="1690"/>
      <c r="Q231" s="1690"/>
      <c r="R231" s="1690"/>
      <c r="S231" s="1690"/>
      <c r="T231" s="1690"/>
      <c r="U231" s="1690"/>
      <c r="V231" s="1690"/>
      <c r="W231" s="1690"/>
      <c r="X231" s="1690"/>
      <c r="Y231" s="1690"/>
      <c r="Z231" s="1690"/>
      <c r="AA231" s="1690"/>
      <c r="AB231" s="1690"/>
      <c r="AC231" s="1690"/>
      <c r="AD231" s="1690"/>
      <c r="AE231" s="1690"/>
      <c r="AF231" s="1690"/>
      <c r="AG231" s="1690"/>
      <c r="AH231" s="1690"/>
      <c r="AI231" s="1690"/>
      <c r="AJ231" s="1690"/>
      <c r="AK231" s="1690"/>
      <c r="AL231" s="1690"/>
      <c r="AM231" s="1690"/>
      <c r="AN231" s="1690"/>
      <c r="AO231" s="1690"/>
      <c r="AP231" s="1690"/>
      <c r="AQ231" s="1690"/>
      <c r="AR231" s="1690"/>
      <c r="AS231" s="1690"/>
      <c r="AT231" s="1690"/>
    </row>
    <row r="232">
      <c r="A232" s="1419"/>
      <c r="B232" s="1684"/>
      <c r="C232" s="1685"/>
      <c r="D232" s="1685"/>
      <c r="E232" s="1691"/>
      <c r="F232" s="1691"/>
      <c r="G232" s="1691"/>
      <c r="H232" s="1691"/>
      <c r="I232" s="1691"/>
      <c r="J232" s="1691"/>
      <c r="K232" s="1691"/>
      <c r="L232" s="1691"/>
      <c r="M232" s="1691"/>
      <c r="N232" s="1691"/>
      <c r="O232" s="1691"/>
      <c r="P232" s="1691"/>
      <c r="Q232" s="1691"/>
      <c r="R232" s="1691"/>
      <c r="S232" s="1691"/>
      <c r="T232" s="1691"/>
      <c r="U232" s="1691"/>
      <c r="V232" s="1691"/>
      <c r="W232" s="1691"/>
      <c r="X232" s="1691"/>
      <c r="Y232" s="1686"/>
      <c r="Z232" s="1686"/>
      <c r="AA232" s="1686"/>
      <c r="AB232" s="1686"/>
      <c r="AC232" s="1686"/>
      <c r="AD232" s="1686"/>
      <c r="AE232" s="1686"/>
      <c r="AF232" s="1686"/>
      <c r="AG232" s="1686"/>
      <c r="AH232" s="1686"/>
      <c r="AI232" s="1686"/>
      <c r="AJ232" s="1686"/>
      <c r="AK232" s="1686"/>
      <c r="AL232" s="1686"/>
      <c r="AM232" s="1686"/>
      <c r="AN232" s="1686"/>
      <c r="AO232" s="1686"/>
      <c r="AP232" s="1686"/>
      <c r="AQ232" s="1686"/>
      <c r="AR232" s="1686"/>
      <c r="AS232" s="1686"/>
      <c r="AT232" s="1686"/>
    </row>
    <row r="233">
      <c r="A233" s="1419"/>
      <c r="B233" s="1687"/>
      <c r="C233" s="1688"/>
      <c r="D233" s="1688"/>
      <c r="E233" s="1690"/>
      <c r="F233" s="1690"/>
      <c r="G233" s="1690"/>
      <c r="H233" s="1690"/>
      <c r="I233" s="1690"/>
      <c r="J233" s="1690"/>
      <c r="K233" s="1690"/>
      <c r="L233" s="1690"/>
      <c r="M233" s="1690"/>
      <c r="N233" s="1690"/>
      <c r="O233" s="1690"/>
      <c r="P233" s="1690"/>
      <c r="Q233" s="1690"/>
      <c r="R233" s="1690"/>
      <c r="S233" s="1690"/>
      <c r="T233" s="1690"/>
      <c r="U233" s="1690"/>
      <c r="V233" s="1690"/>
      <c r="W233" s="1690"/>
      <c r="X233" s="1690"/>
      <c r="Y233" s="1690"/>
      <c r="Z233" s="1690"/>
      <c r="AA233" s="1690"/>
      <c r="AB233" s="1690"/>
      <c r="AC233" s="1690"/>
      <c r="AD233" s="1690"/>
      <c r="AE233" s="1690"/>
      <c r="AF233" s="1690"/>
      <c r="AG233" s="1690"/>
      <c r="AH233" s="1690"/>
      <c r="AI233" s="1690"/>
      <c r="AJ233" s="1690"/>
      <c r="AK233" s="1690"/>
      <c r="AL233" s="1690"/>
      <c r="AM233" s="1690"/>
      <c r="AN233" s="1690"/>
      <c r="AO233" s="1690"/>
      <c r="AP233" s="1690"/>
      <c r="AQ233" s="1690"/>
      <c r="AR233" s="1690"/>
      <c r="AS233" s="1690"/>
      <c r="AT233" s="1690"/>
    </row>
    <row r="234">
      <c r="A234" s="1419"/>
      <c r="B234" s="1684"/>
      <c r="C234" s="1685"/>
      <c r="D234" s="1685"/>
      <c r="E234" s="1686"/>
      <c r="F234" s="1686"/>
      <c r="G234" s="1686"/>
      <c r="H234" s="1686"/>
      <c r="I234" s="1686"/>
      <c r="J234" s="1686"/>
      <c r="K234" s="1686"/>
      <c r="L234" s="1686"/>
      <c r="M234" s="1686"/>
      <c r="N234" s="1686"/>
      <c r="O234" s="1686"/>
      <c r="P234" s="1686"/>
      <c r="Q234" s="1686"/>
      <c r="R234" s="1686"/>
      <c r="S234" s="1686"/>
      <c r="T234" s="1686"/>
      <c r="U234" s="1686"/>
      <c r="V234" s="1686"/>
      <c r="W234" s="1686"/>
      <c r="X234" s="1686"/>
      <c r="Y234" s="1686"/>
      <c r="Z234" s="1686"/>
      <c r="AA234" s="1686"/>
      <c r="AB234" s="1686"/>
      <c r="AC234" s="1686"/>
      <c r="AD234" s="1686"/>
      <c r="AE234" s="1686"/>
      <c r="AF234" s="1686"/>
      <c r="AG234" s="1686"/>
      <c r="AH234" s="1686"/>
      <c r="AI234" s="1686"/>
      <c r="AJ234" s="1686"/>
      <c r="AK234" s="1686"/>
      <c r="AL234" s="1686"/>
      <c r="AM234" s="1686"/>
      <c r="AN234" s="1686"/>
      <c r="AO234" s="1686"/>
      <c r="AP234" s="1686"/>
      <c r="AQ234" s="1686"/>
      <c r="AR234" s="1686"/>
      <c r="AS234" s="1686"/>
      <c r="AT234" s="1686"/>
    </row>
    <row r="235">
      <c r="A235" s="1419"/>
      <c r="B235" s="1687"/>
      <c r="C235" s="1688"/>
      <c r="D235" s="1688"/>
      <c r="E235" s="1689"/>
      <c r="F235" s="1689"/>
      <c r="G235" s="1689"/>
      <c r="H235" s="1689"/>
      <c r="I235" s="1689"/>
      <c r="J235" s="1689"/>
      <c r="K235" s="1689"/>
      <c r="L235" s="1689"/>
      <c r="M235" s="1689"/>
      <c r="N235" s="1689"/>
      <c r="O235" s="1689"/>
      <c r="P235" s="1689"/>
      <c r="Q235" s="1689"/>
      <c r="R235" s="1689"/>
      <c r="S235" s="1689"/>
      <c r="T235" s="1689"/>
      <c r="U235" s="1689"/>
      <c r="V235" s="1689"/>
      <c r="W235" s="1689"/>
      <c r="X235" s="1689"/>
      <c r="Y235" s="1690"/>
      <c r="Z235" s="1690"/>
      <c r="AA235" s="1690"/>
      <c r="AB235" s="1690"/>
      <c r="AC235" s="1690"/>
      <c r="AD235" s="1690"/>
      <c r="AE235" s="1690"/>
      <c r="AF235" s="1690"/>
      <c r="AG235" s="1690"/>
      <c r="AH235" s="1690"/>
      <c r="AI235" s="1690"/>
      <c r="AJ235" s="1690"/>
      <c r="AK235" s="1690"/>
      <c r="AL235" s="1690"/>
      <c r="AM235" s="1690"/>
      <c r="AN235" s="1690"/>
      <c r="AO235" s="1690"/>
      <c r="AP235" s="1690"/>
      <c r="AQ235" s="1690"/>
      <c r="AR235" s="1690"/>
      <c r="AS235" s="1690"/>
      <c r="AT235" s="1690"/>
    </row>
    <row r="236">
      <c r="A236" s="1419"/>
      <c r="B236" s="1684"/>
      <c r="C236" s="1685"/>
      <c r="D236" s="1685"/>
      <c r="E236" s="1686"/>
      <c r="F236" s="1686"/>
      <c r="G236" s="1686"/>
      <c r="H236" s="1686"/>
      <c r="I236" s="1686"/>
      <c r="J236" s="1686"/>
      <c r="K236" s="1686"/>
      <c r="L236" s="1686"/>
      <c r="M236" s="1686"/>
      <c r="N236" s="1686"/>
      <c r="O236" s="1686"/>
      <c r="P236" s="1686"/>
      <c r="Q236" s="1686"/>
      <c r="R236" s="1686"/>
      <c r="S236" s="1686"/>
      <c r="T236" s="1686"/>
      <c r="U236" s="1686"/>
      <c r="V236" s="1686"/>
      <c r="W236" s="1686"/>
      <c r="X236" s="1686"/>
      <c r="Y236" s="1686"/>
      <c r="Z236" s="1686"/>
      <c r="AA236" s="1686"/>
      <c r="AB236" s="1686"/>
      <c r="AC236" s="1686"/>
      <c r="AD236" s="1686"/>
      <c r="AE236" s="1686"/>
      <c r="AF236" s="1686"/>
      <c r="AG236" s="1686"/>
      <c r="AH236" s="1686"/>
      <c r="AI236" s="1686"/>
      <c r="AJ236" s="1686"/>
      <c r="AK236" s="1686"/>
      <c r="AL236" s="1686"/>
      <c r="AM236" s="1686"/>
      <c r="AN236" s="1686"/>
      <c r="AO236" s="1686"/>
      <c r="AP236" s="1686"/>
      <c r="AQ236" s="1686"/>
      <c r="AR236" s="1686"/>
      <c r="AS236" s="1686"/>
      <c r="AT236" s="1686"/>
    </row>
    <row r="237">
      <c r="A237" s="1419"/>
      <c r="B237" s="1687"/>
      <c r="C237" s="1688"/>
      <c r="D237" s="1688"/>
      <c r="E237" s="1690"/>
      <c r="F237" s="1690"/>
      <c r="G237" s="1690"/>
      <c r="H237" s="1690"/>
      <c r="I237" s="1690"/>
      <c r="J237" s="1690"/>
      <c r="K237" s="1690"/>
      <c r="L237" s="1690"/>
      <c r="M237" s="1690"/>
      <c r="N237" s="1690"/>
      <c r="O237" s="1690"/>
      <c r="P237" s="1690"/>
      <c r="Q237" s="1690"/>
      <c r="R237" s="1690"/>
      <c r="S237" s="1690"/>
      <c r="T237" s="1690"/>
      <c r="U237" s="1690"/>
      <c r="V237" s="1690"/>
      <c r="W237" s="1690"/>
      <c r="X237" s="1690"/>
      <c r="Y237" s="1690"/>
      <c r="Z237" s="1690"/>
      <c r="AA237" s="1690"/>
      <c r="AB237" s="1690"/>
      <c r="AC237" s="1690"/>
      <c r="AD237" s="1690"/>
      <c r="AE237" s="1690"/>
      <c r="AF237" s="1690"/>
      <c r="AG237" s="1690"/>
      <c r="AH237" s="1690"/>
      <c r="AI237" s="1690"/>
      <c r="AJ237" s="1690"/>
      <c r="AK237" s="1690"/>
      <c r="AL237" s="1690"/>
      <c r="AM237" s="1690"/>
      <c r="AN237" s="1690"/>
      <c r="AO237" s="1690"/>
      <c r="AP237" s="1690"/>
      <c r="AQ237" s="1690"/>
      <c r="AR237" s="1690"/>
      <c r="AS237" s="1690"/>
      <c r="AT237" s="1690"/>
    </row>
    <row r="238">
      <c r="A238" s="1419"/>
      <c r="B238" s="1684"/>
      <c r="C238" s="1685"/>
      <c r="D238" s="1685"/>
      <c r="E238" s="1691"/>
      <c r="F238" s="1691"/>
      <c r="G238" s="1691"/>
      <c r="H238" s="1691"/>
      <c r="I238" s="1691"/>
      <c r="J238" s="1691"/>
      <c r="K238" s="1691"/>
      <c r="L238" s="1691"/>
      <c r="M238" s="1691"/>
      <c r="N238" s="1691"/>
      <c r="O238" s="1691"/>
      <c r="P238" s="1691"/>
      <c r="Q238" s="1691"/>
      <c r="R238" s="1691"/>
      <c r="S238" s="1691"/>
      <c r="T238" s="1691"/>
      <c r="U238" s="1691"/>
      <c r="V238" s="1691"/>
      <c r="W238" s="1691"/>
      <c r="X238" s="1691"/>
      <c r="Y238" s="1686"/>
      <c r="Z238" s="1686"/>
      <c r="AA238" s="1686"/>
      <c r="AB238" s="1686"/>
      <c r="AC238" s="1686"/>
      <c r="AD238" s="1686"/>
      <c r="AE238" s="1686"/>
      <c r="AF238" s="1686"/>
      <c r="AG238" s="1686"/>
      <c r="AH238" s="1686"/>
      <c r="AI238" s="1686"/>
      <c r="AJ238" s="1686"/>
      <c r="AK238" s="1686"/>
      <c r="AL238" s="1686"/>
      <c r="AM238" s="1686"/>
      <c r="AN238" s="1686"/>
      <c r="AO238" s="1686"/>
      <c r="AP238" s="1686"/>
      <c r="AQ238" s="1686"/>
      <c r="AR238" s="1686"/>
      <c r="AS238" s="1686"/>
      <c r="AT238" s="1686"/>
    </row>
    <row r="239">
      <c r="A239" s="1419"/>
      <c r="B239" s="1687"/>
      <c r="C239" s="1688"/>
      <c r="D239" s="1688"/>
      <c r="E239" s="1689"/>
      <c r="F239" s="1689"/>
      <c r="G239" s="1689"/>
      <c r="H239" s="1689"/>
      <c r="I239" s="1689"/>
      <c r="J239" s="1689"/>
      <c r="K239" s="1689"/>
      <c r="L239" s="1689"/>
      <c r="M239" s="1689"/>
      <c r="N239" s="1689"/>
      <c r="O239" s="1689"/>
      <c r="P239" s="1689"/>
      <c r="Q239" s="1689"/>
      <c r="R239" s="1689"/>
      <c r="S239" s="1689"/>
      <c r="T239" s="1689"/>
      <c r="U239" s="1689"/>
      <c r="V239" s="1689"/>
      <c r="W239" s="1689"/>
      <c r="X239" s="1689"/>
      <c r="Y239" s="1690"/>
      <c r="Z239" s="1690"/>
      <c r="AA239" s="1690"/>
      <c r="AB239" s="1690"/>
      <c r="AC239" s="1690"/>
      <c r="AD239" s="1690"/>
      <c r="AE239" s="1690"/>
      <c r="AF239" s="1690"/>
      <c r="AG239" s="1690"/>
      <c r="AH239" s="1690"/>
      <c r="AI239" s="1690"/>
      <c r="AJ239" s="1690"/>
      <c r="AK239" s="1690"/>
      <c r="AL239" s="1690"/>
      <c r="AM239" s="1690"/>
      <c r="AN239" s="1690"/>
      <c r="AO239" s="1690"/>
      <c r="AP239" s="1690"/>
      <c r="AQ239" s="1690"/>
      <c r="AR239" s="1690"/>
      <c r="AS239" s="1690"/>
      <c r="AT239" s="1690"/>
    </row>
    <row r="240">
      <c r="A240" s="1419"/>
      <c r="B240" s="1684"/>
      <c r="C240" s="1685"/>
      <c r="D240" s="1685"/>
      <c r="E240" s="1686"/>
      <c r="F240" s="1686"/>
      <c r="G240" s="1686"/>
      <c r="H240" s="1686"/>
      <c r="I240" s="1686"/>
      <c r="J240" s="1686"/>
      <c r="K240" s="1686"/>
      <c r="L240" s="1686"/>
      <c r="M240" s="1686"/>
      <c r="N240" s="1686"/>
      <c r="O240" s="1686"/>
      <c r="P240" s="1686"/>
      <c r="Q240" s="1686"/>
      <c r="R240" s="1686"/>
      <c r="S240" s="1686"/>
      <c r="T240" s="1686"/>
      <c r="U240" s="1686"/>
      <c r="V240" s="1686"/>
      <c r="W240" s="1686"/>
      <c r="X240" s="1686"/>
      <c r="Y240" s="1686"/>
      <c r="Z240" s="1686"/>
      <c r="AA240" s="1686"/>
      <c r="AB240" s="1686"/>
      <c r="AC240" s="1686"/>
      <c r="AD240" s="1686"/>
      <c r="AE240" s="1686"/>
      <c r="AF240" s="1686"/>
      <c r="AG240" s="1686"/>
      <c r="AH240" s="1686"/>
      <c r="AI240" s="1686"/>
      <c r="AJ240" s="1686"/>
      <c r="AK240" s="1686"/>
      <c r="AL240" s="1686"/>
      <c r="AM240" s="1686"/>
      <c r="AN240" s="1686"/>
      <c r="AO240" s="1686"/>
      <c r="AP240" s="1686"/>
      <c r="AQ240" s="1686"/>
      <c r="AR240" s="1686"/>
      <c r="AS240" s="1686"/>
      <c r="AT240" s="1686"/>
    </row>
    <row r="241">
      <c r="A241" s="1419"/>
      <c r="B241" s="1687"/>
      <c r="C241" s="1688"/>
      <c r="D241" s="1688"/>
      <c r="E241" s="1690"/>
      <c r="F241" s="1690"/>
      <c r="G241" s="1690"/>
      <c r="H241" s="1690"/>
      <c r="I241" s="1690"/>
      <c r="J241" s="1690"/>
      <c r="K241" s="1690"/>
      <c r="L241" s="1690"/>
      <c r="M241" s="1690"/>
      <c r="N241" s="1690"/>
      <c r="O241" s="1690"/>
      <c r="P241" s="1690"/>
      <c r="Q241" s="1690"/>
      <c r="R241" s="1690"/>
      <c r="S241" s="1690"/>
      <c r="T241" s="1690"/>
      <c r="U241" s="1690"/>
      <c r="V241" s="1690"/>
      <c r="W241" s="1690"/>
      <c r="X241" s="1690"/>
      <c r="Y241" s="1690"/>
      <c r="Z241" s="1690"/>
      <c r="AA241" s="1690"/>
      <c r="AB241" s="1690"/>
      <c r="AC241" s="1690"/>
      <c r="AD241" s="1690"/>
      <c r="AE241" s="1690"/>
      <c r="AF241" s="1690"/>
      <c r="AG241" s="1690"/>
      <c r="AH241" s="1690"/>
      <c r="AI241" s="1690"/>
      <c r="AJ241" s="1690"/>
      <c r="AK241" s="1690"/>
      <c r="AL241" s="1690"/>
      <c r="AM241" s="1690"/>
      <c r="AN241" s="1690"/>
      <c r="AO241" s="1690"/>
      <c r="AP241" s="1690"/>
      <c r="AQ241" s="1690"/>
      <c r="AR241" s="1690"/>
      <c r="AS241" s="1690"/>
      <c r="AT241" s="1690"/>
    </row>
    <row r="242">
      <c r="A242" s="1419"/>
      <c r="B242" s="1684"/>
      <c r="C242" s="1685"/>
      <c r="D242" s="1685"/>
      <c r="E242" s="1686"/>
      <c r="F242" s="1686"/>
      <c r="G242" s="1686"/>
      <c r="H242" s="1686"/>
      <c r="I242" s="1686"/>
      <c r="J242" s="1686"/>
      <c r="K242" s="1686"/>
      <c r="L242" s="1686"/>
      <c r="M242" s="1686"/>
      <c r="N242" s="1686"/>
      <c r="O242" s="1686"/>
      <c r="P242" s="1686"/>
      <c r="Q242" s="1686"/>
      <c r="R242" s="1686"/>
      <c r="S242" s="1686"/>
      <c r="T242" s="1686"/>
      <c r="U242" s="1686"/>
      <c r="V242" s="1686"/>
      <c r="W242" s="1686"/>
      <c r="X242" s="1686"/>
      <c r="Y242" s="1686"/>
      <c r="Z242" s="1686"/>
      <c r="AA242" s="1686"/>
      <c r="AB242" s="1686"/>
      <c r="AC242" s="1686"/>
      <c r="AD242" s="1686"/>
      <c r="AE242" s="1686"/>
      <c r="AF242" s="1686"/>
      <c r="AG242" s="1686"/>
      <c r="AH242" s="1686"/>
      <c r="AI242" s="1686"/>
      <c r="AJ242" s="1686"/>
      <c r="AK242" s="1686"/>
      <c r="AL242" s="1686"/>
      <c r="AM242" s="1686"/>
      <c r="AN242" s="1686"/>
      <c r="AO242" s="1686"/>
      <c r="AP242" s="1686"/>
      <c r="AQ242" s="1686"/>
      <c r="AR242" s="1686"/>
      <c r="AS242" s="1686"/>
      <c r="AT242" s="1686"/>
    </row>
    <row r="243">
      <c r="A243" s="1419"/>
      <c r="B243" s="1687"/>
      <c r="C243" s="1688"/>
      <c r="D243" s="1688"/>
      <c r="E243" s="1689"/>
      <c r="F243" s="1689"/>
      <c r="G243" s="1689"/>
      <c r="H243" s="1689"/>
      <c r="I243" s="1689"/>
      <c r="J243" s="1689"/>
      <c r="K243" s="1689"/>
      <c r="L243" s="1689"/>
      <c r="M243" s="1689"/>
      <c r="N243" s="1689"/>
      <c r="O243" s="1689"/>
      <c r="P243" s="1689"/>
      <c r="Q243" s="1689"/>
      <c r="R243" s="1689"/>
      <c r="S243" s="1689"/>
      <c r="T243" s="1689"/>
      <c r="U243" s="1689"/>
      <c r="V243" s="1689"/>
      <c r="W243" s="1689"/>
      <c r="X243" s="1689"/>
      <c r="Y243" s="1690"/>
      <c r="Z243" s="1690"/>
      <c r="AA243" s="1690"/>
      <c r="AB243" s="1690"/>
      <c r="AC243" s="1690"/>
      <c r="AD243" s="1690"/>
      <c r="AE243" s="1690"/>
      <c r="AF243" s="1690"/>
      <c r="AG243" s="1690"/>
      <c r="AH243" s="1690"/>
      <c r="AI243" s="1690"/>
      <c r="AJ243" s="1690"/>
      <c r="AK243" s="1690"/>
      <c r="AL243" s="1690"/>
      <c r="AM243" s="1690"/>
      <c r="AN243" s="1690"/>
      <c r="AO243" s="1690"/>
      <c r="AP243" s="1690"/>
      <c r="AQ243" s="1690"/>
      <c r="AR243" s="1690"/>
      <c r="AS243" s="1690"/>
      <c r="AT243" s="1690"/>
    </row>
    <row r="244">
      <c r="A244" s="1419"/>
      <c r="B244" s="1684"/>
      <c r="C244" s="1685"/>
      <c r="D244" s="1685"/>
      <c r="E244" s="1686"/>
      <c r="F244" s="1686"/>
      <c r="G244" s="1686"/>
      <c r="H244" s="1686"/>
      <c r="I244" s="1686"/>
      <c r="J244" s="1686"/>
      <c r="K244" s="1686"/>
      <c r="L244" s="1686"/>
      <c r="M244" s="1686"/>
      <c r="N244" s="1686"/>
      <c r="O244" s="1686"/>
      <c r="P244" s="1686"/>
      <c r="Q244" s="1686"/>
      <c r="R244" s="1686"/>
      <c r="S244" s="1686"/>
      <c r="T244" s="1686"/>
      <c r="U244" s="1686"/>
      <c r="V244" s="1686"/>
      <c r="W244" s="1686"/>
      <c r="X244" s="1686"/>
      <c r="Y244" s="1686"/>
      <c r="Z244" s="1686"/>
      <c r="AA244" s="1686"/>
      <c r="AB244" s="1686"/>
      <c r="AC244" s="1686"/>
      <c r="AD244" s="1686"/>
      <c r="AE244" s="1686"/>
      <c r="AF244" s="1686"/>
      <c r="AG244" s="1686"/>
      <c r="AH244" s="1686"/>
      <c r="AI244" s="1686"/>
      <c r="AJ244" s="1686"/>
      <c r="AK244" s="1686"/>
      <c r="AL244" s="1686"/>
      <c r="AM244" s="1686"/>
      <c r="AN244" s="1686"/>
      <c r="AO244" s="1686"/>
      <c r="AP244" s="1686"/>
      <c r="AQ244" s="1686"/>
      <c r="AR244" s="1686"/>
      <c r="AS244" s="1686"/>
      <c r="AT244" s="1686"/>
    </row>
    <row r="245">
      <c r="A245" s="1419"/>
      <c r="B245" s="1687"/>
      <c r="C245" s="1688"/>
      <c r="D245" s="1688"/>
      <c r="E245" s="1690"/>
      <c r="F245" s="1690"/>
      <c r="G245" s="1690"/>
      <c r="H245" s="1690"/>
      <c r="I245" s="1690"/>
      <c r="J245" s="1690"/>
      <c r="K245" s="1690"/>
      <c r="L245" s="1690"/>
      <c r="M245" s="1690"/>
      <c r="N245" s="1690"/>
      <c r="O245" s="1690"/>
      <c r="P245" s="1690"/>
      <c r="Q245" s="1690"/>
      <c r="R245" s="1690"/>
      <c r="S245" s="1690"/>
      <c r="T245" s="1690"/>
      <c r="U245" s="1690"/>
      <c r="V245" s="1690"/>
      <c r="W245" s="1690"/>
      <c r="X245" s="1690"/>
      <c r="Y245" s="1690"/>
      <c r="Z245" s="1690"/>
      <c r="AA245" s="1690"/>
      <c r="AB245" s="1690"/>
      <c r="AC245" s="1690"/>
      <c r="AD245" s="1690"/>
      <c r="AE245" s="1690"/>
      <c r="AF245" s="1690"/>
      <c r="AG245" s="1690"/>
      <c r="AH245" s="1690"/>
      <c r="AI245" s="1690"/>
      <c r="AJ245" s="1690"/>
      <c r="AK245" s="1690"/>
      <c r="AL245" s="1690"/>
      <c r="AM245" s="1690"/>
      <c r="AN245" s="1690"/>
      <c r="AO245" s="1690"/>
      <c r="AP245" s="1690"/>
      <c r="AQ245" s="1690"/>
      <c r="AR245" s="1690"/>
      <c r="AS245" s="1690"/>
      <c r="AT245" s="1690"/>
    </row>
    <row r="246">
      <c r="A246" s="1419"/>
      <c r="B246" s="1684"/>
      <c r="C246" s="1685"/>
      <c r="D246" s="1685"/>
      <c r="E246" s="1691"/>
      <c r="F246" s="1691"/>
      <c r="G246" s="1691"/>
      <c r="H246" s="1691"/>
      <c r="I246" s="1691"/>
      <c r="J246" s="1691"/>
      <c r="K246" s="1691"/>
      <c r="L246" s="1691"/>
      <c r="M246" s="1691"/>
      <c r="N246" s="1691"/>
      <c r="O246" s="1691"/>
      <c r="P246" s="1691"/>
      <c r="Q246" s="1691"/>
      <c r="R246" s="1691"/>
      <c r="S246" s="1691"/>
      <c r="T246" s="1691"/>
      <c r="U246" s="1691"/>
      <c r="V246" s="1691"/>
      <c r="W246" s="1691"/>
      <c r="X246" s="1691"/>
      <c r="Y246" s="1686"/>
      <c r="Z246" s="1686"/>
      <c r="AA246" s="1686"/>
      <c r="AB246" s="1686"/>
      <c r="AC246" s="1686"/>
      <c r="AD246" s="1686"/>
      <c r="AE246" s="1686"/>
      <c r="AF246" s="1686"/>
      <c r="AG246" s="1686"/>
      <c r="AH246" s="1686"/>
      <c r="AI246" s="1686"/>
      <c r="AJ246" s="1686"/>
      <c r="AK246" s="1686"/>
      <c r="AL246" s="1686"/>
      <c r="AM246" s="1686"/>
      <c r="AN246" s="1686"/>
      <c r="AO246" s="1686"/>
      <c r="AP246" s="1686"/>
      <c r="AQ246" s="1686"/>
      <c r="AR246" s="1686"/>
      <c r="AS246" s="1686"/>
      <c r="AT246" s="1686"/>
    </row>
    <row r="247">
      <c r="A247" s="1419"/>
      <c r="B247" s="1687"/>
      <c r="C247" s="1688"/>
      <c r="D247" s="1688"/>
      <c r="E247" s="1690"/>
      <c r="F247" s="1690"/>
      <c r="G247" s="1690"/>
      <c r="H247" s="1690"/>
      <c r="I247" s="1690"/>
      <c r="J247" s="1690"/>
      <c r="K247" s="1690"/>
      <c r="L247" s="1690"/>
      <c r="M247" s="1690"/>
      <c r="N247" s="1690"/>
      <c r="O247" s="1690"/>
      <c r="P247" s="1690"/>
      <c r="Q247" s="1690"/>
      <c r="R247" s="1690"/>
      <c r="S247" s="1690"/>
      <c r="T247" s="1690"/>
      <c r="U247" s="1690"/>
      <c r="V247" s="1690"/>
      <c r="W247" s="1690"/>
      <c r="X247" s="1690"/>
      <c r="Y247" s="1690"/>
      <c r="Z247" s="1690"/>
      <c r="AA247" s="1690"/>
      <c r="AB247" s="1690"/>
      <c r="AC247" s="1690"/>
      <c r="AD247" s="1690"/>
      <c r="AE247" s="1690"/>
      <c r="AF247" s="1690"/>
      <c r="AG247" s="1690"/>
      <c r="AH247" s="1690"/>
      <c r="AI247" s="1690"/>
      <c r="AJ247" s="1690"/>
      <c r="AK247" s="1690"/>
      <c r="AL247" s="1690"/>
      <c r="AM247" s="1690"/>
      <c r="AN247" s="1690"/>
      <c r="AO247" s="1690"/>
      <c r="AP247" s="1690"/>
      <c r="AQ247" s="1690"/>
      <c r="AR247" s="1690"/>
      <c r="AS247" s="1690"/>
      <c r="AT247" s="1690"/>
    </row>
    <row r="248">
      <c r="A248" s="1419"/>
      <c r="B248" s="1684"/>
      <c r="C248" s="1685"/>
      <c r="D248" s="1685"/>
      <c r="E248" s="1686"/>
      <c r="F248" s="1686"/>
      <c r="G248" s="1686"/>
      <c r="H248" s="1686"/>
      <c r="I248" s="1686"/>
      <c r="J248" s="1686"/>
      <c r="K248" s="1686"/>
      <c r="L248" s="1686"/>
      <c r="M248" s="1686"/>
      <c r="N248" s="1686"/>
      <c r="O248" s="1686"/>
      <c r="P248" s="1686"/>
      <c r="Q248" s="1686"/>
      <c r="R248" s="1686"/>
      <c r="S248" s="1686"/>
      <c r="T248" s="1686"/>
      <c r="U248" s="1686"/>
      <c r="V248" s="1686"/>
      <c r="W248" s="1686"/>
      <c r="X248" s="1686"/>
      <c r="Y248" s="1686"/>
      <c r="Z248" s="1686"/>
      <c r="AA248" s="1686"/>
      <c r="AB248" s="1686"/>
      <c r="AC248" s="1686"/>
      <c r="AD248" s="1686"/>
      <c r="AE248" s="1686"/>
      <c r="AF248" s="1686"/>
      <c r="AG248" s="1686"/>
      <c r="AH248" s="1686"/>
      <c r="AI248" s="1686"/>
      <c r="AJ248" s="1686"/>
      <c r="AK248" s="1686"/>
      <c r="AL248" s="1686"/>
      <c r="AM248" s="1686"/>
      <c r="AN248" s="1686"/>
      <c r="AO248" s="1686"/>
      <c r="AP248" s="1686"/>
      <c r="AQ248" s="1686"/>
      <c r="AR248" s="1686"/>
      <c r="AS248" s="1686"/>
      <c r="AT248" s="1686"/>
    </row>
    <row r="249">
      <c r="A249" s="1419"/>
      <c r="B249" s="1687"/>
      <c r="C249" s="1688"/>
      <c r="D249" s="1688"/>
      <c r="E249" s="1690"/>
      <c r="F249" s="1690"/>
      <c r="G249" s="1690"/>
      <c r="H249" s="1690"/>
      <c r="I249" s="1690"/>
      <c r="J249" s="1690"/>
      <c r="K249" s="1690"/>
      <c r="L249" s="1690"/>
      <c r="M249" s="1690"/>
      <c r="N249" s="1690"/>
      <c r="O249" s="1690"/>
      <c r="P249" s="1690"/>
      <c r="Q249" s="1690"/>
      <c r="R249" s="1690"/>
      <c r="S249" s="1690"/>
      <c r="T249" s="1690"/>
      <c r="U249" s="1690"/>
      <c r="V249" s="1690"/>
      <c r="W249" s="1690"/>
      <c r="X249" s="1690"/>
      <c r="Y249" s="1690"/>
      <c r="Z249" s="1690"/>
      <c r="AA249" s="1690"/>
      <c r="AB249" s="1690"/>
      <c r="AC249" s="1690"/>
      <c r="AD249" s="1690"/>
      <c r="AE249" s="1690"/>
      <c r="AF249" s="1690"/>
      <c r="AG249" s="1690"/>
      <c r="AH249" s="1690"/>
      <c r="AI249" s="1690"/>
      <c r="AJ249" s="1690"/>
      <c r="AK249" s="1690"/>
      <c r="AL249" s="1690"/>
      <c r="AM249" s="1690"/>
      <c r="AN249" s="1690"/>
      <c r="AO249" s="1690"/>
      <c r="AP249" s="1690"/>
      <c r="AQ249" s="1690"/>
      <c r="AR249" s="1690"/>
      <c r="AS249" s="1690"/>
      <c r="AT249" s="1690"/>
    </row>
    <row r="250">
      <c r="A250" s="1419"/>
      <c r="B250" s="1684"/>
      <c r="C250" s="1685"/>
      <c r="D250" s="1685"/>
      <c r="E250" s="1686"/>
      <c r="F250" s="1686"/>
      <c r="G250" s="1686"/>
      <c r="H250" s="1686"/>
      <c r="I250" s="1686"/>
      <c r="J250" s="1686"/>
      <c r="K250" s="1686"/>
      <c r="L250" s="1686"/>
      <c r="M250" s="1686"/>
      <c r="N250" s="1686"/>
      <c r="O250" s="1686"/>
      <c r="P250" s="1686"/>
      <c r="Q250" s="1686"/>
      <c r="R250" s="1686"/>
      <c r="S250" s="1686"/>
      <c r="T250" s="1686"/>
      <c r="U250" s="1686"/>
      <c r="V250" s="1686"/>
      <c r="W250" s="1686"/>
      <c r="X250" s="1686"/>
      <c r="Y250" s="1686"/>
      <c r="Z250" s="1686"/>
      <c r="AA250" s="1686"/>
      <c r="AB250" s="1686"/>
      <c r="AC250" s="1686"/>
      <c r="AD250" s="1686"/>
      <c r="AE250" s="1686"/>
      <c r="AF250" s="1686"/>
      <c r="AG250" s="1686"/>
      <c r="AH250" s="1686"/>
      <c r="AI250" s="1686"/>
      <c r="AJ250" s="1686"/>
      <c r="AK250" s="1686"/>
      <c r="AL250" s="1686"/>
      <c r="AM250" s="1686"/>
      <c r="AN250" s="1686"/>
      <c r="AO250" s="1686"/>
      <c r="AP250" s="1686"/>
      <c r="AQ250" s="1686"/>
      <c r="AR250" s="1686"/>
      <c r="AS250" s="1686"/>
      <c r="AT250" s="1686"/>
    </row>
    <row r="251">
      <c r="A251" s="1419"/>
      <c r="B251" s="1687"/>
      <c r="C251" s="1688"/>
      <c r="D251" s="1688"/>
      <c r="E251" s="1689"/>
      <c r="F251" s="1689"/>
      <c r="G251" s="1689"/>
      <c r="H251" s="1689"/>
      <c r="I251" s="1689"/>
      <c r="J251" s="1689"/>
      <c r="K251" s="1689"/>
      <c r="L251" s="1689"/>
      <c r="M251" s="1689"/>
      <c r="N251" s="1689"/>
      <c r="O251" s="1689"/>
      <c r="P251" s="1689"/>
      <c r="Q251" s="1689"/>
      <c r="R251" s="1689"/>
      <c r="S251" s="1689"/>
      <c r="T251" s="1689"/>
      <c r="U251" s="1689"/>
      <c r="V251" s="1689"/>
      <c r="W251" s="1689"/>
      <c r="X251" s="1689"/>
      <c r="Y251" s="1690"/>
      <c r="Z251" s="1690"/>
      <c r="AA251" s="1690"/>
      <c r="AB251" s="1690"/>
      <c r="AC251" s="1690"/>
      <c r="AD251" s="1690"/>
      <c r="AE251" s="1690"/>
      <c r="AF251" s="1690"/>
      <c r="AG251" s="1690"/>
      <c r="AH251" s="1690"/>
      <c r="AI251" s="1690"/>
      <c r="AJ251" s="1690"/>
      <c r="AK251" s="1690"/>
      <c r="AL251" s="1690"/>
      <c r="AM251" s="1690"/>
      <c r="AN251" s="1690"/>
      <c r="AO251" s="1690"/>
      <c r="AP251" s="1690"/>
      <c r="AQ251" s="1690"/>
      <c r="AR251" s="1690"/>
      <c r="AS251" s="1690"/>
      <c r="AT251" s="1690"/>
    </row>
    <row r="252">
      <c r="A252" s="1419"/>
      <c r="B252" s="1684"/>
      <c r="C252" s="1685"/>
      <c r="D252" s="1685"/>
      <c r="E252" s="1686"/>
      <c r="F252" s="1686"/>
      <c r="G252" s="1686"/>
      <c r="H252" s="1686"/>
      <c r="I252" s="1686"/>
      <c r="J252" s="1686"/>
      <c r="K252" s="1686"/>
      <c r="L252" s="1686"/>
      <c r="M252" s="1686"/>
      <c r="N252" s="1686"/>
      <c r="O252" s="1686"/>
      <c r="P252" s="1686"/>
      <c r="Q252" s="1686"/>
      <c r="R252" s="1686"/>
      <c r="S252" s="1686"/>
      <c r="T252" s="1686"/>
      <c r="U252" s="1686"/>
      <c r="V252" s="1686"/>
      <c r="W252" s="1686"/>
      <c r="X252" s="1686"/>
      <c r="Y252" s="1686"/>
      <c r="Z252" s="1686"/>
      <c r="AA252" s="1686"/>
      <c r="AB252" s="1686"/>
      <c r="AC252" s="1686"/>
      <c r="AD252" s="1686"/>
      <c r="AE252" s="1686"/>
      <c r="AF252" s="1686"/>
      <c r="AG252" s="1686"/>
      <c r="AH252" s="1686"/>
      <c r="AI252" s="1686"/>
      <c r="AJ252" s="1686"/>
      <c r="AK252" s="1686"/>
      <c r="AL252" s="1686"/>
      <c r="AM252" s="1686"/>
      <c r="AN252" s="1686"/>
      <c r="AO252" s="1686"/>
      <c r="AP252" s="1686"/>
      <c r="AQ252" s="1686"/>
      <c r="AR252" s="1686"/>
      <c r="AS252" s="1686"/>
      <c r="AT252" s="1686"/>
    </row>
    <row r="253">
      <c r="A253" s="1419"/>
      <c r="B253" s="1687"/>
      <c r="C253" s="1688"/>
      <c r="D253" s="1688"/>
      <c r="E253" s="1689"/>
      <c r="F253" s="1689"/>
      <c r="G253" s="1689"/>
      <c r="H253" s="1689"/>
      <c r="I253" s="1689"/>
      <c r="J253" s="1689"/>
      <c r="K253" s="1689"/>
      <c r="L253" s="1689"/>
      <c r="M253" s="1689"/>
      <c r="N253" s="1689"/>
      <c r="O253" s="1689"/>
      <c r="P253" s="1689"/>
      <c r="Q253" s="1689"/>
      <c r="R253" s="1689"/>
      <c r="S253" s="1689"/>
      <c r="T253" s="1689"/>
      <c r="U253" s="1689"/>
      <c r="V253" s="1689"/>
      <c r="W253" s="1689"/>
      <c r="X253" s="1689"/>
      <c r="Y253" s="1690"/>
      <c r="Z253" s="1690"/>
      <c r="AA253" s="1690"/>
      <c r="AB253" s="1690"/>
      <c r="AC253" s="1690"/>
      <c r="AD253" s="1690"/>
      <c r="AE253" s="1690"/>
      <c r="AF253" s="1690"/>
      <c r="AG253" s="1690"/>
      <c r="AH253" s="1690"/>
      <c r="AI253" s="1690"/>
      <c r="AJ253" s="1690"/>
      <c r="AK253" s="1690"/>
      <c r="AL253" s="1690"/>
      <c r="AM253" s="1690"/>
      <c r="AN253" s="1690"/>
      <c r="AO253" s="1690"/>
      <c r="AP253" s="1690"/>
      <c r="AQ253" s="1690"/>
      <c r="AR253" s="1690"/>
      <c r="AS253" s="1690"/>
      <c r="AT253" s="1690"/>
    </row>
    <row r="254">
      <c r="A254" s="1419"/>
      <c r="B254" s="1684"/>
      <c r="C254" s="1685"/>
      <c r="D254" s="1685"/>
      <c r="E254" s="1691"/>
      <c r="F254" s="1691"/>
      <c r="G254" s="1691"/>
      <c r="H254" s="1691"/>
      <c r="I254" s="1691"/>
      <c r="J254" s="1691"/>
      <c r="K254" s="1691"/>
      <c r="L254" s="1691"/>
      <c r="M254" s="1691"/>
      <c r="N254" s="1691"/>
      <c r="O254" s="1691"/>
      <c r="P254" s="1691"/>
      <c r="Q254" s="1691"/>
      <c r="R254" s="1691"/>
      <c r="S254" s="1691"/>
      <c r="T254" s="1691"/>
      <c r="U254" s="1691"/>
      <c r="V254" s="1691"/>
      <c r="W254" s="1691"/>
      <c r="X254" s="1691"/>
      <c r="Y254" s="1686"/>
      <c r="Z254" s="1686"/>
      <c r="AA254" s="1686"/>
      <c r="AB254" s="1686"/>
      <c r="AC254" s="1686"/>
      <c r="AD254" s="1686"/>
      <c r="AE254" s="1686"/>
      <c r="AF254" s="1686"/>
      <c r="AG254" s="1686"/>
      <c r="AH254" s="1686"/>
      <c r="AI254" s="1686"/>
      <c r="AJ254" s="1686"/>
      <c r="AK254" s="1686"/>
      <c r="AL254" s="1686"/>
      <c r="AM254" s="1686"/>
      <c r="AN254" s="1686"/>
      <c r="AO254" s="1686"/>
      <c r="AP254" s="1686"/>
      <c r="AQ254" s="1686"/>
      <c r="AR254" s="1686"/>
      <c r="AS254" s="1686"/>
      <c r="AT254" s="1686"/>
    </row>
    <row r="255">
      <c r="A255" s="1419"/>
      <c r="B255" s="1687"/>
      <c r="C255" s="1688"/>
      <c r="D255" s="1688"/>
      <c r="E255" s="1690"/>
      <c r="F255" s="1690"/>
      <c r="G255" s="1690"/>
      <c r="H255" s="1690"/>
      <c r="I255" s="1690"/>
      <c r="J255" s="1690"/>
      <c r="K255" s="1690"/>
      <c r="L255" s="1690"/>
      <c r="M255" s="1690"/>
      <c r="N255" s="1690"/>
      <c r="O255" s="1690"/>
      <c r="P255" s="1690"/>
      <c r="Q255" s="1690"/>
      <c r="R255" s="1690"/>
      <c r="S255" s="1690"/>
      <c r="T255" s="1690"/>
      <c r="U255" s="1690"/>
      <c r="V255" s="1690"/>
      <c r="W255" s="1690"/>
      <c r="X255" s="1690"/>
      <c r="Y255" s="1690"/>
      <c r="Z255" s="1690"/>
      <c r="AA255" s="1690"/>
      <c r="AB255" s="1690"/>
      <c r="AC255" s="1690"/>
      <c r="AD255" s="1690"/>
      <c r="AE255" s="1690"/>
      <c r="AF255" s="1690"/>
      <c r="AG255" s="1690"/>
      <c r="AH255" s="1690"/>
      <c r="AI255" s="1690"/>
      <c r="AJ255" s="1690"/>
      <c r="AK255" s="1690"/>
      <c r="AL255" s="1690"/>
      <c r="AM255" s="1690"/>
      <c r="AN255" s="1690"/>
      <c r="AO255" s="1690"/>
      <c r="AP255" s="1690"/>
      <c r="AQ255" s="1690"/>
      <c r="AR255" s="1690"/>
      <c r="AS255" s="1690"/>
      <c r="AT255" s="1690"/>
    </row>
    <row r="256">
      <c r="A256" s="1419"/>
      <c r="B256" s="1684"/>
      <c r="C256" s="1685"/>
      <c r="D256" s="1685"/>
      <c r="E256" s="1691"/>
      <c r="F256" s="1691"/>
      <c r="G256" s="1691"/>
      <c r="H256" s="1691"/>
      <c r="I256" s="1691"/>
      <c r="J256" s="1691"/>
      <c r="K256" s="1691"/>
      <c r="L256" s="1691"/>
      <c r="M256" s="1691"/>
      <c r="N256" s="1691"/>
      <c r="O256" s="1691"/>
      <c r="P256" s="1691"/>
      <c r="Q256" s="1691"/>
      <c r="R256" s="1691"/>
      <c r="S256" s="1691"/>
      <c r="T256" s="1691"/>
      <c r="U256" s="1691"/>
      <c r="V256" s="1691"/>
      <c r="W256" s="1691"/>
      <c r="X256" s="1691"/>
      <c r="Y256" s="1686"/>
      <c r="Z256" s="1686"/>
      <c r="AA256" s="1686"/>
      <c r="AB256" s="1686"/>
      <c r="AC256" s="1686"/>
      <c r="AD256" s="1686"/>
      <c r="AE256" s="1686"/>
      <c r="AF256" s="1686"/>
      <c r="AG256" s="1686"/>
      <c r="AH256" s="1686"/>
      <c r="AI256" s="1686"/>
      <c r="AJ256" s="1686"/>
      <c r="AK256" s="1686"/>
      <c r="AL256" s="1686"/>
      <c r="AM256" s="1686"/>
      <c r="AN256" s="1686"/>
      <c r="AO256" s="1686"/>
      <c r="AP256" s="1686"/>
      <c r="AQ256" s="1686"/>
      <c r="AR256" s="1686"/>
      <c r="AS256" s="1686"/>
      <c r="AT256" s="1686"/>
    </row>
    <row r="257">
      <c r="A257" s="1419"/>
      <c r="B257" s="1687"/>
      <c r="C257" s="1688"/>
      <c r="D257" s="1688"/>
      <c r="E257" s="1690"/>
      <c r="F257" s="1690"/>
      <c r="G257" s="1690"/>
      <c r="H257" s="1690"/>
      <c r="I257" s="1690"/>
      <c r="J257" s="1690"/>
      <c r="K257" s="1690"/>
      <c r="L257" s="1690"/>
      <c r="M257" s="1690"/>
      <c r="N257" s="1690"/>
      <c r="O257" s="1690"/>
      <c r="P257" s="1690"/>
      <c r="Q257" s="1690"/>
      <c r="R257" s="1690"/>
      <c r="S257" s="1690"/>
      <c r="T257" s="1690"/>
      <c r="U257" s="1690"/>
      <c r="V257" s="1690"/>
      <c r="W257" s="1690"/>
      <c r="X257" s="1690"/>
      <c r="Y257" s="1690"/>
      <c r="Z257" s="1690"/>
      <c r="AA257" s="1690"/>
      <c r="AB257" s="1690"/>
      <c r="AC257" s="1690"/>
      <c r="AD257" s="1690"/>
      <c r="AE257" s="1690"/>
      <c r="AF257" s="1690"/>
      <c r="AG257" s="1690"/>
      <c r="AH257" s="1690"/>
      <c r="AI257" s="1690"/>
      <c r="AJ257" s="1690"/>
      <c r="AK257" s="1690"/>
      <c r="AL257" s="1690"/>
      <c r="AM257" s="1690"/>
      <c r="AN257" s="1690"/>
      <c r="AO257" s="1690"/>
      <c r="AP257" s="1690"/>
      <c r="AQ257" s="1690"/>
      <c r="AR257" s="1690"/>
      <c r="AS257" s="1690"/>
      <c r="AT257" s="1690"/>
    </row>
    <row r="258">
      <c r="A258" s="1419"/>
      <c r="B258" s="1684"/>
      <c r="C258" s="1685"/>
      <c r="D258" s="1685"/>
      <c r="E258" s="1691"/>
      <c r="F258" s="1691"/>
      <c r="G258" s="1691"/>
      <c r="H258" s="1691"/>
      <c r="I258" s="1691"/>
      <c r="J258" s="1691"/>
      <c r="K258" s="1691"/>
      <c r="L258" s="1691"/>
      <c r="M258" s="1691"/>
      <c r="N258" s="1691"/>
      <c r="O258" s="1691"/>
      <c r="P258" s="1691"/>
      <c r="Q258" s="1691"/>
      <c r="R258" s="1691"/>
      <c r="S258" s="1691"/>
      <c r="T258" s="1691"/>
      <c r="U258" s="1691"/>
      <c r="V258" s="1691"/>
      <c r="W258" s="1691"/>
      <c r="X258" s="1691"/>
      <c r="Y258" s="1686"/>
      <c r="Z258" s="1686"/>
      <c r="AA258" s="1686"/>
      <c r="AB258" s="1686"/>
      <c r="AC258" s="1686"/>
      <c r="AD258" s="1686"/>
      <c r="AE258" s="1686"/>
      <c r="AF258" s="1686"/>
      <c r="AG258" s="1686"/>
      <c r="AH258" s="1686"/>
      <c r="AI258" s="1686"/>
      <c r="AJ258" s="1686"/>
      <c r="AK258" s="1686"/>
      <c r="AL258" s="1686"/>
      <c r="AM258" s="1686"/>
      <c r="AN258" s="1686"/>
      <c r="AO258" s="1686"/>
      <c r="AP258" s="1686"/>
      <c r="AQ258" s="1686"/>
      <c r="AR258" s="1686"/>
      <c r="AS258" s="1686"/>
      <c r="AT258" s="1686"/>
    </row>
    <row r="259">
      <c r="A259" s="1419"/>
      <c r="B259" s="1687"/>
      <c r="C259" s="1688"/>
      <c r="D259" s="1688"/>
      <c r="E259" s="1690"/>
      <c r="F259" s="1690"/>
      <c r="G259" s="1690"/>
      <c r="H259" s="1690"/>
      <c r="I259" s="1690"/>
      <c r="J259" s="1690"/>
      <c r="K259" s="1690"/>
      <c r="L259" s="1690"/>
      <c r="M259" s="1690"/>
      <c r="N259" s="1690"/>
      <c r="O259" s="1690"/>
      <c r="P259" s="1690"/>
      <c r="Q259" s="1690"/>
      <c r="R259" s="1690"/>
      <c r="S259" s="1690"/>
      <c r="T259" s="1690"/>
      <c r="U259" s="1690"/>
      <c r="V259" s="1690"/>
      <c r="W259" s="1690"/>
      <c r="X259" s="1690"/>
      <c r="Y259" s="1690"/>
      <c r="Z259" s="1690"/>
      <c r="AA259" s="1690"/>
      <c r="AB259" s="1690"/>
      <c r="AC259" s="1690"/>
      <c r="AD259" s="1690"/>
      <c r="AE259" s="1690"/>
      <c r="AF259" s="1690"/>
      <c r="AG259" s="1690"/>
      <c r="AH259" s="1690"/>
      <c r="AI259" s="1690"/>
      <c r="AJ259" s="1690"/>
      <c r="AK259" s="1690"/>
      <c r="AL259" s="1690"/>
      <c r="AM259" s="1690"/>
      <c r="AN259" s="1690"/>
      <c r="AO259" s="1690"/>
      <c r="AP259" s="1690"/>
      <c r="AQ259" s="1690"/>
      <c r="AR259" s="1690"/>
      <c r="AS259" s="1690"/>
      <c r="AT259" s="1690"/>
    </row>
    <row r="260">
      <c r="A260" s="1440" t="s">
        <v>2461</v>
      </c>
      <c r="B260" s="1684"/>
      <c r="C260" s="1685"/>
      <c r="D260" s="1685"/>
      <c r="E260" s="1691"/>
      <c r="F260" s="1691"/>
      <c r="G260" s="1691"/>
      <c r="H260" s="1691"/>
      <c r="I260" s="1691"/>
      <c r="J260" s="1691"/>
      <c r="K260" s="1691"/>
      <c r="L260" s="1691"/>
      <c r="M260" s="1691"/>
      <c r="N260" s="1691"/>
      <c r="O260" s="1691"/>
      <c r="P260" s="1691"/>
      <c r="Q260" s="1691"/>
      <c r="R260" s="1691"/>
      <c r="S260" s="1691"/>
      <c r="T260" s="1691"/>
      <c r="U260" s="1691"/>
      <c r="V260" s="1691"/>
      <c r="W260" s="1691"/>
      <c r="X260" s="1691"/>
      <c r="Y260" s="1686"/>
      <c r="Z260" s="1686"/>
      <c r="AA260" s="1686"/>
      <c r="AB260" s="1686"/>
      <c r="AC260" s="1686"/>
      <c r="AD260" s="1686"/>
      <c r="AE260" s="1686"/>
      <c r="AF260" s="1686"/>
      <c r="AG260" s="1686"/>
      <c r="AH260" s="1686"/>
      <c r="AI260" s="1686"/>
      <c r="AJ260" s="1686"/>
      <c r="AK260" s="1686"/>
      <c r="AL260" s="1686"/>
      <c r="AM260" s="1686"/>
      <c r="AN260" s="1686"/>
      <c r="AO260" s="1686"/>
      <c r="AP260" s="1686"/>
      <c r="AQ260" s="1686"/>
      <c r="AR260" s="1686"/>
      <c r="AS260" s="1686"/>
      <c r="AT260" s="1686"/>
    </row>
    <row r="261">
      <c r="A261" s="1440" t="s">
        <v>2461</v>
      </c>
      <c r="B261" s="1687"/>
      <c r="C261" s="1688"/>
      <c r="D261" s="1688"/>
      <c r="E261" s="1689"/>
      <c r="F261" s="1689"/>
      <c r="G261" s="1689"/>
      <c r="H261" s="1689"/>
      <c r="I261" s="1689"/>
      <c r="J261" s="1689"/>
      <c r="K261" s="1689"/>
      <c r="L261" s="1689"/>
      <c r="M261" s="1689"/>
      <c r="N261" s="1689"/>
      <c r="O261" s="1689"/>
      <c r="P261" s="1689"/>
      <c r="Q261" s="1689"/>
      <c r="R261" s="1689"/>
      <c r="S261" s="1689"/>
      <c r="T261" s="1689"/>
      <c r="U261" s="1689"/>
      <c r="V261" s="1689"/>
      <c r="W261" s="1689"/>
      <c r="X261" s="1689"/>
      <c r="Y261" s="1690"/>
      <c r="Z261" s="1690"/>
      <c r="AA261" s="1690"/>
      <c r="AB261" s="1690"/>
      <c r="AC261" s="1690"/>
      <c r="AD261" s="1690"/>
      <c r="AE261" s="1690"/>
      <c r="AF261" s="1690"/>
      <c r="AG261" s="1690"/>
      <c r="AH261" s="1690"/>
      <c r="AI261" s="1690"/>
      <c r="AJ261" s="1690"/>
      <c r="AK261" s="1690"/>
      <c r="AL261" s="1690"/>
      <c r="AM261" s="1690"/>
      <c r="AN261" s="1690"/>
      <c r="AO261" s="1690"/>
      <c r="AP261" s="1690"/>
      <c r="AQ261" s="1690"/>
      <c r="AR261" s="1690"/>
      <c r="AS261" s="1690"/>
      <c r="AT261" s="1690"/>
    </row>
    <row r="262">
      <c r="A262" s="1419"/>
      <c r="B262" s="1684"/>
      <c r="C262" s="1685"/>
      <c r="D262" s="1685"/>
      <c r="E262" s="1691"/>
      <c r="F262" s="1691"/>
      <c r="G262" s="1691"/>
      <c r="H262" s="1691"/>
      <c r="I262" s="1691"/>
      <c r="J262" s="1691"/>
      <c r="K262" s="1691"/>
      <c r="L262" s="1691"/>
      <c r="M262" s="1691"/>
      <c r="N262" s="1691"/>
      <c r="O262" s="1691"/>
      <c r="P262" s="1691"/>
      <c r="Q262" s="1691"/>
      <c r="R262" s="1691"/>
      <c r="S262" s="1691"/>
      <c r="T262" s="1691"/>
      <c r="U262" s="1691"/>
      <c r="V262" s="1691"/>
      <c r="W262" s="1691"/>
      <c r="X262" s="1691"/>
      <c r="Y262" s="1686"/>
      <c r="Z262" s="1686"/>
      <c r="AA262" s="1686"/>
      <c r="AB262" s="1686"/>
      <c r="AC262" s="1686"/>
      <c r="AD262" s="1686"/>
      <c r="AE262" s="1686"/>
      <c r="AF262" s="1686"/>
      <c r="AG262" s="1686"/>
      <c r="AH262" s="1686"/>
      <c r="AI262" s="1686"/>
      <c r="AJ262" s="1686"/>
      <c r="AK262" s="1686"/>
      <c r="AL262" s="1686"/>
      <c r="AM262" s="1686"/>
      <c r="AN262" s="1686"/>
      <c r="AO262" s="1686"/>
      <c r="AP262" s="1686"/>
      <c r="AQ262" s="1686"/>
      <c r="AR262" s="1686"/>
      <c r="AS262" s="1686"/>
      <c r="AT262" s="1686"/>
    </row>
    <row r="263">
      <c r="A263" s="1419"/>
      <c r="B263" s="1687"/>
      <c r="C263" s="1688"/>
      <c r="D263" s="1688"/>
      <c r="E263" s="1690"/>
      <c r="F263" s="1690"/>
      <c r="G263" s="1690"/>
      <c r="H263" s="1690"/>
      <c r="I263" s="1690"/>
      <c r="J263" s="1690"/>
      <c r="K263" s="1690"/>
      <c r="L263" s="1690"/>
      <c r="M263" s="1690"/>
      <c r="N263" s="1690"/>
      <c r="O263" s="1690"/>
      <c r="P263" s="1690"/>
      <c r="Q263" s="1690"/>
      <c r="R263" s="1690"/>
      <c r="S263" s="1690"/>
      <c r="T263" s="1690"/>
      <c r="U263" s="1690"/>
      <c r="V263" s="1690"/>
      <c r="W263" s="1690"/>
      <c r="X263" s="1690"/>
      <c r="Y263" s="1690"/>
      <c r="Z263" s="1690"/>
      <c r="AA263" s="1690"/>
      <c r="AB263" s="1690"/>
      <c r="AC263" s="1690"/>
      <c r="AD263" s="1690"/>
      <c r="AE263" s="1690"/>
      <c r="AF263" s="1690"/>
      <c r="AG263" s="1690"/>
      <c r="AH263" s="1690"/>
      <c r="AI263" s="1690"/>
      <c r="AJ263" s="1690"/>
      <c r="AK263" s="1690"/>
      <c r="AL263" s="1690"/>
      <c r="AM263" s="1690"/>
      <c r="AN263" s="1690"/>
      <c r="AO263" s="1690"/>
      <c r="AP263" s="1690"/>
      <c r="AQ263" s="1690"/>
      <c r="AR263" s="1690"/>
      <c r="AS263" s="1690"/>
      <c r="AT263" s="1690"/>
    </row>
    <row r="264">
      <c r="A264" s="1419"/>
      <c r="B264" s="1684"/>
      <c r="C264" s="1685"/>
      <c r="D264" s="1685"/>
      <c r="E264" s="1691"/>
      <c r="F264" s="1691"/>
      <c r="G264" s="1691"/>
      <c r="H264" s="1691"/>
      <c r="I264" s="1691"/>
      <c r="J264" s="1691"/>
      <c r="K264" s="1691"/>
      <c r="L264" s="1691"/>
      <c r="M264" s="1691"/>
      <c r="N264" s="1691"/>
      <c r="O264" s="1691"/>
      <c r="P264" s="1691"/>
      <c r="Q264" s="1691"/>
      <c r="R264" s="1691"/>
      <c r="S264" s="1691"/>
      <c r="T264" s="1691"/>
      <c r="U264" s="1691"/>
      <c r="V264" s="1691"/>
      <c r="W264" s="1691"/>
      <c r="X264" s="1691"/>
      <c r="Y264" s="1686"/>
      <c r="Z264" s="1686"/>
      <c r="AA264" s="1686"/>
      <c r="AB264" s="1686"/>
      <c r="AC264" s="1686"/>
      <c r="AD264" s="1686"/>
      <c r="AE264" s="1686"/>
      <c r="AF264" s="1686"/>
      <c r="AG264" s="1686"/>
      <c r="AH264" s="1686"/>
      <c r="AI264" s="1686"/>
      <c r="AJ264" s="1686"/>
      <c r="AK264" s="1686"/>
      <c r="AL264" s="1686"/>
      <c r="AM264" s="1686"/>
      <c r="AN264" s="1686"/>
      <c r="AO264" s="1686"/>
      <c r="AP264" s="1686"/>
      <c r="AQ264" s="1686"/>
      <c r="AR264" s="1686"/>
      <c r="AS264" s="1686"/>
      <c r="AT264" s="1686"/>
    </row>
    <row r="265">
      <c r="A265" s="1419"/>
      <c r="B265" s="1687"/>
      <c r="C265" s="1688"/>
      <c r="D265" s="1688"/>
      <c r="E265" s="1689"/>
      <c r="F265" s="1689"/>
      <c r="G265" s="1689"/>
      <c r="H265" s="1689"/>
      <c r="I265" s="1689"/>
      <c r="J265" s="1689"/>
      <c r="K265" s="1689"/>
      <c r="L265" s="1689"/>
      <c r="M265" s="1689"/>
      <c r="N265" s="1689"/>
      <c r="O265" s="1689"/>
      <c r="P265" s="1689"/>
      <c r="Q265" s="1689"/>
      <c r="R265" s="1689"/>
      <c r="S265" s="1689"/>
      <c r="T265" s="1689"/>
      <c r="U265" s="1689"/>
      <c r="V265" s="1689"/>
      <c r="W265" s="1689"/>
      <c r="X265" s="1689"/>
      <c r="Y265" s="1690"/>
      <c r="Z265" s="1690"/>
      <c r="AA265" s="1690"/>
      <c r="AB265" s="1690"/>
      <c r="AC265" s="1690"/>
      <c r="AD265" s="1690"/>
      <c r="AE265" s="1690"/>
      <c r="AF265" s="1690"/>
      <c r="AG265" s="1690"/>
      <c r="AH265" s="1690"/>
      <c r="AI265" s="1690"/>
      <c r="AJ265" s="1690"/>
      <c r="AK265" s="1690"/>
      <c r="AL265" s="1690"/>
      <c r="AM265" s="1690"/>
      <c r="AN265" s="1690"/>
      <c r="AO265" s="1690"/>
      <c r="AP265" s="1690"/>
      <c r="AQ265" s="1690"/>
      <c r="AR265" s="1690"/>
      <c r="AS265" s="1690"/>
      <c r="AT265" s="1690"/>
    </row>
    <row r="266">
      <c r="A266" s="1419"/>
      <c r="B266" s="1684"/>
      <c r="C266" s="1685"/>
      <c r="D266" s="1685"/>
      <c r="E266" s="1686"/>
      <c r="F266" s="1686"/>
      <c r="G266" s="1686"/>
      <c r="H266" s="1686"/>
      <c r="I266" s="1686"/>
      <c r="J266" s="1686"/>
      <c r="K266" s="1686"/>
      <c r="L266" s="1686"/>
      <c r="M266" s="1686"/>
      <c r="N266" s="1686"/>
      <c r="O266" s="1686"/>
      <c r="P266" s="1686"/>
      <c r="Q266" s="1686"/>
      <c r="R266" s="1686"/>
      <c r="S266" s="1686"/>
      <c r="T266" s="1686"/>
      <c r="U266" s="1686"/>
      <c r="V266" s="1686"/>
      <c r="W266" s="1686"/>
      <c r="X266" s="1686"/>
      <c r="Y266" s="1686"/>
      <c r="Z266" s="1686"/>
      <c r="AA266" s="1686"/>
      <c r="AB266" s="1686"/>
      <c r="AC266" s="1686"/>
      <c r="AD266" s="1686"/>
      <c r="AE266" s="1686"/>
      <c r="AF266" s="1686"/>
      <c r="AG266" s="1686"/>
      <c r="AH266" s="1686"/>
      <c r="AI266" s="1686"/>
      <c r="AJ266" s="1686"/>
      <c r="AK266" s="1686"/>
      <c r="AL266" s="1686"/>
      <c r="AM266" s="1686"/>
      <c r="AN266" s="1686"/>
      <c r="AO266" s="1686"/>
      <c r="AP266" s="1686"/>
      <c r="AQ266" s="1686"/>
      <c r="AR266" s="1686"/>
      <c r="AS266" s="1686"/>
      <c r="AT266" s="1686"/>
    </row>
    <row r="267">
      <c r="A267" s="1419"/>
      <c r="B267" s="1687"/>
      <c r="C267" s="1688"/>
      <c r="D267" s="1688"/>
      <c r="E267" s="1690"/>
      <c r="F267" s="1690"/>
      <c r="G267" s="1690"/>
      <c r="H267" s="1690"/>
      <c r="I267" s="1690"/>
      <c r="J267" s="1690"/>
      <c r="K267" s="1690"/>
      <c r="L267" s="1690"/>
      <c r="M267" s="1690"/>
      <c r="N267" s="1690"/>
      <c r="O267" s="1690"/>
      <c r="P267" s="1690"/>
      <c r="Q267" s="1690"/>
      <c r="R267" s="1690"/>
      <c r="S267" s="1690"/>
      <c r="T267" s="1690"/>
      <c r="U267" s="1690"/>
      <c r="V267" s="1690"/>
      <c r="W267" s="1690"/>
      <c r="X267" s="1690"/>
      <c r="Y267" s="1690"/>
      <c r="Z267" s="1690"/>
      <c r="AA267" s="1690"/>
      <c r="AB267" s="1690"/>
      <c r="AC267" s="1690"/>
      <c r="AD267" s="1690"/>
      <c r="AE267" s="1690"/>
      <c r="AF267" s="1690"/>
      <c r="AG267" s="1690"/>
      <c r="AH267" s="1690"/>
      <c r="AI267" s="1690"/>
      <c r="AJ267" s="1690"/>
      <c r="AK267" s="1690"/>
      <c r="AL267" s="1690"/>
      <c r="AM267" s="1690"/>
      <c r="AN267" s="1690"/>
      <c r="AO267" s="1690"/>
      <c r="AP267" s="1690"/>
      <c r="AQ267" s="1690"/>
      <c r="AR267" s="1690"/>
      <c r="AS267" s="1690"/>
      <c r="AT267" s="1690"/>
    </row>
    <row r="268">
      <c r="A268" s="1419"/>
      <c r="B268" s="1684"/>
      <c r="C268" s="1685"/>
      <c r="D268" s="1685"/>
      <c r="E268" s="1691"/>
      <c r="F268" s="1691"/>
      <c r="G268" s="1691"/>
      <c r="H268" s="1691"/>
      <c r="I268" s="1691"/>
      <c r="J268" s="1691"/>
      <c r="K268" s="1691"/>
      <c r="L268" s="1691"/>
      <c r="M268" s="1691"/>
      <c r="N268" s="1691"/>
      <c r="O268" s="1691"/>
      <c r="P268" s="1691"/>
      <c r="Q268" s="1691"/>
      <c r="R268" s="1691"/>
      <c r="S268" s="1691"/>
      <c r="T268" s="1691"/>
      <c r="U268" s="1691"/>
      <c r="V268" s="1691"/>
      <c r="W268" s="1691"/>
      <c r="X268" s="1691"/>
      <c r="Y268" s="1686"/>
      <c r="Z268" s="1686"/>
      <c r="AA268" s="1686"/>
      <c r="AB268" s="1686"/>
      <c r="AC268" s="1686"/>
      <c r="AD268" s="1686"/>
      <c r="AE268" s="1686"/>
      <c r="AF268" s="1686"/>
      <c r="AG268" s="1686"/>
      <c r="AH268" s="1686"/>
      <c r="AI268" s="1686"/>
      <c r="AJ268" s="1686"/>
      <c r="AK268" s="1686"/>
      <c r="AL268" s="1686"/>
      <c r="AM268" s="1686"/>
      <c r="AN268" s="1686"/>
      <c r="AO268" s="1686"/>
      <c r="AP268" s="1686"/>
      <c r="AQ268" s="1686"/>
      <c r="AR268" s="1686"/>
      <c r="AS268" s="1686"/>
      <c r="AT268" s="1686"/>
    </row>
    <row r="269">
      <c r="A269" s="1419"/>
      <c r="B269" s="1687"/>
      <c r="C269" s="1688"/>
      <c r="D269" s="1688"/>
      <c r="E269" s="1689"/>
      <c r="F269" s="1689"/>
      <c r="G269" s="1689"/>
      <c r="H269" s="1689"/>
      <c r="I269" s="1689"/>
      <c r="J269" s="1689"/>
      <c r="K269" s="1689"/>
      <c r="L269" s="1689"/>
      <c r="M269" s="1689"/>
      <c r="N269" s="1689"/>
      <c r="O269" s="1689"/>
      <c r="P269" s="1689"/>
      <c r="Q269" s="1689"/>
      <c r="R269" s="1689"/>
      <c r="S269" s="1689"/>
      <c r="T269" s="1689"/>
      <c r="U269" s="1689"/>
      <c r="V269" s="1689"/>
      <c r="W269" s="1689"/>
      <c r="X269" s="1689"/>
      <c r="Y269" s="1690"/>
      <c r="Z269" s="1690"/>
      <c r="AA269" s="1690"/>
      <c r="AB269" s="1690"/>
      <c r="AC269" s="1690"/>
      <c r="AD269" s="1690"/>
      <c r="AE269" s="1690"/>
      <c r="AF269" s="1690"/>
      <c r="AG269" s="1690"/>
      <c r="AH269" s="1690"/>
      <c r="AI269" s="1690"/>
      <c r="AJ269" s="1690"/>
      <c r="AK269" s="1690"/>
      <c r="AL269" s="1690"/>
      <c r="AM269" s="1690"/>
      <c r="AN269" s="1690"/>
      <c r="AO269" s="1690"/>
      <c r="AP269" s="1690"/>
      <c r="AQ269" s="1690"/>
      <c r="AR269" s="1690"/>
      <c r="AS269" s="1690"/>
      <c r="AT269" s="1690"/>
    </row>
    <row r="270">
      <c r="A270" s="1419"/>
      <c r="B270" s="1684"/>
      <c r="C270" s="1685"/>
      <c r="D270" s="1685"/>
      <c r="E270" s="1691"/>
      <c r="F270" s="1691"/>
      <c r="G270" s="1691"/>
      <c r="H270" s="1691"/>
      <c r="I270" s="1691"/>
      <c r="J270" s="1691"/>
      <c r="K270" s="1691"/>
      <c r="L270" s="1691"/>
      <c r="M270" s="1691"/>
      <c r="N270" s="1691"/>
      <c r="O270" s="1691"/>
      <c r="P270" s="1691"/>
      <c r="Q270" s="1691"/>
      <c r="R270" s="1691"/>
      <c r="S270" s="1691"/>
      <c r="T270" s="1691"/>
      <c r="U270" s="1691"/>
      <c r="V270" s="1691"/>
      <c r="W270" s="1691"/>
      <c r="X270" s="1691"/>
      <c r="Y270" s="1686"/>
      <c r="Z270" s="1686"/>
      <c r="AA270" s="1686"/>
      <c r="AB270" s="1686"/>
      <c r="AC270" s="1686"/>
      <c r="AD270" s="1686"/>
      <c r="AE270" s="1686"/>
      <c r="AF270" s="1686"/>
      <c r="AG270" s="1686"/>
      <c r="AH270" s="1686"/>
      <c r="AI270" s="1686"/>
      <c r="AJ270" s="1686"/>
      <c r="AK270" s="1686"/>
      <c r="AL270" s="1686"/>
      <c r="AM270" s="1686"/>
      <c r="AN270" s="1686"/>
      <c r="AO270" s="1686"/>
      <c r="AP270" s="1686"/>
      <c r="AQ270" s="1686"/>
      <c r="AR270" s="1686"/>
      <c r="AS270" s="1686"/>
      <c r="AT270" s="1686"/>
    </row>
    <row r="271">
      <c r="A271" s="1419"/>
      <c r="B271" s="1687"/>
      <c r="C271" s="1688"/>
      <c r="D271" s="1688"/>
      <c r="E271" s="1689"/>
      <c r="F271" s="1689"/>
      <c r="G271" s="1689"/>
      <c r="H271" s="1689"/>
      <c r="I271" s="1689"/>
      <c r="J271" s="1689"/>
      <c r="K271" s="1689"/>
      <c r="L271" s="1689"/>
      <c r="M271" s="1689"/>
      <c r="N271" s="1689"/>
      <c r="O271" s="1689"/>
      <c r="P271" s="1689"/>
      <c r="Q271" s="1689"/>
      <c r="R271" s="1689"/>
      <c r="S271" s="1689"/>
      <c r="T271" s="1689"/>
      <c r="U271" s="1689"/>
      <c r="V271" s="1689"/>
      <c r="W271" s="1689"/>
      <c r="X271" s="1689"/>
      <c r="Y271" s="1690"/>
      <c r="Z271" s="1690"/>
      <c r="AA271" s="1690"/>
      <c r="AB271" s="1690"/>
      <c r="AC271" s="1690"/>
      <c r="AD271" s="1690"/>
      <c r="AE271" s="1690"/>
      <c r="AF271" s="1690"/>
      <c r="AG271" s="1690"/>
      <c r="AH271" s="1690"/>
      <c r="AI271" s="1690"/>
      <c r="AJ271" s="1690"/>
      <c r="AK271" s="1690"/>
      <c r="AL271" s="1690"/>
      <c r="AM271" s="1690"/>
      <c r="AN271" s="1690"/>
      <c r="AO271" s="1690"/>
      <c r="AP271" s="1690"/>
      <c r="AQ271" s="1690"/>
      <c r="AR271" s="1690"/>
      <c r="AS271" s="1690"/>
      <c r="AT271" s="1690"/>
    </row>
    <row r="272">
      <c r="A272" s="1419"/>
      <c r="B272" s="1684"/>
      <c r="C272" s="1685"/>
      <c r="D272" s="1685"/>
      <c r="E272" s="1686"/>
      <c r="F272" s="1686"/>
      <c r="G272" s="1686"/>
      <c r="H272" s="1686"/>
      <c r="I272" s="1686"/>
      <c r="J272" s="1686"/>
      <c r="K272" s="1686"/>
      <c r="L272" s="1686"/>
      <c r="M272" s="1686"/>
      <c r="N272" s="1686"/>
      <c r="O272" s="1686"/>
      <c r="P272" s="1686"/>
      <c r="Q272" s="1686"/>
      <c r="R272" s="1686"/>
      <c r="S272" s="1686"/>
      <c r="T272" s="1686"/>
      <c r="U272" s="1686"/>
      <c r="V272" s="1686"/>
      <c r="W272" s="1686"/>
      <c r="X272" s="1686"/>
      <c r="Y272" s="1686"/>
      <c r="Z272" s="1686"/>
      <c r="AA272" s="1686"/>
      <c r="AB272" s="1686"/>
      <c r="AC272" s="1686"/>
      <c r="AD272" s="1686"/>
      <c r="AE272" s="1686"/>
      <c r="AF272" s="1686"/>
      <c r="AG272" s="1686"/>
      <c r="AH272" s="1686"/>
      <c r="AI272" s="1686"/>
      <c r="AJ272" s="1686"/>
      <c r="AK272" s="1686"/>
      <c r="AL272" s="1686"/>
      <c r="AM272" s="1686"/>
      <c r="AN272" s="1686"/>
      <c r="AO272" s="1686"/>
      <c r="AP272" s="1686"/>
      <c r="AQ272" s="1686"/>
      <c r="AR272" s="1686"/>
      <c r="AS272" s="1686"/>
      <c r="AT272" s="1686"/>
    </row>
    <row r="273">
      <c r="A273" s="1419"/>
      <c r="B273" s="1687"/>
      <c r="C273" s="1688"/>
      <c r="D273" s="1688"/>
      <c r="E273" s="1689"/>
      <c r="F273" s="1689"/>
      <c r="G273" s="1689"/>
      <c r="H273" s="1689"/>
      <c r="I273" s="1689"/>
      <c r="J273" s="1689"/>
      <c r="K273" s="1689"/>
      <c r="L273" s="1689"/>
      <c r="M273" s="1689"/>
      <c r="N273" s="1689"/>
      <c r="O273" s="1689"/>
      <c r="P273" s="1689"/>
      <c r="Q273" s="1689"/>
      <c r="R273" s="1689"/>
      <c r="S273" s="1689"/>
      <c r="T273" s="1689"/>
      <c r="U273" s="1689"/>
      <c r="V273" s="1689"/>
      <c r="W273" s="1689"/>
      <c r="X273" s="1689"/>
      <c r="Y273" s="1690"/>
      <c r="Z273" s="1690"/>
      <c r="AA273" s="1690"/>
      <c r="AB273" s="1690"/>
      <c r="AC273" s="1690"/>
      <c r="AD273" s="1690"/>
      <c r="AE273" s="1690"/>
      <c r="AF273" s="1690"/>
      <c r="AG273" s="1690"/>
      <c r="AH273" s="1690"/>
      <c r="AI273" s="1690"/>
      <c r="AJ273" s="1690"/>
      <c r="AK273" s="1690"/>
      <c r="AL273" s="1690"/>
      <c r="AM273" s="1690"/>
      <c r="AN273" s="1690"/>
      <c r="AO273" s="1690"/>
      <c r="AP273" s="1690"/>
      <c r="AQ273" s="1690"/>
      <c r="AR273" s="1690"/>
      <c r="AS273" s="1690"/>
      <c r="AT273" s="1690"/>
    </row>
    <row r="274">
      <c r="A274" s="1419"/>
      <c r="B274" s="1684"/>
      <c r="C274" s="1685"/>
      <c r="D274" s="1685"/>
      <c r="E274" s="1686"/>
      <c r="F274" s="1686"/>
      <c r="G274" s="1686"/>
      <c r="H274" s="1686"/>
      <c r="I274" s="1686"/>
      <c r="J274" s="1686"/>
      <c r="K274" s="1686"/>
      <c r="L274" s="1686"/>
      <c r="M274" s="1686"/>
      <c r="N274" s="1686"/>
      <c r="O274" s="1686"/>
      <c r="P274" s="1686"/>
      <c r="Q274" s="1686"/>
      <c r="R274" s="1686"/>
      <c r="S274" s="1686"/>
      <c r="T274" s="1686"/>
      <c r="U274" s="1686"/>
      <c r="V274" s="1686"/>
      <c r="W274" s="1686"/>
      <c r="X274" s="1686"/>
      <c r="Y274" s="1686"/>
      <c r="Z274" s="1686"/>
      <c r="AA274" s="1686"/>
      <c r="AB274" s="1686"/>
      <c r="AC274" s="1686"/>
      <c r="AD274" s="1686"/>
      <c r="AE274" s="1686"/>
      <c r="AF274" s="1686"/>
      <c r="AG274" s="1686"/>
      <c r="AH274" s="1686"/>
      <c r="AI274" s="1686"/>
      <c r="AJ274" s="1686"/>
      <c r="AK274" s="1686"/>
      <c r="AL274" s="1686"/>
      <c r="AM274" s="1686"/>
      <c r="AN274" s="1686"/>
      <c r="AO274" s="1686"/>
      <c r="AP274" s="1686"/>
      <c r="AQ274" s="1686"/>
      <c r="AR274" s="1686"/>
      <c r="AS274" s="1686"/>
      <c r="AT274" s="1686"/>
    </row>
    <row r="275">
      <c r="A275" s="1419"/>
      <c r="B275" s="1687"/>
      <c r="C275" s="1688"/>
      <c r="D275" s="1688"/>
      <c r="E275" s="1690"/>
      <c r="F275" s="1690"/>
      <c r="G275" s="1690"/>
      <c r="H275" s="1690"/>
      <c r="I275" s="1690"/>
      <c r="J275" s="1690"/>
      <c r="K275" s="1690"/>
      <c r="L275" s="1690"/>
      <c r="M275" s="1690"/>
      <c r="N275" s="1690"/>
      <c r="O275" s="1690"/>
      <c r="P275" s="1690"/>
      <c r="Q275" s="1690"/>
      <c r="R275" s="1690"/>
      <c r="S275" s="1690"/>
      <c r="T275" s="1690"/>
      <c r="U275" s="1690"/>
      <c r="V275" s="1690"/>
      <c r="W275" s="1690"/>
      <c r="X275" s="1690"/>
      <c r="Y275" s="1690"/>
      <c r="Z275" s="1690"/>
      <c r="AA275" s="1690"/>
      <c r="AB275" s="1690"/>
      <c r="AC275" s="1690"/>
      <c r="AD275" s="1690"/>
      <c r="AE275" s="1690"/>
      <c r="AF275" s="1690"/>
      <c r="AG275" s="1690"/>
      <c r="AH275" s="1690"/>
      <c r="AI275" s="1690"/>
      <c r="AJ275" s="1690"/>
      <c r="AK275" s="1690"/>
      <c r="AL275" s="1690"/>
      <c r="AM275" s="1690"/>
      <c r="AN275" s="1690"/>
      <c r="AO275" s="1690"/>
      <c r="AP275" s="1690"/>
      <c r="AQ275" s="1690"/>
      <c r="AR275" s="1690"/>
      <c r="AS275" s="1690"/>
      <c r="AT275" s="1690"/>
    </row>
    <row r="276">
      <c r="A276" s="1419"/>
      <c r="B276" s="1684"/>
      <c r="C276" s="1685"/>
      <c r="D276" s="1685"/>
      <c r="E276" s="1686"/>
      <c r="F276" s="1686"/>
      <c r="G276" s="1686"/>
      <c r="H276" s="1686"/>
      <c r="I276" s="1686"/>
      <c r="J276" s="1686"/>
      <c r="K276" s="1686"/>
      <c r="L276" s="1686"/>
      <c r="M276" s="1686"/>
      <c r="N276" s="1686"/>
      <c r="O276" s="1686"/>
      <c r="P276" s="1686"/>
      <c r="Q276" s="1686"/>
      <c r="R276" s="1686"/>
      <c r="S276" s="1686"/>
      <c r="T276" s="1686"/>
      <c r="U276" s="1686"/>
      <c r="V276" s="1686"/>
      <c r="W276" s="1686"/>
      <c r="X276" s="1686"/>
      <c r="Y276" s="1686"/>
      <c r="Z276" s="1686"/>
      <c r="AA276" s="1686"/>
      <c r="AB276" s="1686"/>
      <c r="AC276" s="1686"/>
      <c r="AD276" s="1686"/>
      <c r="AE276" s="1686"/>
      <c r="AF276" s="1686"/>
      <c r="AG276" s="1686"/>
      <c r="AH276" s="1686"/>
      <c r="AI276" s="1686"/>
      <c r="AJ276" s="1686"/>
      <c r="AK276" s="1686"/>
      <c r="AL276" s="1686"/>
      <c r="AM276" s="1686"/>
      <c r="AN276" s="1686"/>
      <c r="AO276" s="1686"/>
      <c r="AP276" s="1686"/>
      <c r="AQ276" s="1686"/>
      <c r="AR276" s="1686"/>
      <c r="AS276" s="1686"/>
      <c r="AT276" s="1686"/>
    </row>
    <row r="277">
      <c r="A277" s="1419"/>
      <c r="B277" s="1687"/>
      <c r="C277" s="1688"/>
      <c r="D277" s="1688"/>
      <c r="E277" s="1690"/>
      <c r="F277" s="1690"/>
      <c r="G277" s="1690"/>
      <c r="H277" s="1690"/>
      <c r="I277" s="1690"/>
      <c r="J277" s="1690"/>
      <c r="K277" s="1690"/>
      <c r="L277" s="1690"/>
      <c r="M277" s="1690"/>
      <c r="N277" s="1690"/>
      <c r="O277" s="1690"/>
      <c r="P277" s="1690"/>
      <c r="Q277" s="1690"/>
      <c r="R277" s="1690"/>
      <c r="S277" s="1690"/>
      <c r="T277" s="1690"/>
      <c r="U277" s="1690"/>
      <c r="V277" s="1690"/>
      <c r="W277" s="1690"/>
      <c r="X277" s="1690"/>
      <c r="Y277" s="1690"/>
      <c r="Z277" s="1690"/>
      <c r="AA277" s="1690"/>
      <c r="AB277" s="1690"/>
      <c r="AC277" s="1690"/>
      <c r="AD277" s="1690"/>
      <c r="AE277" s="1690"/>
      <c r="AF277" s="1690"/>
      <c r="AG277" s="1690"/>
      <c r="AH277" s="1690"/>
      <c r="AI277" s="1690"/>
      <c r="AJ277" s="1690"/>
      <c r="AK277" s="1690"/>
      <c r="AL277" s="1690"/>
      <c r="AM277" s="1690"/>
      <c r="AN277" s="1690"/>
      <c r="AO277" s="1690"/>
      <c r="AP277" s="1690"/>
      <c r="AQ277" s="1690"/>
      <c r="AR277" s="1690"/>
      <c r="AS277" s="1690"/>
      <c r="AT277" s="1690"/>
    </row>
    <row r="278">
      <c r="A278" s="1419"/>
      <c r="B278" s="1684"/>
      <c r="C278" s="1685"/>
      <c r="D278" s="1685"/>
      <c r="E278" s="1686"/>
      <c r="F278" s="1686"/>
      <c r="G278" s="1686"/>
      <c r="H278" s="1686"/>
      <c r="I278" s="1686"/>
      <c r="J278" s="1686"/>
      <c r="K278" s="1686"/>
      <c r="L278" s="1686"/>
      <c r="M278" s="1686"/>
      <c r="N278" s="1686"/>
      <c r="O278" s="1686"/>
      <c r="P278" s="1686"/>
      <c r="Q278" s="1686"/>
      <c r="R278" s="1686"/>
      <c r="S278" s="1686"/>
      <c r="T278" s="1686"/>
      <c r="U278" s="1686"/>
      <c r="V278" s="1686"/>
      <c r="W278" s="1686"/>
      <c r="X278" s="1686"/>
      <c r="Y278" s="1686"/>
      <c r="Z278" s="1686"/>
      <c r="AA278" s="1686"/>
      <c r="AB278" s="1686"/>
      <c r="AC278" s="1686"/>
      <c r="AD278" s="1686"/>
      <c r="AE278" s="1686"/>
      <c r="AF278" s="1686"/>
      <c r="AG278" s="1686"/>
      <c r="AH278" s="1686"/>
      <c r="AI278" s="1686"/>
      <c r="AJ278" s="1686"/>
      <c r="AK278" s="1686"/>
      <c r="AL278" s="1686"/>
      <c r="AM278" s="1686"/>
      <c r="AN278" s="1686"/>
      <c r="AO278" s="1686"/>
      <c r="AP278" s="1686"/>
      <c r="AQ278" s="1686"/>
      <c r="AR278" s="1686"/>
      <c r="AS278" s="1686"/>
      <c r="AT278" s="1686"/>
    </row>
    <row r="279">
      <c r="A279" s="1419"/>
      <c r="B279" s="1687"/>
      <c r="C279" s="1688"/>
      <c r="D279" s="1688"/>
      <c r="E279" s="1689"/>
      <c r="F279" s="1689"/>
      <c r="G279" s="1689"/>
      <c r="H279" s="1689"/>
      <c r="I279" s="1689"/>
      <c r="J279" s="1689"/>
      <c r="K279" s="1689"/>
      <c r="L279" s="1689"/>
      <c r="M279" s="1689"/>
      <c r="N279" s="1689"/>
      <c r="O279" s="1689"/>
      <c r="P279" s="1689"/>
      <c r="Q279" s="1689"/>
      <c r="R279" s="1689"/>
      <c r="S279" s="1689"/>
      <c r="T279" s="1689"/>
      <c r="U279" s="1689"/>
      <c r="V279" s="1689"/>
      <c r="W279" s="1689"/>
      <c r="X279" s="1689"/>
      <c r="Y279" s="1690"/>
      <c r="Z279" s="1690"/>
      <c r="AA279" s="1690"/>
      <c r="AB279" s="1690"/>
      <c r="AC279" s="1690"/>
      <c r="AD279" s="1690"/>
      <c r="AE279" s="1690"/>
      <c r="AF279" s="1690"/>
      <c r="AG279" s="1690"/>
      <c r="AH279" s="1690"/>
      <c r="AI279" s="1690"/>
      <c r="AJ279" s="1690"/>
      <c r="AK279" s="1690"/>
      <c r="AL279" s="1690"/>
      <c r="AM279" s="1690"/>
      <c r="AN279" s="1690"/>
      <c r="AO279" s="1690"/>
      <c r="AP279" s="1690"/>
      <c r="AQ279" s="1690"/>
      <c r="AR279" s="1690"/>
      <c r="AS279" s="1690"/>
      <c r="AT279" s="1690"/>
    </row>
    <row r="280">
      <c r="A280" s="1419"/>
      <c r="B280" s="1684"/>
      <c r="C280" s="1685"/>
      <c r="D280" s="1685"/>
      <c r="E280" s="1686"/>
      <c r="F280" s="1686"/>
      <c r="G280" s="1686"/>
      <c r="H280" s="1686"/>
      <c r="I280" s="1686"/>
      <c r="J280" s="1686"/>
      <c r="K280" s="1686"/>
      <c r="L280" s="1686"/>
      <c r="M280" s="1686"/>
      <c r="N280" s="1686"/>
      <c r="O280" s="1686"/>
      <c r="P280" s="1686"/>
      <c r="Q280" s="1686"/>
      <c r="R280" s="1686"/>
      <c r="S280" s="1686"/>
      <c r="T280" s="1686"/>
      <c r="U280" s="1686"/>
      <c r="V280" s="1686"/>
      <c r="W280" s="1686"/>
      <c r="X280" s="1686"/>
      <c r="Y280" s="1686"/>
      <c r="Z280" s="1686"/>
      <c r="AA280" s="1686"/>
      <c r="AB280" s="1686"/>
      <c r="AC280" s="1686"/>
      <c r="AD280" s="1686"/>
      <c r="AE280" s="1686"/>
      <c r="AF280" s="1686"/>
      <c r="AG280" s="1686"/>
      <c r="AH280" s="1686"/>
      <c r="AI280" s="1686"/>
      <c r="AJ280" s="1686"/>
      <c r="AK280" s="1686"/>
      <c r="AL280" s="1686"/>
      <c r="AM280" s="1686"/>
      <c r="AN280" s="1686"/>
      <c r="AO280" s="1686"/>
      <c r="AP280" s="1686"/>
      <c r="AQ280" s="1686"/>
      <c r="AR280" s="1686"/>
      <c r="AS280" s="1686"/>
      <c r="AT280" s="1686"/>
    </row>
    <row r="281">
      <c r="A281" s="1419"/>
      <c r="B281" s="1687"/>
      <c r="C281" s="1688"/>
      <c r="D281" s="1688"/>
      <c r="E281" s="1690"/>
      <c r="F281" s="1690"/>
      <c r="G281" s="1690"/>
      <c r="H281" s="1690"/>
      <c r="I281" s="1690"/>
      <c r="J281" s="1690"/>
      <c r="K281" s="1690"/>
      <c r="L281" s="1690"/>
      <c r="M281" s="1690"/>
      <c r="N281" s="1690"/>
      <c r="O281" s="1690"/>
      <c r="P281" s="1690"/>
      <c r="Q281" s="1690"/>
      <c r="R281" s="1690"/>
      <c r="S281" s="1690"/>
      <c r="T281" s="1690"/>
      <c r="U281" s="1690"/>
      <c r="V281" s="1690"/>
      <c r="W281" s="1690"/>
      <c r="X281" s="1690"/>
      <c r="Y281" s="1690"/>
      <c r="Z281" s="1690"/>
      <c r="AA281" s="1690"/>
      <c r="AB281" s="1690"/>
      <c r="AC281" s="1690"/>
      <c r="AD281" s="1690"/>
      <c r="AE281" s="1690"/>
      <c r="AF281" s="1690"/>
      <c r="AG281" s="1690"/>
      <c r="AH281" s="1690"/>
      <c r="AI281" s="1690"/>
      <c r="AJ281" s="1690"/>
      <c r="AK281" s="1690"/>
      <c r="AL281" s="1690"/>
      <c r="AM281" s="1690"/>
      <c r="AN281" s="1690"/>
      <c r="AO281" s="1690"/>
      <c r="AP281" s="1690"/>
      <c r="AQ281" s="1690"/>
      <c r="AR281" s="1690"/>
      <c r="AS281" s="1690"/>
      <c r="AT281" s="1690"/>
    </row>
    <row r="282">
      <c r="A282" s="1419"/>
      <c r="B282" s="1684"/>
      <c r="C282" s="1685"/>
      <c r="D282" s="1685"/>
      <c r="E282" s="1686"/>
      <c r="F282" s="1686"/>
      <c r="G282" s="1686"/>
      <c r="H282" s="1686"/>
      <c r="I282" s="1686"/>
      <c r="J282" s="1686"/>
      <c r="K282" s="1686"/>
      <c r="L282" s="1686"/>
      <c r="M282" s="1686"/>
      <c r="N282" s="1686"/>
      <c r="O282" s="1686"/>
      <c r="P282" s="1686"/>
      <c r="Q282" s="1686"/>
      <c r="R282" s="1686"/>
      <c r="S282" s="1686"/>
      <c r="T282" s="1686"/>
      <c r="U282" s="1686"/>
      <c r="V282" s="1686"/>
      <c r="W282" s="1686"/>
      <c r="X282" s="1686"/>
      <c r="Y282" s="1686"/>
      <c r="Z282" s="1686"/>
      <c r="AA282" s="1686"/>
      <c r="AB282" s="1686"/>
      <c r="AC282" s="1686"/>
      <c r="AD282" s="1686"/>
      <c r="AE282" s="1686"/>
      <c r="AF282" s="1686"/>
      <c r="AG282" s="1686"/>
      <c r="AH282" s="1686"/>
      <c r="AI282" s="1686"/>
      <c r="AJ282" s="1686"/>
      <c r="AK282" s="1686"/>
      <c r="AL282" s="1686"/>
      <c r="AM282" s="1686"/>
      <c r="AN282" s="1686"/>
      <c r="AO282" s="1686"/>
      <c r="AP282" s="1686"/>
      <c r="AQ282" s="1686"/>
      <c r="AR282" s="1686"/>
      <c r="AS282" s="1686"/>
      <c r="AT282" s="1686"/>
    </row>
    <row r="283">
      <c r="A283" s="1419"/>
      <c r="B283" s="1687"/>
      <c r="C283" s="1688"/>
      <c r="D283" s="1688"/>
      <c r="E283" s="1689"/>
      <c r="F283" s="1689"/>
      <c r="G283" s="1689"/>
      <c r="H283" s="1689"/>
      <c r="I283" s="1689"/>
      <c r="J283" s="1689"/>
      <c r="K283" s="1689"/>
      <c r="L283" s="1689"/>
      <c r="M283" s="1689"/>
      <c r="N283" s="1689"/>
      <c r="O283" s="1689"/>
      <c r="P283" s="1689"/>
      <c r="Q283" s="1689"/>
      <c r="R283" s="1689"/>
      <c r="S283" s="1689"/>
      <c r="T283" s="1689"/>
      <c r="U283" s="1689"/>
      <c r="V283" s="1689"/>
      <c r="W283" s="1689"/>
      <c r="X283" s="1689"/>
      <c r="Y283" s="1690"/>
      <c r="Z283" s="1690"/>
      <c r="AA283" s="1690"/>
      <c r="AB283" s="1690"/>
      <c r="AC283" s="1690"/>
      <c r="AD283" s="1690"/>
      <c r="AE283" s="1690"/>
      <c r="AF283" s="1690"/>
      <c r="AG283" s="1690"/>
      <c r="AH283" s="1690"/>
      <c r="AI283" s="1690"/>
      <c r="AJ283" s="1690"/>
      <c r="AK283" s="1690"/>
      <c r="AL283" s="1690"/>
      <c r="AM283" s="1690"/>
      <c r="AN283" s="1690"/>
      <c r="AO283" s="1690"/>
      <c r="AP283" s="1690"/>
      <c r="AQ283" s="1690"/>
      <c r="AR283" s="1690"/>
      <c r="AS283" s="1690"/>
      <c r="AT283" s="1690"/>
    </row>
    <row r="284">
      <c r="A284" s="1419"/>
      <c r="B284" s="1684"/>
      <c r="C284" s="1685"/>
      <c r="D284" s="1685"/>
      <c r="E284" s="1686"/>
      <c r="F284" s="1686"/>
      <c r="G284" s="1686"/>
      <c r="H284" s="1686"/>
      <c r="I284" s="1686"/>
      <c r="J284" s="1686"/>
      <c r="K284" s="1686"/>
      <c r="L284" s="1686"/>
      <c r="M284" s="1686"/>
      <c r="N284" s="1686"/>
      <c r="O284" s="1686"/>
      <c r="P284" s="1686"/>
      <c r="Q284" s="1686"/>
      <c r="R284" s="1686"/>
      <c r="S284" s="1686"/>
      <c r="T284" s="1686"/>
      <c r="U284" s="1686"/>
      <c r="V284" s="1686"/>
      <c r="W284" s="1686"/>
      <c r="X284" s="1686"/>
      <c r="Y284" s="1686"/>
      <c r="Z284" s="1686"/>
      <c r="AA284" s="1686"/>
      <c r="AB284" s="1686"/>
      <c r="AC284" s="1686"/>
      <c r="AD284" s="1686"/>
      <c r="AE284" s="1686"/>
      <c r="AF284" s="1686"/>
      <c r="AG284" s="1686"/>
      <c r="AH284" s="1686"/>
      <c r="AI284" s="1686"/>
      <c r="AJ284" s="1686"/>
      <c r="AK284" s="1686"/>
      <c r="AL284" s="1686"/>
      <c r="AM284" s="1686"/>
      <c r="AN284" s="1686"/>
      <c r="AO284" s="1686"/>
      <c r="AP284" s="1686"/>
      <c r="AQ284" s="1686"/>
      <c r="AR284" s="1686"/>
      <c r="AS284" s="1686"/>
      <c r="AT284" s="1686"/>
    </row>
    <row r="285">
      <c r="A285" s="1419"/>
      <c r="B285" s="1687"/>
      <c r="C285" s="1688"/>
      <c r="D285" s="1688"/>
      <c r="E285" s="1690"/>
      <c r="F285" s="1690"/>
      <c r="G285" s="1690"/>
      <c r="H285" s="1690"/>
      <c r="I285" s="1690"/>
      <c r="J285" s="1690"/>
      <c r="K285" s="1690"/>
      <c r="L285" s="1690"/>
      <c r="M285" s="1690"/>
      <c r="N285" s="1690"/>
      <c r="O285" s="1690"/>
      <c r="P285" s="1690"/>
      <c r="Q285" s="1690"/>
      <c r="R285" s="1690"/>
      <c r="S285" s="1690"/>
      <c r="T285" s="1690"/>
      <c r="U285" s="1690"/>
      <c r="V285" s="1690"/>
      <c r="W285" s="1690"/>
      <c r="X285" s="1690"/>
      <c r="Y285" s="1690"/>
      <c r="Z285" s="1690"/>
      <c r="AA285" s="1690"/>
      <c r="AB285" s="1690"/>
      <c r="AC285" s="1690"/>
      <c r="AD285" s="1690"/>
      <c r="AE285" s="1690"/>
      <c r="AF285" s="1690"/>
      <c r="AG285" s="1690"/>
      <c r="AH285" s="1690"/>
      <c r="AI285" s="1690"/>
      <c r="AJ285" s="1690"/>
      <c r="AK285" s="1690"/>
      <c r="AL285" s="1690"/>
      <c r="AM285" s="1690"/>
      <c r="AN285" s="1690"/>
      <c r="AO285" s="1690"/>
      <c r="AP285" s="1690"/>
      <c r="AQ285" s="1690"/>
      <c r="AR285" s="1690"/>
      <c r="AS285" s="1690"/>
      <c r="AT285" s="1690"/>
    </row>
    <row r="286">
      <c r="A286" s="1419"/>
      <c r="B286" s="1684"/>
      <c r="C286" s="1685"/>
      <c r="D286" s="1685"/>
      <c r="E286" s="1691"/>
      <c r="F286" s="1691"/>
      <c r="G286" s="1691"/>
      <c r="H286" s="1691"/>
      <c r="I286" s="1691"/>
      <c r="J286" s="1691"/>
      <c r="K286" s="1691"/>
      <c r="L286" s="1691"/>
      <c r="M286" s="1691"/>
      <c r="N286" s="1691"/>
      <c r="O286" s="1691"/>
      <c r="P286" s="1691"/>
      <c r="Q286" s="1691"/>
      <c r="R286" s="1691"/>
      <c r="S286" s="1691"/>
      <c r="T286" s="1691"/>
      <c r="U286" s="1691"/>
      <c r="V286" s="1691"/>
      <c r="W286" s="1691"/>
      <c r="X286" s="1691"/>
      <c r="Y286" s="1686"/>
      <c r="Z286" s="1686"/>
      <c r="AA286" s="1686"/>
      <c r="AB286" s="1686"/>
      <c r="AC286" s="1686"/>
      <c r="AD286" s="1686"/>
      <c r="AE286" s="1686"/>
      <c r="AF286" s="1686"/>
      <c r="AG286" s="1686"/>
      <c r="AH286" s="1686"/>
      <c r="AI286" s="1686"/>
      <c r="AJ286" s="1686"/>
      <c r="AK286" s="1686"/>
      <c r="AL286" s="1686"/>
      <c r="AM286" s="1686"/>
      <c r="AN286" s="1686"/>
      <c r="AO286" s="1686"/>
      <c r="AP286" s="1686"/>
      <c r="AQ286" s="1686"/>
      <c r="AR286" s="1686"/>
      <c r="AS286" s="1686"/>
      <c r="AT286" s="1686"/>
    </row>
    <row r="287">
      <c r="A287" s="1419"/>
      <c r="B287" s="1687"/>
      <c r="C287" s="1688"/>
      <c r="D287" s="1688"/>
      <c r="E287" s="1689"/>
      <c r="F287" s="1689"/>
      <c r="G287" s="1689"/>
      <c r="H287" s="1689"/>
      <c r="I287" s="1689"/>
      <c r="J287" s="1689"/>
      <c r="K287" s="1689"/>
      <c r="L287" s="1689"/>
      <c r="M287" s="1689"/>
      <c r="N287" s="1689"/>
      <c r="O287" s="1689"/>
      <c r="P287" s="1689"/>
      <c r="Q287" s="1689"/>
      <c r="R287" s="1689"/>
      <c r="S287" s="1689"/>
      <c r="T287" s="1689"/>
      <c r="U287" s="1689"/>
      <c r="V287" s="1689"/>
      <c r="W287" s="1689"/>
      <c r="X287" s="1689"/>
      <c r="Y287" s="1690"/>
      <c r="Z287" s="1690"/>
      <c r="AA287" s="1690"/>
      <c r="AB287" s="1690"/>
      <c r="AC287" s="1690"/>
      <c r="AD287" s="1690"/>
      <c r="AE287" s="1690"/>
      <c r="AF287" s="1690"/>
      <c r="AG287" s="1690"/>
      <c r="AH287" s="1690"/>
      <c r="AI287" s="1690"/>
      <c r="AJ287" s="1690"/>
      <c r="AK287" s="1690"/>
      <c r="AL287" s="1690"/>
      <c r="AM287" s="1690"/>
      <c r="AN287" s="1690"/>
      <c r="AO287" s="1690"/>
      <c r="AP287" s="1690"/>
      <c r="AQ287" s="1690"/>
      <c r="AR287" s="1690"/>
      <c r="AS287" s="1690"/>
      <c r="AT287" s="1690"/>
    </row>
    <row r="288">
      <c r="A288" s="1440" t="s">
        <v>2461</v>
      </c>
      <c r="B288" s="1684"/>
      <c r="C288" s="1685"/>
      <c r="D288" s="1685"/>
      <c r="E288" s="1691"/>
      <c r="F288" s="1691"/>
      <c r="G288" s="1691"/>
      <c r="H288" s="1691"/>
      <c r="I288" s="1691"/>
      <c r="J288" s="1691"/>
      <c r="K288" s="1691"/>
      <c r="L288" s="1691"/>
      <c r="M288" s="1691"/>
      <c r="N288" s="1691"/>
      <c r="O288" s="1691"/>
      <c r="P288" s="1691"/>
      <c r="Q288" s="1691"/>
      <c r="R288" s="1691"/>
      <c r="S288" s="1691"/>
      <c r="T288" s="1691"/>
      <c r="U288" s="1691"/>
      <c r="V288" s="1691"/>
      <c r="W288" s="1691"/>
      <c r="X288" s="1691"/>
      <c r="Y288" s="1686"/>
      <c r="Z288" s="1686"/>
      <c r="AA288" s="1686"/>
      <c r="AB288" s="1686"/>
      <c r="AC288" s="1686"/>
      <c r="AD288" s="1686"/>
      <c r="AE288" s="1686"/>
      <c r="AF288" s="1686"/>
      <c r="AG288" s="1686"/>
      <c r="AH288" s="1686"/>
      <c r="AI288" s="1686"/>
      <c r="AJ288" s="1686"/>
      <c r="AK288" s="1686"/>
      <c r="AL288" s="1686"/>
      <c r="AM288" s="1686"/>
      <c r="AN288" s="1686"/>
      <c r="AO288" s="1686"/>
      <c r="AP288" s="1686"/>
      <c r="AQ288" s="1686"/>
      <c r="AR288" s="1686"/>
      <c r="AS288" s="1686"/>
      <c r="AT288" s="1686"/>
    </row>
    <row r="289">
      <c r="A289" s="1440" t="s">
        <v>2461</v>
      </c>
      <c r="B289" s="1687"/>
      <c r="C289" s="1688"/>
      <c r="D289" s="1688"/>
      <c r="E289" s="1689"/>
      <c r="F289" s="1689"/>
      <c r="G289" s="1689"/>
      <c r="H289" s="1689"/>
      <c r="I289" s="1689"/>
      <c r="J289" s="1689"/>
      <c r="K289" s="1689"/>
      <c r="L289" s="1689"/>
      <c r="M289" s="1689"/>
      <c r="N289" s="1689"/>
      <c r="O289" s="1689"/>
      <c r="P289" s="1689"/>
      <c r="Q289" s="1689"/>
      <c r="R289" s="1689"/>
      <c r="S289" s="1689"/>
      <c r="T289" s="1689"/>
      <c r="U289" s="1689"/>
      <c r="V289" s="1689"/>
      <c r="W289" s="1689"/>
      <c r="X289" s="1689"/>
      <c r="Y289" s="1690"/>
      <c r="Z289" s="1690"/>
      <c r="AA289" s="1690"/>
      <c r="AB289" s="1690"/>
      <c r="AC289" s="1690"/>
      <c r="AD289" s="1690"/>
      <c r="AE289" s="1690"/>
      <c r="AF289" s="1690"/>
      <c r="AG289" s="1690"/>
      <c r="AH289" s="1690"/>
      <c r="AI289" s="1690"/>
      <c r="AJ289" s="1690"/>
      <c r="AK289" s="1690"/>
      <c r="AL289" s="1690"/>
      <c r="AM289" s="1690"/>
      <c r="AN289" s="1690"/>
      <c r="AO289" s="1690"/>
      <c r="AP289" s="1690"/>
      <c r="AQ289" s="1690"/>
      <c r="AR289" s="1690"/>
      <c r="AS289" s="1690"/>
      <c r="AT289" s="1690"/>
    </row>
    <row r="290">
      <c r="A290" s="1440" t="s">
        <v>2461</v>
      </c>
      <c r="B290" s="1684"/>
      <c r="C290" s="1685"/>
      <c r="D290" s="1685"/>
      <c r="E290" s="1686"/>
      <c r="F290" s="1686"/>
      <c r="G290" s="1686"/>
      <c r="H290" s="1686"/>
      <c r="I290" s="1686"/>
      <c r="J290" s="1686"/>
      <c r="K290" s="1686"/>
      <c r="L290" s="1686"/>
      <c r="M290" s="1686"/>
      <c r="N290" s="1686"/>
      <c r="O290" s="1686"/>
      <c r="P290" s="1686"/>
      <c r="Q290" s="1686"/>
      <c r="R290" s="1686"/>
      <c r="S290" s="1686"/>
      <c r="T290" s="1686"/>
      <c r="U290" s="1686"/>
      <c r="V290" s="1686"/>
      <c r="W290" s="1686"/>
      <c r="X290" s="1686"/>
      <c r="Y290" s="1686"/>
      <c r="Z290" s="1686"/>
      <c r="AA290" s="1686"/>
      <c r="AB290" s="1686"/>
      <c r="AC290" s="1686"/>
      <c r="AD290" s="1686"/>
      <c r="AE290" s="1686"/>
      <c r="AF290" s="1686"/>
      <c r="AG290" s="1686"/>
      <c r="AH290" s="1686"/>
      <c r="AI290" s="1686"/>
      <c r="AJ290" s="1686"/>
      <c r="AK290" s="1686"/>
      <c r="AL290" s="1686"/>
      <c r="AM290" s="1686"/>
      <c r="AN290" s="1686"/>
      <c r="AO290" s="1686"/>
      <c r="AP290" s="1686"/>
      <c r="AQ290" s="1686"/>
      <c r="AR290" s="1686"/>
      <c r="AS290" s="1686"/>
      <c r="AT290" s="1686"/>
    </row>
    <row r="291">
      <c r="A291" s="1440" t="s">
        <v>2461</v>
      </c>
      <c r="B291" s="1687"/>
      <c r="C291" s="1688"/>
      <c r="D291" s="1688"/>
      <c r="E291" s="1690"/>
      <c r="F291" s="1690"/>
      <c r="G291" s="1690"/>
      <c r="H291" s="1690"/>
      <c r="I291" s="1690"/>
      <c r="J291" s="1690"/>
      <c r="K291" s="1690"/>
      <c r="L291" s="1690"/>
      <c r="M291" s="1690"/>
      <c r="N291" s="1690"/>
      <c r="O291" s="1690"/>
      <c r="P291" s="1690"/>
      <c r="Q291" s="1690"/>
      <c r="R291" s="1690"/>
      <c r="S291" s="1690"/>
      <c r="T291" s="1690"/>
      <c r="U291" s="1690"/>
      <c r="V291" s="1690"/>
      <c r="W291" s="1690"/>
      <c r="X291" s="1690"/>
      <c r="Y291" s="1690"/>
      <c r="Z291" s="1690"/>
      <c r="AA291" s="1690"/>
      <c r="AB291" s="1690"/>
      <c r="AC291" s="1690"/>
      <c r="AD291" s="1690"/>
      <c r="AE291" s="1690"/>
      <c r="AF291" s="1690"/>
      <c r="AG291" s="1690"/>
      <c r="AH291" s="1690"/>
      <c r="AI291" s="1690"/>
      <c r="AJ291" s="1690"/>
      <c r="AK291" s="1690"/>
      <c r="AL291" s="1690"/>
      <c r="AM291" s="1690"/>
      <c r="AN291" s="1690"/>
      <c r="AO291" s="1690"/>
      <c r="AP291" s="1690"/>
      <c r="AQ291" s="1690"/>
      <c r="AR291" s="1690"/>
      <c r="AS291" s="1690"/>
      <c r="AT291" s="1690"/>
    </row>
    <row r="292">
      <c r="A292" s="1419"/>
      <c r="B292" s="1684"/>
      <c r="C292" s="1685"/>
      <c r="D292" s="1685"/>
      <c r="E292" s="1691"/>
      <c r="F292" s="1691"/>
      <c r="G292" s="1691"/>
      <c r="H292" s="1691"/>
      <c r="I292" s="1691"/>
      <c r="J292" s="1691"/>
      <c r="K292" s="1691"/>
      <c r="L292" s="1691"/>
      <c r="M292" s="1691"/>
      <c r="N292" s="1691"/>
      <c r="O292" s="1691"/>
      <c r="P292" s="1691"/>
      <c r="Q292" s="1691"/>
      <c r="R292" s="1691"/>
      <c r="S292" s="1691"/>
      <c r="T292" s="1691"/>
      <c r="U292" s="1691"/>
      <c r="V292" s="1691"/>
      <c r="W292" s="1691"/>
      <c r="X292" s="1691"/>
      <c r="Y292" s="1686"/>
      <c r="Z292" s="1686"/>
      <c r="AA292" s="1686"/>
      <c r="AB292" s="1686"/>
      <c r="AC292" s="1686"/>
      <c r="AD292" s="1686"/>
      <c r="AE292" s="1686"/>
      <c r="AF292" s="1686"/>
      <c r="AG292" s="1686"/>
      <c r="AH292" s="1686"/>
      <c r="AI292" s="1686"/>
      <c r="AJ292" s="1686"/>
      <c r="AK292" s="1686"/>
      <c r="AL292" s="1686"/>
      <c r="AM292" s="1686"/>
      <c r="AN292" s="1686"/>
      <c r="AO292" s="1686"/>
      <c r="AP292" s="1686"/>
      <c r="AQ292" s="1686"/>
      <c r="AR292" s="1686"/>
      <c r="AS292" s="1686"/>
      <c r="AT292" s="1686"/>
    </row>
    <row r="293">
      <c r="A293" s="1419"/>
      <c r="B293" s="1687"/>
      <c r="C293" s="1688"/>
      <c r="D293" s="1688"/>
      <c r="E293" s="1689"/>
      <c r="F293" s="1689"/>
      <c r="G293" s="1689"/>
      <c r="H293" s="1689"/>
      <c r="I293" s="1689"/>
      <c r="J293" s="1689"/>
      <c r="K293" s="1689"/>
      <c r="L293" s="1689"/>
      <c r="M293" s="1689"/>
      <c r="N293" s="1689"/>
      <c r="O293" s="1689"/>
      <c r="P293" s="1689"/>
      <c r="Q293" s="1689"/>
      <c r="R293" s="1689"/>
      <c r="S293" s="1689"/>
      <c r="T293" s="1689"/>
      <c r="U293" s="1689"/>
      <c r="V293" s="1689"/>
      <c r="W293" s="1689"/>
      <c r="X293" s="1689"/>
      <c r="Y293" s="1690"/>
      <c r="Z293" s="1690"/>
      <c r="AA293" s="1690"/>
      <c r="AB293" s="1690"/>
      <c r="AC293" s="1690"/>
      <c r="AD293" s="1690"/>
      <c r="AE293" s="1690"/>
      <c r="AF293" s="1690"/>
      <c r="AG293" s="1690"/>
      <c r="AH293" s="1690"/>
      <c r="AI293" s="1690"/>
      <c r="AJ293" s="1690"/>
      <c r="AK293" s="1690"/>
      <c r="AL293" s="1690"/>
      <c r="AM293" s="1690"/>
      <c r="AN293" s="1690"/>
      <c r="AO293" s="1690"/>
      <c r="AP293" s="1690"/>
      <c r="AQ293" s="1690"/>
      <c r="AR293" s="1690"/>
      <c r="AS293" s="1690"/>
      <c r="AT293" s="1690"/>
    </row>
    <row r="294">
      <c r="A294" s="1419"/>
      <c r="B294" s="1684"/>
      <c r="C294" s="1685"/>
      <c r="D294" s="1685"/>
      <c r="E294" s="1691"/>
      <c r="F294" s="1691"/>
      <c r="G294" s="1691"/>
      <c r="H294" s="1691"/>
      <c r="I294" s="1691"/>
      <c r="J294" s="1691"/>
      <c r="K294" s="1691"/>
      <c r="L294" s="1691"/>
      <c r="M294" s="1691"/>
      <c r="N294" s="1691"/>
      <c r="O294" s="1691"/>
      <c r="P294" s="1691"/>
      <c r="Q294" s="1691"/>
      <c r="R294" s="1691"/>
      <c r="S294" s="1691"/>
      <c r="T294" s="1691"/>
      <c r="U294" s="1691"/>
      <c r="V294" s="1691"/>
      <c r="W294" s="1691"/>
      <c r="X294" s="1691"/>
      <c r="Y294" s="1686"/>
      <c r="Z294" s="1686"/>
      <c r="AA294" s="1686"/>
      <c r="AB294" s="1686"/>
      <c r="AC294" s="1686"/>
      <c r="AD294" s="1686"/>
      <c r="AE294" s="1686"/>
      <c r="AF294" s="1686"/>
      <c r="AG294" s="1686"/>
      <c r="AH294" s="1686"/>
      <c r="AI294" s="1686"/>
      <c r="AJ294" s="1686"/>
      <c r="AK294" s="1686"/>
      <c r="AL294" s="1686"/>
      <c r="AM294" s="1686"/>
      <c r="AN294" s="1686"/>
      <c r="AO294" s="1686"/>
      <c r="AP294" s="1686"/>
      <c r="AQ294" s="1686"/>
      <c r="AR294" s="1686"/>
      <c r="AS294" s="1686"/>
      <c r="AT294" s="1686"/>
    </row>
    <row r="295">
      <c r="A295" s="1419"/>
      <c r="B295" s="1687"/>
      <c r="C295" s="1688"/>
      <c r="D295" s="1688"/>
      <c r="E295" s="1690"/>
      <c r="F295" s="1690"/>
      <c r="G295" s="1690"/>
      <c r="H295" s="1690"/>
      <c r="I295" s="1690"/>
      <c r="J295" s="1690"/>
      <c r="K295" s="1690"/>
      <c r="L295" s="1690"/>
      <c r="M295" s="1690"/>
      <c r="N295" s="1690"/>
      <c r="O295" s="1690"/>
      <c r="P295" s="1690"/>
      <c r="Q295" s="1690"/>
      <c r="R295" s="1690"/>
      <c r="S295" s="1690"/>
      <c r="T295" s="1690"/>
      <c r="U295" s="1690"/>
      <c r="V295" s="1690"/>
      <c r="W295" s="1690"/>
      <c r="X295" s="1690"/>
      <c r="Y295" s="1690"/>
      <c r="Z295" s="1690"/>
      <c r="AA295" s="1690"/>
      <c r="AB295" s="1690"/>
      <c r="AC295" s="1690"/>
      <c r="AD295" s="1690"/>
      <c r="AE295" s="1690"/>
      <c r="AF295" s="1690"/>
      <c r="AG295" s="1690"/>
      <c r="AH295" s="1690"/>
      <c r="AI295" s="1690"/>
      <c r="AJ295" s="1690"/>
      <c r="AK295" s="1690"/>
      <c r="AL295" s="1690"/>
      <c r="AM295" s="1690"/>
      <c r="AN295" s="1690"/>
      <c r="AO295" s="1690"/>
      <c r="AP295" s="1690"/>
      <c r="AQ295" s="1690"/>
      <c r="AR295" s="1690"/>
      <c r="AS295" s="1690"/>
      <c r="AT295" s="1690"/>
    </row>
    <row r="296">
      <c r="A296" s="1419"/>
      <c r="B296" s="1684"/>
      <c r="C296" s="1685"/>
      <c r="D296" s="1685"/>
      <c r="E296" s="1691"/>
      <c r="F296" s="1691"/>
      <c r="G296" s="1691"/>
      <c r="H296" s="1691"/>
      <c r="I296" s="1691"/>
      <c r="J296" s="1691"/>
      <c r="K296" s="1691"/>
      <c r="L296" s="1691"/>
      <c r="M296" s="1691"/>
      <c r="N296" s="1691"/>
      <c r="O296" s="1691"/>
      <c r="P296" s="1691"/>
      <c r="Q296" s="1691"/>
      <c r="R296" s="1691"/>
      <c r="S296" s="1691"/>
      <c r="T296" s="1691"/>
      <c r="U296" s="1691"/>
      <c r="V296" s="1691"/>
      <c r="W296" s="1691"/>
      <c r="X296" s="1691"/>
      <c r="Y296" s="1686"/>
      <c r="Z296" s="1686"/>
      <c r="AA296" s="1686"/>
      <c r="AB296" s="1686"/>
      <c r="AC296" s="1686"/>
      <c r="AD296" s="1686"/>
      <c r="AE296" s="1686"/>
      <c r="AF296" s="1686"/>
      <c r="AG296" s="1686"/>
      <c r="AH296" s="1686"/>
      <c r="AI296" s="1686"/>
      <c r="AJ296" s="1686"/>
      <c r="AK296" s="1686"/>
      <c r="AL296" s="1686"/>
      <c r="AM296" s="1686"/>
      <c r="AN296" s="1686"/>
      <c r="AO296" s="1686"/>
      <c r="AP296" s="1686"/>
      <c r="AQ296" s="1686"/>
      <c r="AR296" s="1686"/>
      <c r="AS296" s="1686"/>
      <c r="AT296" s="1686"/>
    </row>
    <row r="297">
      <c r="A297" s="1419"/>
      <c r="B297" s="1687"/>
      <c r="C297" s="1688"/>
      <c r="D297" s="1688"/>
      <c r="E297" s="1689"/>
      <c r="F297" s="1689"/>
      <c r="G297" s="1689"/>
      <c r="H297" s="1689"/>
      <c r="I297" s="1689"/>
      <c r="J297" s="1689"/>
      <c r="K297" s="1689"/>
      <c r="L297" s="1689"/>
      <c r="M297" s="1689"/>
      <c r="N297" s="1689"/>
      <c r="O297" s="1689"/>
      <c r="P297" s="1689"/>
      <c r="Q297" s="1689"/>
      <c r="R297" s="1689"/>
      <c r="S297" s="1689"/>
      <c r="T297" s="1689"/>
      <c r="U297" s="1689"/>
      <c r="V297" s="1689"/>
      <c r="W297" s="1689"/>
      <c r="X297" s="1689"/>
      <c r="Y297" s="1690"/>
      <c r="Z297" s="1690"/>
      <c r="AA297" s="1690"/>
      <c r="AB297" s="1690"/>
      <c r="AC297" s="1690"/>
      <c r="AD297" s="1690"/>
      <c r="AE297" s="1690"/>
      <c r="AF297" s="1690"/>
      <c r="AG297" s="1690"/>
      <c r="AH297" s="1690"/>
      <c r="AI297" s="1690"/>
      <c r="AJ297" s="1690"/>
      <c r="AK297" s="1690"/>
      <c r="AL297" s="1690"/>
      <c r="AM297" s="1690"/>
      <c r="AN297" s="1690"/>
      <c r="AO297" s="1690"/>
      <c r="AP297" s="1690"/>
      <c r="AQ297" s="1690"/>
      <c r="AR297" s="1690"/>
      <c r="AS297" s="1690"/>
      <c r="AT297" s="1690"/>
    </row>
    <row r="298">
      <c r="A298" s="1419"/>
      <c r="B298" s="1684"/>
      <c r="C298" s="1685"/>
      <c r="D298" s="1685"/>
      <c r="E298" s="1691"/>
      <c r="F298" s="1691"/>
      <c r="G298" s="1691"/>
      <c r="H298" s="1691"/>
      <c r="I298" s="1691"/>
      <c r="J298" s="1691"/>
      <c r="K298" s="1691"/>
      <c r="L298" s="1691"/>
      <c r="M298" s="1691"/>
      <c r="N298" s="1691"/>
      <c r="O298" s="1691"/>
      <c r="P298" s="1691"/>
      <c r="Q298" s="1691"/>
      <c r="R298" s="1691"/>
      <c r="S298" s="1691"/>
      <c r="T298" s="1691"/>
      <c r="U298" s="1691"/>
      <c r="V298" s="1691"/>
      <c r="W298" s="1691"/>
      <c r="X298" s="1691"/>
      <c r="Y298" s="1686"/>
      <c r="Z298" s="1686"/>
      <c r="AA298" s="1686"/>
      <c r="AB298" s="1686"/>
      <c r="AC298" s="1686"/>
      <c r="AD298" s="1686"/>
      <c r="AE298" s="1686"/>
      <c r="AF298" s="1686"/>
      <c r="AG298" s="1686"/>
      <c r="AH298" s="1686"/>
      <c r="AI298" s="1686"/>
      <c r="AJ298" s="1686"/>
      <c r="AK298" s="1686"/>
      <c r="AL298" s="1686"/>
      <c r="AM298" s="1686"/>
      <c r="AN298" s="1686"/>
      <c r="AO298" s="1686"/>
      <c r="AP298" s="1686"/>
      <c r="AQ298" s="1686"/>
      <c r="AR298" s="1686"/>
      <c r="AS298" s="1686"/>
      <c r="AT298" s="1686"/>
    </row>
    <row r="299">
      <c r="A299" s="1419"/>
      <c r="B299" s="1687"/>
      <c r="C299" s="1688"/>
      <c r="D299" s="1688"/>
      <c r="E299" s="1690"/>
      <c r="F299" s="1690"/>
      <c r="G299" s="1690"/>
      <c r="H299" s="1690"/>
      <c r="I299" s="1690"/>
      <c r="J299" s="1690"/>
      <c r="K299" s="1690"/>
      <c r="L299" s="1690"/>
      <c r="M299" s="1690"/>
      <c r="N299" s="1690"/>
      <c r="O299" s="1690"/>
      <c r="P299" s="1690"/>
      <c r="Q299" s="1690"/>
      <c r="R299" s="1690"/>
      <c r="S299" s="1690"/>
      <c r="T299" s="1690"/>
      <c r="U299" s="1690"/>
      <c r="V299" s="1690"/>
      <c r="W299" s="1690"/>
      <c r="X299" s="1690"/>
      <c r="Y299" s="1690"/>
      <c r="Z299" s="1690"/>
      <c r="AA299" s="1690"/>
      <c r="AB299" s="1690"/>
      <c r="AC299" s="1690"/>
      <c r="AD299" s="1690"/>
      <c r="AE299" s="1690"/>
      <c r="AF299" s="1690"/>
      <c r="AG299" s="1690"/>
      <c r="AH299" s="1690"/>
      <c r="AI299" s="1690"/>
      <c r="AJ299" s="1690"/>
      <c r="AK299" s="1690"/>
      <c r="AL299" s="1690"/>
      <c r="AM299" s="1690"/>
      <c r="AN299" s="1690"/>
      <c r="AO299" s="1690"/>
      <c r="AP299" s="1690"/>
      <c r="AQ299" s="1690"/>
      <c r="AR299" s="1690"/>
      <c r="AS299" s="1690"/>
      <c r="AT299" s="1690"/>
    </row>
    <row r="300">
      <c r="A300" s="1419"/>
      <c r="B300" s="1684"/>
      <c r="C300" s="1685"/>
      <c r="D300" s="1685"/>
      <c r="E300" s="1691"/>
      <c r="F300" s="1691"/>
      <c r="G300" s="1691"/>
      <c r="H300" s="1691"/>
      <c r="I300" s="1691"/>
      <c r="J300" s="1691"/>
      <c r="K300" s="1691"/>
      <c r="L300" s="1691"/>
      <c r="M300" s="1691"/>
      <c r="N300" s="1691"/>
      <c r="O300" s="1691"/>
      <c r="P300" s="1691"/>
      <c r="Q300" s="1691"/>
      <c r="R300" s="1691"/>
      <c r="S300" s="1691"/>
      <c r="T300" s="1691"/>
      <c r="U300" s="1691"/>
      <c r="V300" s="1691"/>
      <c r="W300" s="1691"/>
      <c r="X300" s="1691"/>
      <c r="Y300" s="1686"/>
      <c r="Z300" s="1686"/>
      <c r="AA300" s="1686"/>
      <c r="AB300" s="1686"/>
      <c r="AC300" s="1686"/>
      <c r="AD300" s="1686"/>
      <c r="AE300" s="1686"/>
      <c r="AF300" s="1686"/>
      <c r="AG300" s="1686"/>
      <c r="AH300" s="1686"/>
      <c r="AI300" s="1686"/>
      <c r="AJ300" s="1686"/>
      <c r="AK300" s="1686"/>
      <c r="AL300" s="1686"/>
      <c r="AM300" s="1686"/>
      <c r="AN300" s="1686"/>
      <c r="AO300" s="1686"/>
      <c r="AP300" s="1686"/>
      <c r="AQ300" s="1686"/>
      <c r="AR300" s="1686"/>
      <c r="AS300" s="1686"/>
      <c r="AT300" s="1686"/>
    </row>
    <row r="301">
      <c r="A301" s="1419"/>
      <c r="B301" s="1687"/>
      <c r="C301" s="1688"/>
      <c r="D301" s="1688"/>
      <c r="E301" s="1689"/>
      <c r="F301" s="1689"/>
      <c r="G301" s="1689"/>
      <c r="H301" s="1689"/>
      <c r="I301" s="1689"/>
      <c r="J301" s="1689"/>
      <c r="K301" s="1689"/>
      <c r="L301" s="1689"/>
      <c r="M301" s="1689"/>
      <c r="N301" s="1689"/>
      <c r="O301" s="1689"/>
      <c r="P301" s="1689"/>
      <c r="Q301" s="1689"/>
      <c r="R301" s="1689"/>
      <c r="S301" s="1689"/>
      <c r="T301" s="1689"/>
      <c r="U301" s="1689"/>
      <c r="V301" s="1689"/>
      <c r="W301" s="1689"/>
      <c r="X301" s="1689"/>
      <c r="Y301" s="1690"/>
      <c r="Z301" s="1690"/>
      <c r="AA301" s="1690"/>
      <c r="AB301" s="1690"/>
      <c r="AC301" s="1690"/>
      <c r="AD301" s="1690"/>
      <c r="AE301" s="1690"/>
      <c r="AF301" s="1690"/>
      <c r="AG301" s="1690"/>
      <c r="AH301" s="1690"/>
      <c r="AI301" s="1690"/>
      <c r="AJ301" s="1690"/>
      <c r="AK301" s="1690"/>
      <c r="AL301" s="1690"/>
      <c r="AM301" s="1690"/>
      <c r="AN301" s="1690"/>
      <c r="AO301" s="1690"/>
      <c r="AP301" s="1690"/>
      <c r="AQ301" s="1690"/>
      <c r="AR301" s="1690"/>
      <c r="AS301" s="1690"/>
      <c r="AT301" s="1690"/>
    </row>
    <row r="302">
      <c r="A302" s="1419"/>
      <c r="B302" s="1684"/>
      <c r="C302" s="1685"/>
      <c r="D302" s="1685"/>
      <c r="E302" s="1691"/>
      <c r="F302" s="1691"/>
      <c r="G302" s="1691"/>
      <c r="H302" s="1691"/>
      <c r="I302" s="1691"/>
      <c r="J302" s="1691"/>
      <c r="K302" s="1691"/>
      <c r="L302" s="1691"/>
      <c r="M302" s="1691"/>
      <c r="N302" s="1691"/>
      <c r="O302" s="1691"/>
      <c r="P302" s="1691"/>
      <c r="Q302" s="1691"/>
      <c r="R302" s="1691"/>
      <c r="S302" s="1691"/>
      <c r="T302" s="1691"/>
      <c r="U302" s="1691"/>
      <c r="V302" s="1691"/>
      <c r="W302" s="1691"/>
      <c r="X302" s="1691"/>
      <c r="Y302" s="1686"/>
      <c r="Z302" s="1686"/>
      <c r="AA302" s="1686"/>
      <c r="AB302" s="1686"/>
      <c r="AC302" s="1686"/>
      <c r="AD302" s="1686"/>
      <c r="AE302" s="1686"/>
      <c r="AF302" s="1686"/>
      <c r="AG302" s="1686"/>
      <c r="AH302" s="1686"/>
      <c r="AI302" s="1686"/>
      <c r="AJ302" s="1686"/>
      <c r="AK302" s="1686"/>
      <c r="AL302" s="1686"/>
      <c r="AM302" s="1686"/>
      <c r="AN302" s="1686"/>
      <c r="AO302" s="1686"/>
      <c r="AP302" s="1686"/>
      <c r="AQ302" s="1686"/>
      <c r="AR302" s="1686"/>
      <c r="AS302" s="1686"/>
      <c r="AT302" s="1686"/>
    </row>
    <row r="303">
      <c r="A303" s="1419"/>
      <c r="B303" s="1697"/>
      <c r="C303" s="1698"/>
      <c r="D303" s="1698"/>
      <c r="E303" s="1689"/>
      <c r="F303" s="1689"/>
      <c r="G303" s="1689"/>
      <c r="H303" s="1689"/>
      <c r="I303" s="1689"/>
      <c r="J303" s="1689"/>
      <c r="K303" s="1689"/>
      <c r="L303" s="1689"/>
      <c r="M303" s="1689"/>
      <c r="N303" s="1689"/>
      <c r="O303" s="1689"/>
      <c r="P303" s="1689"/>
      <c r="Q303" s="1689"/>
      <c r="R303" s="1689"/>
      <c r="S303" s="1689"/>
      <c r="T303" s="1689"/>
      <c r="U303" s="1689"/>
      <c r="V303" s="1689"/>
      <c r="W303" s="1689"/>
      <c r="X303" s="1689"/>
      <c r="Y303" s="1689"/>
      <c r="Z303" s="1689"/>
      <c r="AA303" s="1689"/>
      <c r="AB303" s="1689"/>
      <c r="AC303" s="1689"/>
      <c r="AD303" s="1689"/>
      <c r="AE303" s="1689"/>
      <c r="AF303" s="1689"/>
      <c r="AG303" s="1689"/>
      <c r="AH303" s="1689"/>
      <c r="AI303" s="1689"/>
      <c r="AJ303" s="1689"/>
      <c r="AK303" s="1689"/>
      <c r="AL303" s="1689"/>
      <c r="AM303" s="1689"/>
      <c r="AN303" s="1689"/>
      <c r="AO303" s="1689"/>
      <c r="AP303" s="1689"/>
      <c r="AQ303" s="1689"/>
      <c r="AR303" s="1689"/>
      <c r="AS303" s="1689"/>
      <c r="AT303" s="1689"/>
    </row>
    <row r="304">
      <c r="A304" s="1419"/>
      <c r="B304" s="1699"/>
      <c r="C304" s="1700"/>
      <c r="D304" s="1700"/>
      <c r="E304" s="1691"/>
      <c r="F304" s="1691"/>
      <c r="G304" s="1691"/>
      <c r="H304" s="1691"/>
      <c r="I304" s="1691"/>
      <c r="J304" s="1691"/>
      <c r="K304" s="1691"/>
      <c r="L304" s="1691"/>
      <c r="M304" s="1691"/>
      <c r="N304" s="1691"/>
      <c r="O304" s="1691"/>
      <c r="P304" s="1691"/>
      <c r="Q304" s="1691"/>
      <c r="R304" s="1691"/>
      <c r="S304" s="1691"/>
      <c r="T304" s="1691"/>
      <c r="U304" s="1691"/>
      <c r="V304" s="1691"/>
      <c r="W304" s="1691"/>
      <c r="X304" s="1691"/>
      <c r="Y304" s="1691"/>
      <c r="Z304" s="1691"/>
      <c r="AA304" s="1691"/>
      <c r="AB304" s="1691"/>
      <c r="AC304" s="1691"/>
      <c r="AD304" s="1691"/>
      <c r="AE304" s="1691"/>
      <c r="AF304" s="1691"/>
      <c r="AG304" s="1691"/>
      <c r="AH304" s="1691"/>
      <c r="AI304" s="1691"/>
      <c r="AJ304" s="1691"/>
      <c r="AK304" s="1691"/>
      <c r="AL304" s="1691"/>
      <c r="AM304" s="1691"/>
      <c r="AN304" s="1691"/>
      <c r="AO304" s="1691"/>
      <c r="AP304" s="1691"/>
      <c r="AQ304" s="1691"/>
      <c r="AR304" s="1691"/>
      <c r="AS304" s="1691"/>
      <c r="AT304" s="1691"/>
    </row>
    <row r="305">
      <c r="A305" s="1419"/>
      <c r="B305" s="1697"/>
      <c r="C305" s="1698"/>
      <c r="D305" s="1698"/>
      <c r="E305" s="1689"/>
      <c r="F305" s="1689"/>
      <c r="G305" s="1689"/>
      <c r="H305" s="1689"/>
      <c r="I305" s="1689"/>
      <c r="J305" s="1689"/>
      <c r="K305" s="1689"/>
      <c r="L305" s="1689"/>
      <c r="M305" s="1689"/>
      <c r="N305" s="1689"/>
      <c r="O305" s="1689"/>
      <c r="P305" s="1689"/>
      <c r="Q305" s="1689"/>
      <c r="R305" s="1689"/>
      <c r="S305" s="1689"/>
      <c r="T305" s="1689"/>
      <c r="U305" s="1689"/>
      <c r="V305" s="1689"/>
      <c r="W305" s="1689"/>
      <c r="X305" s="1689"/>
      <c r="Y305" s="1689"/>
      <c r="Z305" s="1689"/>
      <c r="AA305" s="1689"/>
      <c r="AB305" s="1689"/>
      <c r="AC305" s="1689"/>
      <c r="AD305" s="1689"/>
      <c r="AE305" s="1689"/>
      <c r="AF305" s="1689"/>
      <c r="AG305" s="1689"/>
      <c r="AH305" s="1689"/>
      <c r="AI305" s="1689"/>
      <c r="AJ305" s="1689"/>
      <c r="AK305" s="1689"/>
      <c r="AL305" s="1689"/>
      <c r="AM305" s="1689"/>
      <c r="AN305" s="1689"/>
      <c r="AO305" s="1689"/>
      <c r="AP305" s="1689"/>
      <c r="AQ305" s="1689"/>
      <c r="AR305" s="1689"/>
      <c r="AS305" s="1689"/>
      <c r="AT305" s="1689"/>
    </row>
    <row r="306">
      <c r="A306" s="1419"/>
      <c r="B306" s="1699"/>
      <c r="C306" s="1700"/>
      <c r="D306" s="1700"/>
      <c r="E306" s="1691"/>
      <c r="F306" s="1691"/>
      <c r="G306" s="1691"/>
      <c r="H306" s="1691"/>
      <c r="I306" s="1691"/>
      <c r="J306" s="1691"/>
      <c r="K306" s="1691"/>
      <c r="L306" s="1691"/>
      <c r="M306" s="1691"/>
      <c r="N306" s="1691"/>
      <c r="O306" s="1691"/>
      <c r="P306" s="1691"/>
      <c r="Q306" s="1691"/>
      <c r="R306" s="1691"/>
      <c r="S306" s="1691"/>
      <c r="T306" s="1691"/>
      <c r="U306" s="1691"/>
      <c r="V306" s="1691"/>
      <c r="W306" s="1691"/>
      <c r="X306" s="1691"/>
      <c r="Y306" s="1691"/>
      <c r="Z306" s="1691"/>
      <c r="AA306" s="1691"/>
      <c r="AB306" s="1691"/>
      <c r="AC306" s="1691"/>
      <c r="AD306" s="1691"/>
      <c r="AE306" s="1691"/>
      <c r="AF306" s="1691"/>
      <c r="AG306" s="1691"/>
      <c r="AH306" s="1691"/>
      <c r="AI306" s="1691"/>
      <c r="AJ306" s="1691"/>
      <c r="AK306" s="1691"/>
      <c r="AL306" s="1691"/>
      <c r="AM306" s="1691"/>
      <c r="AN306" s="1691"/>
      <c r="AO306" s="1691"/>
      <c r="AP306" s="1691"/>
      <c r="AQ306" s="1691"/>
      <c r="AR306" s="1691"/>
      <c r="AS306" s="1691"/>
      <c r="AT306" s="1691"/>
    </row>
    <row r="307">
      <c r="A307" s="1419"/>
      <c r="B307" s="1697"/>
      <c r="C307" s="1698"/>
      <c r="D307" s="1698"/>
      <c r="E307" s="1689"/>
      <c r="F307" s="1689"/>
      <c r="G307" s="1689"/>
      <c r="H307" s="1689"/>
      <c r="I307" s="1689"/>
      <c r="J307" s="1689"/>
      <c r="K307" s="1689"/>
      <c r="L307" s="1689"/>
      <c r="M307" s="1689"/>
      <c r="N307" s="1689"/>
      <c r="O307" s="1689"/>
      <c r="P307" s="1689"/>
      <c r="Q307" s="1689"/>
      <c r="R307" s="1689"/>
      <c r="S307" s="1689"/>
      <c r="T307" s="1689"/>
      <c r="U307" s="1689"/>
      <c r="V307" s="1689"/>
      <c r="W307" s="1689"/>
      <c r="X307" s="1689"/>
      <c r="Y307" s="1689"/>
      <c r="Z307" s="1689"/>
      <c r="AA307" s="1689"/>
      <c r="AB307" s="1689"/>
      <c r="AC307" s="1689"/>
      <c r="AD307" s="1689"/>
      <c r="AE307" s="1689"/>
      <c r="AF307" s="1689"/>
      <c r="AG307" s="1689"/>
      <c r="AH307" s="1689"/>
      <c r="AI307" s="1689"/>
      <c r="AJ307" s="1689"/>
      <c r="AK307" s="1689"/>
      <c r="AL307" s="1689"/>
      <c r="AM307" s="1689"/>
      <c r="AN307" s="1689"/>
      <c r="AO307" s="1689"/>
      <c r="AP307" s="1689"/>
      <c r="AQ307" s="1689"/>
      <c r="AR307" s="1689"/>
      <c r="AS307" s="1689"/>
      <c r="AT307" s="1689"/>
    </row>
    <row r="308">
      <c r="A308" s="1419"/>
      <c r="B308" s="1699"/>
      <c r="C308" s="1700"/>
      <c r="D308" s="1700"/>
      <c r="E308" s="1691"/>
      <c r="F308" s="1691"/>
      <c r="G308" s="1691"/>
      <c r="H308" s="1691"/>
      <c r="I308" s="1691"/>
      <c r="J308" s="1691"/>
      <c r="K308" s="1691"/>
      <c r="L308" s="1691"/>
      <c r="M308" s="1691"/>
      <c r="N308" s="1691"/>
      <c r="O308" s="1691"/>
      <c r="P308" s="1691"/>
      <c r="Q308" s="1691"/>
      <c r="R308" s="1691"/>
      <c r="S308" s="1691"/>
      <c r="T308" s="1691"/>
      <c r="U308" s="1691"/>
      <c r="V308" s="1691"/>
      <c r="W308" s="1691"/>
      <c r="X308" s="1691"/>
      <c r="Y308" s="1691"/>
      <c r="Z308" s="1691"/>
      <c r="AA308" s="1691"/>
      <c r="AB308" s="1691"/>
      <c r="AC308" s="1691"/>
      <c r="AD308" s="1691"/>
      <c r="AE308" s="1691"/>
      <c r="AF308" s="1691"/>
      <c r="AG308" s="1691"/>
      <c r="AH308" s="1691"/>
      <c r="AI308" s="1691"/>
      <c r="AJ308" s="1691"/>
      <c r="AK308" s="1691"/>
      <c r="AL308" s="1691"/>
      <c r="AM308" s="1691"/>
      <c r="AN308" s="1691"/>
      <c r="AO308" s="1691"/>
      <c r="AP308" s="1691"/>
      <c r="AQ308" s="1691"/>
      <c r="AR308" s="1691"/>
      <c r="AS308" s="1691"/>
      <c r="AT308" s="1691"/>
    </row>
    <row r="309">
      <c r="A309" s="1419"/>
      <c r="B309" s="1697"/>
      <c r="C309" s="1698"/>
      <c r="D309" s="1698"/>
      <c r="E309" s="1689"/>
      <c r="F309" s="1689"/>
      <c r="G309" s="1689"/>
      <c r="H309" s="1689"/>
      <c r="I309" s="1689"/>
      <c r="J309" s="1689"/>
      <c r="K309" s="1689"/>
      <c r="L309" s="1689"/>
      <c r="M309" s="1689"/>
      <c r="N309" s="1689"/>
      <c r="O309" s="1689"/>
      <c r="P309" s="1689"/>
      <c r="Q309" s="1689"/>
      <c r="R309" s="1689"/>
      <c r="S309" s="1689"/>
      <c r="T309" s="1689"/>
      <c r="U309" s="1689"/>
      <c r="V309" s="1689"/>
      <c r="W309" s="1689"/>
      <c r="X309" s="1689"/>
      <c r="Y309" s="1689"/>
      <c r="Z309" s="1689"/>
      <c r="AA309" s="1689"/>
      <c r="AB309" s="1689"/>
      <c r="AC309" s="1689"/>
      <c r="AD309" s="1689"/>
      <c r="AE309" s="1689"/>
      <c r="AF309" s="1689"/>
      <c r="AG309" s="1689"/>
      <c r="AH309" s="1689"/>
      <c r="AI309" s="1689"/>
      <c r="AJ309" s="1689"/>
      <c r="AK309" s="1689"/>
      <c r="AL309" s="1689"/>
      <c r="AM309" s="1689"/>
      <c r="AN309" s="1689"/>
      <c r="AO309" s="1689"/>
      <c r="AP309" s="1689"/>
      <c r="AQ309" s="1689"/>
      <c r="AR309" s="1689"/>
      <c r="AS309" s="1689"/>
      <c r="AT309" s="1689"/>
    </row>
    <row r="310">
      <c r="A310" s="1419"/>
      <c r="B310" s="1699"/>
      <c r="C310" s="1700"/>
      <c r="D310" s="1700"/>
      <c r="E310" s="1691"/>
      <c r="F310" s="1691"/>
      <c r="G310" s="1691"/>
      <c r="H310" s="1691"/>
      <c r="I310" s="1691"/>
      <c r="J310" s="1691"/>
      <c r="K310" s="1691"/>
      <c r="L310" s="1691"/>
      <c r="M310" s="1691"/>
      <c r="N310" s="1691"/>
      <c r="O310" s="1691"/>
      <c r="P310" s="1691"/>
      <c r="Q310" s="1691"/>
      <c r="R310" s="1691"/>
      <c r="S310" s="1691"/>
      <c r="T310" s="1691"/>
      <c r="U310" s="1691"/>
      <c r="V310" s="1691"/>
      <c r="W310" s="1691"/>
      <c r="X310" s="1691"/>
      <c r="Y310" s="1691"/>
      <c r="Z310" s="1691"/>
      <c r="AA310" s="1691"/>
      <c r="AB310" s="1691"/>
      <c r="AC310" s="1691"/>
      <c r="AD310" s="1691"/>
      <c r="AE310" s="1691"/>
      <c r="AF310" s="1691"/>
      <c r="AG310" s="1691"/>
      <c r="AH310" s="1691"/>
      <c r="AI310" s="1691"/>
      <c r="AJ310" s="1691"/>
      <c r="AK310" s="1691"/>
      <c r="AL310" s="1691"/>
      <c r="AM310" s="1691"/>
      <c r="AN310" s="1691"/>
      <c r="AO310" s="1691"/>
      <c r="AP310" s="1691"/>
      <c r="AQ310" s="1691"/>
      <c r="AR310" s="1691"/>
      <c r="AS310" s="1691"/>
      <c r="AT310" s="1691"/>
    </row>
    <row r="311">
      <c r="A311" s="1419"/>
      <c r="B311" s="1697"/>
      <c r="C311" s="1698"/>
      <c r="D311" s="1698"/>
      <c r="E311" s="1689"/>
      <c r="F311" s="1689"/>
      <c r="G311" s="1689"/>
      <c r="H311" s="1689"/>
      <c r="I311" s="1689"/>
      <c r="J311" s="1689"/>
      <c r="K311" s="1689"/>
      <c r="L311" s="1689"/>
      <c r="M311" s="1689"/>
      <c r="N311" s="1689"/>
      <c r="O311" s="1689"/>
      <c r="P311" s="1689"/>
      <c r="Q311" s="1689"/>
      <c r="R311" s="1689"/>
      <c r="S311" s="1689"/>
      <c r="T311" s="1689"/>
      <c r="U311" s="1689"/>
      <c r="V311" s="1689"/>
      <c r="W311" s="1689"/>
      <c r="X311" s="1689"/>
      <c r="Y311" s="1689"/>
      <c r="Z311" s="1689"/>
      <c r="AA311" s="1689"/>
      <c r="AB311" s="1689"/>
      <c r="AC311" s="1689"/>
      <c r="AD311" s="1689"/>
      <c r="AE311" s="1689"/>
      <c r="AF311" s="1689"/>
      <c r="AG311" s="1689"/>
      <c r="AH311" s="1689"/>
      <c r="AI311" s="1689"/>
      <c r="AJ311" s="1689"/>
      <c r="AK311" s="1689"/>
      <c r="AL311" s="1689"/>
      <c r="AM311" s="1689"/>
      <c r="AN311" s="1689"/>
      <c r="AO311" s="1689"/>
      <c r="AP311" s="1689"/>
      <c r="AQ311" s="1689"/>
      <c r="AR311" s="1689"/>
      <c r="AS311" s="1689"/>
      <c r="AT311" s="1689"/>
    </row>
    <row r="312">
      <c r="A312" s="1419"/>
      <c r="B312" s="1699"/>
      <c r="C312" s="1700"/>
      <c r="D312" s="1700"/>
      <c r="E312" s="1691"/>
      <c r="F312" s="1691"/>
      <c r="G312" s="1691"/>
      <c r="H312" s="1691"/>
      <c r="I312" s="1691"/>
      <c r="J312" s="1691"/>
      <c r="K312" s="1691"/>
      <c r="L312" s="1691"/>
      <c r="M312" s="1691"/>
      <c r="N312" s="1691"/>
      <c r="O312" s="1691"/>
      <c r="P312" s="1691"/>
      <c r="Q312" s="1691"/>
      <c r="R312" s="1691"/>
      <c r="S312" s="1691"/>
      <c r="T312" s="1691"/>
      <c r="U312" s="1691"/>
      <c r="V312" s="1691"/>
      <c r="W312" s="1691"/>
      <c r="X312" s="1691"/>
      <c r="Y312" s="1691"/>
      <c r="Z312" s="1691"/>
      <c r="AA312" s="1691"/>
      <c r="AB312" s="1691"/>
      <c r="AC312" s="1691"/>
      <c r="AD312" s="1691"/>
      <c r="AE312" s="1691"/>
      <c r="AF312" s="1691"/>
      <c r="AG312" s="1691"/>
      <c r="AH312" s="1691"/>
      <c r="AI312" s="1691"/>
      <c r="AJ312" s="1691"/>
      <c r="AK312" s="1691"/>
      <c r="AL312" s="1691"/>
      <c r="AM312" s="1691"/>
      <c r="AN312" s="1691"/>
      <c r="AO312" s="1691"/>
      <c r="AP312" s="1691"/>
      <c r="AQ312" s="1691"/>
      <c r="AR312" s="1691"/>
      <c r="AS312" s="1691"/>
      <c r="AT312" s="1691"/>
    </row>
    <row r="313">
      <c r="A313" s="1419"/>
      <c r="B313" s="1697"/>
      <c r="C313" s="1698"/>
      <c r="D313" s="1698"/>
      <c r="E313" s="1689"/>
      <c r="F313" s="1689"/>
      <c r="G313" s="1689"/>
      <c r="H313" s="1689"/>
      <c r="I313" s="1689"/>
      <c r="J313" s="1689"/>
      <c r="K313" s="1689"/>
      <c r="L313" s="1689"/>
      <c r="M313" s="1689"/>
      <c r="N313" s="1689"/>
      <c r="O313" s="1689"/>
      <c r="P313" s="1689"/>
      <c r="Q313" s="1689"/>
      <c r="R313" s="1689"/>
      <c r="S313" s="1689"/>
      <c r="T313" s="1689"/>
      <c r="U313" s="1689"/>
      <c r="V313" s="1689"/>
      <c r="W313" s="1689"/>
      <c r="X313" s="1689"/>
      <c r="Y313" s="1689"/>
      <c r="Z313" s="1689"/>
      <c r="AA313" s="1689"/>
      <c r="AB313" s="1689"/>
      <c r="AC313" s="1689"/>
      <c r="AD313" s="1689"/>
      <c r="AE313" s="1689"/>
      <c r="AF313" s="1689"/>
      <c r="AG313" s="1689"/>
      <c r="AH313" s="1689"/>
      <c r="AI313" s="1689"/>
      <c r="AJ313" s="1689"/>
      <c r="AK313" s="1689"/>
      <c r="AL313" s="1689"/>
      <c r="AM313" s="1689"/>
      <c r="AN313" s="1689"/>
      <c r="AO313" s="1689"/>
      <c r="AP313" s="1689"/>
      <c r="AQ313" s="1689"/>
      <c r="AR313" s="1689"/>
      <c r="AS313" s="1689"/>
      <c r="AT313" s="1689"/>
    </row>
    <row r="314">
      <c r="A314" s="1419"/>
      <c r="B314" s="1699"/>
      <c r="C314" s="1700"/>
      <c r="D314" s="1700"/>
      <c r="E314" s="1691"/>
      <c r="F314" s="1691"/>
      <c r="G314" s="1691"/>
      <c r="H314" s="1691"/>
      <c r="I314" s="1691"/>
      <c r="J314" s="1691"/>
      <c r="K314" s="1691"/>
      <c r="L314" s="1691"/>
      <c r="M314" s="1691"/>
      <c r="N314" s="1691"/>
      <c r="O314" s="1691"/>
      <c r="P314" s="1691"/>
      <c r="Q314" s="1691"/>
      <c r="R314" s="1691"/>
      <c r="S314" s="1691"/>
      <c r="T314" s="1691"/>
      <c r="U314" s="1691"/>
      <c r="V314" s="1691"/>
      <c r="W314" s="1691"/>
      <c r="X314" s="1691"/>
      <c r="Y314" s="1691"/>
      <c r="Z314" s="1691"/>
      <c r="AA314" s="1691"/>
      <c r="AB314" s="1691"/>
      <c r="AC314" s="1691"/>
      <c r="AD314" s="1691"/>
      <c r="AE314" s="1691"/>
      <c r="AF314" s="1691"/>
      <c r="AG314" s="1691"/>
      <c r="AH314" s="1691"/>
      <c r="AI314" s="1691"/>
      <c r="AJ314" s="1691"/>
      <c r="AK314" s="1691"/>
      <c r="AL314" s="1691"/>
      <c r="AM314" s="1691"/>
      <c r="AN314" s="1691"/>
      <c r="AO314" s="1691"/>
      <c r="AP314" s="1691"/>
      <c r="AQ314" s="1691"/>
      <c r="AR314" s="1691"/>
      <c r="AS314" s="1691"/>
      <c r="AT314" s="1691"/>
    </row>
    <row r="315">
      <c r="A315" s="1419"/>
      <c r="B315" s="1697"/>
      <c r="C315" s="1698"/>
      <c r="D315" s="1698"/>
      <c r="E315" s="1689"/>
      <c r="F315" s="1689"/>
      <c r="G315" s="1689"/>
      <c r="H315" s="1689"/>
      <c r="I315" s="1689"/>
      <c r="J315" s="1689"/>
      <c r="K315" s="1689"/>
      <c r="L315" s="1689"/>
      <c r="M315" s="1689"/>
      <c r="N315" s="1689"/>
      <c r="O315" s="1689"/>
      <c r="P315" s="1689"/>
      <c r="Q315" s="1689"/>
      <c r="R315" s="1689"/>
      <c r="S315" s="1689"/>
      <c r="T315" s="1689"/>
      <c r="U315" s="1689"/>
      <c r="V315" s="1689"/>
      <c r="W315" s="1689"/>
      <c r="X315" s="1689"/>
      <c r="Y315" s="1689"/>
      <c r="Z315" s="1689"/>
      <c r="AA315" s="1689"/>
      <c r="AB315" s="1689"/>
      <c r="AC315" s="1689"/>
      <c r="AD315" s="1689"/>
      <c r="AE315" s="1689"/>
      <c r="AF315" s="1689"/>
      <c r="AG315" s="1689"/>
      <c r="AH315" s="1689"/>
      <c r="AI315" s="1689"/>
      <c r="AJ315" s="1689"/>
      <c r="AK315" s="1689"/>
      <c r="AL315" s="1689"/>
      <c r="AM315" s="1689"/>
      <c r="AN315" s="1689"/>
      <c r="AO315" s="1689"/>
      <c r="AP315" s="1689"/>
      <c r="AQ315" s="1689"/>
      <c r="AR315" s="1689"/>
      <c r="AS315" s="1689"/>
      <c r="AT315" s="1689"/>
    </row>
    <row r="316">
      <c r="A316" s="1419"/>
      <c r="B316" s="1699"/>
      <c r="C316" s="1700"/>
      <c r="D316" s="1700"/>
      <c r="E316" s="1691"/>
      <c r="F316" s="1691"/>
      <c r="G316" s="1691"/>
      <c r="H316" s="1691"/>
      <c r="I316" s="1691"/>
      <c r="J316" s="1691"/>
      <c r="K316" s="1691"/>
      <c r="L316" s="1691"/>
      <c r="M316" s="1691"/>
      <c r="N316" s="1691"/>
      <c r="O316" s="1691"/>
      <c r="P316" s="1691"/>
      <c r="Q316" s="1691"/>
      <c r="R316" s="1691"/>
      <c r="S316" s="1691"/>
      <c r="T316" s="1691"/>
      <c r="U316" s="1691"/>
      <c r="V316" s="1691"/>
      <c r="W316" s="1691"/>
      <c r="X316" s="1691"/>
      <c r="Y316" s="1691"/>
      <c r="Z316" s="1691"/>
      <c r="AA316" s="1691"/>
      <c r="AB316" s="1691"/>
      <c r="AC316" s="1691"/>
      <c r="AD316" s="1691"/>
      <c r="AE316" s="1691"/>
      <c r="AF316" s="1691"/>
      <c r="AG316" s="1691"/>
      <c r="AH316" s="1691"/>
      <c r="AI316" s="1691"/>
      <c r="AJ316" s="1691"/>
      <c r="AK316" s="1691"/>
      <c r="AL316" s="1691"/>
      <c r="AM316" s="1691"/>
      <c r="AN316" s="1691"/>
      <c r="AO316" s="1691"/>
      <c r="AP316" s="1691"/>
      <c r="AQ316" s="1691"/>
      <c r="AR316" s="1691"/>
      <c r="AS316" s="1691"/>
      <c r="AT316" s="1691"/>
    </row>
    <row r="317">
      <c r="A317" s="1419"/>
      <c r="B317" s="1697"/>
      <c r="C317" s="1698"/>
      <c r="D317" s="1698"/>
      <c r="E317" s="1689"/>
      <c r="F317" s="1689"/>
      <c r="G317" s="1689"/>
      <c r="H317" s="1689"/>
      <c r="I317" s="1689"/>
      <c r="J317" s="1689"/>
      <c r="K317" s="1689"/>
      <c r="L317" s="1689"/>
      <c r="M317" s="1689"/>
      <c r="N317" s="1689"/>
      <c r="O317" s="1689"/>
      <c r="P317" s="1689"/>
      <c r="Q317" s="1689"/>
      <c r="R317" s="1689"/>
      <c r="S317" s="1689"/>
      <c r="T317" s="1689"/>
      <c r="U317" s="1689"/>
      <c r="V317" s="1689"/>
      <c r="W317" s="1689"/>
      <c r="X317" s="1689"/>
      <c r="Y317" s="1689"/>
      <c r="Z317" s="1689"/>
      <c r="AA317" s="1689"/>
      <c r="AB317" s="1689"/>
      <c r="AC317" s="1689"/>
      <c r="AD317" s="1689"/>
      <c r="AE317" s="1689"/>
      <c r="AF317" s="1689"/>
      <c r="AG317" s="1689"/>
      <c r="AH317" s="1689"/>
      <c r="AI317" s="1689"/>
      <c r="AJ317" s="1689"/>
      <c r="AK317" s="1689"/>
      <c r="AL317" s="1689"/>
      <c r="AM317" s="1689"/>
      <c r="AN317" s="1689"/>
      <c r="AO317" s="1689"/>
      <c r="AP317" s="1689"/>
      <c r="AQ317" s="1689"/>
      <c r="AR317" s="1689"/>
      <c r="AS317" s="1689"/>
      <c r="AT317" s="1689"/>
    </row>
    <row r="318">
      <c r="A318" s="1419"/>
      <c r="B318" s="1699"/>
      <c r="C318" s="1700"/>
      <c r="D318" s="1700"/>
      <c r="E318" s="1691"/>
      <c r="F318" s="1691"/>
      <c r="G318" s="1691"/>
      <c r="H318" s="1691"/>
      <c r="I318" s="1691"/>
      <c r="J318" s="1691"/>
      <c r="K318" s="1691"/>
      <c r="L318" s="1691"/>
      <c r="M318" s="1691"/>
      <c r="N318" s="1691"/>
      <c r="O318" s="1691"/>
      <c r="P318" s="1691"/>
      <c r="Q318" s="1691"/>
      <c r="R318" s="1691"/>
      <c r="S318" s="1691"/>
      <c r="T318" s="1691"/>
      <c r="U318" s="1691"/>
      <c r="V318" s="1691"/>
      <c r="W318" s="1691"/>
      <c r="X318" s="1691"/>
      <c r="Y318" s="1691"/>
      <c r="Z318" s="1691"/>
      <c r="AA318" s="1691"/>
      <c r="AB318" s="1691"/>
      <c r="AC318" s="1691"/>
      <c r="AD318" s="1691"/>
      <c r="AE318" s="1691"/>
      <c r="AF318" s="1691"/>
      <c r="AG318" s="1691"/>
      <c r="AH318" s="1691"/>
      <c r="AI318" s="1691"/>
      <c r="AJ318" s="1691"/>
      <c r="AK318" s="1691"/>
      <c r="AL318" s="1691"/>
      <c r="AM318" s="1691"/>
      <c r="AN318" s="1691"/>
      <c r="AO318" s="1691"/>
      <c r="AP318" s="1691"/>
      <c r="AQ318" s="1691"/>
      <c r="AR318" s="1691"/>
      <c r="AS318" s="1691"/>
      <c r="AT318" s="1691"/>
    </row>
    <row r="319">
      <c r="A319" s="1419"/>
      <c r="B319" s="1697"/>
      <c r="C319" s="1698"/>
      <c r="D319" s="1698"/>
      <c r="E319" s="1689"/>
      <c r="F319" s="1689"/>
      <c r="G319" s="1689"/>
      <c r="H319" s="1689"/>
      <c r="I319" s="1689"/>
      <c r="J319" s="1689"/>
      <c r="K319" s="1689"/>
      <c r="L319" s="1689"/>
      <c r="M319" s="1689"/>
      <c r="N319" s="1689"/>
      <c r="O319" s="1689"/>
      <c r="P319" s="1689"/>
      <c r="Q319" s="1689"/>
      <c r="R319" s="1689"/>
      <c r="S319" s="1689"/>
      <c r="T319" s="1689"/>
      <c r="U319" s="1689"/>
      <c r="V319" s="1689"/>
      <c r="W319" s="1689"/>
      <c r="X319" s="1689"/>
      <c r="Y319" s="1689"/>
      <c r="Z319" s="1689"/>
      <c r="AA319" s="1689"/>
      <c r="AB319" s="1689"/>
      <c r="AC319" s="1689"/>
      <c r="AD319" s="1689"/>
      <c r="AE319" s="1689"/>
      <c r="AF319" s="1689"/>
      <c r="AG319" s="1689"/>
      <c r="AH319" s="1689"/>
      <c r="AI319" s="1689"/>
      <c r="AJ319" s="1689"/>
      <c r="AK319" s="1689"/>
      <c r="AL319" s="1689"/>
      <c r="AM319" s="1689"/>
      <c r="AN319" s="1689"/>
      <c r="AO319" s="1689"/>
      <c r="AP319" s="1689"/>
      <c r="AQ319" s="1689"/>
      <c r="AR319" s="1689"/>
      <c r="AS319" s="1689"/>
      <c r="AT319" s="1689"/>
    </row>
    <row r="320">
      <c r="A320" s="1419"/>
      <c r="B320" s="1699"/>
      <c r="C320" s="1700"/>
      <c r="D320" s="1700"/>
      <c r="E320" s="1691"/>
      <c r="F320" s="1691"/>
      <c r="G320" s="1691"/>
      <c r="H320" s="1691"/>
      <c r="I320" s="1691"/>
      <c r="J320" s="1691"/>
      <c r="K320" s="1691"/>
      <c r="L320" s="1691"/>
      <c r="M320" s="1691"/>
      <c r="N320" s="1691"/>
      <c r="O320" s="1691"/>
      <c r="P320" s="1691"/>
      <c r="Q320" s="1691"/>
      <c r="R320" s="1691"/>
      <c r="S320" s="1691"/>
      <c r="T320" s="1691"/>
      <c r="U320" s="1691"/>
      <c r="V320" s="1691"/>
      <c r="W320" s="1691"/>
      <c r="X320" s="1691"/>
      <c r="Y320" s="1691"/>
      <c r="Z320" s="1691"/>
      <c r="AA320" s="1691"/>
      <c r="AB320" s="1691"/>
      <c r="AC320" s="1691"/>
      <c r="AD320" s="1691"/>
      <c r="AE320" s="1691"/>
      <c r="AF320" s="1691"/>
      <c r="AG320" s="1691"/>
      <c r="AH320" s="1691"/>
      <c r="AI320" s="1691"/>
      <c r="AJ320" s="1691"/>
      <c r="AK320" s="1691"/>
      <c r="AL320" s="1691"/>
      <c r="AM320" s="1691"/>
      <c r="AN320" s="1691"/>
      <c r="AO320" s="1691"/>
      <c r="AP320" s="1691"/>
      <c r="AQ320" s="1691"/>
      <c r="AR320" s="1691"/>
      <c r="AS320" s="1691"/>
      <c r="AT320" s="1691"/>
    </row>
    <row r="321">
      <c r="A321" s="1419"/>
      <c r="B321" s="1697"/>
      <c r="C321" s="1698"/>
      <c r="D321" s="1698"/>
      <c r="E321" s="1689"/>
      <c r="F321" s="1689"/>
      <c r="G321" s="1689"/>
      <c r="H321" s="1689"/>
      <c r="I321" s="1689"/>
      <c r="J321" s="1689"/>
      <c r="K321" s="1689"/>
      <c r="L321" s="1689"/>
      <c r="M321" s="1689"/>
      <c r="N321" s="1689"/>
      <c r="O321" s="1689"/>
      <c r="P321" s="1689"/>
      <c r="Q321" s="1689"/>
      <c r="R321" s="1689"/>
      <c r="S321" s="1689"/>
      <c r="T321" s="1689"/>
      <c r="U321" s="1689"/>
      <c r="V321" s="1689"/>
      <c r="W321" s="1689"/>
      <c r="X321" s="1689"/>
      <c r="Y321" s="1689"/>
      <c r="Z321" s="1689"/>
      <c r="AA321" s="1689"/>
      <c r="AB321" s="1689"/>
      <c r="AC321" s="1689"/>
      <c r="AD321" s="1689"/>
      <c r="AE321" s="1689"/>
      <c r="AF321" s="1689"/>
      <c r="AG321" s="1689"/>
      <c r="AH321" s="1689"/>
      <c r="AI321" s="1689"/>
      <c r="AJ321" s="1689"/>
      <c r="AK321" s="1689"/>
      <c r="AL321" s="1689"/>
      <c r="AM321" s="1689"/>
      <c r="AN321" s="1689"/>
      <c r="AO321" s="1689"/>
      <c r="AP321" s="1689"/>
      <c r="AQ321" s="1689"/>
      <c r="AR321" s="1689"/>
      <c r="AS321" s="1689"/>
      <c r="AT321" s="1689"/>
    </row>
    <row r="322">
      <c r="A322" s="1419"/>
      <c r="B322" s="1699"/>
      <c r="C322" s="1700"/>
      <c r="D322" s="1700"/>
      <c r="E322" s="1691"/>
      <c r="F322" s="1691"/>
      <c r="G322" s="1691"/>
      <c r="H322" s="1691"/>
      <c r="I322" s="1691"/>
      <c r="J322" s="1691"/>
      <c r="K322" s="1691"/>
      <c r="L322" s="1691"/>
      <c r="M322" s="1691"/>
      <c r="N322" s="1691"/>
      <c r="O322" s="1691"/>
      <c r="P322" s="1691"/>
      <c r="Q322" s="1691"/>
      <c r="R322" s="1691"/>
      <c r="S322" s="1691"/>
      <c r="T322" s="1691"/>
      <c r="U322" s="1691"/>
      <c r="V322" s="1691"/>
      <c r="W322" s="1691"/>
      <c r="X322" s="1691"/>
      <c r="Y322" s="1691"/>
      <c r="Z322" s="1691"/>
      <c r="AA322" s="1691"/>
      <c r="AB322" s="1691"/>
      <c r="AC322" s="1691"/>
      <c r="AD322" s="1691"/>
      <c r="AE322" s="1691"/>
      <c r="AF322" s="1691"/>
      <c r="AG322" s="1691"/>
      <c r="AH322" s="1691"/>
      <c r="AI322" s="1691"/>
      <c r="AJ322" s="1691"/>
      <c r="AK322" s="1691"/>
      <c r="AL322" s="1691"/>
      <c r="AM322" s="1691"/>
      <c r="AN322" s="1691"/>
      <c r="AO322" s="1691"/>
      <c r="AP322" s="1691"/>
      <c r="AQ322" s="1691"/>
      <c r="AR322" s="1691"/>
      <c r="AS322" s="1691"/>
      <c r="AT322" s="1691"/>
    </row>
    <row r="323">
      <c r="A323" s="1419"/>
      <c r="B323" s="1697"/>
      <c r="C323" s="1698"/>
      <c r="D323" s="1698"/>
      <c r="E323" s="1689"/>
      <c r="F323" s="1689"/>
      <c r="G323" s="1689"/>
      <c r="H323" s="1689"/>
      <c r="I323" s="1689"/>
      <c r="J323" s="1689"/>
      <c r="K323" s="1689"/>
      <c r="L323" s="1689"/>
      <c r="M323" s="1689"/>
      <c r="N323" s="1689"/>
      <c r="O323" s="1689"/>
      <c r="P323" s="1689"/>
      <c r="Q323" s="1689"/>
      <c r="R323" s="1689"/>
      <c r="S323" s="1689"/>
      <c r="T323" s="1689"/>
      <c r="U323" s="1689"/>
      <c r="V323" s="1689"/>
      <c r="W323" s="1689"/>
      <c r="X323" s="1689"/>
      <c r="Y323" s="1689"/>
      <c r="Z323" s="1689"/>
      <c r="AA323" s="1689"/>
      <c r="AB323" s="1689"/>
      <c r="AC323" s="1689"/>
      <c r="AD323" s="1689"/>
      <c r="AE323" s="1689"/>
      <c r="AF323" s="1689"/>
      <c r="AG323" s="1689"/>
      <c r="AH323" s="1689"/>
      <c r="AI323" s="1689"/>
      <c r="AJ323" s="1689"/>
      <c r="AK323" s="1689"/>
      <c r="AL323" s="1689"/>
      <c r="AM323" s="1689"/>
      <c r="AN323" s="1689"/>
      <c r="AO323" s="1689"/>
      <c r="AP323" s="1689"/>
      <c r="AQ323" s="1689"/>
      <c r="AR323" s="1689"/>
      <c r="AS323" s="1689"/>
      <c r="AT323" s="1689"/>
    </row>
    <row r="324">
      <c r="A324" s="1419"/>
      <c r="B324" s="1699"/>
      <c r="C324" s="1700"/>
      <c r="D324" s="1700"/>
      <c r="E324" s="1691"/>
      <c r="F324" s="1691"/>
      <c r="G324" s="1691"/>
      <c r="H324" s="1691"/>
      <c r="I324" s="1691"/>
      <c r="J324" s="1691"/>
      <c r="K324" s="1691"/>
      <c r="L324" s="1691"/>
      <c r="M324" s="1691"/>
      <c r="N324" s="1691"/>
      <c r="O324" s="1691"/>
      <c r="P324" s="1691"/>
      <c r="Q324" s="1691"/>
      <c r="R324" s="1691"/>
      <c r="S324" s="1691"/>
      <c r="T324" s="1691"/>
      <c r="U324" s="1691"/>
      <c r="V324" s="1691"/>
      <c r="W324" s="1691"/>
      <c r="X324" s="1691"/>
      <c r="Y324" s="1691"/>
      <c r="Z324" s="1691"/>
      <c r="AA324" s="1691"/>
      <c r="AB324" s="1691"/>
      <c r="AC324" s="1691"/>
      <c r="AD324" s="1691"/>
      <c r="AE324" s="1691"/>
      <c r="AF324" s="1691"/>
      <c r="AG324" s="1691"/>
      <c r="AH324" s="1691"/>
      <c r="AI324" s="1691"/>
      <c r="AJ324" s="1691"/>
      <c r="AK324" s="1691"/>
      <c r="AL324" s="1691"/>
      <c r="AM324" s="1691"/>
      <c r="AN324" s="1691"/>
      <c r="AO324" s="1691"/>
      <c r="AP324" s="1691"/>
      <c r="AQ324" s="1691"/>
      <c r="AR324" s="1691"/>
      <c r="AS324" s="1691"/>
      <c r="AT324" s="1691"/>
    </row>
    <row r="325">
      <c r="A325" s="1419"/>
      <c r="B325" s="1697"/>
      <c r="C325" s="1698"/>
      <c r="D325" s="1698"/>
      <c r="E325" s="1689"/>
      <c r="F325" s="1689"/>
      <c r="G325" s="1689"/>
      <c r="H325" s="1689"/>
      <c r="I325" s="1689"/>
      <c r="J325" s="1689"/>
      <c r="K325" s="1689"/>
      <c r="L325" s="1689"/>
      <c r="M325" s="1689"/>
      <c r="N325" s="1689"/>
      <c r="O325" s="1689"/>
      <c r="P325" s="1689"/>
      <c r="Q325" s="1689"/>
      <c r="R325" s="1689"/>
      <c r="S325" s="1689"/>
      <c r="T325" s="1689"/>
      <c r="U325" s="1689"/>
      <c r="V325" s="1689"/>
      <c r="W325" s="1689"/>
      <c r="X325" s="1689"/>
      <c r="Y325" s="1689"/>
      <c r="Z325" s="1689"/>
      <c r="AA325" s="1689"/>
      <c r="AB325" s="1689"/>
      <c r="AC325" s="1689"/>
      <c r="AD325" s="1689"/>
      <c r="AE325" s="1689"/>
      <c r="AF325" s="1689"/>
      <c r="AG325" s="1689"/>
      <c r="AH325" s="1689"/>
      <c r="AI325" s="1689"/>
      <c r="AJ325" s="1689"/>
      <c r="AK325" s="1689"/>
      <c r="AL325" s="1689"/>
      <c r="AM325" s="1689"/>
      <c r="AN325" s="1689"/>
      <c r="AO325" s="1689"/>
      <c r="AP325" s="1689"/>
      <c r="AQ325" s="1689"/>
      <c r="AR325" s="1689"/>
      <c r="AS325" s="1689"/>
      <c r="AT325" s="1689"/>
    </row>
    <row r="326">
      <c r="A326" s="1419"/>
      <c r="B326" s="1699"/>
      <c r="C326" s="1700"/>
      <c r="D326" s="1700"/>
      <c r="E326" s="1691"/>
      <c r="F326" s="1691"/>
      <c r="G326" s="1691"/>
      <c r="H326" s="1691"/>
      <c r="I326" s="1691"/>
      <c r="J326" s="1691"/>
      <c r="K326" s="1691"/>
      <c r="L326" s="1691"/>
      <c r="M326" s="1691"/>
      <c r="N326" s="1691"/>
      <c r="O326" s="1691"/>
      <c r="P326" s="1691"/>
      <c r="Q326" s="1691"/>
      <c r="R326" s="1691"/>
      <c r="S326" s="1691"/>
      <c r="T326" s="1691"/>
      <c r="U326" s="1691"/>
      <c r="V326" s="1691"/>
      <c r="W326" s="1691"/>
      <c r="X326" s="1691"/>
      <c r="Y326" s="1691"/>
      <c r="Z326" s="1691"/>
      <c r="AA326" s="1691"/>
      <c r="AB326" s="1691"/>
      <c r="AC326" s="1691"/>
      <c r="AD326" s="1691"/>
      <c r="AE326" s="1691"/>
      <c r="AF326" s="1691"/>
      <c r="AG326" s="1691"/>
      <c r="AH326" s="1691"/>
      <c r="AI326" s="1691"/>
      <c r="AJ326" s="1691"/>
      <c r="AK326" s="1691"/>
      <c r="AL326" s="1691"/>
      <c r="AM326" s="1691"/>
      <c r="AN326" s="1691"/>
      <c r="AO326" s="1691"/>
      <c r="AP326" s="1691"/>
      <c r="AQ326" s="1691"/>
      <c r="AR326" s="1691"/>
      <c r="AS326" s="1691"/>
      <c r="AT326" s="1691"/>
    </row>
    <row r="327">
      <c r="A327" s="1419"/>
      <c r="B327" s="1697"/>
      <c r="C327" s="1698"/>
      <c r="D327" s="1698"/>
      <c r="E327" s="1689"/>
      <c r="F327" s="1689"/>
      <c r="G327" s="1689"/>
      <c r="H327" s="1689"/>
      <c r="I327" s="1689"/>
      <c r="J327" s="1689"/>
      <c r="K327" s="1689"/>
      <c r="L327" s="1689"/>
      <c r="M327" s="1689"/>
      <c r="N327" s="1689"/>
      <c r="O327" s="1689"/>
      <c r="P327" s="1689"/>
      <c r="Q327" s="1689"/>
      <c r="R327" s="1689"/>
      <c r="S327" s="1689"/>
      <c r="T327" s="1689"/>
      <c r="U327" s="1689"/>
      <c r="V327" s="1689"/>
      <c r="W327" s="1689"/>
      <c r="X327" s="1689"/>
      <c r="Y327" s="1689"/>
      <c r="Z327" s="1689"/>
      <c r="AA327" s="1689"/>
      <c r="AB327" s="1689"/>
      <c r="AC327" s="1689"/>
      <c r="AD327" s="1689"/>
      <c r="AE327" s="1689"/>
      <c r="AF327" s="1689"/>
      <c r="AG327" s="1689"/>
      <c r="AH327" s="1689"/>
      <c r="AI327" s="1689"/>
      <c r="AJ327" s="1689"/>
      <c r="AK327" s="1689"/>
      <c r="AL327" s="1689"/>
      <c r="AM327" s="1689"/>
      <c r="AN327" s="1689"/>
      <c r="AO327" s="1689"/>
      <c r="AP327" s="1689"/>
      <c r="AQ327" s="1689"/>
      <c r="AR327" s="1689"/>
      <c r="AS327" s="1689"/>
      <c r="AT327" s="1689"/>
    </row>
    <row r="328">
      <c r="A328" s="1440" t="s">
        <v>2461</v>
      </c>
      <c r="B328" s="1699"/>
      <c r="C328" s="1700"/>
      <c r="D328" s="1700"/>
      <c r="E328" s="1691"/>
      <c r="F328" s="1691"/>
      <c r="G328" s="1691"/>
      <c r="H328" s="1691"/>
      <c r="I328" s="1691"/>
      <c r="J328" s="1691"/>
      <c r="K328" s="1691"/>
      <c r="L328" s="1691"/>
      <c r="M328" s="1691"/>
      <c r="N328" s="1691"/>
      <c r="O328" s="1691"/>
      <c r="P328" s="1691"/>
      <c r="Q328" s="1691"/>
      <c r="R328" s="1691"/>
      <c r="S328" s="1691"/>
      <c r="T328" s="1691"/>
      <c r="U328" s="1691"/>
      <c r="V328" s="1691"/>
      <c r="W328" s="1691"/>
      <c r="X328" s="1691"/>
      <c r="Y328" s="1691"/>
      <c r="Z328" s="1691"/>
      <c r="AA328" s="1691"/>
      <c r="AB328" s="1691"/>
      <c r="AC328" s="1691"/>
      <c r="AD328" s="1691"/>
      <c r="AE328" s="1691"/>
      <c r="AF328" s="1691"/>
      <c r="AG328" s="1691"/>
      <c r="AH328" s="1691"/>
      <c r="AI328" s="1691"/>
      <c r="AJ328" s="1691"/>
      <c r="AK328" s="1691"/>
      <c r="AL328" s="1691"/>
      <c r="AM328" s="1691"/>
      <c r="AN328" s="1691"/>
      <c r="AO328" s="1691"/>
      <c r="AP328" s="1691"/>
      <c r="AQ328" s="1691"/>
      <c r="AR328" s="1691"/>
      <c r="AS328" s="1691"/>
      <c r="AT328" s="1691"/>
    </row>
    <row r="329">
      <c r="A329" s="1419"/>
      <c r="B329" s="1697"/>
      <c r="C329" s="1698"/>
      <c r="D329" s="1698"/>
      <c r="E329" s="1689"/>
      <c r="F329" s="1689"/>
      <c r="G329" s="1689"/>
      <c r="H329" s="1689"/>
      <c r="I329" s="1689"/>
      <c r="J329" s="1689"/>
      <c r="K329" s="1689"/>
      <c r="L329" s="1689"/>
      <c r="M329" s="1689"/>
      <c r="N329" s="1689"/>
      <c r="O329" s="1689"/>
      <c r="P329" s="1689"/>
      <c r="Q329" s="1689"/>
      <c r="R329" s="1689"/>
      <c r="S329" s="1689"/>
      <c r="T329" s="1689"/>
      <c r="U329" s="1689"/>
      <c r="V329" s="1689"/>
      <c r="W329" s="1689"/>
      <c r="X329" s="1689"/>
      <c r="Y329" s="1689"/>
      <c r="Z329" s="1689"/>
      <c r="AA329" s="1689"/>
      <c r="AB329" s="1689"/>
      <c r="AC329" s="1689"/>
      <c r="AD329" s="1689"/>
      <c r="AE329" s="1689"/>
      <c r="AF329" s="1689"/>
      <c r="AG329" s="1689"/>
      <c r="AH329" s="1689"/>
      <c r="AI329" s="1689"/>
      <c r="AJ329" s="1689"/>
      <c r="AK329" s="1689"/>
      <c r="AL329" s="1689"/>
      <c r="AM329" s="1689"/>
      <c r="AN329" s="1689"/>
      <c r="AO329" s="1689"/>
      <c r="AP329" s="1689"/>
      <c r="AQ329" s="1689"/>
      <c r="AR329" s="1689"/>
      <c r="AS329" s="1689"/>
      <c r="AT329" s="1689"/>
    </row>
    <row r="330">
      <c r="A330" s="1419"/>
      <c r="B330" s="1699"/>
      <c r="C330" s="1700"/>
      <c r="D330" s="1700"/>
      <c r="E330" s="1691"/>
      <c r="F330" s="1691"/>
      <c r="G330" s="1691"/>
      <c r="H330" s="1691"/>
      <c r="I330" s="1691"/>
      <c r="J330" s="1691"/>
      <c r="K330" s="1691"/>
      <c r="L330" s="1691"/>
      <c r="M330" s="1691"/>
      <c r="N330" s="1691"/>
      <c r="O330" s="1691"/>
      <c r="P330" s="1691"/>
      <c r="Q330" s="1691"/>
      <c r="R330" s="1691"/>
      <c r="S330" s="1691"/>
      <c r="T330" s="1691"/>
      <c r="U330" s="1691"/>
      <c r="V330" s="1691"/>
      <c r="W330" s="1691"/>
      <c r="X330" s="1691"/>
      <c r="Y330" s="1691"/>
      <c r="Z330" s="1691"/>
      <c r="AA330" s="1691"/>
      <c r="AB330" s="1691"/>
      <c r="AC330" s="1691"/>
      <c r="AD330" s="1691"/>
      <c r="AE330" s="1691"/>
      <c r="AF330" s="1691"/>
      <c r="AG330" s="1691"/>
      <c r="AH330" s="1691"/>
      <c r="AI330" s="1691"/>
      <c r="AJ330" s="1691"/>
      <c r="AK330" s="1691"/>
      <c r="AL330" s="1691"/>
      <c r="AM330" s="1691"/>
      <c r="AN330" s="1691"/>
      <c r="AO330" s="1691"/>
      <c r="AP330" s="1691"/>
      <c r="AQ330" s="1691"/>
      <c r="AR330" s="1691"/>
      <c r="AS330" s="1691"/>
      <c r="AT330" s="1691"/>
    </row>
    <row r="331">
      <c r="A331" s="1419"/>
      <c r="B331" s="1697"/>
      <c r="C331" s="1698"/>
      <c r="D331" s="1698"/>
      <c r="E331" s="1689"/>
      <c r="F331" s="1689"/>
      <c r="G331" s="1689"/>
      <c r="H331" s="1689"/>
      <c r="I331" s="1689"/>
      <c r="J331" s="1689"/>
      <c r="K331" s="1689"/>
      <c r="L331" s="1689"/>
      <c r="M331" s="1689"/>
      <c r="N331" s="1689"/>
      <c r="O331" s="1689"/>
      <c r="P331" s="1689"/>
      <c r="Q331" s="1689"/>
      <c r="R331" s="1689"/>
      <c r="S331" s="1689"/>
      <c r="T331" s="1689"/>
      <c r="U331" s="1689"/>
      <c r="V331" s="1689"/>
      <c r="W331" s="1689"/>
      <c r="X331" s="1689"/>
      <c r="Y331" s="1689"/>
      <c r="Z331" s="1689"/>
      <c r="AA331" s="1689"/>
      <c r="AB331" s="1689"/>
      <c r="AC331" s="1689"/>
      <c r="AD331" s="1689"/>
      <c r="AE331" s="1689"/>
      <c r="AF331" s="1689"/>
      <c r="AG331" s="1689"/>
      <c r="AH331" s="1689"/>
      <c r="AI331" s="1689"/>
      <c r="AJ331" s="1689"/>
      <c r="AK331" s="1689"/>
      <c r="AL331" s="1689"/>
      <c r="AM331" s="1689"/>
      <c r="AN331" s="1689"/>
      <c r="AO331" s="1689"/>
      <c r="AP331" s="1689"/>
      <c r="AQ331" s="1689"/>
      <c r="AR331" s="1689"/>
      <c r="AS331" s="1689"/>
      <c r="AT331" s="1689"/>
    </row>
    <row r="332">
      <c r="A332" s="1419"/>
      <c r="B332" s="1699"/>
      <c r="C332" s="1700"/>
      <c r="D332" s="1700"/>
      <c r="E332" s="1691"/>
      <c r="F332" s="1691"/>
      <c r="G332" s="1691"/>
      <c r="H332" s="1691"/>
      <c r="I332" s="1691"/>
      <c r="J332" s="1691"/>
      <c r="K332" s="1691"/>
      <c r="L332" s="1691"/>
      <c r="M332" s="1691"/>
      <c r="N332" s="1691"/>
      <c r="O332" s="1691"/>
      <c r="P332" s="1691"/>
      <c r="Q332" s="1691"/>
      <c r="R332" s="1691"/>
      <c r="S332" s="1691"/>
      <c r="T332" s="1691"/>
      <c r="U332" s="1691"/>
      <c r="V332" s="1691"/>
      <c r="W332" s="1691"/>
      <c r="X332" s="1691"/>
      <c r="Y332" s="1691"/>
      <c r="Z332" s="1691"/>
      <c r="AA332" s="1691"/>
      <c r="AB332" s="1691"/>
      <c r="AC332" s="1691"/>
      <c r="AD332" s="1691"/>
      <c r="AE332" s="1691"/>
      <c r="AF332" s="1691"/>
      <c r="AG332" s="1691"/>
      <c r="AH332" s="1691"/>
      <c r="AI332" s="1691"/>
      <c r="AJ332" s="1691"/>
      <c r="AK332" s="1691"/>
      <c r="AL332" s="1691"/>
      <c r="AM332" s="1691"/>
      <c r="AN332" s="1691"/>
      <c r="AO332" s="1691"/>
      <c r="AP332" s="1691"/>
      <c r="AQ332" s="1691"/>
      <c r="AR332" s="1691"/>
      <c r="AS332" s="1691"/>
      <c r="AT332" s="1691"/>
    </row>
    <row r="333">
      <c r="A333" s="1419"/>
      <c r="B333" s="1697"/>
      <c r="C333" s="1698"/>
      <c r="D333" s="1698"/>
      <c r="E333" s="1689"/>
      <c r="F333" s="1689"/>
      <c r="G333" s="1689"/>
      <c r="H333" s="1689"/>
      <c r="I333" s="1689"/>
      <c r="J333" s="1689"/>
      <c r="K333" s="1689"/>
      <c r="L333" s="1689"/>
      <c r="M333" s="1689"/>
      <c r="N333" s="1689"/>
      <c r="O333" s="1689"/>
      <c r="P333" s="1689"/>
      <c r="Q333" s="1689"/>
      <c r="R333" s="1689"/>
      <c r="S333" s="1689"/>
      <c r="T333" s="1689"/>
      <c r="U333" s="1689"/>
      <c r="V333" s="1689"/>
      <c r="W333" s="1689"/>
      <c r="X333" s="1689"/>
      <c r="Y333" s="1689"/>
      <c r="Z333" s="1689"/>
      <c r="AA333" s="1689"/>
      <c r="AB333" s="1689"/>
      <c r="AC333" s="1689"/>
      <c r="AD333" s="1689"/>
      <c r="AE333" s="1689"/>
      <c r="AF333" s="1689"/>
      <c r="AG333" s="1689"/>
      <c r="AH333" s="1689"/>
      <c r="AI333" s="1689"/>
      <c r="AJ333" s="1689"/>
      <c r="AK333" s="1689"/>
      <c r="AL333" s="1689"/>
      <c r="AM333" s="1689"/>
      <c r="AN333" s="1689"/>
      <c r="AO333" s="1689"/>
      <c r="AP333" s="1689"/>
      <c r="AQ333" s="1689"/>
      <c r="AR333" s="1689"/>
      <c r="AS333" s="1689"/>
      <c r="AT333" s="1689"/>
    </row>
    <row r="334">
      <c r="A334" s="1419"/>
      <c r="B334" s="1699"/>
      <c r="C334" s="1700"/>
      <c r="D334" s="1700"/>
      <c r="E334" s="1691"/>
      <c r="F334" s="1691"/>
      <c r="G334" s="1691"/>
      <c r="H334" s="1691"/>
      <c r="I334" s="1691"/>
      <c r="J334" s="1691"/>
      <c r="K334" s="1691"/>
      <c r="L334" s="1691"/>
      <c r="M334" s="1691"/>
      <c r="N334" s="1691"/>
      <c r="O334" s="1691"/>
      <c r="P334" s="1691"/>
      <c r="Q334" s="1691"/>
      <c r="R334" s="1691"/>
      <c r="S334" s="1691"/>
      <c r="T334" s="1691"/>
      <c r="U334" s="1691"/>
      <c r="V334" s="1691"/>
      <c r="W334" s="1691"/>
      <c r="X334" s="1691"/>
      <c r="Y334" s="1691"/>
      <c r="Z334" s="1691"/>
      <c r="AA334" s="1691"/>
      <c r="AB334" s="1691"/>
      <c r="AC334" s="1691"/>
      <c r="AD334" s="1691"/>
      <c r="AE334" s="1691"/>
      <c r="AF334" s="1691"/>
      <c r="AG334" s="1691"/>
      <c r="AH334" s="1691"/>
      <c r="AI334" s="1691"/>
      <c r="AJ334" s="1691"/>
      <c r="AK334" s="1691"/>
      <c r="AL334" s="1691"/>
      <c r="AM334" s="1691"/>
      <c r="AN334" s="1691"/>
      <c r="AO334" s="1691"/>
      <c r="AP334" s="1691"/>
      <c r="AQ334" s="1691"/>
      <c r="AR334" s="1691"/>
      <c r="AS334" s="1691"/>
      <c r="AT334" s="1691"/>
    </row>
    <row r="335">
      <c r="A335" s="1419"/>
      <c r="B335" s="1697"/>
      <c r="C335" s="1698"/>
      <c r="D335" s="1698"/>
      <c r="E335" s="1689"/>
      <c r="F335" s="1689"/>
      <c r="G335" s="1689"/>
      <c r="H335" s="1689"/>
      <c r="I335" s="1689"/>
      <c r="J335" s="1689"/>
      <c r="K335" s="1689"/>
      <c r="L335" s="1689"/>
      <c r="M335" s="1689"/>
      <c r="N335" s="1689"/>
      <c r="O335" s="1689"/>
      <c r="P335" s="1689"/>
      <c r="Q335" s="1689"/>
      <c r="R335" s="1689"/>
      <c r="S335" s="1689"/>
      <c r="T335" s="1689"/>
      <c r="U335" s="1689"/>
      <c r="V335" s="1689"/>
      <c r="W335" s="1689"/>
      <c r="X335" s="1689"/>
      <c r="Y335" s="1689"/>
      <c r="Z335" s="1689"/>
      <c r="AA335" s="1689"/>
      <c r="AB335" s="1689"/>
      <c r="AC335" s="1689"/>
      <c r="AD335" s="1689"/>
      <c r="AE335" s="1689"/>
      <c r="AF335" s="1689"/>
      <c r="AG335" s="1689"/>
      <c r="AH335" s="1689"/>
      <c r="AI335" s="1689"/>
      <c r="AJ335" s="1689"/>
      <c r="AK335" s="1689"/>
      <c r="AL335" s="1689"/>
      <c r="AM335" s="1689"/>
      <c r="AN335" s="1689"/>
      <c r="AO335" s="1689"/>
      <c r="AP335" s="1689"/>
      <c r="AQ335" s="1689"/>
      <c r="AR335" s="1689"/>
      <c r="AS335" s="1689"/>
      <c r="AT335" s="1689"/>
    </row>
    <row r="336">
      <c r="A336" s="1419"/>
      <c r="B336" s="1699"/>
      <c r="C336" s="1700"/>
      <c r="D336" s="1700"/>
      <c r="E336" s="1691"/>
      <c r="F336" s="1691"/>
      <c r="G336" s="1691"/>
      <c r="H336" s="1691"/>
      <c r="I336" s="1691"/>
      <c r="J336" s="1691"/>
      <c r="K336" s="1691"/>
      <c r="L336" s="1691"/>
      <c r="M336" s="1691"/>
      <c r="N336" s="1691"/>
      <c r="O336" s="1691"/>
      <c r="P336" s="1691"/>
      <c r="Q336" s="1691"/>
      <c r="R336" s="1691"/>
      <c r="S336" s="1691"/>
      <c r="T336" s="1691"/>
      <c r="U336" s="1691"/>
      <c r="V336" s="1691"/>
      <c r="W336" s="1691"/>
      <c r="X336" s="1691"/>
      <c r="Y336" s="1691"/>
      <c r="Z336" s="1691"/>
      <c r="AA336" s="1691"/>
      <c r="AB336" s="1691"/>
      <c r="AC336" s="1691"/>
      <c r="AD336" s="1691"/>
      <c r="AE336" s="1691"/>
      <c r="AF336" s="1691"/>
      <c r="AG336" s="1691"/>
      <c r="AH336" s="1691"/>
      <c r="AI336" s="1691"/>
      <c r="AJ336" s="1691"/>
      <c r="AK336" s="1691"/>
      <c r="AL336" s="1691"/>
      <c r="AM336" s="1691"/>
      <c r="AN336" s="1691"/>
      <c r="AO336" s="1691"/>
      <c r="AP336" s="1691"/>
      <c r="AQ336" s="1691"/>
      <c r="AR336" s="1691"/>
      <c r="AS336" s="1691"/>
      <c r="AT336" s="1691"/>
    </row>
    <row r="337">
      <c r="A337" s="1419"/>
      <c r="B337" s="1697"/>
      <c r="C337" s="1698"/>
      <c r="D337" s="1698"/>
      <c r="E337" s="1689"/>
      <c r="F337" s="1689"/>
      <c r="G337" s="1689"/>
      <c r="H337" s="1689"/>
      <c r="I337" s="1689"/>
      <c r="J337" s="1689"/>
      <c r="K337" s="1689"/>
      <c r="L337" s="1689"/>
      <c r="M337" s="1689"/>
      <c r="N337" s="1689"/>
      <c r="O337" s="1689"/>
      <c r="P337" s="1689"/>
      <c r="Q337" s="1689"/>
      <c r="R337" s="1689"/>
      <c r="S337" s="1689"/>
      <c r="T337" s="1689"/>
      <c r="U337" s="1689"/>
      <c r="V337" s="1689"/>
      <c r="W337" s="1689"/>
      <c r="X337" s="1689"/>
      <c r="Y337" s="1689"/>
      <c r="Z337" s="1689"/>
      <c r="AA337" s="1689"/>
      <c r="AB337" s="1689"/>
      <c r="AC337" s="1689"/>
      <c r="AD337" s="1689"/>
      <c r="AE337" s="1689"/>
      <c r="AF337" s="1689"/>
      <c r="AG337" s="1689"/>
      <c r="AH337" s="1689"/>
      <c r="AI337" s="1689"/>
      <c r="AJ337" s="1689"/>
      <c r="AK337" s="1689"/>
      <c r="AL337" s="1689"/>
      <c r="AM337" s="1689"/>
      <c r="AN337" s="1689"/>
      <c r="AO337" s="1689"/>
      <c r="AP337" s="1689"/>
      <c r="AQ337" s="1689"/>
      <c r="AR337" s="1689"/>
      <c r="AS337" s="1689"/>
      <c r="AT337" s="1689"/>
    </row>
    <row r="338">
      <c r="A338" s="1419"/>
      <c r="B338" s="1699"/>
      <c r="C338" s="1700"/>
      <c r="D338" s="1700"/>
      <c r="E338" s="1691"/>
      <c r="F338" s="1691"/>
      <c r="G338" s="1691"/>
      <c r="H338" s="1691"/>
      <c r="I338" s="1691"/>
      <c r="J338" s="1691"/>
      <c r="K338" s="1691"/>
      <c r="L338" s="1691"/>
      <c r="M338" s="1691"/>
      <c r="N338" s="1691"/>
      <c r="O338" s="1691"/>
      <c r="P338" s="1691"/>
      <c r="Q338" s="1691"/>
      <c r="R338" s="1691"/>
      <c r="S338" s="1691"/>
      <c r="T338" s="1691"/>
      <c r="U338" s="1691"/>
      <c r="V338" s="1691"/>
      <c r="W338" s="1691"/>
      <c r="X338" s="1691"/>
      <c r="Y338" s="1691"/>
      <c r="Z338" s="1691"/>
      <c r="AA338" s="1691"/>
      <c r="AB338" s="1691"/>
      <c r="AC338" s="1691"/>
      <c r="AD338" s="1691"/>
      <c r="AE338" s="1691"/>
      <c r="AF338" s="1691"/>
      <c r="AG338" s="1691"/>
      <c r="AH338" s="1691"/>
      <c r="AI338" s="1691"/>
      <c r="AJ338" s="1691"/>
      <c r="AK338" s="1691"/>
      <c r="AL338" s="1691"/>
      <c r="AM338" s="1691"/>
      <c r="AN338" s="1691"/>
      <c r="AO338" s="1691"/>
      <c r="AP338" s="1691"/>
      <c r="AQ338" s="1691"/>
      <c r="AR338" s="1691"/>
      <c r="AS338" s="1691"/>
      <c r="AT338" s="1691"/>
    </row>
    <row r="339">
      <c r="A339" s="1419"/>
      <c r="B339" s="1697"/>
      <c r="C339" s="1698"/>
      <c r="D339" s="1698"/>
      <c r="E339" s="1689"/>
      <c r="F339" s="1689"/>
      <c r="G339" s="1689"/>
      <c r="H339" s="1689"/>
      <c r="I339" s="1689"/>
      <c r="J339" s="1689"/>
      <c r="K339" s="1689"/>
      <c r="L339" s="1689"/>
      <c r="M339" s="1689"/>
      <c r="N339" s="1689"/>
      <c r="O339" s="1689"/>
      <c r="P339" s="1689"/>
      <c r="Q339" s="1689"/>
      <c r="R339" s="1689"/>
      <c r="S339" s="1689"/>
      <c r="T339" s="1689"/>
      <c r="U339" s="1689"/>
      <c r="V339" s="1689"/>
      <c r="W339" s="1689"/>
      <c r="X339" s="1689"/>
      <c r="Y339" s="1689"/>
      <c r="Z339" s="1689"/>
      <c r="AA339" s="1689"/>
      <c r="AB339" s="1689"/>
      <c r="AC339" s="1689"/>
      <c r="AD339" s="1689"/>
      <c r="AE339" s="1689"/>
      <c r="AF339" s="1689"/>
      <c r="AG339" s="1689"/>
      <c r="AH339" s="1689"/>
      <c r="AI339" s="1689"/>
      <c r="AJ339" s="1689"/>
      <c r="AK339" s="1689"/>
      <c r="AL339" s="1689"/>
      <c r="AM339" s="1689"/>
      <c r="AN339" s="1689"/>
      <c r="AO339" s="1689"/>
      <c r="AP339" s="1689"/>
      <c r="AQ339" s="1689"/>
      <c r="AR339" s="1689"/>
      <c r="AS339" s="1689"/>
      <c r="AT339" s="1689"/>
    </row>
    <row r="340">
      <c r="A340" s="1419"/>
      <c r="B340" s="1699"/>
      <c r="C340" s="1700"/>
      <c r="D340" s="1700"/>
      <c r="E340" s="1691"/>
      <c r="F340" s="1691"/>
      <c r="G340" s="1691"/>
      <c r="H340" s="1691"/>
      <c r="I340" s="1691"/>
      <c r="J340" s="1691"/>
      <c r="K340" s="1691"/>
      <c r="L340" s="1691"/>
      <c r="M340" s="1691"/>
      <c r="N340" s="1691"/>
      <c r="O340" s="1691"/>
      <c r="P340" s="1691"/>
      <c r="Q340" s="1691"/>
      <c r="R340" s="1691"/>
      <c r="S340" s="1691"/>
      <c r="T340" s="1691"/>
      <c r="U340" s="1691"/>
      <c r="V340" s="1691"/>
      <c r="W340" s="1691"/>
      <c r="X340" s="1691"/>
      <c r="Y340" s="1691"/>
      <c r="Z340" s="1691"/>
      <c r="AA340" s="1691"/>
      <c r="AB340" s="1691"/>
      <c r="AC340" s="1691"/>
      <c r="AD340" s="1691"/>
      <c r="AE340" s="1691"/>
      <c r="AF340" s="1691"/>
      <c r="AG340" s="1691"/>
      <c r="AH340" s="1691"/>
      <c r="AI340" s="1691"/>
      <c r="AJ340" s="1691"/>
      <c r="AK340" s="1691"/>
      <c r="AL340" s="1691"/>
      <c r="AM340" s="1691"/>
      <c r="AN340" s="1691"/>
      <c r="AO340" s="1691"/>
      <c r="AP340" s="1691"/>
      <c r="AQ340" s="1691"/>
      <c r="AR340" s="1691"/>
      <c r="AS340" s="1691"/>
      <c r="AT340" s="1691"/>
    </row>
    <row r="341">
      <c r="A341" s="1419"/>
      <c r="B341" s="1697"/>
      <c r="C341" s="1698"/>
      <c r="D341" s="1698"/>
      <c r="E341" s="1689"/>
      <c r="F341" s="1689"/>
      <c r="G341" s="1689"/>
      <c r="H341" s="1689"/>
      <c r="I341" s="1689"/>
      <c r="J341" s="1689"/>
      <c r="K341" s="1689"/>
      <c r="L341" s="1689"/>
      <c r="M341" s="1689"/>
      <c r="N341" s="1689"/>
      <c r="O341" s="1689"/>
      <c r="P341" s="1689"/>
      <c r="Q341" s="1689"/>
      <c r="R341" s="1689"/>
      <c r="S341" s="1689"/>
      <c r="T341" s="1689"/>
      <c r="U341" s="1689"/>
      <c r="V341" s="1689"/>
      <c r="W341" s="1689"/>
      <c r="X341" s="1689"/>
      <c r="Y341" s="1689"/>
      <c r="Z341" s="1689"/>
      <c r="AA341" s="1689"/>
      <c r="AB341" s="1689"/>
      <c r="AC341" s="1689"/>
      <c r="AD341" s="1689"/>
      <c r="AE341" s="1689"/>
      <c r="AF341" s="1689"/>
      <c r="AG341" s="1689"/>
      <c r="AH341" s="1689"/>
      <c r="AI341" s="1689"/>
      <c r="AJ341" s="1689"/>
      <c r="AK341" s="1689"/>
      <c r="AL341" s="1689"/>
      <c r="AM341" s="1689"/>
      <c r="AN341" s="1689"/>
      <c r="AO341" s="1689"/>
      <c r="AP341" s="1689"/>
      <c r="AQ341" s="1689"/>
      <c r="AR341" s="1689"/>
      <c r="AS341" s="1689"/>
      <c r="AT341" s="1689"/>
    </row>
    <row r="342">
      <c r="A342" s="1419"/>
      <c r="B342" s="1699"/>
      <c r="C342" s="1700"/>
      <c r="D342" s="1700"/>
      <c r="E342" s="1691"/>
      <c r="F342" s="1691"/>
      <c r="G342" s="1691"/>
      <c r="H342" s="1691"/>
      <c r="I342" s="1691"/>
      <c r="J342" s="1691"/>
      <c r="K342" s="1691"/>
      <c r="L342" s="1691"/>
      <c r="M342" s="1691"/>
      <c r="N342" s="1691"/>
      <c r="O342" s="1691"/>
      <c r="P342" s="1691"/>
      <c r="Q342" s="1691"/>
      <c r="R342" s="1691"/>
      <c r="S342" s="1691"/>
      <c r="T342" s="1691"/>
      <c r="U342" s="1691"/>
      <c r="V342" s="1691"/>
      <c r="W342" s="1691"/>
      <c r="X342" s="1691"/>
      <c r="Y342" s="1691"/>
      <c r="Z342" s="1691"/>
      <c r="AA342" s="1691"/>
      <c r="AB342" s="1691"/>
      <c r="AC342" s="1691"/>
      <c r="AD342" s="1691"/>
      <c r="AE342" s="1691"/>
      <c r="AF342" s="1691"/>
      <c r="AG342" s="1691"/>
      <c r="AH342" s="1691"/>
      <c r="AI342" s="1691"/>
      <c r="AJ342" s="1691"/>
      <c r="AK342" s="1691"/>
      <c r="AL342" s="1691"/>
      <c r="AM342" s="1691"/>
      <c r="AN342" s="1691"/>
      <c r="AO342" s="1691"/>
      <c r="AP342" s="1691"/>
      <c r="AQ342" s="1691"/>
      <c r="AR342" s="1691"/>
      <c r="AS342" s="1691"/>
      <c r="AT342" s="1691"/>
    </row>
    <row r="343">
      <c r="A343" s="1419"/>
      <c r="B343" s="1697"/>
      <c r="C343" s="1698"/>
      <c r="D343" s="1698"/>
      <c r="E343" s="1689"/>
      <c r="F343" s="1689"/>
      <c r="G343" s="1689"/>
      <c r="H343" s="1689"/>
      <c r="I343" s="1689"/>
      <c r="J343" s="1689"/>
      <c r="K343" s="1689"/>
      <c r="L343" s="1689"/>
      <c r="M343" s="1689"/>
      <c r="N343" s="1689"/>
      <c r="O343" s="1689"/>
      <c r="P343" s="1689"/>
      <c r="Q343" s="1689"/>
      <c r="R343" s="1689"/>
      <c r="S343" s="1689"/>
      <c r="T343" s="1689"/>
      <c r="U343" s="1689"/>
      <c r="V343" s="1689"/>
      <c r="W343" s="1689"/>
      <c r="X343" s="1689"/>
      <c r="Y343" s="1689"/>
      <c r="Z343" s="1689"/>
      <c r="AA343" s="1689"/>
      <c r="AB343" s="1689"/>
      <c r="AC343" s="1689"/>
      <c r="AD343" s="1689"/>
      <c r="AE343" s="1689"/>
      <c r="AF343" s="1689"/>
      <c r="AG343" s="1689"/>
      <c r="AH343" s="1689"/>
      <c r="AI343" s="1689"/>
      <c r="AJ343" s="1689"/>
      <c r="AK343" s="1689"/>
      <c r="AL343" s="1689"/>
      <c r="AM343" s="1689"/>
      <c r="AN343" s="1689"/>
      <c r="AO343" s="1689"/>
      <c r="AP343" s="1689"/>
      <c r="AQ343" s="1689"/>
      <c r="AR343" s="1689"/>
      <c r="AS343" s="1689"/>
      <c r="AT343" s="1689"/>
    </row>
    <row r="344">
      <c r="A344" s="1419"/>
      <c r="B344" s="1699"/>
      <c r="C344" s="1700"/>
      <c r="D344" s="1700"/>
      <c r="E344" s="1691"/>
      <c r="F344" s="1691"/>
      <c r="G344" s="1691"/>
      <c r="H344" s="1691"/>
      <c r="I344" s="1691"/>
      <c r="J344" s="1691"/>
      <c r="K344" s="1691"/>
      <c r="L344" s="1691"/>
      <c r="M344" s="1691"/>
      <c r="N344" s="1691"/>
      <c r="O344" s="1691"/>
      <c r="P344" s="1691"/>
      <c r="Q344" s="1691"/>
      <c r="R344" s="1691"/>
      <c r="S344" s="1691"/>
      <c r="T344" s="1691"/>
      <c r="U344" s="1691"/>
      <c r="V344" s="1691"/>
      <c r="W344" s="1691"/>
      <c r="X344" s="1691"/>
      <c r="Y344" s="1691"/>
      <c r="Z344" s="1691"/>
      <c r="AA344" s="1691"/>
      <c r="AB344" s="1691"/>
      <c r="AC344" s="1691"/>
      <c r="AD344" s="1691"/>
      <c r="AE344" s="1691"/>
      <c r="AF344" s="1691"/>
      <c r="AG344" s="1691"/>
      <c r="AH344" s="1691"/>
      <c r="AI344" s="1691"/>
      <c r="AJ344" s="1691"/>
      <c r="AK344" s="1691"/>
      <c r="AL344" s="1691"/>
      <c r="AM344" s="1691"/>
      <c r="AN344" s="1691"/>
      <c r="AO344" s="1691"/>
      <c r="AP344" s="1691"/>
      <c r="AQ344" s="1691"/>
      <c r="AR344" s="1691"/>
      <c r="AS344" s="1691"/>
      <c r="AT344" s="1691"/>
    </row>
    <row r="345">
      <c r="A345" s="1419"/>
      <c r="B345" s="1697"/>
      <c r="C345" s="1698"/>
      <c r="D345" s="1698"/>
      <c r="E345" s="1689"/>
      <c r="F345" s="1689"/>
      <c r="G345" s="1689"/>
      <c r="H345" s="1689"/>
      <c r="I345" s="1689"/>
      <c r="J345" s="1689"/>
      <c r="K345" s="1689"/>
      <c r="L345" s="1689"/>
      <c r="M345" s="1689"/>
      <c r="N345" s="1689"/>
      <c r="O345" s="1689"/>
      <c r="P345" s="1689"/>
      <c r="Q345" s="1689"/>
      <c r="R345" s="1689"/>
      <c r="S345" s="1689"/>
      <c r="T345" s="1689"/>
      <c r="U345" s="1689"/>
      <c r="V345" s="1689"/>
      <c r="W345" s="1689"/>
      <c r="X345" s="1689"/>
      <c r="Y345" s="1689"/>
      <c r="Z345" s="1689"/>
      <c r="AA345" s="1689"/>
      <c r="AB345" s="1689"/>
      <c r="AC345" s="1689"/>
      <c r="AD345" s="1689"/>
      <c r="AE345" s="1689"/>
      <c r="AF345" s="1689"/>
      <c r="AG345" s="1689"/>
      <c r="AH345" s="1689"/>
      <c r="AI345" s="1689"/>
      <c r="AJ345" s="1689"/>
      <c r="AK345" s="1689"/>
      <c r="AL345" s="1689"/>
      <c r="AM345" s="1689"/>
      <c r="AN345" s="1689"/>
      <c r="AO345" s="1689"/>
      <c r="AP345" s="1689"/>
      <c r="AQ345" s="1689"/>
      <c r="AR345" s="1689"/>
      <c r="AS345" s="1689"/>
      <c r="AT345" s="1689"/>
    </row>
    <row r="346">
      <c r="A346" s="1419"/>
      <c r="B346" s="1699"/>
      <c r="C346" s="1700"/>
      <c r="D346" s="1700"/>
      <c r="E346" s="1691"/>
      <c r="F346" s="1691"/>
      <c r="G346" s="1691"/>
      <c r="H346" s="1691"/>
      <c r="I346" s="1691"/>
      <c r="J346" s="1691"/>
      <c r="K346" s="1691"/>
      <c r="L346" s="1691"/>
      <c r="M346" s="1691"/>
      <c r="N346" s="1691"/>
      <c r="O346" s="1691"/>
      <c r="P346" s="1691"/>
      <c r="Q346" s="1691"/>
      <c r="R346" s="1691"/>
      <c r="S346" s="1691"/>
      <c r="T346" s="1691"/>
      <c r="U346" s="1691"/>
      <c r="V346" s="1691"/>
      <c r="W346" s="1691"/>
      <c r="X346" s="1691"/>
      <c r="Y346" s="1691"/>
      <c r="Z346" s="1691"/>
      <c r="AA346" s="1691"/>
      <c r="AB346" s="1691"/>
      <c r="AC346" s="1691"/>
      <c r="AD346" s="1691"/>
      <c r="AE346" s="1691"/>
      <c r="AF346" s="1691"/>
      <c r="AG346" s="1691"/>
      <c r="AH346" s="1691"/>
      <c r="AI346" s="1691"/>
      <c r="AJ346" s="1691"/>
      <c r="AK346" s="1691"/>
      <c r="AL346" s="1691"/>
      <c r="AM346" s="1691"/>
      <c r="AN346" s="1691"/>
      <c r="AO346" s="1691"/>
      <c r="AP346" s="1691"/>
      <c r="AQ346" s="1691"/>
      <c r="AR346" s="1691"/>
      <c r="AS346" s="1691"/>
      <c r="AT346" s="1691"/>
    </row>
    <row r="347">
      <c r="A347" s="1419"/>
      <c r="B347" s="1697"/>
      <c r="C347" s="1698"/>
      <c r="D347" s="1698"/>
      <c r="E347" s="1689"/>
      <c r="F347" s="1689"/>
      <c r="G347" s="1689"/>
      <c r="H347" s="1689"/>
      <c r="I347" s="1689"/>
      <c r="J347" s="1689"/>
      <c r="K347" s="1689"/>
      <c r="L347" s="1689"/>
      <c r="M347" s="1689"/>
      <c r="N347" s="1689"/>
      <c r="O347" s="1689"/>
      <c r="P347" s="1689"/>
      <c r="Q347" s="1689"/>
      <c r="R347" s="1689"/>
      <c r="S347" s="1689"/>
      <c r="T347" s="1689"/>
      <c r="U347" s="1689"/>
      <c r="V347" s="1689"/>
      <c r="W347" s="1689"/>
      <c r="X347" s="1689"/>
      <c r="Y347" s="1689"/>
      <c r="Z347" s="1689"/>
      <c r="AA347" s="1689"/>
      <c r="AB347" s="1689"/>
      <c r="AC347" s="1689"/>
      <c r="AD347" s="1689"/>
      <c r="AE347" s="1689"/>
      <c r="AF347" s="1689"/>
      <c r="AG347" s="1689"/>
      <c r="AH347" s="1689"/>
      <c r="AI347" s="1689"/>
      <c r="AJ347" s="1689"/>
      <c r="AK347" s="1689"/>
      <c r="AL347" s="1689"/>
      <c r="AM347" s="1689"/>
      <c r="AN347" s="1689"/>
      <c r="AO347" s="1689"/>
      <c r="AP347" s="1689"/>
      <c r="AQ347" s="1689"/>
      <c r="AR347" s="1689"/>
      <c r="AS347" s="1689"/>
      <c r="AT347" s="1689"/>
    </row>
    <row r="348">
      <c r="A348" s="1419"/>
      <c r="B348" s="1699"/>
      <c r="C348" s="1700"/>
      <c r="D348" s="1700"/>
      <c r="E348" s="1691"/>
      <c r="F348" s="1691"/>
      <c r="G348" s="1691"/>
      <c r="H348" s="1691"/>
      <c r="I348" s="1691"/>
      <c r="J348" s="1691"/>
      <c r="K348" s="1691"/>
      <c r="L348" s="1691"/>
      <c r="M348" s="1691"/>
      <c r="N348" s="1691"/>
      <c r="O348" s="1691"/>
      <c r="P348" s="1691"/>
      <c r="Q348" s="1691"/>
      <c r="R348" s="1691"/>
      <c r="S348" s="1691"/>
      <c r="T348" s="1691"/>
      <c r="U348" s="1691"/>
      <c r="V348" s="1691"/>
      <c r="W348" s="1691"/>
      <c r="X348" s="1691"/>
      <c r="Y348" s="1691"/>
      <c r="Z348" s="1691"/>
      <c r="AA348" s="1691"/>
      <c r="AB348" s="1691"/>
      <c r="AC348" s="1691"/>
      <c r="AD348" s="1691"/>
      <c r="AE348" s="1691"/>
      <c r="AF348" s="1691"/>
      <c r="AG348" s="1691"/>
      <c r="AH348" s="1691"/>
      <c r="AI348" s="1691"/>
      <c r="AJ348" s="1691"/>
      <c r="AK348" s="1691"/>
      <c r="AL348" s="1691"/>
      <c r="AM348" s="1691"/>
      <c r="AN348" s="1691"/>
      <c r="AO348" s="1691"/>
      <c r="AP348" s="1691"/>
      <c r="AQ348" s="1691"/>
      <c r="AR348" s="1691"/>
      <c r="AS348" s="1691"/>
      <c r="AT348" s="1691"/>
    </row>
    <row r="349">
      <c r="A349" s="1419"/>
      <c r="B349" s="1697"/>
      <c r="C349" s="1698"/>
      <c r="D349" s="1698"/>
      <c r="E349" s="1689"/>
      <c r="F349" s="1689"/>
      <c r="G349" s="1689"/>
      <c r="H349" s="1689"/>
      <c r="I349" s="1689"/>
      <c r="J349" s="1689"/>
      <c r="K349" s="1689"/>
      <c r="L349" s="1689"/>
      <c r="M349" s="1689"/>
      <c r="N349" s="1689"/>
      <c r="O349" s="1689"/>
      <c r="P349" s="1689"/>
      <c r="Q349" s="1689"/>
      <c r="R349" s="1689"/>
      <c r="S349" s="1689"/>
      <c r="T349" s="1689"/>
      <c r="U349" s="1689"/>
      <c r="V349" s="1689"/>
      <c r="W349" s="1689"/>
      <c r="X349" s="1689"/>
      <c r="Y349" s="1689"/>
      <c r="Z349" s="1689"/>
      <c r="AA349" s="1689"/>
      <c r="AB349" s="1689"/>
      <c r="AC349" s="1689"/>
      <c r="AD349" s="1689"/>
      <c r="AE349" s="1689"/>
      <c r="AF349" s="1689"/>
      <c r="AG349" s="1689"/>
      <c r="AH349" s="1689"/>
      <c r="AI349" s="1689"/>
      <c r="AJ349" s="1689"/>
      <c r="AK349" s="1689"/>
      <c r="AL349" s="1689"/>
      <c r="AM349" s="1689"/>
      <c r="AN349" s="1689"/>
      <c r="AO349" s="1689"/>
      <c r="AP349" s="1689"/>
      <c r="AQ349" s="1689"/>
      <c r="AR349" s="1689"/>
      <c r="AS349" s="1689"/>
      <c r="AT349" s="1689"/>
    </row>
    <row r="350">
      <c r="A350" s="1419"/>
      <c r="B350" s="1699"/>
      <c r="C350" s="1700"/>
      <c r="D350" s="1700"/>
      <c r="E350" s="1691"/>
      <c r="F350" s="1691"/>
      <c r="G350" s="1691"/>
      <c r="H350" s="1691"/>
      <c r="I350" s="1691"/>
      <c r="J350" s="1691"/>
      <c r="K350" s="1691"/>
      <c r="L350" s="1691"/>
      <c r="M350" s="1691"/>
      <c r="N350" s="1691"/>
      <c r="O350" s="1691"/>
      <c r="P350" s="1691"/>
      <c r="Q350" s="1691"/>
      <c r="R350" s="1691"/>
      <c r="S350" s="1691"/>
      <c r="T350" s="1691"/>
      <c r="U350" s="1691"/>
      <c r="V350" s="1691"/>
      <c r="W350" s="1691"/>
      <c r="X350" s="1691"/>
      <c r="Y350" s="1691"/>
      <c r="Z350" s="1691"/>
      <c r="AA350" s="1691"/>
      <c r="AB350" s="1691"/>
      <c r="AC350" s="1691"/>
      <c r="AD350" s="1691"/>
      <c r="AE350" s="1691"/>
      <c r="AF350" s="1691"/>
      <c r="AG350" s="1691"/>
      <c r="AH350" s="1691"/>
      <c r="AI350" s="1691"/>
      <c r="AJ350" s="1691"/>
      <c r="AK350" s="1691"/>
      <c r="AL350" s="1691"/>
      <c r="AM350" s="1691"/>
      <c r="AN350" s="1691"/>
      <c r="AO350" s="1691"/>
      <c r="AP350" s="1691"/>
      <c r="AQ350" s="1691"/>
      <c r="AR350" s="1691"/>
      <c r="AS350" s="1691"/>
      <c r="AT350" s="1691"/>
    </row>
    <row r="351">
      <c r="A351" s="1419"/>
      <c r="B351" s="1697"/>
      <c r="C351" s="1698"/>
      <c r="D351" s="1698"/>
      <c r="E351" s="1689"/>
      <c r="F351" s="1689"/>
      <c r="G351" s="1689"/>
      <c r="H351" s="1689"/>
      <c r="I351" s="1689"/>
      <c r="J351" s="1689"/>
      <c r="K351" s="1689"/>
      <c r="L351" s="1689"/>
      <c r="M351" s="1689"/>
      <c r="N351" s="1689"/>
      <c r="O351" s="1689"/>
      <c r="P351" s="1689"/>
      <c r="Q351" s="1689"/>
      <c r="R351" s="1689"/>
      <c r="S351" s="1689"/>
      <c r="T351" s="1689"/>
      <c r="U351" s="1689"/>
      <c r="V351" s="1689"/>
      <c r="W351" s="1689"/>
      <c r="X351" s="1689"/>
      <c r="Y351" s="1689"/>
      <c r="Z351" s="1689"/>
      <c r="AA351" s="1689"/>
      <c r="AB351" s="1689"/>
      <c r="AC351" s="1689"/>
      <c r="AD351" s="1689"/>
      <c r="AE351" s="1689"/>
      <c r="AF351" s="1689"/>
      <c r="AG351" s="1689"/>
      <c r="AH351" s="1689"/>
      <c r="AI351" s="1689"/>
      <c r="AJ351" s="1689"/>
      <c r="AK351" s="1689"/>
      <c r="AL351" s="1689"/>
      <c r="AM351" s="1689"/>
      <c r="AN351" s="1689"/>
      <c r="AO351" s="1689"/>
      <c r="AP351" s="1689"/>
      <c r="AQ351" s="1689"/>
      <c r="AR351" s="1689"/>
      <c r="AS351" s="1689"/>
      <c r="AT351" s="1689"/>
    </row>
    <row r="352">
      <c r="A352" s="1419"/>
      <c r="B352" s="1699"/>
      <c r="C352" s="1700"/>
      <c r="D352" s="1700"/>
      <c r="E352" s="1691"/>
      <c r="F352" s="1691"/>
      <c r="G352" s="1691"/>
      <c r="H352" s="1691"/>
      <c r="I352" s="1691"/>
      <c r="J352" s="1691"/>
      <c r="K352" s="1691"/>
      <c r="L352" s="1691"/>
      <c r="M352" s="1691"/>
      <c r="N352" s="1691"/>
      <c r="O352" s="1691"/>
      <c r="P352" s="1691"/>
      <c r="Q352" s="1691"/>
      <c r="R352" s="1691"/>
      <c r="S352" s="1691"/>
      <c r="T352" s="1691"/>
      <c r="U352" s="1691"/>
      <c r="V352" s="1691"/>
      <c r="W352" s="1691"/>
      <c r="X352" s="1691"/>
      <c r="Y352" s="1691"/>
      <c r="Z352" s="1691"/>
      <c r="AA352" s="1691"/>
      <c r="AB352" s="1691"/>
      <c r="AC352" s="1691"/>
      <c r="AD352" s="1691"/>
      <c r="AE352" s="1691"/>
      <c r="AF352" s="1691"/>
      <c r="AG352" s="1691"/>
      <c r="AH352" s="1691"/>
      <c r="AI352" s="1691"/>
      <c r="AJ352" s="1691"/>
      <c r="AK352" s="1691"/>
      <c r="AL352" s="1691"/>
      <c r="AM352" s="1691"/>
      <c r="AN352" s="1691"/>
      <c r="AO352" s="1691"/>
      <c r="AP352" s="1691"/>
      <c r="AQ352" s="1691"/>
      <c r="AR352" s="1691"/>
      <c r="AS352" s="1691"/>
      <c r="AT352" s="1691"/>
    </row>
    <row r="353">
      <c r="A353" s="1419"/>
      <c r="B353" s="1697"/>
      <c r="C353" s="1698"/>
      <c r="D353" s="1698"/>
      <c r="E353" s="1689"/>
      <c r="F353" s="1689"/>
      <c r="G353" s="1689"/>
      <c r="H353" s="1689"/>
      <c r="I353" s="1689"/>
      <c r="J353" s="1689"/>
      <c r="K353" s="1689"/>
      <c r="L353" s="1689"/>
      <c r="M353" s="1689"/>
      <c r="N353" s="1689"/>
      <c r="O353" s="1689"/>
      <c r="P353" s="1689"/>
      <c r="Q353" s="1689"/>
      <c r="R353" s="1689"/>
      <c r="S353" s="1689"/>
      <c r="T353" s="1689"/>
      <c r="U353" s="1689"/>
      <c r="V353" s="1689"/>
      <c r="W353" s="1689"/>
      <c r="X353" s="1689"/>
      <c r="Y353" s="1689"/>
      <c r="Z353" s="1689"/>
      <c r="AA353" s="1689"/>
      <c r="AB353" s="1689"/>
      <c r="AC353" s="1689"/>
      <c r="AD353" s="1689"/>
      <c r="AE353" s="1689"/>
      <c r="AF353" s="1689"/>
      <c r="AG353" s="1689"/>
      <c r="AH353" s="1689"/>
      <c r="AI353" s="1689"/>
      <c r="AJ353" s="1689"/>
      <c r="AK353" s="1689"/>
      <c r="AL353" s="1689"/>
      <c r="AM353" s="1689"/>
      <c r="AN353" s="1689"/>
      <c r="AO353" s="1689"/>
      <c r="AP353" s="1689"/>
      <c r="AQ353" s="1689"/>
      <c r="AR353" s="1689"/>
      <c r="AS353" s="1689"/>
      <c r="AT353" s="1689"/>
    </row>
    <row r="354">
      <c r="A354" s="1419"/>
      <c r="B354" s="1699"/>
      <c r="C354" s="1700"/>
      <c r="D354" s="1700"/>
      <c r="E354" s="1691"/>
      <c r="F354" s="1691"/>
      <c r="G354" s="1691"/>
      <c r="H354" s="1691"/>
      <c r="I354" s="1691"/>
      <c r="J354" s="1691"/>
      <c r="K354" s="1691"/>
      <c r="L354" s="1691"/>
      <c r="M354" s="1691"/>
      <c r="N354" s="1691"/>
      <c r="O354" s="1691"/>
      <c r="P354" s="1691"/>
      <c r="Q354" s="1691"/>
      <c r="R354" s="1691"/>
      <c r="S354" s="1691"/>
      <c r="T354" s="1691"/>
      <c r="U354" s="1691"/>
      <c r="V354" s="1691"/>
      <c r="W354" s="1691"/>
      <c r="X354" s="1691"/>
      <c r="Y354" s="1691"/>
      <c r="Z354" s="1691"/>
      <c r="AA354" s="1691"/>
      <c r="AB354" s="1691"/>
      <c r="AC354" s="1691"/>
      <c r="AD354" s="1691"/>
      <c r="AE354" s="1691"/>
      <c r="AF354" s="1691"/>
      <c r="AG354" s="1691"/>
      <c r="AH354" s="1691"/>
      <c r="AI354" s="1691"/>
      <c r="AJ354" s="1691"/>
      <c r="AK354" s="1691"/>
      <c r="AL354" s="1691"/>
      <c r="AM354" s="1691"/>
      <c r="AN354" s="1691"/>
      <c r="AO354" s="1691"/>
      <c r="AP354" s="1691"/>
      <c r="AQ354" s="1691"/>
      <c r="AR354" s="1691"/>
      <c r="AS354" s="1691"/>
      <c r="AT354" s="1691"/>
    </row>
    <row r="355">
      <c r="A355" s="1419"/>
      <c r="B355" s="1697"/>
      <c r="C355" s="1698"/>
      <c r="D355" s="1698"/>
      <c r="E355" s="1689"/>
      <c r="F355" s="1689"/>
      <c r="G355" s="1689"/>
      <c r="H355" s="1689"/>
      <c r="I355" s="1689"/>
      <c r="J355" s="1689"/>
      <c r="K355" s="1689"/>
      <c r="L355" s="1689"/>
      <c r="M355" s="1689"/>
      <c r="N355" s="1689"/>
      <c r="O355" s="1689"/>
      <c r="P355" s="1689"/>
      <c r="Q355" s="1689"/>
      <c r="R355" s="1689"/>
      <c r="S355" s="1689"/>
      <c r="T355" s="1689"/>
      <c r="U355" s="1689"/>
      <c r="V355" s="1689"/>
      <c r="W355" s="1689"/>
      <c r="X355" s="1689"/>
      <c r="Y355" s="1689"/>
      <c r="Z355" s="1689"/>
      <c r="AA355" s="1689"/>
      <c r="AB355" s="1689"/>
      <c r="AC355" s="1689"/>
      <c r="AD355" s="1689"/>
      <c r="AE355" s="1689"/>
      <c r="AF355" s="1689"/>
      <c r="AG355" s="1689"/>
      <c r="AH355" s="1689"/>
      <c r="AI355" s="1689"/>
      <c r="AJ355" s="1689"/>
      <c r="AK355" s="1689"/>
      <c r="AL355" s="1689"/>
      <c r="AM355" s="1689"/>
      <c r="AN355" s="1689"/>
      <c r="AO355" s="1689"/>
      <c r="AP355" s="1689"/>
      <c r="AQ355" s="1689"/>
      <c r="AR355" s="1689"/>
      <c r="AS355" s="1689"/>
      <c r="AT355" s="1689"/>
    </row>
    <row r="356">
      <c r="A356" s="1419"/>
      <c r="B356" s="1699"/>
      <c r="C356" s="1700"/>
      <c r="D356" s="1700"/>
      <c r="E356" s="1691"/>
      <c r="F356" s="1691"/>
      <c r="G356" s="1691"/>
      <c r="H356" s="1691"/>
      <c r="I356" s="1691"/>
      <c r="J356" s="1691"/>
      <c r="K356" s="1691"/>
      <c r="L356" s="1691"/>
      <c r="M356" s="1691"/>
      <c r="N356" s="1691"/>
      <c r="O356" s="1691"/>
      <c r="P356" s="1691"/>
      <c r="Q356" s="1691"/>
      <c r="R356" s="1691"/>
      <c r="S356" s="1691"/>
      <c r="T356" s="1691"/>
      <c r="U356" s="1691"/>
      <c r="V356" s="1691"/>
      <c r="W356" s="1691"/>
      <c r="X356" s="1691"/>
      <c r="Y356" s="1691"/>
      <c r="Z356" s="1691"/>
      <c r="AA356" s="1691"/>
      <c r="AB356" s="1691"/>
      <c r="AC356" s="1691"/>
      <c r="AD356" s="1691"/>
      <c r="AE356" s="1691"/>
      <c r="AF356" s="1691"/>
      <c r="AG356" s="1691"/>
      <c r="AH356" s="1691"/>
      <c r="AI356" s="1691"/>
      <c r="AJ356" s="1691"/>
      <c r="AK356" s="1691"/>
      <c r="AL356" s="1691"/>
      <c r="AM356" s="1691"/>
      <c r="AN356" s="1691"/>
      <c r="AO356" s="1691"/>
      <c r="AP356" s="1691"/>
      <c r="AQ356" s="1691"/>
      <c r="AR356" s="1691"/>
      <c r="AS356" s="1691"/>
      <c r="AT356" s="1691"/>
    </row>
    <row r="357">
      <c r="A357" s="1419"/>
      <c r="B357" s="1697"/>
      <c r="C357" s="1698"/>
      <c r="D357" s="1698"/>
      <c r="E357" s="1689"/>
      <c r="F357" s="1689"/>
      <c r="G357" s="1689"/>
      <c r="H357" s="1689"/>
      <c r="I357" s="1689"/>
      <c r="J357" s="1689"/>
      <c r="K357" s="1689"/>
      <c r="L357" s="1689"/>
      <c r="M357" s="1689"/>
      <c r="N357" s="1689"/>
      <c r="O357" s="1689"/>
      <c r="P357" s="1689"/>
      <c r="Q357" s="1689"/>
      <c r="R357" s="1689"/>
      <c r="S357" s="1689"/>
      <c r="T357" s="1689"/>
      <c r="U357" s="1689"/>
      <c r="V357" s="1689"/>
      <c r="W357" s="1689"/>
      <c r="X357" s="1689"/>
      <c r="Y357" s="1689"/>
      <c r="Z357" s="1689"/>
      <c r="AA357" s="1689"/>
      <c r="AB357" s="1689"/>
      <c r="AC357" s="1689"/>
      <c r="AD357" s="1689"/>
      <c r="AE357" s="1689"/>
      <c r="AF357" s="1689"/>
      <c r="AG357" s="1689"/>
      <c r="AH357" s="1689"/>
      <c r="AI357" s="1689"/>
      <c r="AJ357" s="1689"/>
      <c r="AK357" s="1689"/>
      <c r="AL357" s="1689"/>
      <c r="AM357" s="1689"/>
      <c r="AN357" s="1689"/>
      <c r="AO357" s="1689"/>
      <c r="AP357" s="1689"/>
      <c r="AQ357" s="1689"/>
      <c r="AR357" s="1689"/>
      <c r="AS357" s="1689"/>
      <c r="AT357" s="1689"/>
    </row>
    <row r="358">
      <c r="A358" s="1419"/>
      <c r="B358" s="1699"/>
      <c r="C358" s="1700"/>
      <c r="D358" s="1700"/>
      <c r="E358" s="1691"/>
      <c r="F358" s="1691"/>
      <c r="G358" s="1691"/>
      <c r="H358" s="1691"/>
      <c r="I358" s="1691"/>
      <c r="J358" s="1691"/>
      <c r="K358" s="1691"/>
      <c r="L358" s="1691"/>
      <c r="M358" s="1691"/>
      <c r="N358" s="1691"/>
      <c r="O358" s="1691"/>
      <c r="P358" s="1691"/>
      <c r="Q358" s="1691"/>
      <c r="R358" s="1691"/>
      <c r="S358" s="1691"/>
      <c r="T358" s="1691"/>
      <c r="U358" s="1691"/>
      <c r="V358" s="1691"/>
      <c r="W358" s="1691"/>
      <c r="X358" s="1691"/>
      <c r="Y358" s="1691"/>
      <c r="Z358" s="1691"/>
      <c r="AA358" s="1691"/>
      <c r="AB358" s="1691"/>
      <c r="AC358" s="1691"/>
      <c r="AD358" s="1691"/>
      <c r="AE358" s="1691"/>
      <c r="AF358" s="1691"/>
      <c r="AG358" s="1691"/>
      <c r="AH358" s="1691"/>
      <c r="AI358" s="1691"/>
      <c r="AJ358" s="1691"/>
      <c r="AK358" s="1691"/>
      <c r="AL358" s="1691"/>
      <c r="AM358" s="1691"/>
      <c r="AN358" s="1691"/>
      <c r="AO358" s="1691"/>
      <c r="AP358" s="1691"/>
      <c r="AQ358" s="1691"/>
      <c r="AR358" s="1691"/>
      <c r="AS358" s="1691"/>
      <c r="AT358" s="1691"/>
    </row>
    <row r="359">
      <c r="A359" s="1419"/>
      <c r="B359" s="1697"/>
      <c r="C359" s="1698"/>
      <c r="D359" s="1698"/>
      <c r="E359" s="1689"/>
      <c r="F359" s="1689"/>
      <c r="G359" s="1689"/>
      <c r="H359" s="1689"/>
      <c r="I359" s="1689"/>
      <c r="J359" s="1689"/>
      <c r="K359" s="1689"/>
      <c r="L359" s="1689"/>
      <c r="M359" s="1689"/>
      <c r="N359" s="1689"/>
      <c r="O359" s="1689"/>
      <c r="P359" s="1689"/>
      <c r="Q359" s="1689"/>
      <c r="R359" s="1689"/>
      <c r="S359" s="1689"/>
      <c r="T359" s="1689"/>
      <c r="U359" s="1689"/>
      <c r="V359" s="1689"/>
      <c r="W359" s="1689"/>
      <c r="X359" s="1689"/>
      <c r="Y359" s="1689"/>
      <c r="Z359" s="1689"/>
      <c r="AA359" s="1689"/>
      <c r="AB359" s="1689"/>
      <c r="AC359" s="1689"/>
      <c r="AD359" s="1689"/>
      <c r="AE359" s="1689"/>
      <c r="AF359" s="1689"/>
      <c r="AG359" s="1689"/>
      <c r="AH359" s="1689"/>
      <c r="AI359" s="1689"/>
      <c r="AJ359" s="1689"/>
      <c r="AK359" s="1689"/>
      <c r="AL359" s="1689"/>
      <c r="AM359" s="1689"/>
      <c r="AN359" s="1689"/>
      <c r="AO359" s="1689"/>
      <c r="AP359" s="1689"/>
      <c r="AQ359" s="1689"/>
      <c r="AR359" s="1689"/>
      <c r="AS359" s="1689"/>
      <c r="AT359" s="1689"/>
    </row>
    <row r="360">
      <c r="A360" s="1419"/>
      <c r="B360" s="1699"/>
      <c r="C360" s="1700"/>
      <c r="D360" s="1700"/>
      <c r="E360" s="1691"/>
      <c r="F360" s="1691"/>
      <c r="G360" s="1691"/>
      <c r="H360" s="1691"/>
      <c r="I360" s="1691"/>
      <c r="J360" s="1691"/>
      <c r="K360" s="1691"/>
      <c r="L360" s="1691"/>
      <c r="M360" s="1691"/>
      <c r="N360" s="1691"/>
      <c r="O360" s="1691"/>
      <c r="P360" s="1691"/>
      <c r="Q360" s="1691"/>
      <c r="R360" s="1691"/>
      <c r="S360" s="1691"/>
      <c r="T360" s="1691"/>
      <c r="U360" s="1691"/>
      <c r="V360" s="1691"/>
      <c r="W360" s="1691"/>
      <c r="X360" s="1691"/>
      <c r="Y360" s="1691"/>
      <c r="Z360" s="1691"/>
      <c r="AA360" s="1691"/>
      <c r="AB360" s="1691"/>
      <c r="AC360" s="1691"/>
      <c r="AD360" s="1691"/>
      <c r="AE360" s="1691"/>
      <c r="AF360" s="1691"/>
      <c r="AG360" s="1691"/>
      <c r="AH360" s="1691"/>
      <c r="AI360" s="1691"/>
      <c r="AJ360" s="1691"/>
      <c r="AK360" s="1691"/>
      <c r="AL360" s="1691"/>
      <c r="AM360" s="1691"/>
      <c r="AN360" s="1691"/>
      <c r="AO360" s="1691"/>
      <c r="AP360" s="1691"/>
      <c r="AQ360" s="1691"/>
      <c r="AR360" s="1691"/>
      <c r="AS360" s="1691"/>
      <c r="AT360" s="1691"/>
    </row>
    <row r="361">
      <c r="A361" s="1419"/>
      <c r="B361" s="1697"/>
      <c r="C361" s="1698"/>
      <c r="D361" s="1698"/>
      <c r="E361" s="1689"/>
      <c r="F361" s="1689"/>
      <c r="G361" s="1689"/>
      <c r="H361" s="1689"/>
      <c r="I361" s="1689"/>
      <c r="J361" s="1689"/>
      <c r="K361" s="1689"/>
      <c r="L361" s="1689"/>
      <c r="M361" s="1689"/>
      <c r="N361" s="1689"/>
      <c r="O361" s="1689"/>
      <c r="P361" s="1689"/>
      <c r="Q361" s="1689"/>
      <c r="R361" s="1689"/>
      <c r="S361" s="1689"/>
      <c r="T361" s="1689"/>
      <c r="U361" s="1689"/>
      <c r="V361" s="1689"/>
      <c r="W361" s="1689"/>
      <c r="X361" s="1689"/>
      <c r="Y361" s="1689"/>
      <c r="Z361" s="1689"/>
      <c r="AA361" s="1689"/>
      <c r="AB361" s="1689"/>
      <c r="AC361" s="1689"/>
      <c r="AD361" s="1689"/>
      <c r="AE361" s="1689"/>
      <c r="AF361" s="1689"/>
      <c r="AG361" s="1689"/>
      <c r="AH361" s="1689"/>
      <c r="AI361" s="1689"/>
      <c r="AJ361" s="1689"/>
      <c r="AK361" s="1689"/>
      <c r="AL361" s="1689"/>
      <c r="AM361" s="1689"/>
      <c r="AN361" s="1689"/>
      <c r="AO361" s="1689"/>
      <c r="AP361" s="1689"/>
      <c r="AQ361" s="1689"/>
      <c r="AR361" s="1689"/>
      <c r="AS361" s="1689"/>
      <c r="AT361" s="1689"/>
    </row>
    <row r="362">
      <c r="A362" s="1419"/>
      <c r="B362" s="1699"/>
      <c r="C362" s="1700"/>
      <c r="D362" s="1700"/>
      <c r="E362" s="1691"/>
      <c r="F362" s="1691"/>
      <c r="G362" s="1691"/>
      <c r="H362" s="1691"/>
      <c r="I362" s="1691"/>
      <c r="J362" s="1691"/>
      <c r="K362" s="1691"/>
      <c r="L362" s="1691"/>
      <c r="M362" s="1691"/>
      <c r="N362" s="1691"/>
      <c r="O362" s="1691"/>
      <c r="P362" s="1691"/>
      <c r="Q362" s="1691"/>
      <c r="R362" s="1691"/>
      <c r="S362" s="1691"/>
      <c r="T362" s="1691"/>
      <c r="U362" s="1691"/>
      <c r="V362" s="1691"/>
      <c r="W362" s="1691"/>
      <c r="X362" s="1691"/>
      <c r="Y362" s="1691"/>
      <c r="Z362" s="1691"/>
      <c r="AA362" s="1691"/>
      <c r="AB362" s="1691"/>
      <c r="AC362" s="1691"/>
      <c r="AD362" s="1691"/>
      <c r="AE362" s="1691"/>
      <c r="AF362" s="1691"/>
      <c r="AG362" s="1691"/>
      <c r="AH362" s="1691"/>
      <c r="AI362" s="1691"/>
      <c r="AJ362" s="1691"/>
      <c r="AK362" s="1691"/>
      <c r="AL362" s="1691"/>
      <c r="AM362" s="1691"/>
      <c r="AN362" s="1691"/>
      <c r="AO362" s="1691"/>
      <c r="AP362" s="1691"/>
      <c r="AQ362" s="1691"/>
      <c r="AR362" s="1691"/>
      <c r="AS362" s="1691"/>
      <c r="AT362" s="1691"/>
    </row>
    <row r="363">
      <c r="A363" s="1419"/>
      <c r="B363" s="1697"/>
      <c r="C363" s="1698"/>
      <c r="D363" s="1698"/>
      <c r="E363" s="1689"/>
      <c r="F363" s="1689"/>
      <c r="G363" s="1689"/>
      <c r="H363" s="1689"/>
      <c r="I363" s="1689"/>
      <c r="J363" s="1689"/>
      <c r="K363" s="1689"/>
      <c r="L363" s="1689"/>
      <c r="M363" s="1689"/>
      <c r="N363" s="1689"/>
      <c r="O363" s="1689"/>
      <c r="P363" s="1689"/>
      <c r="Q363" s="1689"/>
      <c r="R363" s="1689"/>
      <c r="S363" s="1689"/>
      <c r="T363" s="1689"/>
      <c r="U363" s="1689"/>
      <c r="V363" s="1689"/>
      <c r="W363" s="1689"/>
      <c r="X363" s="1689"/>
      <c r="Y363" s="1689"/>
      <c r="Z363" s="1689"/>
      <c r="AA363" s="1689"/>
      <c r="AB363" s="1689"/>
      <c r="AC363" s="1689"/>
      <c r="AD363" s="1689"/>
      <c r="AE363" s="1689"/>
      <c r="AF363" s="1689"/>
      <c r="AG363" s="1689"/>
      <c r="AH363" s="1689"/>
      <c r="AI363" s="1689"/>
      <c r="AJ363" s="1689"/>
      <c r="AK363" s="1689"/>
      <c r="AL363" s="1689"/>
      <c r="AM363" s="1689"/>
      <c r="AN363" s="1689"/>
      <c r="AO363" s="1689"/>
      <c r="AP363" s="1689"/>
      <c r="AQ363" s="1689"/>
      <c r="AR363" s="1689"/>
      <c r="AS363" s="1689"/>
      <c r="AT363" s="1689"/>
    </row>
    <row r="364">
      <c r="A364" s="1419"/>
      <c r="B364" s="1699"/>
      <c r="C364" s="1700"/>
      <c r="D364" s="1700"/>
      <c r="E364" s="1691"/>
      <c r="F364" s="1691"/>
      <c r="G364" s="1691"/>
      <c r="H364" s="1691"/>
      <c r="I364" s="1691"/>
      <c r="J364" s="1691"/>
      <c r="K364" s="1691"/>
      <c r="L364" s="1691"/>
      <c r="M364" s="1691"/>
      <c r="N364" s="1691"/>
      <c r="O364" s="1691"/>
      <c r="P364" s="1691"/>
      <c r="Q364" s="1691"/>
      <c r="R364" s="1691"/>
      <c r="S364" s="1691"/>
      <c r="T364" s="1691"/>
      <c r="U364" s="1691"/>
      <c r="V364" s="1691"/>
      <c r="W364" s="1691"/>
      <c r="X364" s="1691"/>
      <c r="Y364" s="1691"/>
      <c r="Z364" s="1691"/>
      <c r="AA364" s="1691"/>
      <c r="AB364" s="1691"/>
      <c r="AC364" s="1691"/>
      <c r="AD364" s="1691"/>
      <c r="AE364" s="1691"/>
      <c r="AF364" s="1691"/>
      <c r="AG364" s="1691"/>
      <c r="AH364" s="1691"/>
      <c r="AI364" s="1691"/>
      <c r="AJ364" s="1691"/>
      <c r="AK364" s="1691"/>
      <c r="AL364" s="1691"/>
      <c r="AM364" s="1691"/>
      <c r="AN364" s="1691"/>
      <c r="AO364" s="1691"/>
      <c r="AP364" s="1691"/>
      <c r="AQ364" s="1691"/>
      <c r="AR364" s="1691"/>
      <c r="AS364" s="1691"/>
      <c r="AT364" s="1691"/>
    </row>
    <row r="365">
      <c r="A365" s="1419"/>
      <c r="B365" s="1697"/>
      <c r="C365" s="1698"/>
      <c r="D365" s="1698"/>
      <c r="E365" s="1689"/>
      <c r="F365" s="1689"/>
      <c r="G365" s="1689"/>
      <c r="H365" s="1689"/>
      <c r="I365" s="1689"/>
      <c r="J365" s="1689"/>
      <c r="K365" s="1689"/>
      <c r="L365" s="1689"/>
      <c r="M365" s="1689"/>
      <c r="N365" s="1689"/>
      <c r="O365" s="1689"/>
      <c r="P365" s="1689"/>
      <c r="Q365" s="1689"/>
      <c r="R365" s="1689"/>
      <c r="S365" s="1689"/>
      <c r="T365" s="1689"/>
      <c r="U365" s="1689"/>
      <c r="V365" s="1689"/>
      <c r="W365" s="1689"/>
      <c r="X365" s="1689"/>
      <c r="Y365" s="1689"/>
      <c r="Z365" s="1689"/>
      <c r="AA365" s="1689"/>
      <c r="AB365" s="1689"/>
      <c r="AC365" s="1689"/>
      <c r="AD365" s="1689"/>
      <c r="AE365" s="1689"/>
      <c r="AF365" s="1689"/>
      <c r="AG365" s="1689"/>
      <c r="AH365" s="1689"/>
      <c r="AI365" s="1689"/>
      <c r="AJ365" s="1689"/>
      <c r="AK365" s="1689"/>
      <c r="AL365" s="1689"/>
      <c r="AM365" s="1689"/>
      <c r="AN365" s="1689"/>
      <c r="AO365" s="1689"/>
      <c r="AP365" s="1689"/>
      <c r="AQ365" s="1689"/>
      <c r="AR365" s="1689"/>
      <c r="AS365" s="1689"/>
      <c r="AT365" s="1689"/>
    </row>
    <row r="366">
      <c r="A366" s="1419"/>
      <c r="B366" s="1699"/>
      <c r="C366" s="1700"/>
      <c r="D366" s="1700"/>
      <c r="E366" s="1691"/>
      <c r="F366" s="1691"/>
      <c r="G366" s="1691"/>
      <c r="H366" s="1691"/>
      <c r="I366" s="1691"/>
      <c r="J366" s="1691"/>
      <c r="K366" s="1691"/>
      <c r="L366" s="1691"/>
      <c r="M366" s="1691"/>
      <c r="N366" s="1691"/>
      <c r="O366" s="1691"/>
      <c r="P366" s="1691"/>
      <c r="Q366" s="1691"/>
      <c r="R366" s="1691"/>
      <c r="S366" s="1691"/>
      <c r="T366" s="1691"/>
      <c r="U366" s="1691"/>
      <c r="V366" s="1691"/>
      <c r="W366" s="1691"/>
      <c r="X366" s="1691"/>
      <c r="Y366" s="1691"/>
      <c r="Z366" s="1691"/>
      <c r="AA366" s="1691"/>
      <c r="AB366" s="1691"/>
      <c r="AC366" s="1691"/>
      <c r="AD366" s="1691"/>
      <c r="AE366" s="1691"/>
      <c r="AF366" s="1691"/>
      <c r="AG366" s="1691"/>
      <c r="AH366" s="1691"/>
      <c r="AI366" s="1691"/>
      <c r="AJ366" s="1691"/>
      <c r="AK366" s="1691"/>
      <c r="AL366" s="1691"/>
      <c r="AM366" s="1691"/>
      <c r="AN366" s="1691"/>
      <c r="AO366" s="1691"/>
      <c r="AP366" s="1691"/>
      <c r="AQ366" s="1691"/>
      <c r="AR366" s="1691"/>
      <c r="AS366" s="1691"/>
      <c r="AT366" s="1691"/>
    </row>
    <row r="367">
      <c r="A367" s="1419"/>
      <c r="B367" s="1697"/>
      <c r="C367" s="1698"/>
      <c r="D367" s="1698"/>
      <c r="E367" s="1689"/>
      <c r="F367" s="1689"/>
      <c r="G367" s="1689"/>
      <c r="H367" s="1689"/>
      <c r="I367" s="1689"/>
      <c r="J367" s="1689"/>
      <c r="K367" s="1689"/>
      <c r="L367" s="1689"/>
      <c r="M367" s="1689"/>
      <c r="N367" s="1689"/>
      <c r="O367" s="1689"/>
      <c r="P367" s="1689"/>
      <c r="Q367" s="1689"/>
      <c r="R367" s="1689"/>
      <c r="S367" s="1689"/>
      <c r="T367" s="1689"/>
      <c r="U367" s="1689"/>
      <c r="V367" s="1689"/>
      <c r="W367" s="1689"/>
      <c r="X367" s="1689"/>
      <c r="Y367" s="1689"/>
      <c r="Z367" s="1689"/>
      <c r="AA367" s="1689"/>
      <c r="AB367" s="1689"/>
      <c r="AC367" s="1689"/>
      <c r="AD367" s="1689"/>
      <c r="AE367" s="1689"/>
      <c r="AF367" s="1689"/>
      <c r="AG367" s="1689"/>
      <c r="AH367" s="1689"/>
      <c r="AI367" s="1689"/>
      <c r="AJ367" s="1689"/>
      <c r="AK367" s="1689"/>
      <c r="AL367" s="1689"/>
      <c r="AM367" s="1689"/>
      <c r="AN367" s="1689"/>
      <c r="AO367" s="1689"/>
      <c r="AP367" s="1689"/>
      <c r="AQ367" s="1689"/>
      <c r="AR367" s="1689"/>
      <c r="AS367" s="1689"/>
      <c r="AT367" s="1689"/>
    </row>
    <row r="368">
      <c r="A368" s="1419"/>
      <c r="B368" s="1699"/>
      <c r="C368" s="1700"/>
      <c r="D368" s="1700"/>
      <c r="E368" s="1691"/>
      <c r="F368" s="1691"/>
      <c r="G368" s="1691"/>
      <c r="H368" s="1691"/>
      <c r="I368" s="1691"/>
      <c r="J368" s="1691"/>
      <c r="K368" s="1691"/>
      <c r="L368" s="1691"/>
      <c r="M368" s="1691"/>
      <c r="N368" s="1691"/>
      <c r="O368" s="1691"/>
      <c r="P368" s="1691"/>
      <c r="Q368" s="1691"/>
      <c r="R368" s="1691"/>
      <c r="S368" s="1691"/>
      <c r="T368" s="1691"/>
      <c r="U368" s="1691"/>
      <c r="V368" s="1691"/>
      <c r="W368" s="1691"/>
      <c r="X368" s="1691"/>
      <c r="Y368" s="1691"/>
      <c r="Z368" s="1691"/>
      <c r="AA368" s="1691"/>
      <c r="AB368" s="1691"/>
      <c r="AC368" s="1691"/>
      <c r="AD368" s="1691"/>
      <c r="AE368" s="1691"/>
      <c r="AF368" s="1691"/>
      <c r="AG368" s="1691"/>
      <c r="AH368" s="1691"/>
      <c r="AI368" s="1691"/>
      <c r="AJ368" s="1691"/>
      <c r="AK368" s="1691"/>
      <c r="AL368" s="1691"/>
      <c r="AM368" s="1691"/>
      <c r="AN368" s="1691"/>
      <c r="AO368" s="1691"/>
      <c r="AP368" s="1691"/>
      <c r="AQ368" s="1691"/>
      <c r="AR368" s="1691"/>
      <c r="AS368" s="1691"/>
      <c r="AT368" s="1691"/>
    </row>
    <row r="369">
      <c r="A369" s="1419"/>
      <c r="B369" s="1697"/>
      <c r="C369" s="1698"/>
      <c r="D369" s="1698"/>
      <c r="E369" s="1689"/>
      <c r="F369" s="1689"/>
      <c r="G369" s="1689"/>
      <c r="H369" s="1689"/>
      <c r="I369" s="1689"/>
      <c r="J369" s="1689"/>
      <c r="K369" s="1689"/>
      <c r="L369" s="1689"/>
      <c r="M369" s="1689"/>
      <c r="N369" s="1689"/>
      <c r="O369" s="1689"/>
      <c r="P369" s="1689"/>
      <c r="Q369" s="1689"/>
      <c r="R369" s="1689"/>
      <c r="S369" s="1689"/>
      <c r="T369" s="1689"/>
      <c r="U369" s="1689"/>
      <c r="V369" s="1689"/>
      <c r="W369" s="1689"/>
      <c r="X369" s="1689"/>
      <c r="Y369" s="1689"/>
      <c r="Z369" s="1689"/>
      <c r="AA369" s="1689"/>
      <c r="AB369" s="1689"/>
      <c r="AC369" s="1689"/>
      <c r="AD369" s="1689"/>
      <c r="AE369" s="1689"/>
      <c r="AF369" s="1689"/>
      <c r="AG369" s="1689"/>
      <c r="AH369" s="1689"/>
      <c r="AI369" s="1689"/>
      <c r="AJ369" s="1689"/>
      <c r="AK369" s="1689"/>
      <c r="AL369" s="1689"/>
      <c r="AM369" s="1689"/>
      <c r="AN369" s="1689"/>
      <c r="AO369" s="1689"/>
      <c r="AP369" s="1689"/>
      <c r="AQ369" s="1689"/>
      <c r="AR369" s="1689"/>
      <c r="AS369" s="1689"/>
      <c r="AT369" s="1689"/>
    </row>
    <row r="370">
      <c r="A370" s="1419"/>
      <c r="B370" s="1699"/>
      <c r="C370" s="1700"/>
      <c r="D370" s="1700"/>
      <c r="E370" s="1691"/>
      <c r="F370" s="1691"/>
      <c r="G370" s="1691"/>
      <c r="H370" s="1691"/>
      <c r="I370" s="1691"/>
      <c r="J370" s="1691"/>
      <c r="K370" s="1691"/>
      <c r="L370" s="1691"/>
      <c r="M370" s="1691"/>
      <c r="N370" s="1691"/>
      <c r="O370" s="1691"/>
      <c r="P370" s="1691"/>
      <c r="Q370" s="1691"/>
      <c r="R370" s="1691"/>
      <c r="S370" s="1691"/>
      <c r="T370" s="1691"/>
      <c r="U370" s="1691"/>
      <c r="V370" s="1691"/>
      <c r="W370" s="1691"/>
      <c r="X370" s="1691"/>
      <c r="Y370" s="1691"/>
      <c r="Z370" s="1691"/>
      <c r="AA370" s="1691"/>
      <c r="AB370" s="1691"/>
      <c r="AC370" s="1691"/>
      <c r="AD370" s="1691"/>
      <c r="AE370" s="1691"/>
      <c r="AF370" s="1691"/>
      <c r="AG370" s="1691"/>
      <c r="AH370" s="1691"/>
      <c r="AI370" s="1691"/>
      <c r="AJ370" s="1691"/>
      <c r="AK370" s="1691"/>
      <c r="AL370" s="1691"/>
      <c r="AM370" s="1691"/>
      <c r="AN370" s="1691"/>
      <c r="AO370" s="1691"/>
      <c r="AP370" s="1691"/>
      <c r="AQ370" s="1691"/>
      <c r="AR370" s="1691"/>
      <c r="AS370" s="1691"/>
      <c r="AT370" s="1691"/>
    </row>
    <row r="371">
      <c r="A371" s="1419"/>
      <c r="B371" s="1697"/>
      <c r="C371" s="1698"/>
      <c r="D371" s="1698"/>
      <c r="E371" s="1689"/>
      <c r="F371" s="1689"/>
      <c r="G371" s="1689"/>
      <c r="H371" s="1689"/>
      <c r="I371" s="1689"/>
      <c r="J371" s="1689"/>
      <c r="K371" s="1689"/>
      <c r="L371" s="1689"/>
      <c r="M371" s="1689"/>
      <c r="N371" s="1689"/>
      <c r="O371" s="1689"/>
      <c r="P371" s="1689"/>
      <c r="Q371" s="1689"/>
      <c r="R371" s="1689"/>
      <c r="S371" s="1689"/>
      <c r="T371" s="1689"/>
      <c r="U371" s="1689"/>
      <c r="V371" s="1689"/>
      <c r="W371" s="1689"/>
      <c r="X371" s="1689"/>
      <c r="Y371" s="1689"/>
      <c r="Z371" s="1689"/>
      <c r="AA371" s="1689"/>
      <c r="AB371" s="1689"/>
      <c r="AC371" s="1689"/>
      <c r="AD371" s="1689"/>
      <c r="AE371" s="1689"/>
      <c r="AF371" s="1689"/>
      <c r="AG371" s="1689"/>
      <c r="AH371" s="1689"/>
      <c r="AI371" s="1689"/>
      <c r="AJ371" s="1689"/>
      <c r="AK371" s="1689"/>
      <c r="AL371" s="1689"/>
      <c r="AM371" s="1689"/>
      <c r="AN371" s="1689"/>
      <c r="AO371" s="1689"/>
      <c r="AP371" s="1689"/>
      <c r="AQ371" s="1689"/>
      <c r="AR371" s="1689"/>
      <c r="AS371" s="1689"/>
      <c r="AT371" s="1689"/>
    </row>
    <row r="372">
      <c r="A372" s="1419"/>
      <c r="B372" s="1699"/>
      <c r="C372" s="1700"/>
      <c r="D372" s="1700"/>
      <c r="E372" s="1691"/>
      <c r="F372" s="1691"/>
      <c r="G372" s="1691"/>
      <c r="H372" s="1691"/>
      <c r="I372" s="1691"/>
      <c r="J372" s="1691"/>
      <c r="K372" s="1691"/>
      <c r="L372" s="1691"/>
      <c r="M372" s="1691"/>
      <c r="N372" s="1691"/>
      <c r="O372" s="1691"/>
      <c r="P372" s="1691"/>
      <c r="Q372" s="1691"/>
      <c r="R372" s="1691"/>
      <c r="S372" s="1691"/>
      <c r="T372" s="1691"/>
      <c r="U372" s="1691"/>
      <c r="V372" s="1691"/>
      <c r="W372" s="1691"/>
      <c r="X372" s="1691"/>
      <c r="Y372" s="1691"/>
      <c r="Z372" s="1691"/>
      <c r="AA372" s="1691"/>
      <c r="AB372" s="1691"/>
      <c r="AC372" s="1691"/>
      <c r="AD372" s="1691"/>
      <c r="AE372" s="1691"/>
      <c r="AF372" s="1691"/>
      <c r="AG372" s="1691"/>
      <c r="AH372" s="1691"/>
      <c r="AI372" s="1691"/>
      <c r="AJ372" s="1691"/>
      <c r="AK372" s="1691"/>
      <c r="AL372" s="1691"/>
      <c r="AM372" s="1691"/>
      <c r="AN372" s="1691"/>
      <c r="AO372" s="1691"/>
      <c r="AP372" s="1691"/>
      <c r="AQ372" s="1691"/>
      <c r="AR372" s="1691"/>
      <c r="AS372" s="1691"/>
      <c r="AT372" s="1691"/>
    </row>
    <row r="373">
      <c r="A373" s="1419"/>
      <c r="B373" s="1697"/>
      <c r="C373" s="1698"/>
      <c r="D373" s="1698"/>
      <c r="E373" s="1689"/>
      <c r="F373" s="1689"/>
      <c r="G373" s="1689"/>
      <c r="H373" s="1689"/>
      <c r="I373" s="1689"/>
      <c r="J373" s="1689"/>
      <c r="K373" s="1689"/>
      <c r="L373" s="1689"/>
      <c r="M373" s="1689"/>
      <c r="N373" s="1689"/>
      <c r="O373" s="1689"/>
      <c r="P373" s="1689"/>
      <c r="Q373" s="1689"/>
      <c r="R373" s="1689"/>
      <c r="S373" s="1689"/>
      <c r="T373" s="1689"/>
      <c r="U373" s="1689"/>
      <c r="V373" s="1689"/>
      <c r="W373" s="1689"/>
      <c r="X373" s="1689"/>
      <c r="Y373" s="1689"/>
      <c r="Z373" s="1689"/>
      <c r="AA373" s="1689"/>
      <c r="AB373" s="1689"/>
      <c r="AC373" s="1689"/>
      <c r="AD373" s="1689"/>
      <c r="AE373" s="1689"/>
      <c r="AF373" s="1689"/>
      <c r="AG373" s="1689"/>
      <c r="AH373" s="1689"/>
      <c r="AI373" s="1689"/>
      <c r="AJ373" s="1689"/>
      <c r="AK373" s="1689"/>
      <c r="AL373" s="1689"/>
      <c r="AM373" s="1689"/>
      <c r="AN373" s="1689"/>
      <c r="AO373" s="1689"/>
      <c r="AP373" s="1689"/>
      <c r="AQ373" s="1689"/>
      <c r="AR373" s="1689"/>
      <c r="AS373" s="1689"/>
      <c r="AT373" s="1689"/>
    </row>
    <row r="374">
      <c r="A374" s="1419"/>
      <c r="B374" s="1699"/>
      <c r="C374" s="1700"/>
      <c r="D374" s="1700"/>
      <c r="E374" s="1691"/>
      <c r="F374" s="1691"/>
      <c r="G374" s="1691"/>
      <c r="H374" s="1691"/>
      <c r="I374" s="1691"/>
      <c r="J374" s="1691"/>
      <c r="K374" s="1691"/>
      <c r="L374" s="1691"/>
      <c r="M374" s="1691"/>
      <c r="N374" s="1691"/>
      <c r="O374" s="1691"/>
      <c r="P374" s="1691"/>
      <c r="Q374" s="1691"/>
      <c r="R374" s="1691"/>
      <c r="S374" s="1691"/>
      <c r="T374" s="1691"/>
      <c r="U374" s="1691"/>
      <c r="V374" s="1691"/>
      <c r="W374" s="1691"/>
      <c r="X374" s="1691"/>
      <c r="Y374" s="1691"/>
      <c r="Z374" s="1691"/>
      <c r="AA374" s="1691"/>
      <c r="AB374" s="1691"/>
      <c r="AC374" s="1691"/>
      <c r="AD374" s="1691"/>
      <c r="AE374" s="1691"/>
      <c r="AF374" s="1691"/>
      <c r="AG374" s="1691"/>
      <c r="AH374" s="1691"/>
      <c r="AI374" s="1691"/>
      <c r="AJ374" s="1691"/>
      <c r="AK374" s="1691"/>
      <c r="AL374" s="1691"/>
      <c r="AM374" s="1691"/>
      <c r="AN374" s="1691"/>
      <c r="AO374" s="1691"/>
      <c r="AP374" s="1691"/>
      <c r="AQ374" s="1691"/>
      <c r="AR374" s="1691"/>
      <c r="AS374" s="1691"/>
      <c r="AT374" s="1691"/>
    </row>
    <row r="375">
      <c r="A375" s="1419"/>
      <c r="B375" s="1697"/>
      <c r="C375" s="1698"/>
      <c r="D375" s="1698"/>
      <c r="E375" s="1689"/>
      <c r="F375" s="1689"/>
      <c r="G375" s="1689"/>
      <c r="H375" s="1689"/>
      <c r="I375" s="1689"/>
      <c r="J375" s="1689"/>
      <c r="K375" s="1689"/>
      <c r="L375" s="1689"/>
      <c r="M375" s="1689"/>
      <c r="N375" s="1689"/>
      <c r="O375" s="1689"/>
      <c r="P375" s="1689"/>
      <c r="Q375" s="1689"/>
      <c r="R375" s="1689"/>
      <c r="S375" s="1689"/>
      <c r="T375" s="1689"/>
      <c r="U375" s="1689"/>
      <c r="V375" s="1689"/>
      <c r="W375" s="1689"/>
      <c r="X375" s="1689"/>
      <c r="Y375" s="1689"/>
      <c r="Z375" s="1689"/>
      <c r="AA375" s="1689"/>
      <c r="AB375" s="1689"/>
      <c r="AC375" s="1689"/>
      <c r="AD375" s="1689"/>
      <c r="AE375" s="1689"/>
      <c r="AF375" s="1689"/>
      <c r="AG375" s="1689"/>
      <c r="AH375" s="1689"/>
      <c r="AI375" s="1689"/>
      <c r="AJ375" s="1689"/>
      <c r="AK375" s="1689"/>
      <c r="AL375" s="1689"/>
      <c r="AM375" s="1689"/>
      <c r="AN375" s="1689"/>
      <c r="AO375" s="1689"/>
      <c r="AP375" s="1689"/>
      <c r="AQ375" s="1689"/>
      <c r="AR375" s="1689"/>
      <c r="AS375" s="1689"/>
      <c r="AT375" s="1689"/>
    </row>
    <row r="376">
      <c r="A376" s="1419"/>
      <c r="B376" s="1699"/>
      <c r="C376" s="1700"/>
      <c r="D376" s="1700"/>
      <c r="E376" s="1691"/>
      <c r="F376" s="1691"/>
      <c r="G376" s="1691"/>
      <c r="H376" s="1691"/>
      <c r="I376" s="1691"/>
      <c r="J376" s="1691"/>
      <c r="K376" s="1691"/>
      <c r="L376" s="1691"/>
      <c r="M376" s="1691"/>
      <c r="N376" s="1691"/>
      <c r="O376" s="1691"/>
      <c r="P376" s="1691"/>
      <c r="Q376" s="1691"/>
      <c r="R376" s="1691"/>
      <c r="S376" s="1691"/>
      <c r="T376" s="1691"/>
      <c r="U376" s="1691"/>
      <c r="V376" s="1691"/>
      <c r="W376" s="1691"/>
      <c r="X376" s="1691"/>
      <c r="Y376" s="1691"/>
      <c r="Z376" s="1691"/>
      <c r="AA376" s="1691"/>
      <c r="AB376" s="1691"/>
      <c r="AC376" s="1691"/>
      <c r="AD376" s="1691"/>
      <c r="AE376" s="1691"/>
      <c r="AF376" s="1691"/>
      <c r="AG376" s="1691"/>
      <c r="AH376" s="1691"/>
      <c r="AI376" s="1691"/>
      <c r="AJ376" s="1691"/>
      <c r="AK376" s="1691"/>
      <c r="AL376" s="1691"/>
      <c r="AM376" s="1691"/>
      <c r="AN376" s="1691"/>
      <c r="AO376" s="1691"/>
      <c r="AP376" s="1691"/>
      <c r="AQ376" s="1691"/>
      <c r="AR376" s="1691"/>
      <c r="AS376" s="1691"/>
      <c r="AT376" s="1691"/>
    </row>
    <row r="377">
      <c r="A377" s="1419"/>
      <c r="B377" s="1697"/>
      <c r="C377" s="1698"/>
      <c r="D377" s="1698"/>
      <c r="E377" s="1689"/>
      <c r="F377" s="1689"/>
      <c r="G377" s="1689"/>
      <c r="H377" s="1689"/>
      <c r="I377" s="1689"/>
      <c r="J377" s="1689"/>
      <c r="K377" s="1689"/>
      <c r="L377" s="1689"/>
      <c r="M377" s="1689"/>
      <c r="N377" s="1689"/>
      <c r="O377" s="1689"/>
      <c r="P377" s="1689"/>
      <c r="Q377" s="1689"/>
      <c r="R377" s="1689"/>
      <c r="S377" s="1689"/>
      <c r="T377" s="1689"/>
      <c r="U377" s="1689"/>
      <c r="V377" s="1689"/>
      <c r="W377" s="1689"/>
      <c r="X377" s="1689"/>
      <c r="Y377" s="1689"/>
      <c r="Z377" s="1689"/>
      <c r="AA377" s="1689"/>
      <c r="AB377" s="1689"/>
      <c r="AC377" s="1689"/>
      <c r="AD377" s="1689"/>
      <c r="AE377" s="1689"/>
      <c r="AF377" s="1689"/>
      <c r="AG377" s="1689"/>
      <c r="AH377" s="1689"/>
      <c r="AI377" s="1689"/>
      <c r="AJ377" s="1689"/>
      <c r="AK377" s="1689"/>
      <c r="AL377" s="1689"/>
      <c r="AM377" s="1689"/>
      <c r="AN377" s="1689"/>
      <c r="AO377" s="1689"/>
      <c r="AP377" s="1689"/>
      <c r="AQ377" s="1689"/>
      <c r="AR377" s="1689"/>
      <c r="AS377" s="1689"/>
      <c r="AT377" s="1689"/>
    </row>
    <row r="378">
      <c r="A378" s="1419"/>
      <c r="B378" s="1699"/>
      <c r="C378" s="1700"/>
      <c r="D378" s="1700"/>
      <c r="E378" s="1691"/>
      <c r="F378" s="1691"/>
      <c r="G378" s="1691"/>
      <c r="H378" s="1691"/>
      <c r="I378" s="1691"/>
      <c r="J378" s="1691"/>
      <c r="K378" s="1691"/>
      <c r="L378" s="1691"/>
      <c r="M378" s="1691"/>
      <c r="N378" s="1691"/>
      <c r="O378" s="1691"/>
      <c r="P378" s="1691"/>
      <c r="Q378" s="1691"/>
      <c r="R378" s="1691"/>
      <c r="S378" s="1691"/>
      <c r="T378" s="1691"/>
      <c r="U378" s="1691"/>
      <c r="V378" s="1691"/>
      <c r="W378" s="1691"/>
      <c r="X378" s="1691"/>
      <c r="Y378" s="1691"/>
      <c r="Z378" s="1691"/>
      <c r="AA378" s="1691"/>
      <c r="AB378" s="1691"/>
      <c r="AC378" s="1691"/>
      <c r="AD378" s="1691"/>
      <c r="AE378" s="1691"/>
      <c r="AF378" s="1691"/>
      <c r="AG378" s="1691"/>
      <c r="AH378" s="1691"/>
      <c r="AI378" s="1691"/>
      <c r="AJ378" s="1691"/>
      <c r="AK378" s="1691"/>
      <c r="AL378" s="1691"/>
      <c r="AM378" s="1691"/>
      <c r="AN378" s="1691"/>
      <c r="AO378" s="1691"/>
      <c r="AP378" s="1691"/>
      <c r="AQ378" s="1691"/>
      <c r="AR378" s="1691"/>
      <c r="AS378" s="1691"/>
      <c r="AT378" s="1691"/>
    </row>
    <row r="379">
      <c r="A379" s="1419"/>
      <c r="B379" s="1697"/>
      <c r="C379" s="1698"/>
      <c r="D379" s="1698"/>
      <c r="E379" s="1689"/>
      <c r="F379" s="1689"/>
      <c r="G379" s="1689"/>
      <c r="H379" s="1689"/>
      <c r="I379" s="1689"/>
      <c r="J379" s="1689"/>
      <c r="K379" s="1689"/>
      <c r="L379" s="1689"/>
      <c r="M379" s="1689"/>
      <c r="N379" s="1689"/>
      <c r="O379" s="1689"/>
      <c r="P379" s="1689"/>
      <c r="Q379" s="1689"/>
      <c r="R379" s="1689"/>
      <c r="S379" s="1689"/>
      <c r="T379" s="1689"/>
      <c r="U379" s="1689"/>
      <c r="V379" s="1689"/>
      <c r="W379" s="1689"/>
      <c r="X379" s="1689"/>
      <c r="Y379" s="1689"/>
      <c r="Z379" s="1689"/>
      <c r="AA379" s="1689"/>
      <c r="AB379" s="1689"/>
      <c r="AC379" s="1689"/>
      <c r="AD379" s="1689"/>
      <c r="AE379" s="1689"/>
      <c r="AF379" s="1689"/>
      <c r="AG379" s="1689"/>
      <c r="AH379" s="1689"/>
      <c r="AI379" s="1689"/>
      <c r="AJ379" s="1689"/>
      <c r="AK379" s="1689"/>
      <c r="AL379" s="1689"/>
      <c r="AM379" s="1689"/>
      <c r="AN379" s="1689"/>
      <c r="AO379" s="1689"/>
      <c r="AP379" s="1689"/>
      <c r="AQ379" s="1689"/>
      <c r="AR379" s="1689"/>
      <c r="AS379" s="1689"/>
      <c r="AT379" s="1689"/>
    </row>
    <row r="380">
      <c r="A380" s="1419"/>
      <c r="B380" s="1699"/>
      <c r="C380" s="1700"/>
      <c r="D380" s="1700"/>
      <c r="E380" s="1691"/>
      <c r="F380" s="1691"/>
      <c r="G380" s="1691"/>
      <c r="H380" s="1691"/>
      <c r="I380" s="1691"/>
      <c r="J380" s="1691"/>
      <c r="K380" s="1691"/>
      <c r="L380" s="1691"/>
      <c r="M380" s="1691"/>
      <c r="N380" s="1691"/>
      <c r="O380" s="1691"/>
      <c r="P380" s="1691"/>
      <c r="Q380" s="1691"/>
      <c r="R380" s="1691"/>
      <c r="S380" s="1691"/>
      <c r="T380" s="1691"/>
      <c r="U380" s="1691"/>
      <c r="V380" s="1691"/>
      <c r="W380" s="1691"/>
      <c r="X380" s="1691"/>
      <c r="Y380" s="1691"/>
      <c r="Z380" s="1691"/>
      <c r="AA380" s="1691"/>
      <c r="AB380" s="1691"/>
      <c r="AC380" s="1691"/>
      <c r="AD380" s="1691"/>
      <c r="AE380" s="1691"/>
      <c r="AF380" s="1691"/>
      <c r="AG380" s="1691"/>
      <c r="AH380" s="1691"/>
      <c r="AI380" s="1691"/>
      <c r="AJ380" s="1691"/>
      <c r="AK380" s="1691"/>
      <c r="AL380" s="1691"/>
      <c r="AM380" s="1691"/>
      <c r="AN380" s="1691"/>
      <c r="AO380" s="1691"/>
      <c r="AP380" s="1691"/>
      <c r="AQ380" s="1691"/>
      <c r="AR380" s="1691"/>
      <c r="AS380" s="1691"/>
      <c r="AT380" s="1691"/>
    </row>
    <row r="381">
      <c r="A381" s="1419"/>
      <c r="B381" s="1697"/>
      <c r="C381" s="1698"/>
      <c r="D381" s="1698"/>
      <c r="E381" s="1689"/>
      <c r="F381" s="1689"/>
      <c r="G381" s="1689"/>
      <c r="H381" s="1689"/>
      <c r="I381" s="1689"/>
      <c r="J381" s="1689"/>
      <c r="K381" s="1689"/>
      <c r="L381" s="1689"/>
      <c r="M381" s="1689"/>
      <c r="N381" s="1689"/>
      <c r="O381" s="1689"/>
      <c r="P381" s="1689"/>
      <c r="Q381" s="1689"/>
      <c r="R381" s="1689"/>
      <c r="S381" s="1689"/>
      <c r="T381" s="1689"/>
      <c r="U381" s="1689"/>
      <c r="V381" s="1689"/>
      <c r="W381" s="1689"/>
      <c r="X381" s="1689"/>
      <c r="Y381" s="1689"/>
      <c r="Z381" s="1689"/>
      <c r="AA381" s="1689"/>
      <c r="AB381" s="1689"/>
      <c r="AC381" s="1689"/>
      <c r="AD381" s="1689"/>
      <c r="AE381" s="1689"/>
      <c r="AF381" s="1689"/>
      <c r="AG381" s="1689"/>
      <c r="AH381" s="1689"/>
      <c r="AI381" s="1689"/>
      <c r="AJ381" s="1689"/>
      <c r="AK381" s="1689"/>
      <c r="AL381" s="1689"/>
      <c r="AM381" s="1689"/>
      <c r="AN381" s="1689"/>
      <c r="AO381" s="1689"/>
      <c r="AP381" s="1689"/>
      <c r="AQ381" s="1689"/>
      <c r="AR381" s="1689"/>
      <c r="AS381" s="1689"/>
      <c r="AT381" s="1689"/>
    </row>
    <row r="382">
      <c r="A382" s="1419"/>
      <c r="B382" s="1699"/>
      <c r="C382" s="1700"/>
      <c r="D382" s="1700"/>
      <c r="E382" s="1691"/>
      <c r="F382" s="1691"/>
      <c r="G382" s="1691"/>
      <c r="H382" s="1691"/>
      <c r="I382" s="1691"/>
      <c r="J382" s="1691"/>
      <c r="K382" s="1691"/>
      <c r="L382" s="1691"/>
      <c r="M382" s="1691"/>
      <c r="N382" s="1691"/>
      <c r="O382" s="1691"/>
      <c r="P382" s="1691"/>
      <c r="Q382" s="1691"/>
      <c r="R382" s="1691"/>
      <c r="S382" s="1691"/>
      <c r="T382" s="1691"/>
      <c r="U382" s="1691"/>
      <c r="V382" s="1691"/>
      <c r="W382" s="1691"/>
      <c r="X382" s="1691"/>
      <c r="Y382" s="1691"/>
      <c r="Z382" s="1691"/>
      <c r="AA382" s="1691"/>
      <c r="AB382" s="1691"/>
      <c r="AC382" s="1691"/>
      <c r="AD382" s="1691"/>
      <c r="AE382" s="1691"/>
      <c r="AF382" s="1691"/>
      <c r="AG382" s="1691"/>
      <c r="AH382" s="1691"/>
      <c r="AI382" s="1691"/>
      <c r="AJ382" s="1691"/>
      <c r="AK382" s="1691"/>
      <c r="AL382" s="1691"/>
      <c r="AM382" s="1691"/>
      <c r="AN382" s="1691"/>
      <c r="AO382" s="1691"/>
      <c r="AP382" s="1691"/>
      <c r="AQ382" s="1691"/>
      <c r="AR382" s="1691"/>
      <c r="AS382" s="1691"/>
      <c r="AT382" s="1691"/>
    </row>
    <row r="383">
      <c r="A383" s="1419"/>
      <c r="B383" s="1697"/>
      <c r="C383" s="1698"/>
      <c r="D383" s="1698"/>
      <c r="E383" s="1689"/>
      <c r="F383" s="1689"/>
      <c r="G383" s="1689"/>
      <c r="H383" s="1689"/>
      <c r="I383" s="1689"/>
      <c r="J383" s="1689"/>
      <c r="K383" s="1689"/>
      <c r="L383" s="1689"/>
      <c r="M383" s="1689"/>
      <c r="N383" s="1689"/>
      <c r="O383" s="1689"/>
      <c r="P383" s="1689"/>
      <c r="Q383" s="1689"/>
      <c r="R383" s="1689"/>
      <c r="S383" s="1689"/>
      <c r="T383" s="1689"/>
      <c r="U383" s="1689"/>
      <c r="V383" s="1689"/>
      <c r="W383" s="1689"/>
      <c r="X383" s="1689"/>
      <c r="Y383" s="1689"/>
      <c r="Z383" s="1689"/>
      <c r="AA383" s="1689"/>
      <c r="AB383" s="1689"/>
      <c r="AC383" s="1689"/>
      <c r="AD383" s="1689"/>
      <c r="AE383" s="1689"/>
      <c r="AF383" s="1689"/>
      <c r="AG383" s="1689"/>
      <c r="AH383" s="1689"/>
      <c r="AI383" s="1689"/>
      <c r="AJ383" s="1689"/>
      <c r="AK383" s="1689"/>
      <c r="AL383" s="1689"/>
      <c r="AM383" s="1689"/>
      <c r="AN383" s="1689"/>
      <c r="AO383" s="1689"/>
      <c r="AP383" s="1689"/>
      <c r="AQ383" s="1689"/>
      <c r="AR383" s="1689"/>
      <c r="AS383" s="1689"/>
      <c r="AT383" s="1689"/>
    </row>
    <row r="384">
      <c r="A384" s="1419"/>
      <c r="B384" s="1699"/>
      <c r="C384" s="1700"/>
      <c r="D384" s="1700"/>
      <c r="E384" s="1691"/>
      <c r="F384" s="1691"/>
      <c r="G384" s="1691"/>
      <c r="H384" s="1691"/>
      <c r="I384" s="1691"/>
      <c r="J384" s="1691"/>
      <c r="K384" s="1691"/>
      <c r="L384" s="1691"/>
      <c r="M384" s="1691"/>
      <c r="N384" s="1691"/>
      <c r="O384" s="1691"/>
      <c r="P384" s="1691"/>
      <c r="Q384" s="1691"/>
      <c r="R384" s="1691"/>
      <c r="S384" s="1691"/>
      <c r="T384" s="1691"/>
      <c r="U384" s="1691"/>
      <c r="V384" s="1691"/>
      <c r="W384" s="1691"/>
      <c r="X384" s="1691"/>
      <c r="Y384" s="1691"/>
      <c r="Z384" s="1691"/>
      <c r="AA384" s="1691"/>
      <c r="AB384" s="1691"/>
      <c r="AC384" s="1691"/>
      <c r="AD384" s="1691"/>
      <c r="AE384" s="1691"/>
      <c r="AF384" s="1691"/>
      <c r="AG384" s="1691"/>
      <c r="AH384" s="1691"/>
      <c r="AI384" s="1691"/>
      <c r="AJ384" s="1691"/>
      <c r="AK384" s="1691"/>
      <c r="AL384" s="1691"/>
      <c r="AM384" s="1691"/>
      <c r="AN384" s="1691"/>
      <c r="AO384" s="1691"/>
      <c r="AP384" s="1691"/>
      <c r="AQ384" s="1691"/>
      <c r="AR384" s="1691"/>
      <c r="AS384" s="1691"/>
      <c r="AT384" s="1691"/>
    </row>
    <row r="385">
      <c r="A385" s="1419"/>
      <c r="B385" s="1697"/>
      <c r="C385" s="1698"/>
      <c r="D385" s="1698"/>
      <c r="E385" s="1689"/>
      <c r="F385" s="1689"/>
      <c r="G385" s="1689"/>
      <c r="H385" s="1689"/>
      <c r="I385" s="1689"/>
      <c r="J385" s="1689"/>
      <c r="K385" s="1689"/>
      <c r="L385" s="1689"/>
      <c r="M385" s="1689"/>
      <c r="N385" s="1689"/>
      <c r="O385" s="1689"/>
      <c r="P385" s="1689"/>
      <c r="Q385" s="1689"/>
      <c r="R385" s="1689"/>
      <c r="S385" s="1689"/>
      <c r="T385" s="1689"/>
      <c r="U385" s="1689"/>
      <c r="V385" s="1689"/>
      <c r="W385" s="1689"/>
      <c r="X385" s="1689"/>
      <c r="Y385" s="1689"/>
      <c r="Z385" s="1689"/>
      <c r="AA385" s="1689"/>
      <c r="AB385" s="1689"/>
      <c r="AC385" s="1689"/>
      <c r="AD385" s="1689"/>
      <c r="AE385" s="1689"/>
      <c r="AF385" s="1689"/>
      <c r="AG385" s="1689"/>
      <c r="AH385" s="1689"/>
      <c r="AI385" s="1689"/>
      <c r="AJ385" s="1689"/>
      <c r="AK385" s="1689"/>
      <c r="AL385" s="1689"/>
      <c r="AM385" s="1689"/>
      <c r="AN385" s="1689"/>
      <c r="AO385" s="1689"/>
      <c r="AP385" s="1689"/>
      <c r="AQ385" s="1689"/>
      <c r="AR385" s="1689"/>
      <c r="AS385" s="1689"/>
      <c r="AT385" s="1689"/>
    </row>
    <row r="386">
      <c r="A386" s="1419"/>
      <c r="B386" s="1699"/>
      <c r="C386" s="1700"/>
      <c r="D386" s="1700"/>
      <c r="E386" s="1691"/>
      <c r="F386" s="1691"/>
      <c r="G386" s="1691"/>
      <c r="H386" s="1691"/>
      <c r="I386" s="1691"/>
      <c r="J386" s="1691"/>
      <c r="K386" s="1691"/>
      <c r="L386" s="1691"/>
      <c r="M386" s="1691"/>
      <c r="N386" s="1691"/>
      <c r="O386" s="1691"/>
      <c r="P386" s="1691"/>
      <c r="Q386" s="1691"/>
      <c r="R386" s="1691"/>
      <c r="S386" s="1691"/>
      <c r="T386" s="1691"/>
      <c r="U386" s="1691"/>
      <c r="V386" s="1691"/>
      <c r="W386" s="1691"/>
      <c r="X386" s="1691"/>
      <c r="Y386" s="1691"/>
      <c r="Z386" s="1691"/>
      <c r="AA386" s="1691"/>
      <c r="AB386" s="1691"/>
      <c r="AC386" s="1691"/>
      <c r="AD386" s="1691"/>
      <c r="AE386" s="1691"/>
      <c r="AF386" s="1691"/>
      <c r="AG386" s="1691"/>
      <c r="AH386" s="1691"/>
      <c r="AI386" s="1691"/>
      <c r="AJ386" s="1691"/>
      <c r="AK386" s="1691"/>
      <c r="AL386" s="1691"/>
      <c r="AM386" s="1691"/>
      <c r="AN386" s="1691"/>
      <c r="AO386" s="1691"/>
      <c r="AP386" s="1691"/>
      <c r="AQ386" s="1691"/>
      <c r="AR386" s="1691"/>
      <c r="AS386" s="1691"/>
      <c r="AT386" s="1691"/>
    </row>
    <row r="387">
      <c r="A387" s="1419"/>
      <c r="B387" s="1697"/>
      <c r="C387" s="1698"/>
      <c r="D387" s="1698"/>
      <c r="E387" s="1689"/>
      <c r="F387" s="1689"/>
      <c r="G387" s="1689"/>
      <c r="H387" s="1689"/>
      <c r="I387" s="1689"/>
      <c r="J387" s="1689"/>
      <c r="K387" s="1689"/>
      <c r="L387" s="1689"/>
      <c r="M387" s="1689"/>
      <c r="N387" s="1689"/>
      <c r="O387" s="1689"/>
      <c r="P387" s="1689"/>
      <c r="Q387" s="1689"/>
      <c r="R387" s="1689"/>
      <c r="S387" s="1689"/>
      <c r="T387" s="1689"/>
      <c r="U387" s="1689"/>
      <c r="V387" s="1689"/>
      <c r="W387" s="1689"/>
      <c r="X387" s="1689"/>
      <c r="Y387" s="1689"/>
      <c r="Z387" s="1689"/>
      <c r="AA387" s="1689"/>
      <c r="AB387" s="1689"/>
      <c r="AC387" s="1689"/>
      <c r="AD387" s="1689"/>
      <c r="AE387" s="1689"/>
      <c r="AF387" s="1689"/>
      <c r="AG387" s="1689"/>
      <c r="AH387" s="1689"/>
      <c r="AI387" s="1689"/>
      <c r="AJ387" s="1689"/>
      <c r="AK387" s="1689"/>
      <c r="AL387" s="1689"/>
      <c r="AM387" s="1689"/>
      <c r="AN387" s="1689"/>
      <c r="AO387" s="1689"/>
      <c r="AP387" s="1689"/>
      <c r="AQ387" s="1689"/>
      <c r="AR387" s="1689"/>
      <c r="AS387" s="1689"/>
      <c r="AT387" s="1689"/>
    </row>
    <row r="388">
      <c r="A388" s="1419"/>
      <c r="B388" s="1699"/>
      <c r="C388" s="1700"/>
      <c r="D388" s="1700"/>
      <c r="E388" s="1691"/>
      <c r="F388" s="1691"/>
      <c r="G388" s="1691"/>
      <c r="H388" s="1691"/>
      <c r="I388" s="1691"/>
      <c r="J388" s="1691"/>
      <c r="K388" s="1691"/>
      <c r="L388" s="1691"/>
      <c r="M388" s="1691"/>
      <c r="N388" s="1691"/>
      <c r="O388" s="1691"/>
      <c r="P388" s="1691"/>
      <c r="Q388" s="1691"/>
      <c r="R388" s="1691"/>
      <c r="S388" s="1691"/>
      <c r="T388" s="1691"/>
      <c r="U388" s="1691"/>
      <c r="V388" s="1691"/>
      <c r="W388" s="1691"/>
      <c r="X388" s="1691"/>
      <c r="Y388" s="1691"/>
      <c r="Z388" s="1691"/>
      <c r="AA388" s="1691"/>
      <c r="AB388" s="1691"/>
      <c r="AC388" s="1691"/>
      <c r="AD388" s="1691"/>
      <c r="AE388" s="1691"/>
      <c r="AF388" s="1691"/>
      <c r="AG388" s="1691"/>
      <c r="AH388" s="1691"/>
      <c r="AI388" s="1691"/>
      <c r="AJ388" s="1691"/>
      <c r="AK388" s="1691"/>
      <c r="AL388" s="1691"/>
      <c r="AM388" s="1691"/>
      <c r="AN388" s="1691"/>
      <c r="AO388" s="1691"/>
      <c r="AP388" s="1691"/>
      <c r="AQ388" s="1691"/>
      <c r="AR388" s="1691"/>
      <c r="AS388" s="1691"/>
      <c r="AT388" s="1691"/>
    </row>
    <row r="389">
      <c r="A389" s="1419"/>
      <c r="B389" s="1697"/>
      <c r="C389" s="1698"/>
      <c r="D389" s="1698"/>
      <c r="E389" s="1689"/>
      <c r="F389" s="1689"/>
      <c r="G389" s="1689"/>
      <c r="H389" s="1689"/>
      <c r="I389" s="1689"/>
      <c r="J389" s="1689"/>
      <c r="K389" s="1689"/>
      <c r="L389" s="1689"/>
      <c r="M389" s="1689"/>
      <c r="N389" s="1689"/>
      <c r="O389" s="1689"/>
      <c r="P389" s="1689"/>
      <c r="Q389" s="1689"/>
      <c r="R389" s="1689"/>
      <c r="S389" s="1689"/>
      <c r="T389" s="1689"/>
      <c r="U389" s="1689"/>
      <c r="V389" s="1689"/>
      <c r="W389" s="1689"/>
      <c r="X389" s="1689"/>
      <c r="Y389" s="1689"/>
      <c r="Z389" s="1689"/>
      <c r="AA389" s="1689"/>
      <c r="AB389" s="1689"/>
      <c r="AC389" s="1689"/>
      <c r="AD389" s="1689"/>
      <c r="AE389" s="1689"/>
      <c r="AF389" s="1689"/>
      <c r="AG389" s="1689"/>
      <c r="AH389" s="1689"/>
      <c r="AI389" s="1689"/>
      <c r="AJ389" s="1689"/>
      <c r="AK389" s="1689"/>
      <c r="AL389" s="1689"/>
      <c r="AM389" s="1689"/>
      <c r="AN389" s="1689"/>
      <c r="AO389" s="1689"/>
      <c r="AP389" s="1689"/>
      <c r="AQ389" s="1689"/>
      <c r="AR389" s="1689"/>
      <c r="AS389" s="1689"/>
      <c r="AT389" s="1689"/>
    </row>
    <row r="390">
      <c r="A390" s="1419"/>
      <c r="B390" s="1699"/>
      <c r="C390" s="1700"/>
      <c r="D390" s="1700"/>
      <c r="E390" s="1691"/>
      <c r="F390" s="1691"/>
      <c r="G390" s="1691"/>
      <c r="H390" s="1691"/>
      <c r="I390" s="1691"/>
      <c r="J390" s="1691"/>
      <c r="K390" s="1691"/>
      <c r="L390" s="1691"/>
      <c r="M390" s="1691"/>
      <c r="N390" s="1691"/>
      <c r="O390" s="1691"/>
      <c r="P390" s="1691"/>
      <c r="Q390" s="1691"/>
      <c r="R390" s="1691"/>
      <c r="S390" s="1691"/>
      <c r="T390" s="1691"/>
      <c r="U390" s="1691"/>
      <c r="V390" s="1691"/>
      <c r="W390" s="1691"/>
      <c r="X390" s="1691"/>
      <c r="Y390" s="1691"/>
      <c r="Z390" s="1691"/>
      <c r="AA390" s="1691"/>
      <c r="AB390" s="1691"/>
      <c r="AC390" s="1691"/>
      <c r="AD390" s="1691"/>
      <c r="AE390" s="1691"/>
      <c r="AF390" s="1691"/>
      <c r="AG390" s="1691"/>
      <c r="AH390" s="1691"/>
      <c r="AI390" s="1691"/>
      <c r="AJ390" s="1691"/>
      <c r="AK390" s="1691"/>
      <c r="AL390" s="1691"/>
      <c r="AM390" s="1691"/>
      <c r="AN390" s="1691"/>
      <c r="AO390" s="1691"/>
      <c r="AP390" s="1691"/>
      <c r="AQ390" s="1691"/>
      <c r="AR390" s="1691"/>
      <c r="AS390" s="1691"/>
      <c r="AT390" s="1691"/>
    </row>
    <row r="391">
      <c r="A391" s="1419"/>
      <c r="B391" s="1697"/>
      <c r="C391" s="1698"/>
      <c r="D391" s="1698"/>
      <c r="E391" s="1689"/>
      <c r="F391" s="1689"/>
      <c r="G391" s="1689"/>
      <c r="H391" s="1689"/>
      <c r="I391" s="1689"/>
      <c r="J391" s="1689"/>
      <c r="K391" s="1689"/>
      <c r="L391" s="1689"/>
      <c r="M391" s="1689"/>
      <c r="N391" s="1689"/>
      <c r="O391" s="1689"/>
      <c r="P391" s="1689"/>
      <c r="Q391" s="1689"/>
      <c r="R391" s="1689"/>
      <c r="S391" s="1689"/>
      <c r="T391" s="1689"/>
      <c r="U391" s="1689"/>
      <c r="V391" s="1689"/>
      <c r="W391" s="1689"/>
      <c r="X391" s="1689"/>
      <c r="Y391" s="1689"/>
      <c r="Z391" s="1689"/>
      <c r="AA391" s="1689"/>
      <c r="AB391" s="1689"/>
      <c r="AC391" s="1689"/>
      <c r="AD391" s="1689"/>
      <c r="AE391" s="1689"/>
      <c r="AF391" s="1689"/>
      <c r="AG391" s="1689"/>
      <c r="AH391" s="1689"/>
      <c r="AI391" s="1689"/>
      <c r="AJ391" s="1689"/>
      <c r="AK391" s="1689"/>
      <c r="AL391" s="1689"/>
      <c r="AM391" s="1689"/>
      <c r="AN391" s="1689"/>
      <c r="AO391" s="1689"/>
      <c r="AP391" s="1689"/>
      <c r="AQ391" s="1689"/>
      <c r="AR391" s="1689"/>
      <c r="AS391" s="1689"/>
      <c r="AT391" s="1689"/>
    </row>
    <row r="392">
      <c r="A392" s="1419"/>
      <c r="B392" s="1699"/>
      <c r="C392" s="1700"/>
      <c r="D392" s="1700"/>
      <c r="E392" s="1691"/>
      <c r="F392" s="1691"/>
      <c r="G392" s="1691"/>
      <c r="H392" s="1691"/>
      <c r="I392" s="1691"/>
      <c r="J392" s="1691"/>
      <c r="K392" s="1691"/>
      <c r="L392" s="1691"/>
      <c r="M392" s="1691"/>
      <c r="N392" s="1691"/>
      <c r="O392" s="1691"/>
      <c r="P392" s="1691"/>
      <c r="Q392" s="1691"/>
      <c r="R392" s="1691"/>
      <c r="S392" s="1691"/>
      <c r="T392" s="1691"/>
      <c r="U392" s="1691"/>
      <c r="V392" s="1691"/>
      <c r="W392" s="1691"/>
      <c r="X392" s="1691"/>
      <c r="Y392" s="1691"/>
      <c r="Z392" s="1691"/>
      <c r="AA392" s="1691"/>
      <c r="AB392" s="1691"/>
      <c r="AC392" s="1691"/>
      <c r="AD392" s="1691"/>
      <c r="AE392" s="1691"/>
      <c r="AF392" s="1691"/>
      <c r="AG392" s="1691"/>
      <c r="AH392" s="1691"/>
      <c r="AI392" s="1691"/>
      <c r="AJ392" s="1691"/>
      <c r="AK392" s="1691"/>
      <c r="AL392" s="1691"/>
      <c r="AM392" s="1691"/>
      <c r="AN392" s="1691"/>
      <c r="AO392" s="1691"/>
      <c r="AP392" s="1691"/>
      <c r="AQ392" s="1691"/>
      <c r="AR392" s="1691"/>
      <c r="AS392" s="1691"/>
      <c r="AT392" s="1691"/>
    </row>
    <row r="393">
      <c r="A393" s="1419"/>
      <c r="B393" s="1697"/>
      <c r="C393" s="1698"/>
      <c r="D393" s="1698"/>
      <c r="E393" s="1689"/>
      <c r="F393" s="1689"/>
      <c r="G393" s="1689"/>
      <c r="H393" s="1689"/>
      <c r="I393" s="1689"/>
      <c r="J393" s="1689"/>
      <c r="K393" s="1689"/>
      <c r="L393" s="1689"/>
      <c r="M393" s="1689"/>
      <c r="N393" s="1689"/>
      <c r="O393" s="1689"/>
      <c r="P393" s="1689"/>
      <c r="Q393" s="1689"/>
      <c r="R393" s="1689"/>
      <c r="S393" s="1689"/>
      <c r="T393" s="1689"/>
      <c r="U393" s="1689"/>
      <c r="V393" s="1689"/>
      <c r="W393" s="1689"/>
      <c r="X393" s="1689"/>
      <c r="Y393" s="1689"/>
      <c r="Z393" s="1689"/>
      <c r="AA393" s="1689"/>
      <c r="AB393" s="1689"/>
      <c r="AC393" s="1689"/>
      <c r="AD393" s="1689"/>
      <c r="AE393" s="1689"/>
      <c r="AF393" s="1689"/>
      <c r="AG393" s="1689"/>
      <c r="AH393" s="1689"/>
      <c r="AI393" s="1689"/>
      <c r="AJ393" s="1689"/>
      <c r="AK393" s="1689"/>
      <c r="AL393" s="1689"/>
      <c r="AM393" s="1689"/>
      <c r="AN393" s="1689"/>
      <c r="AO393" s="1689"/>
      <c r="AP393" s="1689"/>
      <c r="AQ393" s="1689"/>
      <c r="AR393" s="1689"/>
      <c r="AS393" s="1689"/>
      <c r="AT393" s="1689"/>
    </row>
    <row r="394">
      <c r="A394" s="1419"/>
      <c r="B394" s="1699"/>
      <c r="C394" s="1700"/>
      <c r="D394" s="1700"/>
      <c r="E394" s="1691"/>
      <c r="F394" s="1691"/>
      <c r="G394" s="1691"/>
      <c r="H394" s="1691"/>
      <c r="I394" s="1691"/>
      <c r="J394" s="1691"/>
      <c r="K394" s="1691"/>
      <c r="L394" s="1691"/>
      <c r="M394" s="1691"/>
      <c r="N394" s="1691"/>
      <c r="O394" s="1691"/>
      <c r="P394" s="1691"/>
      <c r="Q394" s="1691"/>
      <c r="R394" s="1691"/>
      <c r="S394" s="1691"/>
      <c r="T394" s="1691"/>
      <c r="U394" s="1691"/>
      <c r="V394" s="1691"/>
      <c r="W394" s="1691"/>
      <c r="X394" s="1691"/>
      <c r="Y394" s="1691"/>
      <c r="Z394" s="1691"/>
      <c r="AA394" s="1691"/>
      <c r="AB394" s="1691"/>
      <c r="AC394" s="1691"/>
      <c r="AD394" s="1691"/>
      <c r="AE394" s="1691"/>
      <c r="AF394" s="1691"/>
      <c r="AG394" s="1691"/>
      <c r="AH394" s="1691"/>
      <c r="AI394" s="1691"/>
      <c r="AJ394" s="1691"/>
      <c r="AK394" s="1691"/>
      <c r="AL394" s="1691"/>
      <c r="AM394" s="1691"/>
      <c r="AN394" s="1691"/>
      <c r="AO394" s="1691"/>
      <c r="AP394" s="1691"/>
      <c r="AQ394" s="1691"/>
      <c r="AR394" s="1691"/>
      <c r="AS394" s="1691"/>
      <c r="AT394" s="1691"/>
    </row>
    <row r="395">
      <c r="A395" s="1419"/>
      <c r="B395" s="1697"/>
      <c r="C395" s="1698"/>
      <c r="D395" s="1698"/>
      <c r="E395" s="1689"/>
      <c r="F395" s="1689"/>
      <c r="G395" s="1689"/>
      <c r="H395" s="1689"/>
      <c r="I395" s="1689"/>
      <c r="J395" s="1689"/>
      <c r="K395" s="1689"/>
      <c r="L395" s="1689"/>
      <c r="M395" s="1689"/>
      <c r="N395" s="1689"/>
      <c r="O395" s="1689"/>
      <c r="P395" s="1689"/>
      <c r="Q395" s="1689"/>
      <c r="R395" s="1689"/>
      <c r="S395" s="1689"/>
      <c r="T395" s="1689"/>
      <c r="U395" s="1689"/>
      <c r="V395" s="1689"/>
      <c r="W395" s="1689"/>
      <c r="X395" s="1689"/>
      <c r="Y395" s="1689"/>
      <c r="Z395" s="1689"/>
      <c r="AA395" s="1689"/>
      <c r="AB395" s="1689"/>
      <c r="AC395" s="1689"/>
      <c r="AD395" s="1689"/>
      <c r="AE395" s="1689"/>
      <c r="AF395" s="1689"/>
      <c r="AG395" s="1689"/>
      <c r="AH395" s="1689"/>
      <c r="AI395" s="1689"/>
      <c r="AJ395" s="1689"/>
      <c r="AK395" s="1689"/>
      <c r="AL395" s="1689"/>
      <c r="AM395" s="1689"/>
      <c r="AN395" s="1689"/>
      <c r="AO395" s="1689"/>
      <c r="AP395" s="1689"/>
      <c r="AQ395" s="1689"/>
      <c r="AR395" s="1689"/>
      <c r="AS395" s="1689"/>
      <c r="AT395" s="1689"/>
    </row>
    <row r="396">
      <c r="A396" s="1419"/>
      <c r="B396" s="1699"/>
      <c r="C396" s="1700"/>
      <c r="D396" s="1700"/>
      <c r="E396" s="1691"/>
      <c r="F396" s="1691"/>
      <c r="G396" s="1691"/>
      <c r="H396" s="1691"/>
      <c r="I396" s="1691"/>
      <c r="J396" s="1691"/>
      <c r="K396" s="1691"/>
      <c r="L396" s="1691"/>
      <c r="M396" s="1691"/>
      <c r="N396" s="1691"/>
      <c r="O396" s="1691"/>
      <c r="P396" s="1691"/>
      <c r="Q396" s="1691"/>
      <c r="R396" s="1691"/>
      <c r="S396" s="1691"/>
      <c r="T396" s="1691"/>
      <c r="U396" s="1691"/>
      <c r="V396" s="1691"/>
      <c r="W396" s="1691"/>
      <c r="X396" s="1691"/>
      <c r="Y396" s="1691"/>
      <c r="Z396" s="1691"/>
      <c r="AA396" s="1691"/>
      <c r="AB396" s="1691"/>
      <c r="AC396" s="1691"/>
      <c r="AD396" s="1691"/>
      <c r="AE396" s="1691"/>
      <c r="AF396" s="1691"/>
      <c r="AG396" s="1691"/>
      <c r="AH396" s="1691"/>
      <c r="AI396" s="1691"/>
      <c r="AJ396" s="1691"/>
      <c r="AK396" s="1691"/>
      <c r="AL396" s="1691"/>
      <c r="AM396" s="1691"/>
      <c r="AN396" s="1691"/>
      <c r="AO396" s="1691"/>
      <c r="AP396" s="1691"/>
      <c r="AQ396" s="1691"/>
      <c r="AR396" s="1691"/>
      <c r="AS396" s="1691"/>
      <c r="AT396" s="1691"/>
    </row>
    <row r="397">
      <c r="A397" s="1419"/>
      <c r="B397" s="1697"/>
      <c r="C397" s="1698"/>
      <c r="D397" s="1698"/>
      <c r="E397" s="1689"/>
      <c r="F397" s="1689"/>
      <c r="G397" s="1689"/>
      <c r="H397" s="1689"/>
      <c r="I397" s="1689"/>
      <c r="J397" s="1689"/>
      <c r="K397" s="1689"/>
      <c r="L397" s="1689"/>
      <c r="M397" s="1689"/>
      <c r="N397" s="1689"/>
      <c r="O397" s="1689"/>
      <c r="P397" s="1689"/>
      <c r="Q397" s="1689"/>
      <c r="R397" s="1689"/>
      <c r="S397" s="1689"/>
      <c r="T397" s="1689"/>
      <c r="U397" s="1689"/>
      <c r="V397" s="1689"/>
      <c r="W397" s="1689"/>
      <c r="X397" s="1689"/>
      <c r="Y397" s="1689"/>
      <c r="Z397" s="1689"/>
      <c r="AA397" s="1689"/>
      <c r="AB397" s="1689"/>
      <c r="AC397" s="1689"/>
      <c r="AD397" s="1689"/>
      <c r="AE397" s="1689"/>
      <c r="AF397" s="1689"/>
      <c r="AG397" s="1689"/>
      <c r="AH397" s="1689"/>
      <c r="AI397" s="1689"/>
      <c r="AJ397" s="1689"/>
      <c r="AK397" s="1689"/>
      <c r="AL397" s="1689"/>
      <c r="AM397" s="1689"/>
      <c r="AN397" s="1689"/>
      <c r="AO397" s="1689"/>
      <c r="AP397" s="1689"/>
      <c r="AQ397" s="1689"/>
      <c r="AR397" s="1689"/>
      <c r="AS397" s="1689"/>
      <c r="AT397" s="1689"/>
    </row>
    <row r="398">
      <c r="A398" s="1419"/>
      <c r="B398" s="1699"/>
      <c r="C398" s="1700"/>
      <c r="D398" s="1700"/>
      <c r="E398" s="1691"/>
      <c r="F398" s="1691"/>
      <c r="G398" s="1691"/>
      <c r="H398" s="1691"/>
      <c r="I398" s="1691"/>
      <c r="J398" s="1691"/>
      <c r="K398" s="1691"/>
      <c r="L398" s="1691"/>
      <c r="M398" s="1691"/>
      <c r="N398" s="1691"/>
      <c r="O398" s="1691"/>
      <c r="P398" s="1691"/>
      <c r="Q398" s="1691"/>
      <c r="R398" s="1691"/>
      <c r="S398" s="1691"/>
      <c r="T398" s="1691"/>
      <c r="U398" s="1691"/>
      <c r="V398" s="1691"/>
      <c r="W398" s="1691"/>
      <c r="X398" s="1691"/>
      <c r="Y398" s="1691"/>
      <c r="Z398" s="1691"/>
      <c r="AA398" s="1691"/>
      <c r="AB398" s="1691"/>
      <c r="AC398" s="1691"/>
      <c r="AD398" s="1691"/>
      <c r="AE398" s="1691"/>
      <c r="AF398" s="1691"/>
      <c r="AG398" s="1691"/>
      <c r="AH398" s="1691"/>
      <c r="AI398" s="1691"/>
      <c r="AJ398" s="1691"/>
      <c r="AK398" s="1691"/>
      <c r="AL398" s="1691"/>
      <c r="AM398" s="1691"/>
      <c r="AN398" s="1691"/>
      <c r="AO398" s="1691"/>
      <c r="AP398" s="1691"/>
      <c r="AQ398" s="1691"/>
      <c r="AR398" s="1691"/>
      <c r="AS398" s="1691"/>
      <c r="AT398" s="1691"/>
    </row>
    <row r="399">
      <c r="A399" s="1419"/>
      <c r="B399" s="1697"/>
      <c r="C399" s="1698"/>
      <c r="D399" s="1698"/>
      <c r="E399" s="1689"/>
      <c r="F399" s="1689"/>
      <c r="G399" s="1689"/>
      <c r="H399" s="1689"/>
      <c r="I399" s="1689"/>
      <c r="J399" s="1689"/>
      <c r="K399" s="1689"/>
      <c r="L399" s="1689"/>
      <c r="M399" s="1689"/>
      <c r="N399" s="1689"/>
      <c r="O399" s="1689"/>
      <c r="P399" s="1689"/>
      <c r="Q399" s="1689"/>
      <c r="R399" s="1689"/>
      <c r="S399" s="1689"/>
      <c r="T399" s="1689"/>
      <c r="U399" s="1689"/>
      <c r="V399" s="1689"/>
      <c r="W399" s="1689"/>
      <c r="X399" s="1689"/>
      <c r="Y399" s="1689"/>
      <c r="Z399" s="1689"/>
      <c r="AA399" s="1689"/>
      <c r="AB399" s="1689"/>
      <c r="AC399" s="1689"/>
      <c r="AD399" s="1689"/>
      <c r="AE399" s="1689"/>
      <c r="AF399" s="1689"/>
      <c r="AG399" s="1689"/>
      <c r="AH399" s="1689"/>
      <c r="AI399" s="1689"/>
      <c r="AJ399" s="1689"/>
      <c r="AK399" s="1689"/>
      <c r="AL399" s="1689"/>
      <c r="AM399" s="1689"/>
      <c r="AN399" s="1689"/>
      <c r="AO399" s="1689"/>
      <c r="AP399" s="1689"/>
      <c r="AQ399" s="1689"/>
      <c r="AR399" s="1689"/>
      <c r="AS399" s="1689"/>
      <c r="AT399" s="1689"/>
    </row>
    <row r="400">
      <c r="A400" s="1419"/>
      <c r="B400" s="1699"/>
      <c r="C400" s="1700"/>
      <c r="D400" s="1700"/>
      <c r="E400" s="1691"/>
      <c r="F400" s="1691"/>
      <c r="G400" s="1691"/>
      <c r="H400" s="1691"/>
      <c r="I400" s="1691"/>
      <c r="J400" s="1691"/>
      <c r="K400" s="1691"/>
      <c r="L400" s="1691"/>
      <c r="M400" s="1691"/>
      <c r="N400" s="1691"/>
      <c r="O400" s="1691"/>
      <c r="P400" s="1691"/>
      <c r="Q400" s="1691"/>
      <c r="R400" s="1691"/>
      <c r="S400" s="1691"/>
      <c r="T400" s="1691"/>
      <c r="U400" s="1691"/>
      <c r="V400" s="1691"/>
      <c r="W400" s="1691"/>
      <c r="X400" s="1691"/>
      <c r="Y400" s="1691"/>
      <c r="Z400" s="1691"/>
      <c r="AA400" s="1691"/>
      <c r="AB400" s="1691"/>
      <c r="AC400" s="1691"/>
      <c r="AD400" s="1691"/>
      <c r="AE400" s="1691"/>
      <c r="AF400" s="1691"/>
      <c r="AG400" s="1691"/>
      <c r="AH400" s="1691"/>
      <c r="AI400" s="1691"/>
      <c r="AJ400" s="1691"/>
      <c r="AK400" s="1691"/>
      <c r="AL400" s="1691"/>
      <c r="AM400" s="1691"/>
      <c r="AN400" s="1691"/>
      <c r="AO400" s="1691"/>
      <c r="AP400" s="1691"/>
      <c r="AQ400" s="1691"/>
      <c r="AR400" s="1691"/>
      <c r="AS400" s="1691"/>
      <c r="AT400" s="1691"/>
    </row>
    <row r="401">
      <c r="A401" s="1419"/>
      <c r="B401" s="1697"/>
      <c r="C401" s="1698"/>
      <c r="D401" s="1698"/>
      <c r="E401" s="1689"/>
      <c r="F401" s="1689"/>
      <c r="G401" s="1689"/>
      <c r="H401" s="1689"/>
      <c r="I401" s="1689"/>
      <c r="J401" s="1689"/>
      <c r="K401" s="1689"/>
      <c r="L401" s="1689"/>
      <c r="M401" s="1689"/>
      <c r="N401" s="1689"/>
      <c r="O401" s="1689"/>
      <c r="P401" s="1689"/>
      <c r="Q401" s="1689"/>
      <c r="R401" s="1689"/>
      <c r="S401" s="1689"/>
      <c r="T401" s="1689"/>
      <c r="U401" s="1689"/>
      <c r="V401" s="1689"/>
      <c r="W401" s="1689"/>
      <c r="X401" s="1689"/>
      <c r="Y401" s="1689"/>
      <c r="Z401" s="1689"/>
      <c r="AA401" s="1689"/>
      <c r="AB401" s="1689"/>
      <c r="AC401" s="1689"/>
      <c r="AD401" s="1689"/>
      <c r="AE401" s="1689"/>
      <c r="AF401" s="1689"/>
      <c r="AG401" s="1689"/>
      <c r="AH401" s="1689"/>
      <c r="AI401" s="1689"/>
      <c r="AJ401" s="1689"/>
      <c r="AK401" s="1689"/>
      <c r="AL401" s="1689"/>
      <c r="AM401" s="1689"/>
      <c r="AN401" s="1689"/>
      <c r="AO401" s="1689"/>
      <c r="AP401" s="1689"/>
      <c r="AQ401" s="1689"/>
      <c r="AR401" s="1689"/>
      <c r="AS401" s="1689"/>
      <c r="AT401" s="1689"/>
    </row>
    <row r="402">
      <c r="A402" s="1419"/>
      <c r="B402" s="1699"/>
      <c r="C402" s="1700"/>
      <c r="D402" s="1700"/>
      <c r="E402" s="1691"/>
      <c r="F402" s="1691"/>
      <c r="G402" s="1691"/>
      <c r="H402" s="1691"/>
      <c r="I402" s="1691"/>
      <c r="J402" s="1691"/>
      <c r="K402" s="1691"/>
      <c r="L402" s="1691"/>
      <c r="M402" s="1691"/>
      <c r="N402" s="1691"/>
      <c r="O402" s="1691"/>
      <c r="P402" s="1691"/>
      <c r="Q402" s="1691"/>
      <c r="R402" s="1691"/>
      <c r="S402" s="1691"/>
      <c r="T402" s="1691"/>
      <c r="U402" s="1691"/>
      <c r="V402" s="1691"/>
      <c r="W402" s="1691"/>
      <c r="X402" s="1691"/>
      <c r="Y402" s="1691"/>
      <c r="Z402" s="1691"/>
      <c r="AA402" s="1691"/>
      <c r="AB402" s="1691"/>
      <c r="AC402" s="1691"/>
      <c r="AD402" s="1691"/>
      <c r="AE402" s="1691"/>
      <c r="AF402" s="1691"/>
      <c r="AG402" s="1691"/>
      <c r="AH402" s="1691"/>
      <c r="AI402" s="1691"/>
      <c r="AJ402" s="1691"/>
      <c r="AK402" s="1691"/>
      <c r="AL402" s="1691"/>
      <c r="AM402" s="1691"/>
      <c r="AN402" s="1691"/>
      <c r="AO402" s="1691"/>
      <c r="AP402" s="1691"/>
      <c r="AQ402" s="1691"/>
      <c r="AR402" s="1691"/>
      <c r="AS402" s="1691"/>
      <c r="AT402" s="1691"/>
    </row>
    <row r="403">
      <c r="A403" s="1419"/>
      <c r="B403" s="1697"/>
      <c r="C403" s="1698"/>
      <c r="D403" s="1698"/>
      <c r="E403" s="1689"/>
      <c r="F403" s="1689"/>
      <c r="G403" s="1689"/>
      <c r="H403" s="1689"/>
      <c r="I403" s="1689"/>
      <c r="J403" s="1689"/>
      <c r="K403" s="1689"/>
      <c r="L403" s="1689"/>
      <c r="M403" s="1689"/>
      <c r="N403" s="1689"/>
      <c r="O403" s="1689"/>
      <c r="P403" s="1689"/>
      <c r="Q403" s="1689"/>
      <c r="R403" s="1689"/>
      <c r="S403" s="1689"/>
      <c r="T403" s="1689"/>
      <c r="U403" s="1689"/>
      <c r="V403" s="1689"/>
      <c r="W403" s="1689"/>
      <c r="X403" s="1689"/>
      <c r="Y403" s="1689"/>
      <c r="Z403" s="1689"/>
      <c r="AA403" s="1689"/>
      <c r="AB403" s="1689"/>
      <c r="AC403" s="1689"/>
      <c r="AD403" s="1689"/>
      <c r="AE403" s="1689"/>
      <c r="AF403" s="1689"/>
      <c r="AG403" s="1689"/>
      <c r="AH403" s="1689"/>
      <c r="AI403" s="1689"/>
      <c r="AJ403" s="1689"/>
      <c r="AK403" s="1689"/>
      <c r="AL403" s="1689"/>
      <c r="AM403" s="1689"/>
      <c r="AN403" s="1689"/>
      <c r="AO403" s="1689"/>
      <c r="AP403" s="1689"/>
      <c r="AQ403" s="1689"/>
      <c r="AR403" s="1689"/>
      <c r="AS403" s="1689"/>
      <c r="AT403" s="1689"/>
    </row>
    <row r="404">
      <c r="A404" s="1419"/>
      <c r="B404" s="1699"/>
      <c r="C404" s="1700"/>
      <c r="D404" s="1700"/>
      <c r="E404" s="1691"/>
      <c r="F404" s="1691"/>
      <c r="G404" s="1691"/>
      <c r="H404" s="1691"/>
      <c r="I404" s="1691"/>
      <c r="J404" s="1691"/>
      <c r="K404" s="1691"/>
      <c r="L404" s="1691"/>
      <c r="M404" s="1691"/>
      <c r="N404" s="1691"/>
      <c r="O404" s="1691"/>
      <c r="P404" s="1691"/>
      <c r="Q404" s="1691"/>
      <c r="R404" s="1691"/>
      <c r="S404" s="1691"/>
      <c r="T404" s="1691"/>
      <c r="U404" s="1691"/>
      <c r="V404" s="1691"/>
      <c r="W404" s="1691"/>
      <c r="X404" s="1691"/>
      <c r="Y404" s="1691"/>
      <c r="Z404" s="1691"/>
      <c r="AA404" s="1691"/>
      <c r="AB404" s="1691"/>
      <c r="AC404" s="1691"/>
      <c r="AD404" s="1691"/>
      <c r="AE404" s="1691"/>
      <c r="AF404" s="1691"/>
      <c r="AG404" s="1691"/>
      <c r="AH404" s="1691"/>
      <c r="AI404" s="1691"/>
      <c r="AJ404" s="1691"/>
      <c r="AK404" s="1691"/>
      <c r="AL404" s="1691"/>
      <c r="AM404" s="1691"/>
      <c r="AN404" s="1691"/>
      <c r="AO404" s="1691"/>
      <c r="AP404" s="1691"/>
      <c r="AQ404" s="1691"/>
      <c r="AR404" s="1691"/>
      <c r="AS404" s="1691"/>
      <c r="AT404" s="1691"/>
    </row>
    <row r="405">
      <c r="A405" s="1419"/>
      <c r="B405" s="1697"/>
      <c r="C405" s="1698"/>
      <c r="D405" s="1698"/>
      <c r="E405" s="1689"/>
      <c r="F405" s="1689"/>
      <c r="G405" s="1689"/>
      <c r="H405" s="1689"/>
      <c r="I405" s="1689"/>
      <c r="J405" s="1689"/>
      <c r="K405" s="1689"/>
      <c r="L405" s="1689"/>
      <c r="M405" s="1689"/>
      <c r="N405" s="1689"/>
      <c r="O405" s="1689"/>
      <c r="P405" s="1689"/>
      <c r="Q405" s="1689"/>
      <c r="R405" s="1689"/>
      <c r="S405" s="1689"/>
      <c r="T405" s="1689"/>
      <c r="U405" s="1689"/>
      <c r="V405" s="1689"/>
      <c r="W405" s="1689"/>
      <c r="X405" s="1689"/>
      <c r="Y405" s="1689"/>
      <c r="Z405" s="1689"/>
      <c r="AA405" s="1689"/>
      <c r="AB405" s="1689"/>
      <c r="AC405" s="1689"/>
      <c r="AD405" s="1689"/>
      <c r="AE405" s="1689"/>
      <c r="AF405" s="1689"/>
      <c r="AG405" s="1689"/>
      <c r="AH405" s="1689"/>
      <c r="AI405" s="1689"/>
      <c r="AJ405" s="1689"/>
      <c r="AK405" s="1689"/>
      <c r="AL405" s="1689"/>
      <c r="AM405" s="1689"/>
      <c r="AN405" s="1689"/>
      <c r="AO405" s="1689"/>
      <c r="AP405" s="1689"/>
      <c r="AQ405" s="1689"/>
      <c r="AR405" s="1689"/>
      <c r="AS405" s="1689"/>
      <c r="AT405" s="1689"/>
    </row>
    <row r="406">
      <c r="A406" s="1419"/>
      <c r="B406" s="1699"/>
      <c r="C406" s="1700"/>
      <c r="D406" s="1700"/>
      <c r="E406" s="1691"/>
      <c r="F406" s="1691"/>
      <c r="G406" s="1691"/>
      <c r="H406" s="1691"/>
      <c r="I406" s="1691"/>
      <c r="J406" s="1691"/>
      <c r="K406" s="1691"/>
      <c r="L406" s="1691"/>
      <c r="M406" s="1691"/>
      <c r="N406" s="1691"/>
      <c r="O406" s="1691"/>
      <c r="P406" s="1691"/>
      <c r="Q406" s="1691"/>
      <c r="R406" s="1691"/>
      <c r="S406" s="1691"/>
      <c r="T406" s="1691"/>
      <c r="U406" s="1691"/>
      <c r="V406" s="1691"/>
      <c r="W406" s="1691"/>
      <c r="X406" s="1691"/>
      <c r="Y406" s="1691"/>
      <c r="Z406" s="1691"/>
      <c r="AA406" s="1691"/>
      <c r="AB406" s="1691"/>
      <c r="AC406" s="1691"/>
      <c r="AD406" s="1691"/>
      <c r="AE406" s="1691"/>
      <c r="AF406" s="1691"/>
      <c r="AG406" s="1691"/>
      <c r="AH406" s="1691"/>
      <c r="AI406" s="1691"/>
      <c r="AJ406" s="1691"/>
      <c r="AK406" s="1691"/>
      <c r="AL406" s="1691"/>
      <c r="AM406" s="1691"/>
      <c r="AN406" s="1691"/>
      <c r="AO406" s="1691"/>
      <c r="AP406" s="1691"/>
      <c r="AQ406" s="1691"/>
      <c r="AR406" s="1691"/>
      <c r="AS406" s="1691"/>
      <c r="AT406" s="1691"/>
    </row>
    <row r="407">
      <c r="A407" s="1419"/>
      <c r="B407" s="1697"/>
      <c r="C407" s="1698"/>
      <c r="D407" s="1698"/>
      <c r="E407" s="1689"/>
      <c r="F407" s="1689"/>
      <c r="G407" s="1689"/>
      <c r="H407" s="1689"/>
      <c r="I407" s="1689"/>
      <c r="J407" s="1689"/>
      <c r="K407" s="1689"/>
      <c r="L407" s="1689"/>
      <c r="M407" s="1689"/>
      <c r="N407" s="1689"/>
      <c r="O407" s="1689"/>
      <c r="P407" s="1689"/>
      <c r="Q407" s="1689"/>
      <c r="R407" s="1689"/>
      <c r="S407" s="1689"/>
      <c r="T407" s="1689"/>
      <c r="U407" s="1689"/>
      <c r="V407" s="1689"/>
      <c r="W407" s="1689"/>
      <c r="X407" s="1689"/>
      <c r="Y407" s="1689"/>
      <c r="Z407" s="1689"/>
      <c r="AA407" s="1689"/>
      <c r="AB407" s="1689"/>
      <c r="AC407" s="1689"/>
      <c r="AD407" s="1689"/>
      <c r="AE407" s="1689"/>
      <c r="AF407" s="1689"/>
      <c r="AG407" s="1689"/>
      <c r="AH407" s="1689"/>
      <c r="AI407" s="1689"/>
      <c r="AJ407" s="1689"/>
      <c r="AK407" s="1689"/>
      <c r="AL407" s="1689"/>
      <c r="AM407" s="1689"/>
      <c r="AN407" s="1689"/>
      <c r="AO407" s="1689"/>
      <c r="AP407" s="1689"/>
      <c r="AQ407" s="1689"/>
      <c r="AR407" s="1689"/>
      <c r="AS407" s="1689"/>
      <c r="AT407" s="1689"/>
    </row>
    <row r="408">
      <c r="A408" s="1419"/>
      <c r="B408" s="1699"/>
      <c r="C408" s="1700"/>
      <c r="D408" s="1700"/>
      <c r="E408" s="1691"/>
      <c r="F408" s="1691"/>
      <c r="G408" s="1691"/>
      <c r="H408" s="1691"/>
      <c r="I408" s="1691"/>
      <c r="J408" s="1691"/>
      <c r="K408" s="1691"/>
      <c r="L408" s="1691"/>
      <c r="M408" s="1691"/>
      <c r="N408" s="1691"/>
      <c r="O408" s="1691"/>
      <c r="P408" s="1691"/>
      <c r="Q408" s="1691"/>
      <c r="R408" s="1691"/>
      <c r="S408" s="1691"/>
      <c r="T408" s="1691"/>
      <c r="U408" s="1691"/>
      <c r="V408" s="1691"/>
      <c r="W408" s="1691"/>
      <c r="X408" s="1691"/>
      <c r="Y408" s="1691"/>
      <c r="Z408" s="1691"/>
      <c r="AA408" s="1691"/>
      <c r="AB408" s="1691"/>
      <c r="AC408" s="1691"/>
      <c r="AD408" s="1691"/>
      <c r="AE408" s="1691"/>
      <c r="AF408" s="1691"/>
      <c r="AG408" s="1691"/>
      <c r="AH408" s="1691"/>
      <c r="AI408" s="1691"/>
      <c r="AJ408" s="1691"/>
      <c r="AK408" s="1691"/>
      <c r="AL408" s="1691"/>
      <c r="AM408" s="1691"/>
      <c r="AN408" s="1691"/>
      <c r="AO408" s="1691"/>
      <c r="AP408" s="1691"/>
      <c r="AQ408" s="1691"/>
      <c r="AR408" s="1691"/>
      <c r="AS408" s="1691"/>
      <c r="AT408" s="1691"/>
    </row>
    <row r="409">
      <c r="A409" s="1440" t="s">
        <v>2461</v>
      </c>
      <c r="B409" s="1697"/>
      <c r="C409" s="1698"/>
      <c r="D409" s="1698"/>
      <c r="E409" s="1689"/>
      <c r="F409" s="1689"/>
      <c r="G409" s="1689"/>
      <c r="H409" s="1689"/>
      <c r="I409" s="1689"/>
      <c r="J409" s="1689"/>
      <c r="K409" s="1689"/>
      <c r="L409" s="1689"/>
      <c r="M409" s="1689"/>
      <c r="N409" s="1689"/>
      <c r="O409" s="1689"/>
      <c r="P409" s="1689"/>
      <c r="Q409" s="1689"/>
      <c r="R409" s="1689"/>
      <c r="S409" s="1689"/>
      <c r="T409" s="1689"/>
      <c r="U409" s="1689"/>
      <c r="V409" s="1689"/>
      <c r="W409" s="1689"/>
      <c r="X409" s="1689"/>
      <c r="Y409" s="1689"/>
      <c r="Z409" s="1689"/>
      <c r="AA409" s="1689"/>
      <c r="AB409" s="1689"/>
      <c r="AC409" s="1689"/>
      <c r="AD409" s="1689"/>
      <c r="AE409" s="1689"/>
      <c r="AF409" s="1689"/>
      <c r="AG409" s="1689"/>
      <c r="AH409" s="1689"/>
      <c r="AI409" s="1689"/>
      <c r="AJ409" s="1689"/>
      <c r="AK409" s="1689"/>
      <c r="AL409" s="1689"/>
      <c r="AM409" s="1689"/>
      <c r="AN409" s="1689"/>
      <c r="AO409" s="1689"/>
      <c r="AP409" s="1689"/>
      <c r="AQ409" s="1689"/>
      <c r="AR409" s="1689"/>
      <c r="AS409" s="1689"/>
      <c r="AT409" s="1689"/>
    </row>
    <row r="410">
      <c r="A410" s="1419"/>
      <c r="B410" s="1699"/>
      <c r="C410" s="1700"/>
      <c r="D410" s="1700"/>
      <c r="E410" s="1691"/>
      <c r="F410" s="1691"/>
      <c r="G410" s="1691"/>
      <c r="H410" s="1691"/>
      <c r="I410" s="1691"/>
      <c r="J410" s="1691"/>
      <c r="K410" s="1691"/>
      <c r="L410" s="1691"/>
      <c r="M410" s="1691"/>
      <c r="N410" s="1691"/>
      <c r="O410" s="1691"/>
      <c r="P410" s="1691"/>
      <c r="Q410" s="1691"/>
      <c r="R410" s="1691"/>
      <c r="S410" s="1691"/>
      <c r="T410" s="1691"/>
      <c r="U410" s="1691"/>
      <c r="V410" s="1691"/>
      <c r="W410" s="1691"/>
      <c r="X410" s="1691"/>
      <c r="Y410" s="1691"/>
      <c r="Z410" s="1691"/>
      <c r="AA410" s="1691"/>
      <c r="AB410" s="1691"/>
      <c r="AC410" s="1691"/>
      <c r="AD410" s="1691"/>
      <c r="AE410" s="1691"/>
      <c r="AF410" s="1691"/>
      <c r="AG410" s="1691"/>
      <c r="AH410" s="1691"/>
      <c r="AI410" s="1691"/>
      <c r="AJ410" s="1691"/>
      <c r="AK410" s="1691"/>
      <c r="AL410" s="1691"/>
      <c r="AM410" s="1691"/>
      <c r="AN410" s="1691"/>
      <c r="AO410" s="1691"/>
      <c r="AP410" s="1691"/>
      <c r="AQ410" s="1691"/>
      <c r="AR410" s="1691"/>
      <c r="AS410" s="1691"/>
      <c r="AT410" s="1691"/>
    </row>
    <row r="411">
      <c r="A411" s="1419"/>
      <c r="B411" s="1697"/>
      <c r="C411" s="1698"/>
      <c r="D411" s="1698"/>
      <c r="E411" s="1689"/>
      <c r="F411" s="1689"/>
      <c r="G411" s="1689"/>
      <c r="H411" s="1689"/>
      <c r="I411" s="1689"/>
      <c r="J411" s="1689"/>
      <c r="K411" s="1689"/>
      <c r="L411" s="1689"/>
      <c r="M411" s="1689"/>
      <c r="N411" s="1689"/>
      <c r="O411" s="1689"/>
      <c r="P411" s="1689"/>
      <c r="Q411" s="1689"/>
      <c r="R411" s="1689"/>
      <c r="S411" s="1689"/>
      <c r="T411" s="1689"/>
      <c r="U411" s="1689"/>
      <c r="V411" s="1689"/>
      <c r="W411" s="1689"/>
      <c r="X411" s="1689"/>
      <c r="Y411" s="1689"/>
      <c r="Z411" s="1689"/>
      <c r="AA411" s="1689"/>
      <c r="AB411" s="1689"/>
      <c r="AC411" s="1689"/>
      <c r="AD411" s="1689"/>
      <c r="AE411" s="1689"/>
      <c r="AF411" s="1689"/>
      <c r="AG411" s="1689"/>
      <c r="AH411" s="1689"/>
      <c r="AI411" s="1689"/>
      <c r="AJ411" s="1689"/>
      <c r="AK411" s="1689"/>
      <c r="AL411" s="1689"/>
      <c r="AM411" s="1689"/>
      <c r="AN411" s="1689"/>
      <c r="AO411" s="1689"/>
      <c r="AP411" s="1689"/>
      <c r="AQ411" s="1689"/>
      <c r="AR411" s="1689"/>
      <c r="AS411" s="1689"/>
      <c r="AT411" s="1689"/>
    </row>
    <row r="412">
      <c r="A412" s="1419"/>
      <c r="B412" s="1699"/>
      <c r="C412" s="1700"/>
      <c r="D412" s="1700"/>
      <c r="E412" s="1691"/>
      <c r="F412" s="1691"/>
      <c r="G412" s="1691"/>
      <c r="H412" s="1691"/>
      <c r="I412" s="1691"/>
      <c r="J412" s="1691"/>
      <c r="K412" s="1691"/>
      <c r="L412" s="1691"/>
      <c r="M412" s="1691"/>
      <c r="N412" s="1691"/>
      <c r="O412" s="1691"/>
      <c r="P412" s="1691"/>
      <c r="Q412" s="1691"/>
      <c r="R412" s="1691"/>
      <c r="S412" s="1691"/>
      <c r="T412" s="1691"/>
      <c r="U412" s="1691"/>
      <c r="V412" s="1691"/>
      <c r="W412" s="1691"/>
      <c r="X412" s="1691"/>
      <c r="Y412" s="1691"/>
      <c r="Z412" s="1691"/>
      <c r="AA412" s="1691"/>
      <c r="AB412" s="1691"/>
      <c r="AC412" s="1691"/>
      <c r="AD412" s="1691"/>
      <c r="AE412" s="1691"/>
      <c r="AF412" s="1691"/>
      <c r="AG412" s="1691"/>
      <c r="AH412" s="1691"/>
      <c r="AI412" s="1691"/>
      <c r="AJ412" s="1691"/>
      <c r="AK412" s="1691"/>
      <c r="AL412" s="1691"/>
      <c r="AM412" s="1691"/>
      <c r="AN412" s="1691"/>
      <c r="AO412" s="1691"/>
      <c r="AP412" s="1691"/>
      <c r="AQ412" s="1691"/>
      <c r="AR412" s="1691"/>
      <c r="AS412" s="1691"/>
      <c r="AT412" s="1691"/>
    </row>
    <row r="413">
      <c r="A413" s="1419"/>
      <c r="B413" s="1697"/>
      <c r="C413" s="1698"/>
      <c r="D413" s="1698"/>
      <c r="E413" s="1689"/>
      <c r="F413" s="1689"/>
      <c r="G413" s="1689"/>
      <c r="H413" s="1689"/>
      <c r="I413" s="1689"/>
      <c r="J413" s="1689"/>
      <c r="K413" s="1689"/>
      <c r="L413" s="1689"/>
      <c r="M413" s="1689"/>
      <c r="N413" s="1689"/>
      <c r="O413" s="1689"/>
      <c r="P413" s="1689"/>
      <c r="Q413" s="1689"/>
      <c r="R413" s="1689"/>
      <c r="S413" s="1689"/>
      <c r="T413" s="1689"/>
      <c r="U413" s="1689"/>
      <c r="V413" s="1689"/>
      <c r="W413" s="1689"/>
      <c r="X413" s="1689"/>
      <c r="Y413" s="1689"/>
      <c r="Z413" s="1689"/>
      <c r="AA413" s="1689"/>
      <c r="AB413" s="1689"/>
      <c r="AC413" s="1689"/>
      <c r="AD413" s="1689"/>
      <c r="AE413" s="1689"/>
      <c r="AF413" s="1689"/>
      <c r="AG413" s="1689"/>
      <c r="AH413" s="1689"/>
      <c r="AI413" s="1689"/>
      <c r="AJ413" s="1689"/>
      <c r="AK413" s="1689"/>
      <c r="AL413" s="1689"/>
      <c r="AM413" s="1689"/>
      <c r="AN413" s="1689"/>
      <c r="AO413" s="1689"/>
      <c r="AP413" s="1689"/>
      <c r="AQ413" s="1689"/>
      <c r="AR413" s="1689"/>
      <c r="AS413" s="1689"/>
      <c r="AT413" s="1689"/>
    </row>
    <row r="414">
      <c r="A414" s="1419"/>
      <c r="B414" s="1699"/>
      <c r="C414" s="1700"/>
      <c r="D414" s="1700"/>
      <c r="E414" s="1691"/>
      <c r="F414" s="1691"/>
      <c r="G414" s="1691"/>
      <c r="H414" s="1691"/>
      <c r="I414" s="1691"/>
      <c r="J414" s="1691"/>
      <c r="K414" s="1691"/>
      <c r="L414" s="1691"/>
      <c r="M414" s="1691"/>
      <c r="N414" s="1691"/>
      <c r="O414" s="1691"/>
      <c r="P414" s="1691"/>
      <c r="Q414" s="1691"/>
      <c r="R414" s="1691"/>
      <c r="S414" s="1691"/>
      <c r="T414" s="1691"/>
      <c r="U414" s="1691"/>
      <c r="V414" s="1691"/>
      <c r="W414" s="1691"/>
      <c r="X414" s="1691"/>
      <c r="Y414" s="1691"/>
      <c r="Z414" s="1691"/>
      <c r="AA414" s="1691"/>
      <c r="AB414" s="1691"/>
      <c r="AC414" s="1691"/>
      <c r="AD414" s="1691"/>
      <c r="AE414" s="1691"/>
      <c r="AF414" s="1691"/>
      <c r="AG414" s="1691"/>
      <c r="AH414" s="1691"/>
      <c r="AI414" s="1691"/>
      <c r="AJ414" s="1691"/>
      <c r="AK414" s="1691"/>
      <c r="AL414" s="1691"/>
      <c r="AM414" s="1691"/>
      <c r="AN414" s="1691"/>
      <c r="AO414" s="1691"/>
      <c r="AP414" s="1691"/>
      <c r="AQ414" s="1691"/>
      <c r="AR414" s="1691"/>
      <c r="AS414" s="1691"/>
      <c r="AT414" s="1691"/>
    </row>
    <row r="415">
      <c r="A415" s="1419"/>
      <c r="B415" s="1697"/>
      <c r="C415" s="1698"/>
      <c r="D415" s="1698"/>
      <c r="E415" s="1689"/>
      <c r="F415" s="1689"/>
      <c r="G415" s="1689"/>
      <c r="H415" s="1689"/>
      <c r="I415" s="1689"/>
      <c r="J415" s="1689"/>
      <c r="K415" s="1689"/>
      <c r="L415" s="1689"/>
      <c r="M415" s="1689"/>
      <c r="N415" s="1689"/>
      <c r="O415" s="1689"/>
      <c r="P415" s="1689"/>
      <c r="Q415" s="1689"/>
      <c r="R415" s="1689"/>
      <c r="S415" s="1689"/>
      <c r="T415" s="1689"/>
      <c r="U415" s="1689"/>
      <c r="V415" s="1689"/>
      <c r="W415" s="1689"/>
      <c r="X415" s="1689"/>
      <c r="Y415" s="1689"/>
      <c r="Z415" s="1689"/>
      <c r="AA415" s="1689"/>
      <c r="AB415" s="1689"/>
      <c r="AC415" s="1689"/>
      <c r="AD415" s="1689"/>
      <c r="AE415" s="1689"/>
      <c r="AF415" s="1689"/>
      <c r="AG415" s="1689"/>
      <c r="AH415" s="1689"/>
      <c r="AI415" s="1689"/>
      <c r="AJ415" s="1689"/>
      <c r="AK415" s="1689"/>
      <c r="AL415" s="1689"/>
      <c r="AM415" s="1689"/>
      <c r="AN415" s="1689"/>
      <c r="AO415" s="1689"/>
      <c r="AP415" s="1689"/>
      <c r="AQ415" s="1689"/>
      <c r="AR415" s="1689"/>
      <c r="AS415" s="1689"/>
      <c r="AT415" s="1689"/>
    </row>
    <row r="416">
      <c r="A416" s="1419"/>
      <c r="B416" s="1699"/>
      <c r="C416" s="1700"/>
      <c r="D416" s="1700"/>
      <c r="E416" s="1691"/>
      <c r="F416" s="1691"/>
      <c r="G416" s="1691"/>
      <c r="H416" s="1691"/>
      <c r="I416" s="1691"/>
      <c r="J416" s="1691"/>
      <c r="K416" s="1691"/>
      <c r="L416" s="1691"/>
      <c r="M416" s="1691"/>
      <c r="N416" s="1691"/>
      <c r="O416" s="1691"/>
      <c r="P416" s="1691"/>
      <c r="Q416" s="1691"/>
      <c r="R416" s="1691"/>
      <c r="S416" s="1691"/>
      <c r="T416" s="1691"/>
      <c r="U416" s="1691"/>
      <c r="V416" s="1691"/>
      <c r="W416" s="1691"/>
      <c r="X416" s="1691"/>
      <c r="Y416" s="1691"/>
      <c r="Z416" s="1691"/>
      <c r="AA416" s="1691"/>
      <c r="AB416" s="1691"/>
      <c r="AC416" s="1691"/>
      <c r="AD416" s="1691"/>
      <c r="AE416" s="1691"/>
      <c r="AF416" s="1691"/>
      <c r="AG416" s="1691"/>
      <c r="AH416" s="1691"/>
      <c r="AI416" s="1691"/>
      <c r="AJ416" s="1691"/>
      <c r="AK416" s="1691"/>
      <c r="AL416" s="1691"/>
      <c r="AM416" s="1691"/>
      <c r="AN416" s="1691"/>
      <c r="AO416" s="1691"/>
      <c r="AP416" s="1691"/>
      <c r="AQ416" s="1691"/>
      <c r="AR416" s="1691"/>
      <c r="AS416" s="1691"/>
      <c r="AT416" s="1691"/>
    </row>
    <row r="417">
      <c r="A417" s="1419"/>
      <c r="B417" s="1697"/>
      <c r="C417" s="1698"/>
      <c r="D417" s="1698"/>
      <c r="E417" s="1689"/>
      <c r="F417" s="1689"/>
      <c r="G417" s="1689"/>
      <c r="H417" s="1689"/>
      <c r="I417" s="1689"/>
      <c r="J417" s="1689"/>
      <c r="K417" s="1689"/>
      <c r="L417" s="1689"/>
      <c r="M417" s="1689"/>
      <c r="N417" s="1689"/>
      <c r="O417" s="1689"/>
      <c r="P417" s="1689"/>
      <c r="Q417" s="1689"/>
      <c r="R417" s="1689"/>
      <c r="S417" s="1689"/>
      <c r="T417" s="1689"/>
      <c r="U417" s="1689"/>
      <c r="V417" s="1689"/>
      <c r="W417" s="1689"/>
      <c r="X417" s="1689"/>
      <c r="Y417" s="1689"/>
      <c r="Z417" s="1689"/>
      <c r="AA417" s="1689"/>
      <c r="AB417" s="1689"/>
      <c r="AC417" s="1689"/>
      <c r="AD417" s="1689"/>
      <c r="AE417" s="1689"/>
      <c r="AF417" s="1689"/>
      <c r="AG417" s="1689"/>
      <c r="AH417" s="1689"/>
      <c r="AI417" s="1689"/>
      <c r="AJ417" s="1689"/>
      <c r="AK417" s="1689"/>
      <c r="AL417" s="1689"/>
      <c r="AM417" s="1689"/>
      <c r="AN417" s="1689"/>
      <c r="AO417" s="1689"/>
      <c r="AP417" s="1689"/>
      <c r="AQ417" s="1689"/>
      <c r="AR417" s="1689"/>
      <c r="AS417" s="1689"/>
      <c r="AT417" s="1689"/>
    </row>
    <row r="418">
      <c r="A418" s="1419"/>
      <c r="B418" s="1699"/>
      <c r="C418" s="1700"/>
      <c r="D418" s="1700"/>
      <c r="E418" s="1691"/>
      <c r="F418" s="1691"/>
      <c r="G418" s="1691"/>
      <c r="H418" s="1691"/>
      <c r="I418" s="1691"/>
      <c r="J418" s="1691"/>
      <c r="K418" s="1691"/>
      <c r="L418" s="1691"/>
      <c r="M418" s="1691"/>
      <c r="N418" s="1691"/>
      <c r="O418" s="1691"/>
      <c r="P418" s="1691"/>
      <c r="Q418" s="1691"/>
      <c r="R418" s="1691"/>
      <c r="S418" s="1691"/>
      <c r="T418" s="1691"/>
      <c r="U418" s="1691"/>
      <c r="V418" s="1691"/>
      <c r="W418" s="1691"/>
      <c r="X418" s="1691"/>
      <c r="Y418" s="1691"/>
      <c r="Z418" s="1691"/>
      <c r="AA418" s="1691"/>
      <c r="AB418" s="1691"/>
      <c r="AC418" s="1691"/>
      <c r="AD418" s="1691"/>
      <c r="AE418" s="1691"/>
      <c r="AF418" s="1691"/>
      <c r="AG418" s="1691"/>
      <c r="AH418" s="1691"/>
      <c r="AI418" s="1691"/>
      <c r="AJ418" s="1691"/>
      <c r="AK418" s="1691"/>
      <c r="AL418" s="1691"/>
      <c r="AM418" s="1691"/>
      <c r="AN418" s="1691"/>
      <c r="AO418" s="1691"/>
      <c r="AP418" s="1691"/>
      <c r="AQ418" s="1691"/>
      <c r="AR418" s="1691"/>
      <c r="AS418" s="1691"/>
      <c r="AT418" s="1691"/>
    </row>
    <row r="419">
      <c r="A419" s="1419"/>
      <c r="B419" s="1697"/>
      <c r="C419" s="1698"/>
      <c r="D419" s="1698"/>
      <c r="E419" s="1689"/>
      <c r="F419" s="1689"/>
      <c r="G419" s="1689"/>
      <c r="H419" s="1689"/>
      <c r="I419" s="1689"/>
      <c r="J419" s="1689"/>
      <c r="K419" s="1689"/>
      <c r="L419" s="1689"/>
      <c r="M419" s="1689"/>
      <c r="N419" s="1689"/>
      <c r="O419" s="1689"/>
      <c r="P419" s="1689"/>
      <c r="Q419" s="1689"/>
      <c r="R419" s="1689"/>
      <c r="S419" s="1689"/>
      <c r="T419" s="1689"/>
      <c r="U419" s="1689"/>
      <c r="V419" s="1689"/>
      <c r="W419" s="1689"/>
      <c r="X419" s="1689"/>
      <c r="Y419" s="1689"/>
      <c r="Z419" s="1689"/>
      <c r="AA419" s="1689"/>
      <c r="AB419" s="1689"/>
      <c r="AC419" s="1689"/>
      <c r="AD419" s="1689"/>
      <c r="AE419" s="1689"/>
      <c r="AF419" s="1689"/>
      <c r="AG419" s="1689"/>
      <c r="AH419" s="1689"/>
      <c r="AI419" s="1689"/>
      <c r="AJ419" s="1689"/>
      <c r="AK419" s="1689"/>
      <c r="AL419" s="1689"/>
      <c r="AM419" s="1689"/>
      <c r="AN419" s="1689"/>
      <c r="AO419" s="1689"/>
      <c r="AP419" s="1689"/>
      <c r="AQ419" s="1689"/>
      <c r="AR419" s="1689"/>
      <c r="AS419" s="1689"/>
      <c r="AT419" s="1689"/>
    </row>
    <row r="420">
      <c r="A420" s="1419"/>
      <c r="B420" s="1699"/>
      <c r="C420" s="1700"/>
      <c r="D420" s="1700"/>
      <c r="E420" s="1691"/>
      <c r="F420" s="1691"/>
      <c r="G420" s="1691"/>
      <c r="H420" s="1691"/>
      <c r="I420" s="1691"/>
      <c r="J420" s="1691"/>
      <c r="K420" s="1691"/>
      <c r="L420" s="1691"/>
      <c r="M420" s="1691"/>
      <c r="N420" s="1691"/>
      <c r="O420" s="1691"/>
      <c r="P420" s="1691"/>
      <c r="Q420" s="1691"/>
      <c r="R420" s="1691"/>
      <c r="S420" s="1691"/>
      <c r="T420" s="1691"/>
      <c r="U420" s="1691"/>
      <c r="V420" s="1691"/>
      <c r="W420" s="1691"/>
      <c r="X420" s="1691"/>
      <c r="Y420" s="1691"/>
      <c r="Z420" s="1691"/>
      <c r="AA420" s="1691"/>
      <c r="AB420" s="1691"/>
      <c r="AC420" s="1691"/>
      <c r="AD420" s="1691"/>
      <c r="AE420" s="1691"/>
      <c r="AF420" s="1691"/>
      <c r="AG420" s="1691"/>
      <c r="AH420" s="1691"/>
      <c r="AI420" s="1691"/>
      <c r="AJ420" s="1691"/>
      <c r="AK420" s="1691"/>
      <c r="AL420" s="1691"/>
      <c r="AM420" s="1691"/>
      <c r="AN420" s="1691"/>
      <c r="AO420" s="1691"/>
      <c r="AP420" s="1691"/>
      <c r="AQ420" s="1691"/>
      <c r="AR420" s="1691"/>
      <c r="AS420" s="1691"/>
      <c r="AT420" s="1691"/>
    </row>
    <row r="421">
      <c r="A421" s="1419"/>
      <c r="B421" s="1697"/>
      <c r="C421" s="1698"/>
      <c r="D421" s="1698"/>
      <c r="E421" s="1689"/>
      <c r="F421" s="1689"/>
      <c r="G421" s="1689"/>
      <c r="H421" s="1689"/>
      <c r="I421" s="1689"/>
      <c r="J421" s="1689"/>
      <c r="K421" s="1689"/>
      <c r="L421" s="1689"/>
      <c r="M421" s="1689"/>
      <c r="N421" s="1689"/>
      <c r="O421" s="1689"/>
      <c r="P421" s="1689"/>
      <c r="Q421" s="1689"/>
      <c r="R421" s="1689"/>
      <c r="S421" s="1689"/>
      <c r="T421" s="1689"/>
      <c r="U421" s="1689"/>
      <c r="V421" s="1689"/>
      <c r="W421" s="1689"/>
      <c r="X421" s="1689"/>
      <c r="Y421" s="1689"/>
      <c r="Z421" s="1689"/>
      <c r="AA421" s="1689"/>
      <c r="AB421" s="1689"/>
      <c r="AC421" s="1689"/>
      <c r="AD421" s="1689"/>
      <c r="AE421" s="1689"/>
      <c r="AF421" s="1689"/>
      <c r="AG421" s="1689"/>
      <c r="AH421" s="1689"/>
      <c r="AI421" s="1689"/>
      <c r="AJ421" s="1689"/>
      <c r="AK421" s="1689"/>
      <c r="AL421" s="1689"/>
      <c r="AM421" s="1689"/>
      <c r="AN421" s="1689"/>
      <c r="AO421" s="1689"/>
      <c r="AP421" s="1689"/>
      <c r="AQ421" s="1689"/>
      <c r="AR421" s="1689"/>
      <c r="AS421" s="1689"/>
      <c r="AT421" s="1689"/>
    </row>
    <row r="422">
      <c r="A422" s="1419"/>
      <c r="B422" s="1699"/>
      <c r="C422" s="1700"/>
      <c r="D422" s="1700"/>
      <c r="E422" s="1691"/>
      <c r="F422" s="1691"/>
      <c r="G422" s="1691"/>
      <c r="H422" s="1691"/>
      <c r="I422" s="1691"/>
      <c r="J422" s="1691"/>
      <c r="K422" s="1691"/>
      <c r="L422" s="1691"/>
      <c r="M422" s="1691"/>
      <c r="N422" s="1691"/>
      <c r="O422" s="1691"/>
      <c r="P422" s="1691"/>
      <c r="Q422" s="1691"/>
      <c r="R422" s="1691"/>
      <c r="S422" s="1691"/>
      <c r="T422" s="1691"/>
      <c r="U422" s="1691"/>
      <c r="V422" s="1691"/>
      <c r="W422" s="1691"/>
      <c r="X422" s="1691"/>
      <c r="Y422" s="1691"/>
      <c r="Z422" s="1691"/>
      <c r="AA422" s="1691"/>
      <c r="AB422" s="1691"/>
      <c r="AC422" s="1691"/>
      <c r="AD422" s="1691"/>
      <c r="AE422" s="1691"/>
      <c r="AF422" s="1691"/>
      <c r="AG422" s="1691"/>
      <c r="AH422" s="1691"/>
      <c r="AI422" s="1691"/>
      <c r="AJ422" s="1691"/>
      <c r="AK422" s="1691"/>
      <c r="AL422" s="1691"/>
      <c r="AM422" s="1691"/>
      <c r="AN422" s="1691"/>
      <c r="AO422" s="1691"/>
      <c r="AP422" s="1691"/>
      <c r="AQ422" s="1691"/>
      <c r="AR422" s="1691"/>
      <c r="AS422" s="1691"/>
      <c r="AT422" s="1691"/>
    </row>
    <row r="423">
      <c r="A423" s="1419"/>
      <c r="B423" s="1697"/>
      <c r="C423" s="1698"/>
      <c r="D423" s="1698"/>
      <c r="E423" s="1689"/>
      <c r="F423" s="1689"/>
      <c r="G423" s="1689"/>
      <c r="H423" s="1689"/>
      <c r="I423" s="1689"/>
      <c r="J423" s="1689"/>
      <c r="K423" s="1689"/>
      <c r="L423" s="1689"/>
      <c r="M423" s="1689"/>
      <c r="N423" s="1689"/>
      <c r="O423" s="1689"/>
      <c r="P423" s="1689"/>
      <c r="Q423" s="1689"/>
      <c r="R423" s="1689"/>
      <c r="S423" s="1689"/>
      <c r="T423" s="1689"/>
      <c r="U423" s="1689"/>
      <c r="V423" s="1689"/>
      <c r="W423" s="1689"/>
      <c r="X423" s="1689"/>
      <c r="Y423" s="1689"/>
      <c r="Z423" s="1689"/>
      <c r="AA423" s="1689"/>
      <c r="AB423" s="1689"/>
      <c r="AC423" s="1689"/>
      <c r="AD423" s="1689"/>
      <c r="AE423" s="1689"/>
      <c r="AF423" s="1689"/>
      <c r="AG423" s="1689"/>
      <c r="AH423" s="1689"/>
      <c r="AI423" s="1689"/>
      <c r="AJ423" s="1689"/>
      <c r="AK423" s="1689"/>
      <c r="AL423" s="1689"/>
      <c r="AM423" s="1689"/>
      <c r="AN423" s="1689"/>
      <c r="AO423" s="1689"/>
      <c r="AP423" s="1689"/>
      <c r="AQ423" s="1689"/>
      <c r="AR423" s="1689"/>
      <c r="AS423" s="1689"/>
      <c r="AT423" s="1689"/>
    </row>
    <row r="424">
      <c r="A424" s="1419"/>
      <c r="B424" s="1699"/>
      <c r="C424" s="1700"/>
      <c r="D424" s="1700"/>
      <c r="E424" s="1691"/>
      <c r="F424" s="1691"/>
      <c r="G424" s="1691"/>
      <c r="H424" s="1691"/>
      <c r="I424" s="1691"/>
      <c r="J424" s="1691"/>
      <c r="K424" s="1691"/>
      <c r="L424" s="1691"/>
      <c r="M424" s="1691"/>
      <c r="N424" s="1691"/>
      <c r="O424" s="1691"/>
      <c r="P424" s="1691"/>
      <c r="Q424" s="1691"/>
      <c r="R424" s="1691"/>
      <c r="S424" s="1691"/>
      <c r="T424" s="1691"/>
      <c r="U424" s="1691"/>
      <c r="V424" s="1691"/>
      <c r="W424" s="1691"/>
      <c r="X424" s="1691"/>
      <c r="Y424" s="1691"/>
      <c r="Z424" s="1691"/>
      <c r="AA424" s="1691"/>
      <c r="AB424" s="1691"/>
      <c r="AC424" s="1691"/>
      <c r="AD424" s="1691"/>
      <c r="AE424" s="1691"/>
      <c r="AF424" s="1691"/>
      <c r="AG424" s="1691"/>
      <c r="AH424" s="1691"/>
      <c r="AI424" s="1691"/>
      <c r="AJ424" s="1691"/>
      <c r="AK424" s="1691"/>
      <c r="AL424" s="1691"/>
      <c r="AM424" s="1691"/>
      <c r="AN424" s="1691"/>
      <c r="AO424" s="1691"/>
      <c r="AP424" s="1691"/>
      <c r="AQ424" s="1691"/>
      <c r="AR424" s="1691"/>
      <c r="AS424" s="1691"/>
      <c r="AT424" s="1691"/>
    </row>
    <row r="425">
      <c r="A425" s="1419"/>
      <c r="B425" s="1697"/>
      <c r="C425" s="1698"/>
      <c r="D425" s="1698"/>
      <c r="E425" s="1689"/>
      <c r="F425" s="1689"/>
      <c r="G425" s="1689"/>
      <c r="H425" s="1689"/>
      <c r="I425" s="1689"/>
      <c r="J425" s="1689"/>
      <c r="K425" s="1689"/>
      <c r="L425" s="1689"/>
      <c r="M425" s="1689"/>
      <c r="N425" s="1689"/>
      <c r="O425" s="1689"/>
      <c r="P425" s="1689"/>
      <c r="Q425" s="1689"/>
      <c r="R425" s="1689"/>
      <c r="S425" s="1689"/>
      <c r="T425" s="1689"/>
      <c r="U425" s="1689"/>
      <c r="V425" s="1689"/>
      <c r="W425" s="1689"/>
      <c r="X425" s="1689"/>
      <c r="Y425" s="1689"/>
      <c r="Z425" s="1689"/>
      <c r="AA425" s="1689"/>
      <c r="AB425" s="1689"/>
      <c r="AC425" s="1689"/>
      <c r="AD425" s="1689"/>
      <c r="AE425" s="1689"/>
      <c r="AF425" s="1689"/>
      <c r="AG425" s="1689"/>
      <c r="AH425" s="1689"/>
      <c r="AI425" s="1689"/>
      <c r="AJ425" s="1689"/>
      <c r="AK425" s="1689"/>
      <c r="AL425" s="1689"/>
      <c r="AM425" s="1689"/>
      <c r="AN425" s="1689"/>
      <c r="AO425" s="1689"/>
      <c r="AP425" s="1689"/>
      <c r="AQ425" s="1689"/>
      <c r="AR425" s="1689"/>
      <c r="AS425" s="1689"/>
      <c r="AT425" s="1689"/>
    </row>
    <row r="426">
      <c r="A426" s="1419"/>
      <c r="B426" s="1699"/>
      <c r="C426" s="1700"/>
      <c r="D426" s="1700"/>
      <c r="E426" s="1691"/>
      <c r="F426" s="1691"/>
      <c r="G426" s="1691"/>
      <c r="H426" s="1691"/>
      <c r="I426" s="1691"/>
      <c r="J426" s="1691"/>
      <c r="K426" s="1691"/>
      <c r="L426" s="1691"/>
      <c r="M426" s="1691"/>
      <c r="N426" s="1691"/>
      <c r="O426" s="1691"/>
      <c r="P426" s="1691"/>
      <c r="Q426" s="1691"/>
      <c r="R426" s="1691"/>
      <c r="S426" s="1691"/>
      <c r="T426" s="1691"/>
      <c r="U426" s="1691"/>
      <c r="V426" s="1691"/>
      <c r="W426" s="1691"/>
      <c r="X426" s="1691"/>
      <c r="Y426" s="1691"/>
      <c r="Z426" s="1691"/>
      <c r="AA426" s="1691"/>
      <c r="AB426" s="1691"/>
      <c r="AC426" s="1691"/>
      <c r="AD426" s="1691"/>
      <c r="AE426" s="1691"/>
      <c r="AF426" s="1691"/>
      <c r="AG426" s="1691"/>
      <c r="AH426" s="1691"/>
      <c r="AI426" s="1691"/>
      <c r="AJ426" s="1691"/>
      <c r="AK426" s="1691"/>
      <c r="AL426" s="1691"/>
      <c r="AM426" s="1691"/>
      <c r="AN426" s="1691"/>
      <c r="AO426" s="1691"/>
      <c r="AP426" s="1691"/>
      <c r="AQ426" s="1691"/>
      <c r="AR426" s="1691"/>
      <c r="AS426" s="1691"/>
      <c r="AT426" s="1691"/>
    </row>
    <row r="427">
      <c r="A427" s="1419"/>
      <c r="B427" s="1697"/>
      <c r="C427" s="1698"/>
      <c r="D427" s="1698"/>
      <c r="E427" s="1689"/>
      <c r="F427" s="1689"/>
      <c r="G427" s="1689"/>
      <c r="H427" s="1689"/>
      <c r="I427" s="1689"/>
      <c r="J427" s="1689"/>
      <c r="K427" s="1689"/>
      <c r="L427" s="1689"/>
      <c r="M427" s="1689"/>
      <c r="N427" s="1689"/>
      <c r="O427" s="1689"/>
      <c r="P427" s="1689"/>
      <c r="Q427" s="1689"/>
      <c r="R427" s="1689"/>
      <c r="S427" s="1689"/>
      <c r="T427" s="1689"/>
      <c r="U427" s="1689"/>
      <c r="V427" s="1689"/>
      <c r="W427" s="1689"/>
      <c r="X427" s="1689"/>
      <c r="Y427" s="1689"/>
      <c r="Z427" s="1689"/>
      <c r="AA427" s="1689"/>
      <c r="AB427" s="1689"/>
      <c r="AC427" s="1689"/>
      <c r="AD427" s="1689"/>
      <c r="AE427" s="1689"/>
      <c r="AF427" s="1689"/>
      <c r="AG427" s="1689"/>
      <c r="AH427" s="1689"/>
      <c r="AI427" s="1689"/>
      <c r="AJ427" s="1689"/>
      <c r="AK427" s="1689"/>
      <c r="AL427" s="1689"/>
      <c r="AM427" s="1689"/>
      <c r="AN427" s="1689"/>
      <c r="AO427" s="1689"/>
      <c r="AP427" s="1689"/>
      <c r="AQ427" s="1689"/>
      <c r="AR427" s="1689"/>
      <c r="AS427" s="1689"/>
      <c r="AT427" s="1689"/>
    </row>
    <row r="428">
      <c r="A428" s="1419"/>
      <c r="B428" s="1699"/>
      <c r="C428" s="1700"/>
      <c r="D428" s="1700"/>
      <c r="E428" s="1691"/>
      <c r="F428" s="1691"/>
      <c r="G428" s="1691"/>
      <c r="H428" s="1691"/>
      <c r="I428" s="1691"/>
      <c r="J428" s="1691"/>
      <c r="K428" s="1691"/>
      <c r="L428" s="1691"/>
      <c r="M428" s="1691"/>
      <c r="N428" s="1691"/>
      <c r="O428" s="1691"/>
      <c r="P428" s="1691"/>
      <c r="Q428" s="1691"/>
      <c r="R428" s="1691"/>
      <c r="S428" s="1691"/>
      <c r="T428" s="1691"/>
      <c r="U428" s="1691"/>
      <c r="V428" s="1691"/>
      <c r="W428" s="1691"/>
      <c r="X428" s="1691"/>
      <c r="Y428" s="1691"/>
      <c r="Z428" s="1691"/>
      <c r="AA428" s="1691"/>
      <c r="AB428" s="1691"/>
      <c r="AC428" s="1691"/>
      <c r="AD428" s="1691"/>
      <c r="AE428" s="1691"/>
      <c r="AF428" s="1691"/>
      <c r="AG428" s="1691"/>
      <c r="AH428" s="1691"/>
      <c r="AI428" s="1691"/>
      <c r="AJ428" s="1691"/>
      <c r="AK428" s="1691"/>
      <c r="AL428" s="1691"/>
      <c r="AM428" s="1691"/>
      <c r="AN428" s="1691"/>
      <c r="AO428" s="1691"/>
      <c r="AP428" s="1691"/>
      <c r="AQ428" s="1691"/>
      <c r="AR428" s="1691"/>
      <c r="AS428" s="1691"/>
      <c r="AT428" s="1691"/>
    </row>
    <row r="429">
      <c r="A429" s="1419"/>
      <c r="B429" s="1697"/>
      <c r="C429" s="1698"/>
      <c r="D429" s="1698"/>
      <c r="E429" s="1689"/>
      <c r="F429" s="1689"/>
      <c r="G429" s="1689"/>
      <c r="H429" s="1689"/>
      <c r="I429" s="1689"/>
      <c r="J429" s="1689"/>
      <c r="K429" s="1689"/>
      <c r="L429" s="1689"/>
      <c r="M429" s="1689"/>
      <c r="N429" s="1689"/>
      <c r="O429" s="1689"/>
      <c r="P429" s="1689"/>
      <c r="Q429" s="1689"/>
      <c r="R429" s="1689"/>
      <c r="S429" s="1689"/>
      <c r="T429" s="1689"/>
      <c r="U429" s="1689"/>
      <c r="V429" s="1689"/>
      <c r="W429" s="1689"/>
      <c r="X429" s="1689"/>
      <c r="Y429" s="1689"/>
      <c r="Z429" s="1689"/>
      <c r="AA429" s="1689"/>
      <c r="AB429" s="1689"/>
      <c r="AC429" s="1689"/>
      <c r="AD429" s="1689"/>
      <c r="AE429" s="1689"/>
      <c r="AF429" s="1689"/>
      <c r="AG429" s="1689"/>
      <c r="AH429" s="1689"/>
      <c r="AI429" s="1689"/>
      <c r="AJ429" s="1689"/>
      <c r="AK429" s="1689"/>
      <c r="AL429" s="1689"/>
      <c r="AM429" s="1689"/>
      <c r="AN429" s="1689"/>
      <c r="AO429" s="1689"/>
      <c r="AP429" s="1689"/>
      <c r="AQ429" s="1689"/>
      <c r="AR429" s="1689"/>
      <c r="AS429" s="1689"/>
      <c r="AT429" s="1689"/>
    </row>
    <row r="430">
      <c r="A430" s="1419"/>
      <c r="B430" s="1699"/>
      <c r="C430" s="1700"/>
      <c r="D430" s="1700"/>
      <c r="E430" s="1691"/>
      <c r="F430" s="1691"/>
      <c r="G430" s="1691"/>
      <c r="H430" s="1691"/>
      <c r="I430" s="1691"/>
      <c r="J430" s="1691"/>
      <c r="K430" s="1691"/>
      <c r="L430" s="1691"/>
      <c r="M430" s="1691"/>
      <c r="N430" s="1691"/>
      <c r="O430" s="1691"/>
      <c r="P430" s="1691"/>
      <c r="Q430" s="1691"/>
      <c r="R430" s="1691"/>
      <c r="S430" s="1691"/>
      <c r="T430" s="1691"/>
      <c r="U430" s="1691"/>
      <c r="V430" s="1691"/>
      <c r="W430" s="1691"/>
      <c r="X430" s="1691"/>
      <c r="Y430" s="1691"/>
      <c r="Z430" s="1691"/>
      <c r="AA430" s="1691"/>
      <c r="AB430" s="1691"/>
      <c r="AC430" s="1691"/>
      <c r="AD430" s="1691"/>
      <c r="AE430" s="1691"/>
      <c r="AF430" s="1691"/>
      <c r="AG430" s="1691"/>
      <c r="AH430" s="1691"/>
      <c r="AI430" s="1691"/>
      <c r="AJ430" s="1691"/>
      <c r="AK430" s="1691"/>
      <c r="AL430" s="1691"/>
      <c r="AM430" s="1691"/>
      <c r="AN430" s="1691"/>
      <c r="AO430" s="1691"/>
      <c r="AP430" s="1691"/>
      <c r="AQ430" s="1691"/>
      <c r="AR430" s="1691"/>
      <c r="AS430" s="1691"/>
      <c r="AT430" s="1691"/>
    </row>
    <row r="431">
      <c r="A431" s="1419"/>
      <c r="B431" s="1697"/>
      <c r="C431" s="1698"/>
      <c r="D431" s="1698"/>
      <c r="E431" s="1689"/>
      <c r="F431" s="1689"/>
      <c r="G431" s="1689"/>
      <c r="H431" s="1689"/>
      <c r="I431" s="1689"/>
      <c r="J431" s="1689"/>
      <c r="K431" s="1689"/>
      <c r="L431" s="1689"/>
      <c r="M431" s="1689"/>
      <c r="N431" s="1689"/>
      <c r="O431" s="1689"/>
      <c r="P431" s="1689"/>
      <c r="Q431" s="1689"/>
      <c r="R431" s="1689"/>
      <c r="S431" s="1689"/>
      <c r="T431" s="1689"/>
      <c r="U431" s="1689"/>
      <c r="V431" s="1689"/>
      <c r="W431" s="1689"/>
      <c r="X431" s="1689"/>
      <c r="Y431" s="1689"/>
      <c r="Z431" s="1689"/>
      <c r="AA431" s="1689"/>
      <c r="AB431" s="1689"/>
      <c r="AC431" s="1689"/>
      <c r="AD431" s="1689"/>
      <c r="AE431" s="1689"/>
      <c r="AF431" s="1689"/>
      <c r="AG431" s="1689"/>
      <c r="AH431" s="1689"/>
      <c r="AI431" s="1689"/>
      <c r="AJ431" s="1689"/>
      <c r="AK431" s="1689"/>
      <c r="AL431" s="1689"/>
      <c r="AM431" s="1689"/>
      <c r="AN431" s="1689"/>
      <c r="AO431" s="1689"/>
      <c r="AP431" s="1689"/>
      <c r="AQ431" s="1689"/>
      <c r="AR431" s="1689"/>
      <c r="AS431" s="1689"/>
      <c r="AT431" s="1689"/>
    </row>
    <row r="432">
      <c r="A432" s="1419"/>
      <c r="B432" s="1699"/>
      <c r="C432" s="1700"/>
      <c r="D432" s="1700"/>
      <c r="E432" s="1691"/>
      <c r="F432" s="1691"/>
      <c r="G432" s="1691"/>
      <c r="H432" s="1691"/>
      <c r="I432" s="1691"/>
      <c r="J432" s="1691"/>
      <c r="K432" s="1691"/>
      <c r="L432" s="1691"/>
      <c r="M432" s="1691"/>
      <c r="N432" s="1691"/>
      <c r="O432" s="1691"/>
      <c r="P432" s="1691"/>
      <c r="Q432" s="1691"/>
      <c r="R432" s="1691"/>
      <c r="S432" s="1691"/>
      <c r="T432" s="1691"/>
      <c r="U432" s="1691"/>
      <c r="V432" s="1691"/>
      <c r="W432" s="1691"/>
      <c r="X432" s="1691"/>
      <c r="Y432" s="1691"/>
      <c r="Z432" s="1691"/>
      <c r="AA432" s="1691"/>
      <c r="AB432" s="1691"/>
      <c r="AC432" s="1691"/>
      <c r="AD432" s="1691"/>
      <c r="AE432" s="1691"/>
      <c r="AF432" s="1691"/>
      <c r="AG432" s="1691"/>
      <c r="AH432" s="1691"/>
      <c r="AI432" s="1691"/>
      <c r="AJ432" s="1691"/>
      <c r="AK432" s="1691"/>
      <c r="AL432" s="1691"/>
      <c r="AM432" s="1691"/>
      <c r="AN432" s="1691"/>
      <c r="AO432" s="1691"/>
      <c r="AP432" s="1691"/>
      <c r="AQ432" s="1691"/>
      <c r="AR432" s="1691"/>
      <c r="AS432" s="1691"/>
      <c r="AT432" s="1691"/>
    </row>
    <row r="433">
      <c r="A433" s="1419"/>
      <c r="B433" s="1697"/>
      <c r="C433" s="1698"/>
      <c r="D433" s="1698"/>
      <c r="E433" s="1689"/>
      <c r="F433" s="1689"/>
      <c r="G433" s="1689"/>
      <c r="H433" s="1689"/>
      <c r="I433" s="1689"/>
      <c r="J433" s="1689"/>
      <c r="K433" s="1689"/>
      <c r="L433" s="1689"/>
      <c r="M433" s="1689"/>
      <c r="N433" s="1689"/>
      <c r="O433" s="1689"/>
      <c r="P433" s="1689"/>
      <c r="Q433" s="1689"/>
      <c r="R433" s="1689"/>
      <c r="S433" s="1689"/>
      <c r="T433" s="1689"/>
      <c r="U433" s="1689"/>
      <c r="V433" s="1689"/>
      <c r="W433" s="1689"/>
      <c r="X433" s="1689"/>
      <c r="Y433" s="1689"/>
      <c r="Z433" s="1689"/>
      <c r="AA433" s="1689"/>
      <c r="AB433" s="1689"/>
      <c r="AC433" s="1689"/>
      <c r="AD433" s="1689"/>
      <c r="AE433" s="1689"/>
      <c r="AF433" s="1689"/>
      <c r="AG433" s="1689"/>
      <c r="AH433" s="1689"/>
      <c r="AI433" s="1689"/>
      <c r="AJ433" s="1689"/>
      <c r="AK433" s="1689"/>
      <c r="AL433" s="1689"/>
      <c r="AM433" s="1689"/>
      <c r="AN433" s="1689"/>
      <c r="AO433" s="1689"/>
      <c r="AP433" s="1689"/>
      <c r="AQ433" s="1689"/>
      <c r="AR433" s="1689"/>
      <c r="AS433" s="1689"/>
      <c r="AT433" s="1689"/>
    </row>
    <row r="434">
      <c r="A434" s="1419"/>
      <c r="B434" s="1699"/>
      <c r="C434" s="1700"/>
      <c r="D434" s="1700"/>
      <c r="E434" s="1691"/>
      <c r="F434" s="1691"/>
      <c r="G434" s="1691"/>
      <c r="H434" s="1691"/>
      <c r="I434" s="1691"/>
      <c r="J434" s="1691"/>
      <c r="K434" s="1691"/>
      <c r="L434" s="1691"/>
      <c r="M434" s="1691"/>
      <c r="N434" s="1691"/>
      <c r="O434" s="1691"/>
      <c r="P434" s="1691"/>
      <c r="Q434" s="1691"/>
      <c r="R434" s="1691"/>
      <c r="S434" s="1691"/>
      <c r="T434" s="1691"/>
      <c r="U434" s="1691"/>
      <c r="V434" s="1691"/>
      <c r="W434" s="1691"/>
      <c r="X434" s="1691"/>
      <c r="Y434" s="1691"/>
      <c r="Z434" s="1691"/>
      <c r="AA434" s="1691"/>
      <c r="AB434" s="1691"/>
      <c r="AC434" s="1691"/>
      <c r="AD434" s="1691"/>
      <c r="AE434" s="1691"/>
      <c r="AF434" s="1691"/>
      <c r="AG434" s="1691"/>
      <c r="AH434" s="1691"/>
      <c r="AI434" s="1691"/>
      <c r="AJ434" s="1691"/>
      <c r="AK434" s="1691"/>
      <c r="AL434" s="1691"/>
      <c r="AM434" s="1691"/>
      <c r="AN434" s="1691"/>
      <c r="AO434" s="1691"/>
      <c r="AP434" s="1691"/>
      <c r="AQ434" s="1691"/>
      <c r="AR434" s="1691"/>
      <c r="AS434" s="1691"/>
      <c r="AT434" s="1691"/>
    </row>
    <row r="435">
      <c r="A435" s="1419"/>
      <c r="B435" s="1697"/>
      <c r="C435" s="1698"/>
      <c r="D435" s="1698"/>
      <c r="E435" s="1689"/>
      <c r="F435" s="1689"/>
      <c r="G435" s="1689"/>
      <c r="H435" s="1689"/>
      <c r="I435" s="1689"/>
      <c r="J435" s="1689"/>
      <c r="K435" s="1689"/>
      <c r="L435" s="1689"/>
      <c r="M435" s="1689"/>
      <c r="N435" s="1689"/>
      <c r="O435" s="1689"/>
      <c r="P435" s="1689"/>
      <c r="Q435" s="1689"/>
      <c r="R435" s="1689"/>
      <c r="S435" s="1689"/>
      <c r="T435" s="1689"/>
      <c r="U435" s="1689"/>
      <c r="V435" s="1689"/>
      <c r="W435" s="1689"/>
      <c r="X435" s="1689"/>
      <c r="Y435" s="1689"/>
      <c r="Z435" s="1689"/>
      <c r="AA435" s="1689"/>
      <c r="AB435" s="1689"/>
      <c r="AC435" s="1689"/>
      <c r="AD435" s="1689"/>
      <c r="AE435" s="1689"/>
      <c r="AF435" s="1689"/>
      <c r="AG435" s="1689"/>
      <c r="AH435" s="1689"/>
      <c r="AI435" s="1689"/>
      <c r="AJ435" s="1689"/>
      <c r="AK435" s="1689"/>
      <c r="AL435" s="1689"/>
      <c r="AM435" s="1689"/>
      <c r="AN435" s="1689"/>
      <c r="AO435" s="1689"/>
      <c r="AP435" s="1689"/>
      <c r="AQ435" s="1689"/>
      <c r="AR435" s="1689"/>
      <c r="AS435" s="1689"/>
      <c r="AT435" s="1689"/>
    </row>
    <row r="436">
      <c r="A436" s="1419"/>
      <c r="B436" s="1699"/>
      <c r="C436" s="1700"/>
      <c r="D436" s="1700"/>
      <c r="E436" s="1691"/>
      <c r="F436" s="1691"/>
      <c r="G436" s="1691"/>
      <c r="H436" s="1691"/>
      <c r="I436" s="1691"/>
      <c r="J436" s="1691"/>
      <c r="K436" s="1691"/>
      <c r="L436" s="1691"/>
      <c r="M436" s="1691"/>
      <c r="N436" s="1691"/>
      <c r="O436" s="1691"/>
      <c r="P436" s="1691"/>
      <c r="Q436" s="1691"/>
      <c r="R436" s="1691"/>
      <c r="S436" s="1691"/>
      <c r="T436" s="1691"/>
      <c r="U436" s="1691"/>
      <c r="V436" s="1691"/>
      <c r="W436" s="1691"/>
      <c r="X436" s="1691"/>
      <c r="Y436" s="1691"/>
      <c r="Z436" s="1691"/>
      <c r="AA436" s="1691"/>
      <c r="AB436" s="1691"/>
      <c r="AC436" s="1691"/>
      <c r="AD436" s="1691"/>
      <c r="AE436" s="1691"/>
      <c r="AF436" s="1691"/>
      <c r="AG436" s="1691"/>
      <c r="AH436" s="1691"/>
      <c r="AI436" s="1691"/>
      <c r="AJ436" s="1691"/>
      <c r="AK436" s="1691"/>
      <c r="AL436" s="1691"/>
      <c r="AM436" s="1691"/>
      <c r="AN436" s="1691"/>
      <c r="AO436" s="1691"/>
      <c r="AP436" s="1691"/>
      <c r="AQ436" s="1691"/>
      <c r="AR436" s="1691"/>
      <c r="AS436" s="1691"/>
      <c r="AT436" s="1691"/>
    </row>
    <row r="437">
      <c r="A437" s="1419"/>
      <c r="B437" s="1697"/>
      <c r="C437" s="1698"/>
      <c r="D437" s="1698"/>
      <c r="E437" s="1689"/>
      <c r="F437" s="1689"/>
      <c r="G437" s="1689"/>
      <c r="H437" s="1689"/>
      <c r="I437" s="1689"/>
      <c r="J437" s="1689"/>
      <c r="K437" s="1689"/>
      <c r="L437" s="1689"/>
      <c r="M437" s="1689"/>
      <c r="N437" s="1689"/>
      <c r="O437" s="1689"/>
      <c r="P437" s="1689"/>
      <c r="Q437" s="1689"/>
      <c r="R437" s="1689"/>
      <c r="S437" s="1689"/>
      <c r="T437" s="1689"/>
      <c r="U437" s="1689"/>
      <c r="V437" s="1689"/>
      <c r="W437" s="1689"/>
      <c r="X437" s="1689"/>
      <c r="Y437" s="1689"/>
      <c r="Z437" s="1689"/>
      <c r="AA437" s="1689"/>
      <c r="AB437" s="1689"/>
      <c r="AC437" s="1689"/>
      <c r="AD437" s="1689"/>
      <c r="AE437" s="1689"/>
      <c r="AF437" s="1689"/>
      <c r="AG437" s="1689"/>
      <c r="AH437" s="1689"/>
      <c r="AI437" s="1689"/>
      <c r="AJ437" s="1689"/>
      <c r="AK437" s="1689"/>
      <c r="AL437" s="1689"/>
      <c r="AM437" s="1689"/>
      <c r="AN437" s="1689"/>
      <c r="AO437" s="1689"/>
      <c r="AP437" s="1689"/>
      <c r="AQ437" s="1689"/>
      <c r="AR437" s="1689"/>
      <c r="AS437" s="1689"/>
      <c r="AT437" s="1689"/>
    </row>
    <row r="438">
      <c r="A438" s="1419"/>
      <c r="B438" s="1699"/>
      <c r="C438" s="1700"/>
      <c r="D438" s="1700"/>
      <c r="E438" s="1691"/>
      <c r="F438" s="1691"/>
      <c r="G438" s="1691"/>
      <c r="H438" s="1691"/>
      <c r="I438" s="1691"/>
      <c r="J438" s="1691"/>
      <c r="K438" s="1691"/>
      <c r="L438" s="1691"/>
      <c r="M438" s="1691"/>
      <c r="N438" s="1691"/>
      <c r="O438" s="1691"/>
      <c r="P438" s="1691"/>
      <c r="Q438" s="1691"/>
      <c r="R438" s="1691"/>
      <c r="S438" s="1691"/>
      <c r="T438" s="1691"/>
      <c r="U438" s="1691"/>
      <c r="V438" s="1691"/>
      <c r="W438" s="1691"/>
      <c r="X438" s="1691"/>
      <c r="Y438" s="1691"/>
      <c r="Z438" s="1691"/>
      <c r="AA438" s="1691"/>
      <c r="AB438" s="1691"/>
      <c r="AC438" s="1691"/>
      <c r="AD438" s="1691"/>
      <c r="AE438" s="1691"/>
      <c r="AF438" s="1691"/>
      <c r="AG438" s="1691"/>
      <c r="AH438" s="1691"/>
      <c r="AI438" s="1691"/>
      <c r="AJ438" s="1691"/>
      <c r="AK438" s="1691"/>
      <c r="AL438" s="1691"/>
      <c r="AM438" s="1691"/>
      <c r="AN438" s="1691"/>
      <c r="AO438" s="1691"/>
      <c r="AP438" s="1691"/>
      <c r="AQ438" s="1691"/>
      <c r="AR438" s="1691"/>
      <c r="AS438" s="1691"/>
      <c r="AT438" s="1691"/>
    </row>
    <row r="439">
      <c r="A439" s="1419"/>
      <c r="B439" s="1697"/>
      <c r="C439" s="1698"/>
      <c r="D439" s="1698"/>
      <c r="E439" s="1689"/>
      <c r="F439" s="1689"/>
      <c r="G439" s="1689"/>
      <c r="H439" s="1689"/>
      <c r="I439" s="1689"/>
      <c r="J439" s="1689"/>
      <c r="K439" s="1689"/>
      <c r="L439" s="1689"/>
      <c r="M439" s="1689"/>
      <c r="N439" s="1689"/>
      <c r="O439" s="1689"/>
      <c r="P439" s="1689"/>
      <c r="Q439" s="1689"/>
      <c r="R439" s="1689"/>
      <c r="S439" s="1689"/>
      <c r="T439" s="1689"/>
      <c r="U439" s="1689"/>
      <c r="V439" s="1689"/>
      <c r="W439" s="1689"/>
      <c r="X439" s="1689"/>
      <c r="Y439" s="1689"/>
      <c r="Z439" s="1689"/>
      <c r="AA439" s="1689"/>
      <c r="AB439" s="1689"/>
      <c r="AC439" s="1689"/>
      <c r="AD439" s="1689"/>
      <c r="AE439" s="1689"/>
      <c r="AF439" s="1689"/>
      <c r="AG439" s="1689"/>
      <c r="AH439" s="1689"/>
      <c r="AI439" s="1689"/>
      <c r="AJ439" s="1689"/>
      <c r="AK439" s="1689"/>
      <c r="AL439" s="1689"/>
      <c r="AM439" s="1689"/>
      <c r="AN439" s="1689"/>
      <c r="AO439" s="1689"/>
      <c r="AP439" s="1689"/>
      <c r="AQ439" s="1689"/>
      <c r="AR439" s="1689"/>
      <c r="AS439" s="1689"/>
      <c r="AT439" s="1689"/>
    </row>
    <row r="440">
      <c r="A440" s="1419"/>
      <c r="B440" s="1699"/>
      <c r="C440" s="1700"/>
      <c r="D440" s="1700"/>
      <c r="E440" s="1691"/>
      <c r="F440" s="1691"/>
      <c r="G440" s="1691"/>
      <c r="H440" s="1691"/>
      <c r="I440" s="1691"/>
      <c r="J440" s="1691"/>
      <c r="K440" s="1691"/>
      <c r="L440" s="1691"/>
      <c r="M440" s="1691"/>
      <c r="N440" s="1691"/>
      <c r="O440" s="1691"/>
      <c r="P440" s="1691"/>
      <c r="Q440" s="1691"/>
      <c r="R440" s="1691"/>
      <c r="S440" s="1691"/>
      <c r="T440" s="1691"/>
      <c r="U440" s="1691"/>
      <c r="V440" s="1691"/>
      <c r="W440" s="1691"/>
      <c r="X440" s="1691"/>
      <c r="Y440" s="1691"/>
      <c r="Z440" s="1691"/>
      <c r="AA440" s="1691"/>
      <c r="AB440" s="1691"/>
      <c r="AC440" s="1691"/>
      <c r="AD440" s="1691"/>
      <c r="AE440" s="1691"/>
      <c r="AF440" s="1691"/>
      <c r="AG440" s="1691"/>
      <c r="AH440" s="1691"/>
      <c r="AI440" s="1691"/>
      <c r="AJ440" s="1691"/>
      <c r="AK440" s="1691"/>
      <c r="AL440" s="1691"/>
      <c r="AM440" s="1691"/>
      <c r="AN440" s="1691"/>
      <c r="AO440" s="1691"/>
      <c r="AP440" s="1691"/>
      <c r="AQ440" s="1691"/>
      <c r="AR440" s="1691"/>
      <c r="AS440" s="1691"/>
      <c r="AT440" s="1691"/>
    </row>
    <row r="441">
      <c r="A441" s="1419"/>
      <c r="B441" s="1697"/>
      <c r="C441" s="1698"/>
      <c r="D441" s="1698"/>
      <c r="E441" s="1689"/>
      <c r="F441" s="1689"/>
      <c r="G441" s="1689"/>
      <c r="H441" s="1689"/>
      <c r="I441" s="1689"/>
      <c r="J441" s="1689"/>
      <c r="K441" s="1689"/>
      <c r="L441" s="1689"/>
      <c r="M441" s="1689"/>
      <c r="N441" s="1689"/>
      <c r="O441" s="1689"/>
      <c r="P441" s="1689"/>
      <c r="Q441" s="1689"/>
      <c r="R441" s="1689"/>
      <c r="S441" s="1689"/>
      <c r="T441" s="1689"/>
      <c r="U441" s="1689"/>
      <c r="V441" s="1689"/>
      <c r="W441" s="1689"/>
      <c r="X441" s="1689"/>
      <c r="Y441" s="1689"/>
      <c r="Z441" s="1689"/>
      <c r="AA441" s="1689"/>
      <c r="AB441" s="1689"/>
      <c r="AC441" s="1689"/>
      <c r="AD441" s="1689"/>
      <c r="AE441" s="1689"/>
      <c r="AF441" s="1689"/>
      <c r="AG441" s="1689"/>
      <c r="AH441" s="1689"/>
      <c r="AI441" s="1689"/>
      <c r="AJ441" s="1689"/>
      <c r="AK441" s="1689"/>
      <c r="AL441" s="1689"/>
      <c r="AM441" s="1689"/>
      <c r="AN441" s="1689"/>
      <c r="AO441" s="1689"/>
      <c r="AP441" s="1689"/>
      <c r="AQ441" s="1689"/>
      <c r="AR441" s="1689"/>
      <c r="AS441" s="1689"/>
      <c r="AT441" s="1689"/>
    </row>
    <row r="442">
      <c r="A442" s="1419"/>
      <c r="B442" s="1699"/>
      <c r="C442" s="1700"/>
      <c r="D442" s="1700"/>
      <c r="E442" s="1691"/>
      <c r="F442" s="1691"/>
      <c r="G442" s="1691"/>
      <c r="H442" s="1691"/>
      <c r="I442" s="1691"/>
      <c r="J442" s="1691"/>
      <c r="K442" s="1691"/>
      <c r="L442" s="1691"/>
      <c r="M442" s="1691"/>
      <c r="N442" s="1691"/>
      <c r="O442" s="1691"/>
      <c r="P442" s="1691"/>
      <c r="Q442" s="1691"/>
      <c r="R442" s="1691"/>
      <c r="S442" s="1691"/>
      <c r="T442" s="1691"/>
      <c r="U442" s="1691"/>
      <c r="V442" s="1691"/>
      <c r="W442" s="1691"/>
      <c r="X442" s="1691"/>
      <c r="Y442" s="1691"/>
      <c r="Z442" s="1691"/>
      <c r="AA442" s="1691"/>
      <c r="AB442" s="1691"/>
      <c r="AC442" s="1691"/>
      <c r="AD442" s="1691"/>
      <c r="AE442" s="1691"/>
      <c r="AF442" s="1691"/>
      <c r="AG442" s="1691"/>
      <c r="AH442" s="1691"/>
      <c r="AI442" s="1691"/>
      <c r="AJ442" s="1691"/>
      <c r="AK442" s="1691"/>
      <c r="AL442" s="1691"/>
      <c r="AM442" s="1691"/>
      <c r="AN442" s="1691"/>
      <c r="AO442" s="1691"/>
      <c r="AP442" s="1691"/>
      <c r="AQ442" s="1691"/>
      <c r="AR442" s="1691"/>
      <c r="AS442" s="1691"/>
      <c r="AT442" s="1691"/>
    </row>
    <row r="443">
      <c r="A443" s="1419"/>
      <c r="B443" s="1697"/>
      <c r="C443" s="1698"/>
      <c r="D443" s="1698"/>
      <c r="E443" s="1689"/>
      <c r="F443" s="1689"/>
      <c r="G443" s="1689"/>
      <c r="H443" s="1689"/>
      <c r="I443" s="1689"/>
      <c r="J443" s="1689"/>
      <c r="K443" s="1689"/>
      <c r="L443" s="1689"/>
      <c r="M443" s="1689"/>
      <c r="N443" s="1689"/>
      <c r="O443" s="1689"/>
      <c r="P443" s="1689"/>
      <c r="Q443" s="1689"/>
      <c r="R443" s="1689"/>
      <c r="S443" s="1689"/>
      <c r="T443" s="1689"/>
      <c r="U443" s="1689"/>
      <c r="V443" s="1689"/>
      <c r="W443" s="1689"/>
      <c r="X443" s="1689"/>
      <c r="Y443" s="1689"/>
      <c r="Z443" s="1689"/>
      <c r="AA443" s="1689"/>
      <c r="AB443" s="1689"/>
      <c r="AC443" s="1689"/>
      <c r="AD443" s="1689"/>
      <c r="AE443" s="1689"/>
      <c r="AF443" s="1689"/>
      <c r="AG443" s="1689"/>
      <c r="AH443" s="1689"/>
      <c r="AI443" s="1689"/>
      <c r="AJ443" s="1689"/>
      <c r="AK443" s="1689"/>
      <c r="AL443" s="1689"/>
      <c r="AM443" s="1689"/>
      <c r="AN443" s="1689"/>
      <c r="AO443" s="1689"/>
      <c r="AP443" s="1689"/>
      <c r="AQ443" s="1689"/>
      <c r="AR443" s="1689"/>
      <c r="AS443" s="1689"/>
      <c r="AT443" s="1689"/>
    </row>
    <row r="444">
      <c r="A444" s="1419"/>
      <c r="B444" s="1699"/>
      <c r="C444" s="1700"/>
      <c r="D444" s="1700"/>
      <c r="E444" s="1691"/>
      <c r="F444" s="1691"/>
      <c r="G444" s="1691"/>
      <c r="H444" s="1691"/>
      <c r="I444" s="1691"/>
      <c r="J444" s="1691"/>
      <c r="K444" s="1691"/>
      <c r="L444" s="1691"/>
      <c r="M444" s="1691"/>
      <c r="N444" s="1691"/>
      <c r="O444" s="1691"/>
      <c r="P444" s="1691"/>
      <c r="Q444" s="1691"/>
      <c r="R444" s="1691"/>
      <c r="S444" s="1691"/>
      <c r="T444" s="1691"/>
      <c r="U444" s="1691"/>
      <c r="V444" s="1691"/>
      <c r="W444" s="1691"/>
      <c r="X444" s="1691"/>
      <c r="Y444" s="1691"/>
      <c r="Z444" s="1691"/>
      <c r="AA444" s="1691"/>
      <c r="AB444" s="1691"/>
      <c r="AC444" s="1691"/>
      <c r="AD444" s="1691"/>
      <c r="AE444" s="1691"/>
      <c r="AF444" s="1691"/>
      <c r="AG444" s="1691"/>
      <c r="AH444" s="1691"/>
      <c r="AI444" s="1691"/>
      <c r="AJ444" s="1691"/>
      <c r="AK444" s="1691"/>
      <c r="AL444" s="1691"/>
      <c r="AM444" s="1691"/>
      <c r="AN444" s="1691"/>
      <c r="AO444" s="1691"/>
      <c r="AP444" s="1691"/>
      <c r="AQ444" s="1691"/>
      <c r="AR444" s="1691"/>
      <c r="AS444" s="1691"/>
      <c r="AT444" s="1691"/>
    </row>
    <row r="445">
      <c r="A445" s="1419"/>
      <c r="B445" s="1697"/>
      <c r="C445" s="1698"/>
      <c r="D445" s="1698"/>
      <c r="E445" s="1689"/>
      <c r="F445" s="1689"/>
      <c r="G445" s="1689"/>
      <c r="H445" s="1689"/>
      <c r="I445" s="1689"/>
      <c r="J445" s="1689"/>
      <c r="K445" s="1689"/>
      <c r="L445" s="1689"/>
      <c r="M445" s="1689"/>
      <c r="N445" s="1689"/>
      <c r="O445" s="1689"/>
      <c r="P445" s="1689"/>
      <c r="Q445" s="1689"/>
      <c r="R445" s="1689"/>
      <c r="S445" s="1689"/>
      <c r="T445" s="1689"/>
      <c r="U445" s="1689"/>
      <c r="V445" s="1689"/>
      <c r="W445" s="1689"/>
      <c r="X445" s="1689"/>
      <c r="Y445" s="1689"/>
      <c r="Z445" s="1689"/>
      <c r="AA445" s="1689"/>
      <c r="AB445" s="1689"/>
      <c r="AC445" s="1689"/>
      <c r="AD445" s="1689"/>
      <c r="AE445" s="1689"/>
      <c r="AF445" s="1689"/>
      <c r="AG445" s="1689"/>
      <c r="AH445" s="1689"/>
      <c r="AI445" s="1689"/>
      <c r="AJ445" s="1689"/>
      <c r="AK445" s="1689"/>
      <c r="AL445" s="1689"/>
      <c r="AM445" s="1689"/>
      <c r="AN445" s="1689"/>
      <c r="AO445" s="1689"/>
      <c r="AP445" s="1689"/>
      <c r="AQ445" s="1689"/>
      <c r="AR445" s="1689"/>
      <c r="AS445" s="1689"/>
      <c r="AT445" s="1689"/>
    </row>
    <row r="446">
      <c r="A446" s="1419"/>
      <c r="B446" s="1699"/>
      <c r="C446" s="1700"/>
      <c r="D446" s="1700"/>
      <c r="E446" s="1691"/>
      <c r="F446" s="1691"/>
      <c r="G446" s="1691"/>
      <c r="H446" s="1691"/>
      <c r="I446" s="1691"/>
      <c r="J446" s="1691"/>
      <c r="K446" s="1691"/>
      <c r="L446" s="1691"/>
      <c r="M446" s="1691"/>
      <c r="N446" s="1691"/>
      <c r="O446" s="1691"/>
      <c r="P446" s="1691"/>
      <c r="Q446" s="1691"/>
      <c r="R446" s="1691"/>
      <c r="S446" s="1691"/>
      <c r="T446" s="1691"/>
      <c r="U446" s="1691"/>
      <c r="V446" s="1691"/>
      <c r="W446" s="1691"/>
      <c r="X446" s="1691"/>
      <c r="Y446" s="1691"/>
      <c r="Z446" s="1691"/>
      <c r="AA446" s="1691"/>
      <c r="AB446" s="1691"/>
      <c r="AC446" s="1691"/>
      <c r="AD446" s="1691"/>
      <c r="AE446" s="1691"/>
      <c r="AF446" s="1691"/>
      <c r="AG446" s="1691"/>
      <c r="AH446" s="1691"/>
      <c r="AI446" s="1691"/>
      <c r="AJ446" s="1691"/>
      <c r="AK446" s="1691"/>
      <c r="AL446" s="1691"/>
      <c r="AM446" s="1691"/>
      <c r="AN446" s="1691"/>
      <c r="AO446" s="1691"/>
      <c r="AP446" s="1691"/>
      <c r="AQ446" s="1691"/>
      <c r="AR446" s="1691"/>
      <c r="AS446" s="1691"/>
      <c r="AT446" s="1691"/>
    </row>
    <row r="447">
      <c r="A447" s="1419"/>
      <c r="B447" s="1697"/>
      <c r="C447" s="1698"/>
      <c r="D447" s="1698"/>
      <c r="E447" s="1689"/>
      <c r="F447" s="1689"/>
      <c r="G447" s="1689"/>
      <c r="H447" s="1689"/>
      <c r="I447" s="1689"/>
      <c r="J447" s="1689"/>
      <c r="K447" s="1689"/>
      <c r="L447" s="1689"/>
      <c r="M447" s="1689"/>
      <c r="N447" s="1689"/>
      <c r="O447" s="1689"/>
      <c r="P447" s="1689"/>
      <c r="Q447" s="1689"/>
      <c r="R447" s="1689"/>
      <c r="S447" s="1689"/>
      <c r="T447" s="1689"/>
      <c r="U447" s="1689"/>
      <c r="V447" s="1689"/>
      <c r="W447" s="1689"/>
      <c r="X447" s="1689"/>
      <c r="Y447" s="1689"/>
      <c r="Z447" s="1689"/>
      <c r="AA447" s="1689"/>
      <c r="AB447" s="1689"/>
      <c r="AC447" s="1689"/>
      <c r="AD447" s="1689"/>
      <c r="AE447" s="1689"/>
      <c r="AF447" s="1689"/>
      <c r="AG447" s="1689"/>
      <c r="AH447" s="1689"/>
      <c r="AI447" s="1689"/>
      <c r="AJ447" s="1689"/>
      <c r="AK447" s="1689"/>
      <c r="AL447" s="1689"/>
      <c r="AM447" s="1689"/>
      <c r="AN447" s="1689"/>
      <c r="AO447" s="1689"/>
      <c r="AP447" s="1689"/>
      <c r="AQ447" s="1689"/>
      <c r="AR447" s="1689"/>
      <c r="AS447" s="1689"/>
      <c r="AT447" s="1689"/>
    </row>
    <row r="448">
      <c r="A448" s="1419"/>
      <c r="B448" s="1699"/>
      <c r="C448" s="1700"/>
      <c r="D448" s="1700"/>
      <c r="E448" s="1691"/>
      <c r="F448" s="1691"/>
      <c r="G448" s="1691"/>
      <c r="H448" s="1691"/>
      <c r="I448" s="1691"/>
      <c r="J448" s="1691"/>
      <c r="K448" s="1691"/>
      <c r="L448" s="1691"/>
      <c r="M448" s="1691"/>
      <c r="N448" s="1691"/>
      <c r="O448" s="1691"/>
      <c r="P448" s="1691"/>
      <c r="Q448" s="1691"/>
      <c r="R448" s="1691"/>
      <c r="S448" s="1691"/>
      <c r="T448" s="1691"/>
      <c r="U448" s="1691"/>
      <c r="V448" s="1691"/>
      <c r="W448" s="1691"/>
      <c r="X448" s="1691"/>
      <c r="Y448" s="1691"/>
      <c r="Z448" s="1691"/>
      <c r="AA448" s="1691"/>
      <c r="AB448" s="1691"/>
      <c r="AC448" s="1691"/>
      <c r="AD448" s="1691"/>
      <c r="AE448" s="1691"/>
      <c r="AF448" s="1691"/>
      <c r="AG448" s="1691"/>
      <c r="AH448" s="1691"/>
      <c r="AI448" s="1691"/>
      <c r="AJ448" s="1691"/>
      <c r="AK448" s="1691"/>
      <c r="AL448" s="1691"/>
      <c r="AM448" s="1691"/>
      <c r="AN448" s="1691"/>
      <c r="AO448" s="1691"/>
      <c r="AP448" s="1691"/>
      <c r="AQ448" s="1691"/>
      <c r="AR448" s="1691"/>
      <c r="AS448" s="1691"/>
      <c r="AT448" s="1691"/>
    </row>
    <row r="449">
      <c r="A449" s="1419"/>
      <c r="B449" s="1697"/>
      <c r="C449" s="1698"/>
      <c r="D449" s="1698"/>
      <c r="E449" s="1689"/>
      <c r="F449" s="1689"/>
      <c r="G449" s="1689"/>
      <c r="H449" s="1689"/>
      <c r="I449" s="1689"/>
      <c r="J449" s="1689"/>
      <c r="K449" s="1689"/>
      <c r="L449" s="1689"/>
      <c r="M449" s="1689"/>
      <c r="N449" s="1689"/>
      <c r="O449" s="1689"/>
      <c r="P449" s="1689"/>
      <c r="Q449" s="1689"/>
      <c r="R449" s="1689"/>
      <c r="S449" s="1689"/>
      <c r="T449" s="1689"/>
      <c r="U449" s="1689"/>
      <c r="V449" s="1689"/>
      <c r="W449" s="1689"/>
      <c r="X449" s="1689"/>
      <c r="Y449" s="1689"/>
      <c r="Z449" s="1689"/>
      <c r="AA449" s="1689"/>
      <c r="AB449" s="1689"/>
      <c r="AC449" s="1689"/>
      <c r="AD449" s="1689"/>
      <c r="AE449" s="1689"/>
      <c r="AF449" s="1689"/>
      <c r="AG449" s="1689"/>
      <c r="AH449" s="1689"/>
      <c r="AI449" s="1689"/>
      <c r="AJ449" s="1689"/>
      <c r="AK449" s="1689"/>
      <c r="AL449" s="1689"/>
      <c r="AM449" s="1689"/>
      <c r="AN449" s="1689"/>
      <c r="AO449" s="1689"/>
      <c r="AP449" s="1689"/>
      <c r="AQ449" s="1689"/>
      <c r="AR449" s="1689"/>
      <c r="AS449" s="1689"/>
      <c r="AT449" s="1689"/>
    </row>
    <row r="450">
      <c r="A450" s="1419"/>
      <c r="B450" s="1699"/>
      <c r="C450" s="1700"/>
      <c r="D450" s="1700"/>
      <c r="E450" s="1691"/>
      <c r="F450" s="1691"/>
      <c r="G450" s="1691"/>
      <c r="H450" s="1691"/>
      <c r="I450" s="1691"/>
      <c r="J450" s="1691"/>
      <c r="K450" s="1691"/>
      <c r="L450" s="1691"/>
      <c r="M450" s="1691"/>
      <c r="N450" s="1691"/>
      <c r="O450" s="1691"/>
      <c r="P450" s="1691"/>
      <c r="Q450" s="1691"/>
      <c r="R450" s="1691"/>
      <c r="S450" s="1691"/>
      <c r="T450" s="1691"/>
      <c r="U450" s="1691"/>
      <c r="V450" s="1691"/>
      <c r="W450" s="1691"/>
      <c r="X450" s="1691"/>
      <c r="Y450" s="1691"/>
      <c r="Z450" s="1691"/>
      <c r="AA450" s="1691"/>
      <c r="AB450" s="1691"/>
      <c r="AC450" s="1691"/>
      <c r="AD450" s="1691"/>
      <c r="AE450" s="1691"/>
      <c r="AF450" s="1691"/>
      <c r="AG450" s="1691"/>
      <c r="AH450" s="1691"/>
      <c r="AI450" s="1691"/>
      <c r="AJ450" s="1691"/>
      <c r="AK450" s="1691"/>
      <c r="AL450" s="1691"/>
      <c r="AM450" s="1691"/>
      <c r="AN450" s="1691"/>
      <c r="AO450" s="1691"/>
      <c r="AP450" s="1691"/>
      <c r="AQ450" s="1691"/>
      <c r="AR450" s="1691"/>
      <c r="AS450" s="1691"/>
      <c r="AT450" s="1691"/>
    </row>
    <row r="451">
      <c r="A451" s="1419"/>
      <c r="B451" s="1697"/>
      <c r="C451" s="1698"/>
      <c r="D451" s="1698"/>
      <c r="E451" s="1689"/>
      <c r="F451" s="1689"/>
      <c r="G451" s="1689"/>
      <c r="H451" s="1689"/>
      <c r="I451" s="1689"/>
      <c r="J451" s="1689"/>
      <c r="K451" s="1689"/>
      <c r="L451" s="1689"/>
      <c r="M451" s="1689"/>
      <c r="N451" s="1689"/>
      <c r="O451" s="1689"/>
      <c r="P451" s="1689"/>
      <c r="Q451" s="1689"/>
      <c r="R451" s="1689"/>
      <c r="S451" s="1689"/>
      <c r="T451" s="1689"/>
      <c r="U451" s="1689"/>
      <c r="V451" s="1689"/>
      <c r="W451" s="1689"/>
      <c r="X451" s="1689"/>
      <c r="Y451" s="1689"/>
      <c r="Z451" s="1689"/>
      <c r="AA451" s="1689"/>
      <c r="AB451" s="1689"/>
      <c r="AC451" s="1689"/>
      <c r="AD451" s="1689"/>
      <c r="AE451" s="1689"/>
      <c r="AF451" s="1689"/>
      <c r="AG451" s="1689"/>
      <c r="AH451" s="1689"/>
      <c r="AI451" s="1689"/>
      <c r="AJ451" s="1689"/>
      <c r="AK451" s="1689"/>
      <c r="AL451" s="1689"/>
      <c r="AM451" s="1689"/>
      <c r="AN451" s="1689"/>
      <c r="AO451" s="1689"/>
      <c r="AP451" s="1689"/>
      <c r="AQ451" s="1689"/>
      <c r="AR451" s="1689"/>
      <c r="AS451" s="1689"/>
      <c r="AT451" s="1689"/>
    </row>
    <row r="452">
      <c r="A452" s="1419"/>
      <c r="B452" s="1699"/>
      <c r="C452" s="1700"/>
      <c r="D452" s="1700"/>
      <c r="E452" s="1691"/>
      <c r="F452" s="1691"/>
      <c r="G452" s="1691"/>
      <c r="H452" s="1691"/>
      <c r="I452" s="1691"/>
      <c r="J452" s="1691"/>
      <c r="K452" s="1691"/>
      <c r="L452" s="1691"/>
      <c r="M452" s="1691"/>
      <c r="N452" s="1691"/>
      <c r="O452" s="1691"/>
      <c r="P452" s="1691"/>
      <c r="Q452" s="1691"/>
      <c r="R452" s="1691"/>
      <c r="S452" s="1691"/>
      <c r="T452" s="1691"/>
      <c r="U452" s="1691"/>
      <c r="V452" s="1691"/>
      <c r="W452" s="1691"/>
      <c r="X452" s="1691"/>
      <c r="Y452" s="1691"/>
      <c r="Z452" s="1691"/>
      <c r="AA452" s="1691"/>
      <c r="AB452" s="1691"/>
      <c r="AC452" s="1691"/>
      <c r="AD452" s="1691"/>
      <c r="AE452" s="1691"/>
      <c r="AF452" s="1691"/>
      <c r="AG452" s="1691"/>
      <c r="AH452" s="1691"/>
      <c r="AI452" s="1691"/>
      <c r="AJ452" s="1691"/>
      <c r="AK452" s="1691"/>
      <c r="AL452" s="1691"/>
      <c r="AM452" s="1691"/>
      <c r="AN452" s="1691"/>
      <c r="AO452" s="1691"/>
      <c r="AP452" s="1691"/>
      <c r="AQ452" s="1691"/>
      <c r="AR452" s="1691"/>
      <c r="AS452" s="1691"/>
      <c r="AT452" s="1691"/>
    </row>
    <row r="453">
      <c r="A453" s="1419"/>
      <c r="B453" s="1697"/>
      <c r="C453" s="1698"/>
      <c r="D453" s="1698"/>
      <c r="E453" s="1689"/>
      <c r="F453" s="1689"/>
      <c r="G453" s="1689"/>
      <c r="H453" s="1689"/>
      <c r="I453" s="1689"/>
      <c r="J453" s="1689"/>
      <c r="K453" s="1689"/>
      <c r="L453" s="1689"/>
      <c r="M453" s="1689"/>
      <c r="N453" s="1689"/>
      <c r="O453" s="1689"/>
      <c r="P453" s="1689"/>
      <c r="Q453" s="1689"/>
      <c r="R453" s="1689"/>
      <c r="S453" s="1689"/>
      <c r="T453" s="1689"/>
      <c r="U453" s="1689"/>
      <c r="V453" s="1689"/>
      <c r="W453" s="1689"/>
      <c r="X453" s="1689"/>
      <c r="Y453" s="1689"/>
      <c r="Z453" s="1689"/>
      <c r="AA453" s="1689"/>
      <c r="AB453" s="1689"/>
      <c r="AC453" s="1689"/>
      <c r="AD453" s="1689"/>
      <c r="AE453" s="1689"/>
      <c r="AF453" s="1689"/>
      <c r="AG453" s="1689"/>
      <c r="AH453" s="1689"/>
      <c r="AI453" s="1689"/>
      <c r="AJ453" s="1689"/>
      <c r="AK453" s="1689"/>
      <c r="AL453" s="1689"/>
      <c r="AM453" s="1689"/>
      <c r="AN453" s="1689"/>
      <c r="AO453" s="1689"/>
      <c r="AP453" s="1689"/>
      <c r="AQ453" s="1689"/>
      <c r="AR453" s="1689"/>
      <c r="AS453" s="1689"/>
      <c r="AT453" s="1689"/>
    </row>
    <row r="454">
      <c r="A454" s="1419"/>
      <c r="B454" s="1699"/>
      <c r="C454" s="1700"/>
      <c r="D454" s="1700"/>
      <c r="E454" s="1691"/>
      <c r="F454" s="1691"/>
      <c r="G454" s="1691"/>
      <c r="H454" s="1691"/>
      <c r="I454" s="1691"/>
      <c r="J454" s="1691"/>
      <c r="K454" s="1691"/>
      <c r="L454" s="1691"/>
      <c r="M454" s="1691"/>
      <c r="N454" s="1691"/>
      <c r="O454" s="1691"/>
      <c r="P454" s="1691"/>
      <c r="Q454" s="1691"/>
      <c r="R454" s="1691"/>
      <c r="S454" s="1691"/>
      <c r="T454" s="1691"/>
      <c r="U454" s="1691"/>
      <c r="V454" s="1691"/>
      <c r="W454" s="1691"/>
      <c r="X454" s="1691"/>
      <c r="Y454" s="1691"/>
      <c r="Z454" s="1691"/>
      <c r="AA454" s="1691"/>
      <c r="AB454" s="1691"/>
      <c r="AC454" s="1691"/>
      <c r="AD454" s="1691"/>
      <c r="AE454" s="1691"/>
      <c r="AF454" s="1691"/>
      <c r="AG454" s="1691"/>
      <c r="AH454" s="1691"/>
      <c r="AI454" s="1691"/>
      <c r="AJ454" s="1691"/>
      <c r="AK454" s="1691"/>
      <c r="AL454" s="1691"/>
      <c r="AM454" s="1691"/>
      <c r="AN454" s="1691"/>
      <c r="AO454" s="1691"/>
      <c r="AP454" s="1691"/>
      <c r="AQ454" s="1691"/>
      <c r="AR454" s="1691"/>
      <c r="AS454" s="1691"/>
      <c r="AT454" s="1691"/>
    </row>
    <row r="455">
      <c r="A455" s="1419"/>
      <c r="B455" s="1697"/>
      <c r="C455" s="1698"/>
      <c r="D455" s="1698"/>
      <c r="E455" s="1689"/>
      <c r="F455" s="1689"/>
      <c r="G455" s="1689"/>
      <c r="H455" s="1689"/>
      <c r="I455" s="1689"/>
      <c r="J455" s="1689"/>
      <c r="K455" s="1689"/>
      <c r="L455" s="1689"/>
      <c r="M455" s="1689"/>
      <c r="N455" s="1689"/>
      <c r="O455" s="1689"/>
      <c r="P455" s="1689"/>
      <c r="Q455" s="1689"/>
      <c r="R455" s="1689"/>
      <c r="S455" s="1689"/>
      <c r="T455" s="1689"/>
      <c r="U455" s="1689"/>
      <c r="V455" s="1689"/>
      <c r="W455" s="1689"/>
      <c r="X455" s="1689"/>
      <c r="Y455" s="1689"/>
      <c r="Z455" s="1689"/>
      <c r="AA455" s="1689"/>
      <c r="AB455" s="1689"/>
      <c r="AC455" s="1689"/>
      <c r="AD455" s="1689"/>
      <c r="AE455" s="1689"/>
      <c r="AF455" s="1689"/>
      <c r="AG455" s="1689"/>
      <c r="AH455" s="1689"/>
      <c r="AI455" s="1689"/>
      <c r="AJ455" s="1689"/>
      <c r="AK455" s="1689"/>
      <c r="AL455" s="1689"/>
      <c r="AM455" s="1689"/>
      <c r="AN455" s="1689"/>
      <c r="AO455" s="1689"/>
      <c r="AP455" s="1689"/>
      <c r="AQ455" s="1689"/>
      <c r="AR455" s="1689"/>
      <c r="AS455" s="1689"/>
      <c r="AT455" s="1689"/>
    </row>
    <row r="456">
      <c r="A456" s="1419"/>
      <c r="B456" s="1699"/>
      <c r="C456" s="1700"/>
      <c r="D456" s="1700"/>
      <c r="E456" s="1691"/>
      <c r="F456" s="1691"/>
      <c r="G456" s="1691"/>
      <c r="H456" s="1691"/>
      <c r="I456" s="1691"/>
      <c r="J456" s="1691"/>
      <c r="K456" s="1691"/>
      <c r="L456" s="1691"/>
      <c r="M456" s="1691"/>
      <c r="N456" s="1691"/>
      <c r="O456" s="1691"/>
      <c r="P456" s="1691"/>
      <c r="Q456" s="1691"/>
      <c r="R456" s="1691"/>
      <c r="S456" s="1691"/>
      <c r="T456" s="1691"/>
      <c r="U456" s="1691"/>
      <c r="V456" s="1691"/>
      <c r="W456" s="1691"/>
      <c r="X456" s="1691"/>
      <c r="Y456" s="1691"/>
      <c r="Z456" s="1691"/>
      <c r="AA456" s="1691"/>
      <c r="AB456" s="1691"/>
      <c r="AC456" s="1691"/>
      <c r="AD456" s="1691"/>
      <c r="AE456" s="1691"/>
      <c r="AF456" s="1691"/>
      <c r="AG456" s="1691"/>
      <c r="AH456" s="1691"/>
      <c r="AI456" s="1691"/>
      <c r="AJ456" s="1691"/>
      <c r="AK456" s="1691"/>
      <c r="AL456" s="1691"/>
      <c r="AM456" s="1691"/>
      <c r="AN456" s="1691"/>
      <c r="AO456" s="1691"/>
      <c r="AP456" s="1691"/>
      <c r="AQ456" s="1691"/>
      <c r="AR456" s="1691"/>
      <c r="AS456" s="1691"/>
      <c r="AT456" s="1691"/>
    </row>
    <row r="457">
      <c r="A457" s="1419"/>
      <c r="B457" s="1697"/>
      <c r="C457" s="1698"/>
      <c r="D457" s="1698"/>
      <c r="E457" s="1689"/>
      <c r="F457" s="1689"/>
      <c r="G457" s="1689"/>
      <c r="H457" s="1689"/>
      <c r="I457" s="1689"/>
      <c r="J457" s="1689"/>
      <c r="K457" s="1689"/>
      <c r="L457" s="1689"/>
      <c r="M457" s="1689"/>
      <c r="N457" s="1689"/>
      <c r="O457" s="1689"/>
      <c r="P457" s="1689"/>
      <c r="Q457" s="1689"/>
      <c r="R457" s="1689"/>
      <c r="S457" s="1689"/>
      <c r="T457" s="1689"/>
      <c r="U457" s="1689"/>
      <c r="V457" s="1689"/>
      <c r="W457" s="1689"/>
      <c r="X457" s="1689"/>
      <c r="Y457" s="1689"/>
      <c r="Z457" s="1689"/>
      <c r="AA457" s="1689"/>
      <c r="AB457" s="1689"/>
      <c r="AC457" s="1689"/>
      <c r="AD457" s="1689"/>
      <c r="AE457" s="1689"/>
      <c r="AF457" s="1689"/>
      <c r="AG457" s="1689"/>
      <c r="AH457" s="1689"/>
      <c r="AI457" s="1689"/>
      <c r="AJ457" s="1689"/>
      <c r="AK457" s="1689"/>
      <c r="AL457" s="1689"/>
      <c r="AM457" s="1689"/>
      <c r="AN457" s="1689"/>
      <c r="AO457" s="1689"/>
      <c r="AP457" s="1689"/>
      <c r="AQ457" s="1689"/>
      <c r="AR457" s="1689"/>
      <c r="AS457" s="1689"/>
      <c r="AT457" s="1689"/>
    </row>
    <row r="458">
      <c r="A458" s="1419"/>
      <c r="B458" s="1699"/>
      <c r="C458" s="1700"/>
      <c r="D458" s="1700"/>
      <c r="E458" s="1691"/>
      <c r="F458" s="1691"/>
      <c r="G458" s="1691"/>
      <c r="H458" s="1691"/>
      <c r="I458" s="1691"/>
      <c r="J458" s="1691"/>
      <c r="K458" s="1691"/>
      <c r="L458" s="1691"/>
      <c r="M458" s="1691"/>
      <c r="N458" s="1691"/>
      <c r="O458" s="1691"/>
      <c r="P458" s="1691"/>
      <c r="Q458" s="1691"/>
      <c r="R458" s="1691"/>
      <c r="S458" s="1691"/>
      <c r="T458" s="1691"/>
      <c r="U458" s="1691"/>
      <c r="V458" s="1691"/>
      <c r="W458" s="1691"/>
      <c r="X458" s="1691"/>
      <c r="Y458" s="1691"/>
      <c r="Z458" s="1691"/>
      <c r="AA458" s="1691"/>
      <c r="AB458" s="1691"/>
      <c r="AC458" s="1691"/>
      <c r="AD458" s="1691"/>
      <c r="AE458" s="1691"/>
      <c r="AF458" s="1691"/>
      <c r="AG458" s="1691"/>
      <c r="AH458" s="1691"/>
      <c r="AI458" s="1691"/>
      <c r="AJ458" s="1691"/>
      <c r="AK458" s="1691"/>
      <c r="AL458" s="1691"/>
      <c r="AM458" s="1691"/>
      <c r="AN458" s="1691"/>
      <c r="AO458" s="1691"/>
      <c r="AP458" s="1691"/>
      <c r="AQ458" s="1691"/>
      <c r="AR458" s="1691"/>
      <c r="AS458" s="1691"/>
      <c r="AT458" s="1691"/>
    </row>
    <row r="459">
      <c r="A459" s="1440" t="s">
        <v>2461</v>
      </c>
      <c r="B459" s="1697"/>
      <c r="C459" s="1698"/>
      <c r="D459" s="1698"/>
      <c r="E459" s="1689"/>
      <c r="F459" s="1689"/>
      <c r="G459" s="1689"/>
      <c r="H459" s="1689"/>
      <c r="I459" s="1689"/>
      <c r="J459" s="1689"/>
      <c r="K459" s="1689"/>
      <c r="L459" s="1689"/>
      <c r="M459" s="1689"/>
      <c r="N459" s="1689"/>
      <c r="O459" s="1689"/>
      <c r="P459" s="1689"/>
      <c r="Q459" s="1689"/>
      <c r="R459" s="1689"/>
      <c r="S459" s="1689"/>
      <c r="T459" s="1689"/>
      <c r="U459" s="1689"/>
      <c r="V459" s="1689"/>
      <c r="W459" s="1689"/>
      <c r="X459" s="1689"/>
      <c r="Y459" s="1689"/>
      <c r="Z459" s="1689"/>
      <c r="AA459" s="1689"/>
      <c r="AB459" s="1689"/>
      <c r="AC459" s="1689"/>
      <c r="AD459" s="1689"/>
      <c r="AE459" s="1689"/>
      <c r="AF459" s="1689"/>
      <c r="AG459" s="1689"/>
      <c r="AH459" s="1689"/>
      <c r="AI459" s="1689"/>
      <c r="AJ459" s="1689"/>
      <c r="AK459" s="1689"/>
      <c r="AL459" s="1689"/>
      <c r="AM459" s="1689"/>
      <c r="AN459" s="1689"/>
      <c r="AO459" s="1689"/>
      <c r="AP459" s="1689"/>
      <c r="AQ459" s="1689"/>
      <c r="AR459" s="1689"/>
      <c r="AS459" s="1689"/>
      <c r="AT459" s="1689"/>
    </row>
    <row r="460">
      <c r="A460" s="1419"/>
      <c r="B460" s="1699"/>
      <c r="C460" s="1700"/>
      <c r="D460" s="1700"/>
      <c r="E460" s="1691"/>
      <c r="F460" s="1691"/>
      <c r="G460" s="1691"/>
      <c r="H460" s="1691"/>
      <c r="I460" s="1691"/>
      <c r="J460" s="1691"/>
      <c r="K460" s="1691"/>
      <c r="L460" s="1691"/>
      <c r="M460" s="1691"/>
      <c r="N460" s="1691"/>
      <c r="O460" s="1691"/>
      <c r="P460" s="1691"/>
      <c r="Q460" s="1691"/>
      <c r="R460" s="1691"/>
      <c r="S460" s="1691"/>
      <c r="T460" s="1691"/>
      <c r="U460" s="1691"/>
      <c r="V460" s="1691"/>
      <c r="W460" s="1691"/>
      <c r="X460" s="1691"/>
      <c r="Y460" s="1691"/>
      <c r="Z460" s="1691"/>
      <c r="AA460" s="1691"/>
      <c r="AB460" s="1691"/>
      <c r="AC460" s="1691"/>
      <c r="AD460" s="1691"/>
      <c r="AE460" s="1691"/>
      <c r="AF460" s="1691"/>
      <c r="AG460" s="1691"/>
      <c r="AH460" s="1691"/>
      <c r="AI460" s="1691"/>
      <c r="AJ460" s="1691"/>
      <c r="AK460" s="1691"/>
      <c r="AL460" s="1691"/>
      <c r="AM460" s="1691"/>
      <c r="AN460" s="1691"/>
      <c r="AO460" s="1691"/>
      <c r="AP460" s="1691"/>
      <c r="AQ460" s="1691"/>
      <c r="AR460" s="1691"/>
      <c r="AS460" s="1691"/>
      <c r="AT460" s="1691"/>
    </row>
    <row r="461">
      <c r="A461" s="1419"/>
      <c r="B461" s="1697"/>
      <c r="C461" s="1698"/>
      <c r="D461" s="1698"/>
      <c r="E461" s="1689"/>
      <c r="F461" s="1689"/>
      <c r="G461" s="1689"/>
      <c r="H461" s="1689"/>
      <c r="I461" s="1689"/>
      <c r="J461" s="1689"/>
      <c r="K461" s="1689"/>
      <c r="L461" s="1689"/>
      <c r="M461" s="1689"/>
      <c r="N461" s="1689"/>
      <c r="O461" s="1689"/>
      <c r="P461" s="1689"/>
      <c r="Q461" s="1689"/>
      <c r="R461" s="1689"/>
      <c r="S461" s="1689"/>
      <c r="T461" s="1689"/>
      <c r="U461" s="1689"/>
      <c r="V461" s="1689"/>
      <c r="W461" s="1689"/>
      <c r="X461" s="1689"/>
      <c r="Y461" s="1689"/>
      <c r="Z461" s="1689"/>
      <c r="AA461" s="1689"/>
      <c r="AB461" s="1689"/>
      <c r="AC461" s="1689"/>
      <c r="AD461" s="1689"/>
      <c r="AE461" s="1689"/>
      <c r="AF461" s="1689"/>
      <c r="AG461" s="1689"/>
      <c r="AH461" s="1689"/>
      <c r="AI461" s="1689"/>
      <c r="AJ461" s="1689"/>
      <c r="AK461" s="1689"/>
      <c r="AL461" s="1689"/>
      <c r="AM461" s="1689"/>
      <c r="AN461" s="1689"/>
      <c r="AO461" s="1689"/>
      <c r="AP461" s="1689"/>
      <c r="AQ461" s="1689"/>
      <c r="AR461" s="1689"/>
      <c r="AS461" s="1689"/>
      <c r="AT461" s="1689"/>
    </row>
    <row r="462">
      <c r="A462" s="1419"/>
      <c r="B462" s="1699"/>
      <c r="C462" s="1700"/>
      <c r="D462" s="1700"/>
      <c r="E462" s="1691"/>
      <c r="F462" s="1691"/>
      <c r="G462" s="1691"/>
      <c r="H462" s="1691"/>
      <c r="I462" s="1691"/>
      <c r="J462" s="1691"/>
      <c r="K462" s="1691"/>
      <c r="L462" s="1691"/>
      <c r="M462" s="1691"/>
      <c r="N462" s="1691"/>
      <c r="O462" s="1691"/>
      <c r="P462" s="1691"/>
      <c r="Q462" s="1691"/>
      <c r="R462" s="1691"/>
      <c r="S462" s="1691"/>
      <c r="T462" s="1691"/>
      <c r="U462" s="1691"/>
      <c r="V462" s="1691"/>
      <c r="W462" s="1691"/>
      <c r="X462" s="1691"/>
      <c r="Y462" s="1691"/>
      <c r="Z462" s="1691"/>
      <c r="AA462" s="1691"/>
      <c r="AB462" s="1691"/>
      <c r="AC462" s="1691"/>
      <c r="AD462" s="1691"/>
      <c r="AE462" s="1691"/>
      <c r="AF462" s="1691"/>
      <c r="AG462" s="1691"/>
      <c r="AH462" s="1691"/>
      <c r="AI462" s="1691"/>
      <c r="AJ462" s="1691"/>
      <c r="AK462" s="1691"/>
      <c r="AL462" s="1691"/>
      <c r="AM462" s="1691"/>
      <c r="AN462" s="1691"/>
      <c r="AO462" s="1691"/>
      <c r="AP462" s="1691"/>
      <c r="AQ462" s="1691"/>
      <c r="AR462" s="1691"/>
      <c r="AS462" s="1691"/>
      <c r="AT462" s="1691"/>
    </row>
    <row r="463">
      <c r="A463" s="1419"/>
      <c r="B463" s="1697"/>
      <c r="C463" s="1698"/>
      <c r="D463" s="1698"/>
      <c r="E463" s="1689"/>
      <c r="F463" s="1689"/>
      <c r="G463" s="1689"/>
      <c r="H463" s="1689"/>
      <c r="I463" s="1689"/>
      <c r="J463" s="1689"/>
      <c r="K463" s="1689"/>
      <c r="L463" s="1689"/>
      <c r="M463" s="1689"/>
      <c r="N463" s="1689"/>
      <c r="O463" s="1689"/>
      <c r="P463" s="1689"/>
      <c r="Q463" s="1689"/>
      <c r="R463" s="1689"/>
      <c r="S463" s="1689"/>
      <c r="T463" s="1689"/>
      <c r="U463" s="1689"/>
      <c r="V463" s="1689"/>
      <c r="W463" s="1689"/>
      <c r="X463" s="1689"/>
      <c r="Y463" s="1689"/>
      <c r="Z463" s="1689"/>
      <c r="AA463" s="1689"/>
      <c r="AB463" s="1689"/>
      <c r="AC463" s="1689"/>
      <c r="AD463" s="1689"/>
      <c r="AE463" s="1689"/>
      <c r="AF463" s="1689"/>
      <c r="AG463" s="1689"/>
      <c r="AH463" s="1689"/>
      <c r="AI463" s="1689"/>
      <c r="AJ463" s="1689"/>
      <c r="AK463" s="1689"/>
      <c r="AL463" s="1689"/>
      <c r="AM463" s="1689"/>
      <c r="AN463" s="1689"/>
      <c r="AO463" s="1689"/>
      <c r="AP463" s="1689"/>
      <c r="AQ463" s="1689"/>
      <c r="AR463" s="1689"/>
      <c r="AS463" s="1689"/>
      <c r="AT463" s="1689"/>
    </row>
    <row r="464">
      <c r="A464" s="1419"/>
      <c r="B464" s="1699"/>
      <c r="C464" s="1700"/>
      <c r="D464" s="1700"/>
      <c r="E464" s="1691"/>
      <c r="F464" s="1691"/>
      <c r="G464" s="1691"/>
      <c r="H464" s="1691"/>
      <c r="I464" s="1691"/>
      <c r="J464" s="1691"/>
      <c r="K464" s="1691"/>
      <c r="L464" s="1691"/>
      <c r="M464" s="1691"/>
      <c r="N464" s="1691"/>
      <c r="O464" s="1691"/>
      <c r="P464" s="1691"/>
      <c r="Q464" s="1691"/>
      <c r="R464" s="1691"/>
      <c r="S464" s="1691"/>
      <c r="T464" s="1691"/>
      <c r="U464" s="1691"/>
      <c r="V464" s="1691"/>
      <c r="W464" s="1691"/>
      <c r="X464" s="1691"/>
      <c r="Y464" s="1691"/>
      <c r="Z464" s="1691"/>
      <c r="AA464" s="1691"/>
      <c r="AB464" s="1691"/>
      <c r="AC464" s="1691"/>
      <c r="AD464" s="1691"/>
      <c r="AE464" s="1691"/>
      <c r="AF464" s="1691"/>
      <c r="AG464" s="1691"/>
      <c r="AH464" s="1691"/>
      <c r="AI464" s="1691"/>
      <c r="AJ464" s="1691"/>
      <c r="AK464" s="1691"/>
      <c r="AL464" s="1691"/>
      <c r="AM464" s="1691"/>
      <c r="AN464" s="1691"/>
      <c r="AO464" s="1691"/>
      <c r="AP464" s="1691"/>
      <c r="AQ464" s="1691"/>
      <c r="AR464" s="1691"/>
      <c r="AS464" s="1691"/>
      <c r="AT464" s="1691"/>
    </row>
    <row r="465">
      <c r="A465" s="1419"/>
      <c r="B465" s="1697"/>
      <c r="C465" s="1698"/>
      <c r="D465" s="1698"/>
      <c r="E465" s="1689"/>
      <c r="F465" s="1689"/>
      <c r="G465" s="1689"/>
      <c r="H465" s="1689"/>
      <c r="I465" s="1689"/>
      <c r="J465" s="1689"/>
      <c r="K465" s="1689"/>
      <c r="L465" s="1689"/>
      <c r="M465" s="1689"/>
      <c r="N465" s="1689"/>
      <c r="O465" s="1689"/>
      <c r="P465" s="1689"/>
      <c r="Q465" s="1689"/>
      <c r="R465" s="1689"/>
      <c r="S465" s="1689"/>
      <c r="T465" s="1689"/>
      <c r="U465" s="1689"/>
      <c r="V465" s="1689"/>
      <c r="W465" s="1689"/>
      <c r="X465" s="1689"/>
      <c r="Y465" s="1689"/>
      <c r="Z465" s="1689"/>
      <c r="AA465" s="1689"/>
      <c r="AB465" s="1689"/>
      <c r="AC465" s="1689"/>
      <c r="AD465" s="1689"/>
      <c r="AE465" s="1689"/>
      <c r="AF465" s="1689"/>
      <c r="AG465" s="1689"/>
      <c r="AH465" s="1689"/>
      <c r="AI465" s="1689"/>
      <c r="AJ465" s="1689"/>
      <c r="AK465" s="1689"/>
      <c r="AL465" s="1689"/>
      <c r="AM465" s="1689"/>
      <c r="AN465" s="1689"/>
      <c r="AO465" s="1689"/>
      <c r="AP465" s="1689"/>
      <c r="AQ465" s="1689"/>
      <c r="AR465" s="1689"/>
      <c r="AS465" s="1689"/>
      <c r="AT465" s="1689"/>
    </row>
    <row r="466">
      <c r="A466" s="1419"/>
      <c r="B466" s="1699"/>
      <c r="C466" s="1700"/>
      <c r="D466" s="1700"/>
      <c r="E466" s="1691"/>
      <c r="F466" s="1691"/>
      <c r="G466" s="1691"/>
      <c r="H466" s="1691"/>
      <c r="I466" s="1691"/>
      <c r="J466" s="1691"/>
      <c r="K466" s="1691"/>
      <c r="L466" s="1691"/>
      <c r="M466" s="1691"/>
      <c r="N466" s="1691"/>
      <c r="O466" s="1691"/>
      <c r="P466" s="1691"/>
      <c r="Q466" s="1691"/>
      <c r="R466" s="1691"/>
      <c r="S466" s="1691"/>
      <c r="T466" s="1691"/>
      <c r="U466" s="1691"/>
      <c r="V466" s="1691"/>
      <c r="W466" s="1691"/>
      <c r="X466" s="1691"/>
      <c r="Y466" s="1691"/>
      <c r="Z466" s="1691"/>
      <c r="AA466" s="1691"/>
      <c r="AB466" s="1691"/>
      <c r="AC466" s="1691"/>
      <c r="AD466" s="1691"/>
      <c r="AE466" s="1691"/>
      <c r="AF466" s="1691"/>
      <c r="AG466" s="1691"/>
      <c r="AH466" s="1691"/>
      <c r="AI466" s="1691"/>
      <c r="AJ466" s="1691"/>
      <c r="AK466" s="1691"/>
      <c r="AL466" s="1691"/>
      <c r="AM466" s="1691"/>
      <c r="AN466" s="1691"/>
      <c r="AO466" s="1691"/>
      <c r="AP466" s="1691"/>
      <c r="AQ466" s="1691"/>
      <c r="AR466" s="1691"/>
      <c r="AS466" s="1691"/>
      <c r="AT466" s="1691"/>
    </row>
    <row r="467">
      <c r="A467" s="1419"/>
      <c r="B467" s="1697"/>
      <c r="C467" s="1698"/>
      <c r="D467" s="1698"/>
      <c r="E467" s="1689"/>
      <c r="F467" s="1689"/>
      <c r="G467" s="1689"/>
      <c r="H467" s="1689"/>
      <c r="I467" s="1689"/>
      <c r="J467" s="1689"/>
      <c r="K467" s="1689"/>
      <c r="L467" s="1689"/>
      <c r="M467" s="1689"/>
      <c r="N467" s="1689"/>
      <c r="O467" s="1689"/>
      <c r="P467" s="1689"/>
      <c r="Q467" s="1689"/>
      <c r="R467" s="1689"/>
      <c r="S467" s="1689"/>
      <c r="T467" s="1689"/>
      <c r="U467" s="1689"/>
      <c r="V467" s="1689"/>
      <c r="W467" s="1689"/>
      <c r="X467" s="1689"/>
      <c r="Y467" s="1689"/>
      <c r="Z467" s="1689"/>
      <c r="AA467" s="1689"/>
      <c r="AB467" s="1689"/>
      <c r="AC467" s="1689"/>
      <c r="AD467" s="1689"/>
      <c r="AE467" s="1689"/>
      <c r="AF467" s="1689"/>
      <c r="AG467" s="1689"/>
      <c r="AH467" s="1689"/>
      <c r="AI467" s="1689"/>
      <c r="AJ467" s="1689"/>
      <c r="AK467" s="1689"/>
      <c r="AL467" s="1689"/>
      <c r="AM467" s="1689"/>
      <c r="AN467" s="1689"/>
      <c r="AO467" s="1689"/>
      <c r="AP467" s="1689"/>
      <c r="AQ467" s="1689"/>
      <c r="AR467" s="1689"/>
      <c r="AS467" s="1689"/>
      <c r="AT467" s="1689"/>
    </row>
    <row r="468">
      <c r="A468" s="1419"/>
      <c r="B468" s="1699"/>
      <c r="C468" s="1700"/>
      <c r="D468" s="1700"/>
      <c r="E468" s="1691"/>
      <c r="F468" s="1691"/>
      <c r="G468" s="1691"/>
      <c r="H468" s="1691"/>
      <c r="I468" s="1691"/>
      <c r="J468" s="1691"/>
      <c r="K468" s="1691"/>
      <c r="L468" s="1691"/>
      <c r="M468" s="1691"/>
      <c r="N468" s="1691"/>
      <c r="O468" s="1691"/>
      <c r="P468" s="1691"/>
      <c r="Q468" s="1691"/>
      <c r="R468" s="1691"/>
      <c r="S468" s="1691"/>
      <c r="T468" s="1691"/>
      <c r="U468" s="1691"/>
      <c r="V468" s="1691"/>
      <c r="W468" s="1691"/>
      <c r="X468" s="1691"/>
      <c r="Y468" s="1691"/>
      <c r="Z468" s="1691"/>
      <c r="AA468" s="1691"/>
      <c r="AB468" s="1691"/>
      <c r="AC468" s="1691"/>
      <c r="AD468" s="1691"/>
      <c r="AE468" s="1691"/>
      <c r="AF468" s="1691"/>
      <c r="AG468" s="1691"/>
      <c r="AH468" s="1691"/>
      <c r="AI468" s="1691"/>
      <c r="AJ468" s="1691"/>
      <c r="AK468" s="1691"/>
      <c r="AL468" s="1691"/>
      <c r="AM468" s="1691"/>
      <c r="AN468" s="1691"/>
      <c r="AO468" s="1691"/>
      <c r="AP468" s="1691"/>
      <c r="AQ468" s="1691"/>
      <c r="AR468" s="1691"/>
      <c r="AS468" s="1691"/>
      <c r="AT468" s="1691"/>
    </row>
    <row r="469">
      <c r="A469" s="1419"/>
      <c r="B469" s="1697"/>
      <c r="C469" s="1698"/>
      <c r="D469" s="1698"/>
      <c r="E469" s="1689"/>
      <c r="F469" s="1689"/>
      <c r="G469" s="1689"/>
      <c r="H469" s="1689"/>
      <c r="I469" s="1689"/>
      <c r="J469" s="1689"/>
      <c r="K469" s="1689"/>
      <c r="L469" s="1689"/>
      <c r="M469" s="1689"/>
      <c r="N469" s="1689"/>
      <c r="O469" s="1689"/>
      <c r="P469" s="1689"/>
      <c r="Q469" s="1689"/>
      <c r="R469" s="1689"/>
      <c r="S469" s="1689"/>
      <c r="T469" s="1689"/>
      <c r="U469" s="1689"/>
      <c r="V469" s="1689"/>
      <c r="W469" s="1689"/>
      <c r="X469" s="1689"/>
      <c r="Y469" s="1689"/>
      <c r="Z469" s="1689"/>
      <c r="AA469" s="1689"/>
      <c r="AB469" s="1689"/>
      <c r="AC469" s="1689"/>
      <c r="AD469" s="1689"/>
      <c r="AE469" s="1689"/>
      <c r="AF469" s="1689"/>
      <c r="AG469" s="1689"/>
      <c r="AH469" s="1689"/>
      <c r="AI469" s="1689"/>
      <c r="AJ469" s="1689"/>
      <c r="AK469" s="1689"/>
      <c r="AL469" s="1689"/>
      <c r="AM469" s="1689"/>
      <c r="AN469" s="1689"/>
      <c r="AO469" s="1689"/>
      <c r="AP469" s="1689"/>
      <c r="AQ469" s="1689"/>
      <c r="AR469" s="1689"/>
      <c r="AS469" s="1689"/>
      <c r="AT469" s="1689"/>
    </row>
    <row r="470">
      <c r="A470" s="1419"/>
      <c r="B470" s="1699"/>
      <c r="C470" s="1700"/>
      <c r="D470" s="1700"/>
      <c r="E470" s="1691"/>
      <c r="F470" s="1691"/>
      <c r="G470" s="1691"/>
      <c r="H470" s="1691"/>
      <c r="I470" s="1691"/>
      <c r="J470" s="1691"/>
      <c r="K470" s="1691"/>
      <c r="L470" s="1691"/>
      <c r="M470" s="1691"/>
      <c r="N470" s="1691"/>
      <c r="O470" s="1691"/>
      <c r="P470" s="1691"/>
      <c r="Q470" s="1691"/>
      <c r="R470" s="1691"/>
      <c r="S470" s="1691"/>
      <c r="T470" s="1691"/>
      <c r="U470" s="1691"/>
      <c r="V470" s="1691"/>
      <c r="W470" s="1691"/>
      <c r="X470" s="1691"/>
      <c r="Y470" s="1691"/>
      <c r="Z470" s="1691"/>
      <c r="AA470" s="1691"/>
      <c r="AB470" s="1691"/>
      <c r="AC470" s="1691"/>
      <c r="AD470" s="1691"/>
      <c r="AE470" s="1691"/>
      <c r="AF470" s="1691"/>
      <c r="AG470" s="1691"/>
      <c r="AH470" s="1691"/>
      <c r="AI470" s="1691"/>
      <c r="AJ470" s="1691"/>
      <c r="AK470" s="1691"/>
      <c r="AL470" s="1691"/>
      <c r="AM470" s="1691"/>
      <c r="AN470" s="1691"/>
      <c r="AO470" s="1691"/>
      <c r="AP470" s="1691"/>
      <c r="AQ470" s="1691"/>
      <c r="AR470" s="1691"/>
      <c r="AS470" s="1691"/>
      <c r="AT470" s="1691"/>
    </row>
    <row r="471">
      <c r="A471" s="1419"/>
      <c r="B471" s="1697"/>
      <c r="C471" s="1698"/>
      <c r="D471" s="1698"/>
      <c r="E471" s="1689"/>
      <c r="F471" s="1689"/>
      <c r="G471" s="1689"/>
      <c r="H471" s="1689"/>
      <c r="I471" s="1689"/>
      <c r="J471" s="1689"/>
      <c r="K471" s="1689"/>
      <c r="L471" s="1689"/>
      <c r="M471" s="1689"/>
      <c r="N471" s="1689"/>
      <c r="O471" s="1689"/>
      <c r="P471" s="1689"/>
      <c r="Q471" s="1689"/>
      <c r="R471" s="1689"/>
      <c r="S471" s="1689"/>
      <c r="T471" s="1689"/>
      <c r="U471" s="1689"/>
      <c r="V471" s="1689"/>
      <c r="W471" s="1689"/>
      <c r="X471" s="1689"/>
      <c r="Y471" s="1689"/>
      <c r="Z471" s="1689"/>
      <c r="AA471" s="1689"/>
      <c r="AB471" s="1689"/>
      <c r="AC471" s="1689"/>
      <c r="AD471" s="1689"/>
      <c r="AE471" s="1689"/>
      <c r="AF471" s="1689"/>
      <c r="AG471" s="1689"/>
      <c r="AH471" s="1689"/>
      <c r="AI471" s="1689"/>
      <c r="AJ471" s="1689"/>
      <c r="AK471" s="1689"/>
      <c r="AL471" s="1689"/>
      <c r="AM471" s="1689"/>
      <c r="AN471" s="1689"/>
      <c r="AO471" s="1689"/>
      <c r="AP471" s="1689"/>
      <c r="AQ471" s="1689"/>
      <c r="AR471" s="1689"/>
      <c r="AS471" s="1689"/>
      <c r="AT471" s="1689"/>
    </row>
    <row r="472">
      <c r="A472" s="1419"/>
      <c r="B472" s="1699"/>
      <c r="C472" s="1700"/>
      <c r="D472" s="1700"/>
      <c r="E472" s="1691"/>
      <c r="F472" s="1691"/>
      <c r="G472" s="1691"/>
      <c r="H472" s="1691"/>
      <c r="I472" s="1691"/>
      <c r="J472" s="1691"/>
      <c r="K472" s="1691"/>
      <c r="L472" s="1691"/>
      <c r="M472" s="1691"/>
      <c r="N472" s="1691"/>
      <c r="O472" s="1691"/>
      <c r="P472" s="1691"/>
      <c r="Q472" s="1691"/>
      <c r="R472" s="1691"/>
      <c r="S472" s="1691"/>
      <c r="T472" s="1691"/>
      <c r="U472" s="1691"/>
      <c r="V472" s="1691"/>
      <c r="W472" s="1691"/>
      <c r="X472" s="1691"/>
      <c r="Y472" s="1691"/>
      <c r="Z472" s="1691"/>
      <c r="AA472" s="1691"/>
      <c r="AB472" s="1691"/>
      <c r="AC472" s="1691"/>
      <c r="AD472" s="1691"/>
      <c r="AE472" s="1691"/>
      <c r="AF472" s="1691"/>
      <c r="AG472" s="1691"/>
      <c r="AH472" s="1691"/>
      <c r="AI472" s="1691"/>
      <c r="AJ472" s="1691"/>
      <c r="AK472" s="1691"/>
      <c r="AL472" s="1691"/>
      <c r="AM472" s="1691"/>
      <c r="AN472" s="1691"/>
      <c r="AO472" s="1691"/>
      <c r="AP472" s="1691"/>
      <c r="AQ472" s="1691"/>
      <c r="AR472" s="1691"/>
      <c r="AS472" s="1691"/>
      <c r="AT472" s="1691"/>
    </row>
    <row r="473">
      <c r="A473" s="1419"/>
      <c r="B473" s="1697"/>
      <c r="C473" s="1698"/>
      <c r="D473" s="1698"/>
      <c r="E473" s="1689"/>
      <c r="F473" s="1689"/>
      <c r="G473" s="1689"/>
      <c r="H473" s="1689"/>
      <c r="I473" s="1689"/>
      <c r="J473" s="1689"/>
      <c r="K473" s="1689"/>
      <c r="L473" s="1689"/>
      <c r="M473" s="1689"/>
      <c r="N473" s="1689"/>
      <c r="O473" s="1689"/>
      <c r="P473" s="1689"/>
      <c r="Q473" s="1689"/>
      <c r="R473" s="1689"/>
      <c r="S473" s="1689"/>
      <c r="T473" s="1689"/>
      <c r="U473" s="1689"/>
      <c r="V473" s="1689"/>
      <c r="W473" s="1689"/>
      <c r="X473" s="1689"/>
      <c r="Y473" s="1689"/>
      <c r="Z473" s="1689"/>
      <c r="AA473" s="1689"/>
      <c r="AB473" s="1689"/>
      <c r="AC473" s="1689"/>
      <c r="AD473" s="1689"/>
      <c r="AE473" s="1689"/>
      <c r="AF473" s="1689"/>
      <c r="AG473" s="1689"/>
      <c r="AH473" s="1689"/>
      <c r="AI473" s="1689"/>
      <c r="AJ473" s="1689"/>
      <c r="AK473" s="1689"/>
      <c r="AL473" s="1689"/>
      <c r="AM473" s="1689"/>
      <c r="AN473" s="1689"/>
      <c r="AO473" s="1689"/>
      <c r="AP473" s="1689"/>
      <c r="AQ473" s="1689"/>
      <c r="AR473" s="1689"/>
      <c r="AS473" s="1689"/>
      <c r="AT473" s="1689"/>
    </row>
    <row r="474">
      <c r="A474" s="1419"/>
      <c r="B474" s="1699"/>
      <c r="C474" s="1700"/>
      <c r="D474" s="1700"/>
      <c r="E474" s="1691"/>
      <c r="F474" s="1691"/>
      <c r="G474" s="1691"/>
      <c r="H474" s="1691"/>
      <c r="I474" s="1691"/>
      <c r="J474" s="1691"/>
      <c r="K474" s="1691"/>
      <c r="L474" s="1691"/>
      <c r="M474" s="1691"/>
      <c r="N474" s="1691"/>
      <c r="O474" s="1691"/>
      <c r="P474" s="1691"/>
      <c r="Q474" s="1691"/>
      <c r="R474" s="1691"/>
      <c r="S474" s="1691"/>
      <c r="T474" s="1691"/>
      <c r="U474" s="1691"/>
      <c r="V474" s="1691"/>
      <c r="W474" s="1691"/>
      <c r="X474" s="1691"/>
      <c r="Y474" s="1691"/>
      <c r="Z474" s="1691"/>
      <c r="AA474" s="1691"/>
      <c r="AB474" s="1691"/>
      <c r="AC474" s="1691"/>
      <c r="AD474" s="1691"/>
      <c r="AE474" s="1691"/>
      <c r="AF474" s="1691"/>
      <c r="AG474" s="1691"/>
      <c r="AH474" s="1691"/>
      <c r="AI474" s="1691"/>
      <c r="AJ474" s="1691"/>
      <c r="AK474" s="1691"/>
      <c r="AL474" s="1691"/>
      <c r="AM474" s="1691"/>
      <c r="AN474" s="1691"/>
      <c r="AO474" s="1691"/>
      <c r="AP474" s="1691"/>
      <c r="AQ474" s="1691"/>
      <c r="AR474" s="1691"/>
      <c r="AS474" s="1691"/>
      <c r="AT474" s="1691"/>
    </row>
    <row r="475">
      <c r="A475" s="1419"/>
      <c r="B475" s="1697"/>
      <c r="C475" s="1698"/>
      <c r="D475" s="1698"/>
      <c r="E475" s="1689"/>
      <c r="F475" s="1689"/>
      <c r="G475" s="1689"/>
      <c r="H475" s="1689"/>
      <c r="I475" s="1689"/>
      <c r="J475" s="1689"/>
      <c r="K475" s="1689"/>
      <c r="L475" s="1689"/>
      <c r="M475" s="1689"/>
      <c r="N475" s="1689"/>
      <c r="O475" s="1689"/>
      <c r="P475" s="1689"/>
      <c r="Q475" s="1689"/>
      <c r="R475" s="1689"/>
      <c r="S475" s="1689"/>
      <c r="T475" s="1689"/>
      <c r="U475" s="1689"/>
      <c r="V475" s="1689"/>
      <c r="W475" s="1689"/>
      <c r="X475" s="1689"/>
      <c r="Y475" s="1689"/>
      <c r="Z475" s="1689"/>
      <c r="AA475" s="1689"/>
      <c r="AB475" s="1689"/>
      <c r="AC475" s="1689"/>
      <c r="AD475" s="1689"/>
      <c r="AE475" s="1689"/>
      <c r="AF475" s="1689"/>
      <c r="AG475" s="1689"/>
      <c r="AH475" s="1689"/>
      <c r="AI475" s="1689"/>
      <c r="AJ475" s="1689"/>
      <c r="AK475" s="1689"/>
      <c r="AL475" s="1689"/>
      <c r="AM475" s="1689"/>
      <c r="AN475" s="1689"/>
      <c r="AO475" s="1689"/>
      <c r="AP475" s="1689"/>
      <c r="AQ475" s="1689"/>
      <c r="AR475" s="1689"/>
      <c r="AS475" s="1689"/>
      <c r="AT475" s="1689"/>
    </row>
    <row r="476">
      <c r="A476" s="1419"/>
      <c r="B476" s="1699"/>
      <c r="C476" s="1700"/>
      <c r="D476" s="1700"/>
      <c r="E476" s="1691"/>
      <c r="F476" s="1691"/>
      <c r="G476" s="1691"/>
      <c r="H476" s="1691"/>
      <c r="I476" s="1691"/>
      <c r="J476" s="1691"/>
      <c r="K476" s="1691"/>
      <c r="L476" s="1691"/>
      <c r="M476" s="1691"/>
      <c r="N476" s="1691"/>
      <c r="O476" s="1691"/>
      <c r="P476" s="1691"/>
      <c r="Q476" s="1691"/>
      <c r="R476" s="1691"/>
      <c r="S476" s="1691"/>
      <c r="T476" s="1691"/>
      <c r="U476" s="1691"/>
      <c r="V476" s="1691"/>
      <c r="W476" s="1691"/>
      <c r="X476" s="1691"/>
      <c r="Y476" s="1691"/>
      <c r="Z476" s="1691"/>
      <c r="AA476" s="1691"/>
      <c r="AB476" s="1691"/>
      <c r="AC476" s="1691"/>
      <c r="AD476" s="1691"/>
      <c r="AE476" s="1691"/>
      <c r="AF476" s="1691"/>
      <c r="AG476" s="1691"/>
      <c r="AH476" s="1691"/>
      <c r="AI476" s="1691"/>
      <c r="AJ476" s="1691"/>
      <c r="AK476" s="1691"/>
      <c r="AL476" s="1691"/>
      <c r="AM476" s="1691"/>
      <c r="AN476" s="1691"/>
      <c r="AO476" s="1691"/>
      <c r="AP476" s="1691"/>
      <c r="AQ476" s="1691"/>
      <c r="AR476" s="1691"/>
      <c r="AS476" s="1691"/>
      <c r="AT476" s="1691"/>
    </row>
    <row r="477">
      <c r="A477" s="1419"/>
      <c r="B477" s="1697"/>
      <c r="C477" s="1698"/>
      <c r="D477" s="1698"/>
      <c r="E477" s="1689"/>
      <c r="F477" s="1689"/>
      <c r="G477" s="1689"/>
      <c r="H477" s="1689"/>
      <c r="I477" s="1689"/>
      <c r="J477" s="1689"/>
      <c r="K477" s="1689"/>
      <c r="L477" s="1689"/>
      <c r="M477" s="1689"/>
      <c r="N477" s="1689"/>
      <c r="O477" s="1689"/>
      <c r="P477" s="1689"/>
      <c r="Q477" s="1689"/>
      <c r="R477" s="1689"/>
      <c r="S477" s="1689"/>
      <c r="T477" s="1689"/>
      <c r="U477" s="1689"/>
      <c r="V477" s="1689"/>
      <c r="W477" s="1689"/>
      <c r="X477" s="1689"/>
      <c r="Y477" s="1689"/>
      <c r="Z477" s="1689"/>
      <c r="AA477" s="1689"/>
      <c r="AB477" s="1689"/>
      <c r="AC477" s="1689"/>
      <c r="AD477" s="1689"/>
      <c r="AE477" s="1689"/>
      <c r="AF477" s="1689"/>
      <c r="AG477" s="1689"/>
      <c r="AH477" s="1689"/>
      <c r="AI477" s="1689"/>
      <c r="AJ477" s="1689"/>
      <c r="AK477" s="1689"/>
      <c r="AL477" s="1689"/>
      <c r="AM477" s="1689"/>
      <c r="AN477" s="1689"/>
      <c r="AO477" s="1689"/>
      <c r="AP477" s="1689"/>
      <c r="AQ477" s="1689"/>
      <c r="AR477" s="1689"/>
      <c r="AS477" s="1689"/>
      <c r="AT477" s="1689"/>
    </row>
    <row r="478">
      <c r="A478" s="1419"/>
      <c r="B478" s="1699"/>
      <c r="C478" s="1700"/>
      <c r="D478" s="1700"/>
      <c r="E478" s="1691"/>
      <c r="F478" s="1691"/>
      <c r="G478" s="1691"/>
      <c r="H478" s="1691"/>
      <c r="I478" s="1691"/>
      <c r="J478" s="1691"/>
      <c r="K478" s="1691"/>
      <c r="L478" s="1691"/>
      <c r="M478" s="1691"/>
      <c r="N478" s="1691"/>
      <c r="O478" s="1691"/>
      <c r="P478" s="1691"/>
      <c r="Q478" s="1691"/>
      <c r="R478" s="1691"/>
      <c r="S478" s="1691"/>
      <c r="T478" s="1691"/>
      <c r="U478" s="1691"/>
      <c r="V478" s="1691"/>
      <c r="W478" s="1691"/>
      <c r="X478" s="1691"/>
      <c r="Y478" s="1691"/>
      <c r="Z478" s="1691"/>
      <c r="AA478" s="1691"/>
      <c r="AB478" s="1691"/>
      <c r="AC478" s="1691"/>
      <c r="AD478" s="1691"/>
      <c r="AE478" s="1691"/>
      <c r="AF478" s="1691"/>
      <c r="AG478" s="1691"/>
      <c r="AH478" s="1691"/>
      <c r="AI478" s="1691"/>
      <c r="AJ478" s="1691"/>
      <c r="AK478" s="1691"/>
      <c r="AL478" s="1691"/>
      <c r="AM478" s="1691"/>
      <c r="AN478" s="1691"/>
      <c r="AO478" s="1691"/>
      <c r="AP478" s="1691"/>
      <c r="AQ478" s="1691"/>
      <c r="AR478" s="1691"/>
      <c r="AS478" s="1691"/>
      <c r="AT478" s="1691"/>
    </row>
    <row r="479">
      <c r="A479" s="1419"/>
      <c r="B479" s="1697"/>
      <c r="C479" s="1698"/>
      <c r="D479" s="1698"/>
      <c r="E479" s="1689"/>
      <c r="F479" s="1689"/>
      <c r="G479" s="1689"/>
      <c r="H479" s="1689"/>
      <c r="I479" s="1689"/>
      <c r="J479" s="1689"/>
      <c r="K479" s="1689"/>
      <c r="L479" s="1689"/>
      <c r="M479" s="1689"/>
      <c r="N479" s="1689"/>
      <c r="O479" s="1689"/>
      <c r="P479" s="1689"/>
      <c r="Q479" s="1689"/>
      <c r="R479" s="1689"/>
      <c r="S479" s="1689"/>
      <c r="T479" s="1689"/>
      <c r="U479" s="1689"/>
      <c r="V479" s="1689"/>
      <c r="W479" s="1689"/>
      <c r="X479" s="1689"/>
      <c r="Y479" s="1689"/>
      <c r="Z479" s="1689"/>
      <c r="AA479" s="1689"/>
      <c r="AB479" s="1689"/>
      <c r="AC479" s="1689"/>
      <c r="AD479" s="1689"/>
      <c r="AE479" s="1689"/>
      <c r="AF479" s="1689"/>
      <c r="AG479" s="1689"/>
      <c r="AH479" s="1689"/>
      <c r="AI479" s="1689"/>
      <c r="AJ479" s="1689"/>
      <c r="AK479" s="1689"/>
      <c r="AL479" s="1689"/>
      <c r="AM479" s="1689"/>
      <c r="AN479" s="1689"/>
      <c r="AO479" s="1689"/>
      <c r="AP479" s="1689"/>
      <c r="AQ479" s="1689"/>
      <c r="AR479" s="1689"/>
      <c r="AS479" s="1689"/>
      <c r="AT479" s="1689"/>
    </row>
    <row r="480">
      <c r="A480" s="1419"/>
      <c r="B480" s="1699"/>
      <c r="C480" s="1700"/>
      <c r="D480" s="1700"/>
      <c r="E480" s="1691"/>
      <c r="F480" s="1691"/>
      <c r="G480" s="1691"/>
      <c r="H480" s="1691"/>
      <c r="I480" s="1691"/>
      <c r="J480" s="1691"/>
      <c r="K480" s="1691"/>
      <c r="L480" s="1691"/>
      <c r="M480" s="1691"/>
      <c r="N480" s="1691"/>
      <c r="O480" s="1691"/>
      <c r="P480" s="1691"/>
      <c r="Q480" s="1691"/>
      <c r="R480" s="1691"/>
      <c r="S480" s="1691"/>
      <c r="T480" s="1691"/>
      <c r="U480" s="1691"/>
      <c r="V480" s="1691"/>
      <c r="W480" s="1691"/>
      <c r="X480" s="1691"/>
      <c r="Y480" s="1691"/>
      <c r="Z480" s="1691"/>
      <c r="AA480" s="1691"/>
      <c r="AB480" s="1691"/>
      <c r="AC480" s="1691"/>
      <c r="AD480" s="1691"/>
      <c r="AE480" s="1691"/>
      <c r="AF480" s="1691"/>
      <c r="AG480" s="1691"/>
      <c r="AH480" s="1691"/>
      <c r="AI480" s="1691"/>
      <c r="AJ480" s="1691"/>
      <c r="AK480" s="1691"/>
      <c r="AL480" s="1691"/>
      <c r="AM480" s="1691"/>
      <c r="AN480" s="1691"/>
      <c r="AO480" s="1691"/>
      <c r="AP480" s="1691"/>
      <c r="AQ480" s="1691"/>
      <c r="AR480" s="1691"/>
      <c r="AS480" s="1691"/>
      <c r="AT480" s="1691"/>
    </row>
    <row r="481">
      <c r="A481" s="1419"/>
      <c r="B481" s="1697"/>
      <c r="C481" s="1698"/>
      <c r="D481" s="1698"/>
      <c r="E481" s="1689"/>
      <c r="F481" s="1689"/>
      <c r="G481" s="1689"/>
      <c r="H481" s="1689"/>
      <c r="I481" s="1689"/>
      <c r="J481" s="1689"/>
      <c r="K481" s="1689"/>
      <c r="L481" s="1689"/>
      <c r="M481" s="1689"/>
      <c r="N481" s="1689"/>
      <c r="O481" s="1689"/>
      <c r="P481" s="1689"/>
      <c r="Q481" s="1689"/>
      <c r="R481" s="1689"/>
      <c r="S481" s="1689"/>
      <c r="T481" s="1689"/>
      <c r="U481" s="1689"/>
      <c r="V481" s="1689"/>
      <c r="W481" s="1689"/>
      <c r="X481" s="1689"/>
      <c r="Y481" s="1689"/>
      <c r="Z481" s="1689"/>
      <c r="AA481" s="1689"/>
      <c r="AB481" s="1689"/>
      <c r="AC481" s="1689"/>
      <c r="AD481" s="1689"/>
      <c r="AE481" s="1689"/>
      <c r="AF481" s="1689"/>
      <c r="AG481" s="1689"/>
      <c r="AH481" s="1689"/>
      <c r="AI481" s="1689"/>
      <c r="AJ481" s="1689"/>
      <c r="AK481" s="1689"/>
      <c r="AL481" s="1689"/>
      <c r="AM481" s="1689"/>
      <c r="AN481" s="1689"/>
      <c r="AO481" s="1689"/>
      <c r="AP481" s="1689"/>
      <c r="AQ481" s="1689"/>
      <c r="AR481" s="1689"/>
      <c r="AS481" s="1689"/>
      <c r="AT481" s="1689"/>
    </row>
    <row r="482">
      <c r="A482" s="1419"/>
      <c r="B482" s="1699"/>
      <c r="C482" s="1700"/>
      <c r="D482" s="1700"/>
      <c r="E482" s="1691"/>
      <c r="F482" s="1691"/>
      <c r="G482" s="1691"/>
      <c r="H482" s="1691"/>
      <c r="I482" s="1691"/>
      <c r="J482" s="1691"/>
      <c r="K482" s="1691"/>
      <c r="L482" s="1691"/>
      <c r="M482" s="1691"/>
      <c r="N482" s="1691"/>
      <c r="O482" s="1691"/>
      <c r="P482" s="1691"/>
      <c r="Q482" s="1691"/>
      <c r="R482" s="1691"/>
      <c r="S482" s="1691"/>
      <c r="T482" s="1691"/>
      <c r="U482" s="1691"/>
      <c r="V482" s="1691"/>
      <c r="W482" s="1691"/>
      <c r="X482" s="1691"/>
      <c r="Y482" s="1691"/>
      <c r="Z482" s="1691"/>
      <c r="AA482" s="1691"/>
      <c r="AB482" s="1691"/>
      <c r="AC482" s="1691"/>
      <c r="AD482" s="1691"/>
      <c r="AE482" s="1691"/>
      <c r="AF482" s="1691"/>
      <c r="AG482" s="1691"/>
      <c r="AH482" s="1691"/>
      <c r="AI482" s="1691"/>
      <c r="AJ482" s="1691"/>
      <c r="AK482" s="1691"/>
      <c r="AL482" s="1691"/>
      <c r="AM482" s="1691"/>
      <c r="AN482" s="1691"/>
      <c r="AO482" s="1691"/>
      <c r="AP482" s="1691"/>
      <c r="AQ482" s="1691"/>
      <c r="AR482" s="1691"/>
      <c r="AS482" s="1691"/>
      <c r="AT482" s="1691"/>
    </row>
    <row r="483">
      <c r="A483" s="1419"/>
      <c r="B483" s="1697"/>
      <c r="C483" s="1698"/>
      <c r="D483" s="1698"/>
      <c r="E483" s="1689"/>
      <c r="F483" s="1689"/>
      <c r="G483" s="1689"/>
      <c r="H483" s="1689"/>
      <c r="I483" s="1689"/>
      <c r="J483" s="1689"/>
      <c r="K483" s="1689"/>
      <c r="L483" s="1689"/>
      <c r="M483" s="1689"/>
      <c r="N483" s="1689"/>
      <c r="O483" s="1689"/>
      <c r="P483" s="1689"/>
      <c r="Q483" s="1689"/>
      <c r="R483" s="1689"/>
      <c r="S483" s="1689"/>
      <c r="T483" s="1689"/>
      <c r="U483" s="1689"/>
      <c r="V483" s="1689"/>
      <c r="W483" s="1689"/>
      <c r="X483" s="1689"/>
      <c r="Y483" s="1689"/>
      <c r="Z483" s="1689"/>
      <c r="AA483" s="1689"/>
      <c r="AB483" s="1689"/>
      <c r="AC483" s="1689"/>
      <c r="AD483" s="1689"/>
      <c r="AE483" s="1689"/>
      <c r="AF483" s="1689"/>
      <c r="AG483" s="1689"/>
      <c r="AH483" s="1689"/>
      <c r="AI483" s="1689"/>
      <c r="AJ483" s="1689"/>
      <c r="AK483" s="1689"/>
      <c r="AL483" s="1689"/>
      <c r="AM483" s="1689"/>
      <c r="AN483" s="1689"/>
      <c r="AO483" s="1689"/>
      <c r="AP483" s="1689"/>
      <c r="AQ483" s="1689"/>
      <c r="AR483" s="1689"/>
      <c r="AS483" s="1689"/>
      <c r="AT483" s="1689"/>
    </row>
    <row r="484">
      <c r="A484" s="1419"/>
      <c r="B484" s="1699"/>
      <c r="C484" s="1700"/>
      <c r="D484" s="1700"/>
      <c r="E484" s="1691"/>
      <c r="F484" s="1691"/>
      <c r="G484" s="1691"/>
      <c r="H484" s="1691"/>
      <c r="I484" s="1691"/>
      <c r="J484" s="1691"/>
      <c r="K484" s="1691"/>
      <c r="L484" s="1691"/>
      <c r="M484" s="1691"/>
      <c r="N484" s="1691"/>
      <c r="O484" s="1691"/>
      <c r="P484" s="1691"/>
      <c r="Q484" s="1691"/>
      <c r="R484" s="1691"/>
      <c r="S484" s="1691"/>
      <c r="T484" s="1691"/>
      <c r="U484" s="1691"/>
      <c r="V484" s="1691"/>
      <c r="W484" s="1691"/>
      <c r="X484" s="1691"/>
      <c r="Y484" s="1691"/>
      <c r="Z484" s="1691"/>
      <c r="AA484" s="1691"/>
      <c r="AB484" s="1691"/>
      <c r="AC484" s="1691"/>
      <c r="AD484" s="1691"/>
      <c r="AE484" s="1691"/>
      <c r="AF484" s="1691"/>
      <c r="AG484" s="1691"/>
      <c r="AH484" s="1691"/>
      <c r="AI484" s="1691"/>
      <c r="AJ484" s="1691"/>
      <c r="AK484" s="1691"/>
      <c r="AL484" s="1691"/>
      <c r="AM484" s="1691"/>
      <c r="AN484" s="1691"/>
      <c r="AO484" s="1691"/>
      <c r="AP484" s="1691"/>
      <c r="AQ484" s="1691"/>
      <c r="AR484" s="1691"/>
      <c r="AS484" s="1691"/>
      <c r="AT484" s="1691"/>
    </row>
    <row r="485">
      <c r="A485" s="1419"/>
      <c r="B485" s="1697"/>
      <c r="C485" s="1698"/>
      <c r="D485" s="1698"/>
      <c r="E485" s="1689"/>
      <c r="F485" s="1689"/>
      <c r="G485" s="1689"/>
      <c r="H485" s="1689"/>
      <c r="I485" s="1689"/>
      <c r="J485" s="1689"/>
      <c r="K485" s="1689"/>
      <c r="L485" s="1689"/>
      <c r="M485" s="1689"/>
      <c r="N485" s="1689"/>
      <c r="O485" s="1689"/>
      <c r="P485" s="1689"/>
      <c r="Q485" s="1689"/>
      <c r="R485" s="1689"/>
      <c r="S485" s="1689"/>
      <c r="T485" s="1689"/>
      <c r="U485" s="1689"/>
      <c r="V485" s="1689"/>
      <c r="W485" s="1689"/>
      <c r="X485" s="1689"/>
      <c r="Y485" s="1689"/>
      <c r="Z485" s="1689"/>
      <c r="AA485" s="1689"/>
      <c r="AB485" s="1689"/>
      <c r="AC485" s="1689"/>
      <c r="AD485" s="1689"/>
      <c r="AE485" s="1689"/>
      <c r="AF485" s="1689"/>
      <c r="AG485" s="1689"/>
      <c r="AH485" s="1689"/>
      <c r="AI485" s="1689"/>
      <c r="AJ485" s="1689"/>
      <c r="AK485" s="1689"/>
      <c r="AL485" s="1689"/>
      <c r="AM485" s="1689"/>
      <c r="AN485" s="1689"/>
      <c r="AO485" s="1689"/>
      <c r="AP485" s="1689"/>
      <c r="AQ485" s="1689"/>
      <c r="AR485" s="1689"/>
      <c r="AS485" s="1689"/>
      <c r="AT485" s="1689"/>
    </row>
    <row r="486">
      <c r="A486" s="1419"/>
      <c r="B486" s="1699"/>
      <c r="C486" s="1700"/>
      <c r="D486" s="1700"/>
      <c r="E486" s="1691"/>
      <c r="F486" s="1691"/>
      <c r="G486" s="1691"/>
      <c r="H486" s="1691"/>
      <c r="I486" s="1691"/>
      <c r="J486" s="1691"/>
      <c r="K486" s="1691"/>
      <c r="L486" s="1691"/>
      <c r="M486" s="1691"/>
      <c r="N486" s="1691"/>
      <c r="O486" s="1691"/>
      <c r="P486" s="1691"/>
      <c r="Q486" s="1691"/>
      <c r="R486" s="1691"/>
      <c r="S486" s="1691"/>
      <c r="T486" s="1691"/>
      <c r="U486" s="1691"/>
      <c r="V486" s="1691"/>
      <c r="W486" s="1691"/>
      <c r="X486" s="1691"/>
      <c r="Y486" s="1691"/>
      <c r="Z486" s="1691"/>
      <c r="AA486" s="1691"/>
      <c r="AB486" s="1691"/>
      <c r="AC486" s="1691"/>
      <c r="AD486" s="1691"/>
      <c r="AE486" s="1691"/>
      <c r="AF486" s="1691"/>
      <c r="AG486" s="1691"/>
      <c r="AH486" s="1691"/>
      <c r="AI486" s="1691"/>
      <c r="AJ486" s="1691"/>
      <c r="AK486" s="1691"/>
      <c r="AL486" s="1691"/>
      <c r="AM486" s="1691"/>
      <c r="AN486" s="1691"/>
      <c r="AO486" s="1691"/>
      <c r="AP486" s="1691"/>
      <c r="AQ486" s="1691"/>
      <c r="AR486" s="1691"/>
      <c r="AS486" s="1691"/>
      <c r="AT486" s="1691"/>
    </row>
    <row r="487">
      <c r="A487" s="1419"/>
      <c r="B487" s="1697"/>
      <c r="C487" s="1698"/>
      <c r="D487" s="1698"/>
      <c r="E487" s="1689"/>
      <c r="F487" s="1689"/>
      <c r="G487" s="1689"/>
      <c r="H487" s="1689"/>
      <c r="I487" s="1689"/>
      <c r="J487" s="1689"/>
      <c r="K487" s="1689"/>
      <c r="L487" s="1689"/>
      <c r="M487" s="1689"/>
      <c r="N487" s="1689"/>
      <c r="O487" s="1689"/>
      <c r="P487" s="1689"/>
      <c r="Q487" s="1689"/>
      <c r="R487" s="1689"/>
      <c r="S487" s="1689"/>
      <c r="T487" s="1689"/>
      <c r="U487" s="1689"/>
      <c r="V487" s="1689"/>
      <c r="W487" s="1689"/>
      <c r="X487" s="1689"/>
      <c r="Y487" s="1689"/>
      <c r="Z487" s="1689"/>
      <c r="AA487" s="1689"/>
      <c r="AB487" s="1689"/>
      <c r="AC487" s="1689"/>
      <c r="AD487" s="1689"/>
      <c r="AE487" s="1689"/>
      <c r="AF487" s="1689"/>
      <c r="AG487" s="1689"/>
      <c r="AH487" s="1689"/>
      <c r="AI487" s="1689"/>
      <c r="AJ487" s="1689"/>
      <c r="AK487" s="1689"/>
      <c r="AL487" s="1689"/>
      <c r="AM487" s="1689"/>
      <c r="AN487" s="1689"/>
      <c r="AO487" s="1689"/>
      <c r="AP487" s="1689"/>
      <c r="AQ487" s="1689"/>
      <c r="AR487" s="1689"/>
      <c r="AS487" s="1689"/>
      <c r="AT487" s="1689"/>
    </row>
    <row r="488">
      <c r="A488" s="1419"/>
      <c r="B488" s="1699"/>
      <c r="C488" s="1700"/>
      <c r="D488" s="1700"/>
      <c r="E488" s="1691"/>
      <c r="F488" s="1691"/>
      <c r="G488" s="1691"/>
      <c r="H488" s="1691"/>
      <c r="I488" s="1691"/>
      <c r="J488" s="1691"/>
      <c r="K488" s="1691"/>
      <c r="L488" s="1691"/>
      <c r="M488" s="1691"/>
      <c r="N488" s="1691"/>
      <c r="O488" s="1691"/>
      <c r="P488" s="1691"/>
      <c r="Q488" s="1691"/>
      <c r="R488" s="1691"/>
      <c r="S488" s="1691"/>
      <c r="T488" s="1691"/>
      <c r="U488" s="1691"/>
      <c r="V488" s="1691"/>
      <c r="W488" s="1691"/>
      <c r="X488" s="1691"/>
      <c r="Y488" s="1691"/>
      <c r="Z488" s="1691"/>
      <c r="AA488" s="1691"/>
      <c r="AB488" s="1691"/>
      <c r="AC488" s="1691"/>
      <c r="AD488" s="1691"/>
      <c r="AE488" s="1691"/>
      <c r="AF488" s="1691"/>
      <c r="AG488" s="1691"/>
      <c r="AH488" s="1691"/>
      <c r="AI488" s="1691"/>
      <c r="AJ488" s="1691"/>
      <c r="AK488" s="1691"/>
      <c r="AL488" s="1691"/>
      <c r="AM488" s="1691"/>
      <c r="AN488" s="1691"/>
      <c r="AO488" s="1691"/>
      <c r="AP488" s="1691"/>
      <c r="AQ488" s="1691"/>
      <c r="AR488" s="1691"/>
      <c r="AS488" s="1691"/>
      <c r="AT488" s="1691"/>
    </row>
    <row r="489">
      <c r="A489" s="1419"/>
      <c r="B489" s="1697"/>
      <c r="C489" s="1698"/>
      <c r="D489" s="1698"/>
      <c r="E489" s="1689"/>
      <c r="F489" s="1689"/>
      <c r="G489" s="1689"/>
      <c r="H489" s="1689"/>
      <c r="I489" s="1689"/>
      <c r="J489" s="1689"/>
      <c r="K489" s="1689"/>
      <c r="L489" s="1689"/>
      <c r="M489" s="1689"/>
      <c r="N489" s="1689"/>
      <c r="O489" s="1689"/>
      <c r="P489" s="1689"/>
      <c r="Q489" s="1689"/>
      <c r="R489" s="1689"/>
      <c r="S489" s="1689"/>
      <c r="T489" s="1689"/>
      <c r="U489" s="1689"/>
      <c r="V489" s="1689"/>
      <c r="W489" s="1689"/>
      <c r="X489" s="1689"/>
      <c r="Y489" s="1689"/>
      <c r="Z489" s="1689"/>
      <c r="AA489" s="1689"/>
      <c r="AB489" s="1689"/>
      <c r="AC489" s="1689"/>
      <c r="AD489" s="1689"/>
      <c r="AE489" s="1689"/>
      <c r="AF489" s="1689"/>
      <c r="AG489" s="1689"/>
      <c r="AH489" s="1689"/>
      <c r="AI489" s="1689"/>
      <c r="AJ489" s="1689"/>
      <c r="AK489" s="1689"/>
      <c r="AL489" s="1689"/>
      <c r="AM489" s="1689"/>
      <c r="AN489" s="1689"/>
      <c r="AO489" s="1689"/>
      <c r="AP489" s="1689"/>
      <c r="AQ489" s="1689"/>
      <c r="AR489" s="1689"/>
      <c r="AS489" s="1689"/>
      <c r="AT489" s="1689"/>
    </row>
    <row r="490">
      <c r="A490" s="1419"/>
      <c r="B490" s="1699"/>
      <c r="C490" s="1700"/>
      <c r="D490" s="1700"/>
      <c r="E490" s="1691"/>
      <c r="F490" s="1691"/>
      <c r="G490" s="1691"/>
      <c r="H490" s="1691"/>
      <c r="I490" s="1691"/>
      <c r="J490" s="1691"/>
      <c r="K490" s="1691"/>
      <c r="L490" s="1691"/>
      <c r="M490" s="1691"/>
      <c r="N490" s="1691"/>
      <c r="O490" s="1691"/>
      <c r="P490" s="1691"/>
      <c r="Q490" s="1691"/>
      <c r="R490" s="1691"/>
      <c r="S490" s="1691"/>
      <c r="T490" s="1691"/>
      <c r="U490" s="1691"/>
      <c r="V490" s="1691"/>
      <c r="W490" s="1691"/>
      <c r="X490" s="1691"/>
      <c r="Y490" s="1691"/>
      <c r="Z490" s="1691"/>
      <c r="AA490" s="1691"/>
      <c r="AB490" s="1691"/>
      <c r="AC490" s="1691"/>
      <c r="AD490" s="1691"/>
      <c r="AE490" s="1691"/>
      <c r="AF490" s="1691"/>
      <c r="AG490" s="1691"/>
      <c r="AH490" s="1691"/>
      <c r="AI490" s="1691"/>
      <c r="AJ490" s="1691"/>
      <c r="AK490" s="1691"/>
      <c r="AL490" s="1691"/>
      <c r="AM490" s="1691"/>
      <c r="AN490" s="1691"/>
      <c r="AO490" s="1691"/>
      <c r="AP490" s="1691"/>
      <c r="AQ490" s="1691"/>
      <c r="AR490" s="1691"/>
      <c r="AS490" s="1691"/>
      <c r="AT490" s="1691"/>
    </row>
    <row r="491">
      <c r="A491" s="1419"/>
      <c r="B491" s="1697"/>
      <c r="C491" s="1698"/>
      <c r="D491" s="1698"/>
      <c r="E491" s="1689"/>
      <c r="F491" s="1689"/>
      <c r="G491" s="1689"/>
      <c r="H491" s="1689"/>
      <c r="I491" s="1689"/>
      <c r="J491" s="1689"/>
      <c r="K491" s="1689"/>
      <c r="L491" s="1689"/>
      <c r="M491" s="1689"/>
      <c r="N491" s="1689"/>
      <c r="O491" s="1689"/>
      <c r="P491" s="1689"/>
      <c r="Q491" s="1689"/>
      <c r="R491" s="1689"/>
      <c r="S491" s="1689"/>
      <c r="T491" s="1689"/>
      <c r="U491" s="1689"/>
      <c r="V491" s="1689"/>
      <c r="W491" s="1689"/>
      <c r="X491" s="1689"/>
      <c r="Y491" s="1689"/>
      <c r="Z491" s="1689"/>
      <c r="AA491" s="1689"/>
      <c r="AB491" s="1689"/>
      <c r="AC491" s="1689"/>
      <c r="AD491" s="1689"/>
      <c r="AE491" s="1689"/>
      <c r="AF491" s="1689"/>
      <c r="AG491" s="1689"/>
      <c r="AH491" s="1689"/>
      <c r="AI491" s="1689"/>
      <c r="AJ491" s="1689"/>
      <c r="AK491" s="1689"/>
      <c r="AL491" s="1689"/>
      <c r="AM491" s="1689"/>
      <c r="AN491" s="1689"/>
      <c r="AO491" s="1689"/>
      <c r="AP491" s="1689"/>
      <c r="AQ491" s="1689"/>
      <c r="AR491" s="1689"/>
      <c r="AS491" s="1689"/>
      <c r="AT491" s="1689"/>
    </row>
    <row r="492">
      <c r="A492" s="1419"/>
      <c r="B492" s="1699"/>
      <c r="C492" s="1700"/>
      <c r="D492" s="1700"/>
      <c r="E492" s="1691"/>
      <c r="F492" s="1691"/>
      <c r="G492" s="1691"/>
      <c r="H492" s="1691"/>
      <c r="I492" s="1691"/>
      <c r="J492" s="1691"/>
      <c r="K492" s="1691"/>
      <c r="L492" s="1691"/>
      <c r="M492" s="1691"/>
      <c r="N492" s="1691"/>
      <c r="O492" s="1691"/>
      <c r="P492" s="1691"/>
      <c r="Q492" s="1691"/>
      <c r="R492" s="1691"/>
      <c r="S492" s="1691"/>
      <c r="T492" s="1691"/>
      <c r="U492" s="1691"/>
      <c r="V492" s="1691"/>
      <c r="W492" s="1691"/>
      <c r="X492" s="1691"/>
      <c r="Y492" s="1691"/>
      <c r="Z492" s="1691"/>
      <c r="AA492" s="1691"/>
      <c r="AB492" s="1691"/>
      <c r="AC492" s="1691"/>
      <c r="AD492" s="1691"/>
      <c r="AE492" s="1691"/>
      <c r="AF492" s="1691"/>
      <c r="AG492" s="1691"/>
      <c r="AH492" s="1691"/>
      <c r="AI492" s="1691"/>
      <c r="AJ492" s="1691"/>
      <c r="AK492" s="1691"/>
      <c r="AL492" s="1691"/>
      <c r="AM492" s="1691"/>
      <c r="AN492" s="1691"/>
      <c r="AO492" s="1691"/>
      <c r="AP492" s="1691"/>
      <c r="AQ492" s="1691"/>
      <c r="AR492" s="1691"/>
      <c r="AS492" s="1691"/>
      <c r="AT492" s="1691"/>
    </row>
    <row r="493">
      <c r="A493" s="1419"/>
      <c r="B493" s="1697"/>
      <c r="C493" s="1698"/>
      <c r="D493" s="1698"/>
      <c r="E493" s="1689"/>
      <c r="F493" s="1689"/>
      <c r="G493" s="1689"/>
      <c r="H493" s="1689"/>
      <c r="I493" s="1689"/>
      <c r="J493" s="1689"/>
      <c r="K493" s="1689"/>
      <c r="L493" s="1689"/>
      <c r="M493" s="1689"/>
      <c r="N493" s="1689"/>
      <c r="O493" s="1689"/>
      <c r="P493" s="1689"/>
      <c r="Q493" s="1689"/>
      <c r="R493" s="1689"/>
      <c r="S493" s="1689"/>
      <c r="T493" s="1689"/>
      <c r="U493" s="1689"/>
      <c r="V493" s="1689"/>
      <c r="W493" s="1689"/>
      <c r="X493" s="1689"/>
      <c r="Y493" s="1689"/>
      <c r="Z493" s="1689"/>
      <c r="AA493" s="1689"/>
      <c r="AB493" s="1689"/>
      <c r="AC493" s="1689"/>
      <c r="AD493" s="1689"/>
      <c r="AE493" s="1689"/>
      <c r="AF493" s="1689"/>
      <c r="AG493" s="1689"/>
      <c r="AH493" s="1689"/>
      <c r="AI493" s="1689"/>
      <c r="AJ493" s="1689"/>
      <c r="AK493" s="1689"/>
      <c r="AL493" s="1689"/>
      <c r="AM493" s="1689"/>
      <c r="AN493" s="1689"/>
      <c r="AO493" s="1689"/>
      <c r="AP493" s="1689"/>
      <c r="AQ493" s="1689"/>
      <c r="AR493" s="1689"/>
      <c r="AS493" s="1689"/>
      <c r="AT493" s="1689"/>
    </row>
    <row r="494">
      <c r="A494" s="1419"/>
      <c r="B494" s="1699"/>
      <c r="C494" s="1700"/>
      <c r="D494" s="1700"/>
      <c r="E494" s="1691"/>
      <c r="F494" s="1691"/>
      <c r="G494" s="1691"/>
      <c r="H494" s="1691"/>
      <c r="I494" s="1691"/>
      <c r="J494" s="1691"/>
      <c r="K494" s="1691"/>
      <c r="L494" s="1691"/>
      <c r="M494" s="1691"/>
      <c r="N494" s="1691"/>
      <c r="O494" s="1691"/>
      <c r="P494" s="1691"/>
      <c r="Q494" s="1691"/>
      <c r="R494" s="1691"/>
      <c r="S494" s="1691"/>
      <c r="T494" s="1691"/>
      <c r="U494" s="1691"/>
      <c r="V494" s="1691"/>
      <c r="W494" s="1691"/>
      <c r="X494" s="1691"/>
      <c r="Y494" s="1691"/>
      <c r="Z494" s="1691"/>
      <c r="AA494" s="1691"/>
      <c r="AB494" s="1691"/>
      <c r="AC494" s="1691"/>
      <c r="AD494" s="1691"/>
      <c r="AE494" s="1691"/>
      <c r="AF494" s="1691"/>
      <c r="AG494" s="1691"/>
      <c r="AH494" s="1691"/>
      <c r="AI494" s="1691"/>
      <c r="AJ494" s="1691"/>
      <c r="AK494" s="1691"/>
      <c r="AL494" s="1691"/>
      <c r="AM494" s="1691"/>
      <c r="AN494" s="1691"/>
      <c r="AO494" s="1691"/>
      <c r="AP494" s="1691"/>
      <c r="AQ494" s="1691"/>
      <c r="AR494" s="1691"/>
      <c r="AS494" s="1691"/>
      <c r="AT494" s="1691"/>
    </row>
    <row r="495">
      <c r="A495" s="1419"/>
      <c r="B495" s="1697"/>
      <c r="C495" s="1698"/>
      <c r="D495" s="1698"/>
      <c r="E495" s="1689"/>
      <c r="F495" s="1689"/>
      <c r="G495" s="1689"/>
      <c r="H495" s="1689"/>
      <c r="I495" s="1689"/>
      <c r="J495" s="1689"/>
      <c r="K495" s="1689"/>
      <c r="L495" s="1689"/>
      <c r="M495" s="1689"/>
      <c r="N495" s="1689"/>
      <c r="O495" s="1689"/>
      <c r="P495" s="1689"/>
      <c r="Q495" s="1689"/>
      <c r="R495" s="1689"/>
      <c r="S495" s="1689"/>
      <c r="T495" s="1689"/>
      <c r="U495" s="1689"/>
      <c r="V495" s="1689"/>
      <c r="W495" s="1689"/>
      <c r="X495" s="1689"/>
      <c r="Y495" s="1689"/>
      <c r="Z495" s="1689"/>
      <c r="AA495" s="1689"/>
      <c r="AB495" s="1689"/>
      <c r="AC495" s="1689"/>
      <c r="AD495" s="1689"/>
      <c r="AE495" s="1689"/>
      <c r="AF495" s="1689"/>
      <c r="AG495" s="1689"/>
      <c r="AH495" s="1689"/>
      <c r="AI495" s="1689"/>
      <c r="AJ495" s="1689"/>
      <c r="AK495" s="1689"/>
      <c r="AL495" s="1689"/>
      <c r="AM495" s="1689"/>
      <c r="AN495" s="1689"/>
      <c r="AO495" s="1689"/>
      <c r="AP495" s="1689"/>
      <c r="AQ495" s="1689"/>
      <c r="AR495" s="1689"/>
      <c r="AS495" s="1689"/>
      <c r="AT495" s="1689"/>
    </row>
    <row r="496">
      <c r="A496" s="1419"/>
      <c r="B496" s="1699"/>
      <c r="C496" s="1700"/>
      <c r="D496" s="1700"/>
      <c r="E496" s="1691"/>
      <c r="F496" s="1691"/>
      <c r="G496" s="1691"/>
      <c r="H496" s="1691"/>
      <c r="I496" s="1691"/>
      <c r="J496" s="1691"/>
      <c r="K496" s="1691"/>
      <c r="L496" s="1691"/>
      <c r="M496" s="1691"/>
      <c r="N496" s="1691"/>
      <c r="O496" s="1691"/>
      <c r="P496" s="1691"/>
      <c r="Q496" s="1691"/>
      <c r="R496" s="1691"/>
      <c r="S496" s="1691"/>
      <c r="T496" s="1691"/>
      <c r="U496" s="1691"/>
      <c r="V496" s="1691"/>
      <c r="W496" s="1691"/>
      <c r="X496" s="1691"/>
      <c r="Y496" s="1691"/>
      <c r="Z496" s="1691"/>
      <c r="AA496" s="1691"/>
      <c r="AB496" s="1691"/>
      <c r="AC496" s="1691"/>
      <c r="AD496" s="1691"/>
      <c r="AE496" s="1691"/>
      <c r="AF496" s="1691"/>
      <c r="AG496" s="1691"/>
      <c r="AH496" s="1691"/>
      <c r="AI496" s="1691"/>
      <c r="AJ496" s="1691"/>
      <c r="AK496" s="1691"/>
      <c r="AL496" s="1691"/>
      <c r="AM496" s="1691"/>
      <c r="AN496" s="1691"/>
      <c r="AO496" s="1691"/>
      <c r="AP496" s="1691"/>
      <c r="AQ496" s="1691"/>
      <c r="AR496" s="1691"/>
      <c r="AS496" s="1691"/>
      <c r="AT496" s="1691"/>
    </row>
    <row r="497">
      <c r="A497" s="1419"/>
      <c r="B497" s="1697"/>
      <c r="C497" s="1698"/>
      <c r="D497" s="1698"/>
      <c r="E497" s="1689"/>
      <c r="F497" s="1689"/>
      <c r="G497" s="1689"/>
      <c r="H497" s="1689"/>
      <c r="I497" s="1689"/>
      <c r="J497" s="1689"/>
      <c r="K497" s="1689"/>
      <c r="L497" s="1689"/>
      <c r="M497" s="1689"/>
      <c r="N497" s="1689"/>
      <c r="O497" s="1689"/>
      <c r="P497" s="1689"/>
      <c r="Q497" s="1689"/>
      <c r="R497" s="1689"/>
      <c r="S497" s="1689"/>
      <c r="T497" s="1689"/>
      <c r="U497" s="1689"/>
      <c r="V497" s="1689"/>
      <c r="W497" s="1689"/>
      <c r="X497" s="1689"/>
      <c r="Y497" s="1689"/>
      <c r="Z497" s="1689"/>
      <c r="AA497" s="1689"/>
      <c r="AB497" s="1689"/>
      <c r="AC497" s="1689"/>
      <c r="AD497" s="1689"/>
      <c r="AE497" s="1689"/>
      <c r="AF497" s="1689"/>
      <c r="AG497" s="1689"/>
      <c r="AH497" s="1689"/>
      <c r="AI497" s="1689"/>
      <c r="AJ497" s="1689"/>
      <c r="AK497" s="1689"/>
      <c r="AL497" s="1689"/>
      <c r="AM497" s="1689"/>
      <c r="AN497" s="1689"/>
      <c r="AO497" s="1689"/>
      <c r="AP497" s="1689"/>
      <c r="AQ497" s="1689"/>
      <c r="AR497" s="1689"/>
      <c r="AS497" s="1689"/>
      <c r="AT497" s="1689"/>
    </row>
    <row r="498">
      <c r="A498" s="1419"/>
      <c r="B498" s="1699"/>
      <c r="C498" s="1700"/>
      <c r="D498" s="1700"/>
      <c r="E498" s="1691"/>
      <c r="F498" s="1691"/>
      <c r="G498" s="1691"/>
      <c r="H498" s="1691"/>
      <c r="I498" s="1691"/>
      <c r="J498" s="1691"/>
      <c r="K498" s="1691"/>
      <c r="L498" s="1691"/>
      <c r="M498" s="1691"/>
      <c r="N498" s="1691"/>
      <c r="O498" s="1691"/>
      <c r="P498" s="1691"/>
      <c r="Q498" s="1691"/>
      <c r="R498" s="1691"/>
      <c r="S498" s="1691"/>
      <c r="T498" s="1691"/>
      <c r="U498" s="1691"/>
      <c r="V498" s="1691"/>
      <c r="W498" s="1691"/>
      <c r="X498" s="1691"/>
      <c r="Y498" s="1691"/>
      <c r="Z498" s="1691"/>
      <c r="AA498" s="1691"/>
      <c r="AB498" s="1691"/>
      <c r="AC498" s="1691"/>
      <c r="AD498" s="1691"/>
      <c r="AE498" s="1691"/>
      <c r="AF498" s="1691"/>
      <c r="AG498" s="1691"/>
      <c r="AH498" s="1691"/>
      <c r="AI498" s="1691"/>
      <c r="AJ498" s="1691"/>
      <c r="AK498" s="1691"/>
      <c r="AL498" s="1691"/>
      <c r="AM498" s="1691"/>
      <c r="AN498" s="1691"/>
      <c r="AO498" s="1691"/>
      <c r="AP498" s="1691"/>
      <c r="AQ498" s="1691"/>
      <c r="AR498" s="1691"/>
      <c r="AS498" s="1691"/>
      <c r="AT498" s="1691"/>
    </row>
    <row r="499">
      <c r="A499" s="1419"/>
      <c r="B499" s="1697"/>
      <c r="C499" s="1698"/>
      <c r="D499" s="1698"/>
      <c r="E499" s="1689"/>
      <c r="F499" s="1689"/>
      <c r="G499" s="1689"/>
      <c r="H499" s="1689"/>
      <c r="I499" s="1689"/>
      <c r="J499" s="1689"/>
      <c r="K499" s="1689"/>
      <c r="L499" s="1689"/>
      <c r="M499" s="1689"/>
      <c r="N499" s="1689"/>
      <c r="O499" s="1689"/>
      <c r="P499" s="1689"/>
      <c r="Q499" s="1689"/>
      <c r="R499" s="1689"/>
      <c r="S499" s="1689"/>
      <c r="T499" s="1689"/>
      <c r="U499" s="1689"/>
      <c r="V499" s="1689"/>
      <c r="W499" s="1689"/>
      <c r="X499" s="1689"/>
      <c r="Y499" s="1689"/>
      <c r="Z499" s="1689"/>
      <c r="AA499" s="1689"/>
      <c r="AB499" s="1689"/>
      <c r="AC499" s="1689"/>
      <c r="AD499" s="1689"/>
      <c r="AE499" s="1689"/>
      <c r="AF499" s="1689"/>
      <c r="AG499" s="1689"/>
      <c r="AH499" s="1689"/>
      <c r="AI499" s="1689"/>
      <c r="AJ499" s="1689"/>
      <c r="AK499" s="1689"/>
      <c r="AL499" s="1689"/>
      <c r="AM499" s="1689"/>
      <c r="AN499" s="1689"/>
      <c r="AO499" s="1689"/>
      <c r="AP499" s="1689"/>
      <c r="AQ499" s="1689"/>
      <c r="AR499" s="1689"/>
      <c r="AS499" s="1689"/>
      <c r="AT499" s="1689"/>
    </row>
    <row r="500">
      <c r="A500" s="1419"/>
      <c r="B500" s="1699"/>
      <c r="C500" s="1700"/>
      <c r="D500" s="1700"/>
      <c r="E500" s="1691"/>
      <c r="F500" s="1691"/>
      <c r="G500" s="1691"/>
      <c r="H500" s="1691"/>
      <c r="I500" s="1691"/>
      <c r="J500" s="1691"/>
      <c r="K500" s="1691"/>
      <c r="L500" s="1691"/>
      <c r="M500" s="1691"/>
      <c r="N500" s="1691"/>
      <c r="O500" s="1691"/>
      <c r="P500" s="1691"/>
      <c r="Q500" s="1691"/>
      <c r="R500" s="1691"/>
      <c r="S500" s="1691"/>
      <c r="T500" s="1691"/>
      <c r="U500" s="1691"/>
      <c r="V500" s="1691"/>
      <c r="W500" s="1691"/>
      <c r="X500" s="1691"/>
      <c r="Y500" s="1691"/>
      <c r="Z500" s="1691"/>
      <c r="AA500" s="1691"/>
      <c r="AB500" s="1691"/>
      <c r="AC500" s="1691"/>
      <c r="AD500" s="1691"/>
      <c r="AE500" s="1691"/>
      <c r="AF500" s="1691"/>
      <c r="AG500" s="1691"/>
      <c r="AH500" s="1691"/>
      <c r="AI500" s="1691"/>
      <c r="AJ500" s="1691"/>
      <c r="AK500" s="1691"/>
      <c r="AL500" s="1691"/>
      <c r="AM500" s="1691"/>
      <c r="AN500" s="1691"/>
      <c r="AO500" s="1691"/>
      <c r="AP500" s="1691"/>
      <c r="AQ500" s="1691"/>
      <c r="AR500" s="1691"/>
      <c r="AS500" s="1691"/>
      <c r="AT500" s="1691"/>
    </row>
    <row r="501">
      <c r="A501" s="1419"/>
      <c r="B501" s="1697"/>
      <c r="C501" s="1698"/>
      <c r="D501" s="1698"/>
      <c r="E501" s="1689"/>
      <c r="F501" s="1689"/>
      <c r="G501" s="1689"/>
      <c r="H501" s="1689"/>
      <c r="I501" s="1689"/>
      <c r="J501" s="1689"/>
      <c r="K501" s="1689"/>
      <c r="L501" s="1689"/>
      <c r="M501" s="1689"/>
      <c r="N501" s="1689"/>
      <c r="O501" s="1689"/>
      <c r="P501" s="1689"/>
      <c r="Q501" s="1689"/>
      <c r="R501" s="1689"/>
      <c r="S501" s="1689"/>
      <c r="T501" s="1689"/>
      <c r="U501" s="1689"/>
      <c r="V501" s="1689"/>
      <c r="W501" s="1689"/>
      <c r="X501" s="1689"/>
      <c r="Y501" s="1689"/>
      <c r="Z501" s="1689"/>
      <c r="AA501" s="1689"/>
      <c r="AB501" s="1689"/>
      <c r="AC501" s="1689"/>
      <c r="AD501" s="1689"/>
      <c r="AE501" s="1689"/>
      <c r="AF501" s="1689"/>
      <c r="AG501" s="1689"/>
      <c r="AH501" s="1689"/>
      <c r="AI501" s="1689"/>
      <c r="AJ501" s="1689"/>
      <c r="AK501" s="1689"/>
      <c r="AL501" s="1689"/>
      <c r="AM501" s="1689"/>
      <c r="AN501" s="1689"/>
      <c r="AO501" s="1689"/>
      <c r="AP501" s="1689"/>
      <c r="AQ501" s="1689"/>
      <c r="AR501" s="1689"/>
      <c r="AS501" s="1689"/>
      <c r="AT501" s="1689"/>
    </row>
    <row r="502">
      <c r="A502" s="1419"/>
      <c r="B502" s="1699"/>
      <c r="C502" s="1700"/>
      <c r="D502" s="1700"/>
      <c r="E502" s="1691"/>
      <c r="F502" s="1691"/>
      <c r="G502" s="1691"/>
      <c r="H502" s="1691"/>
      <c r="I502" s="1691"/>
      <c r="J502" s="1691"/>
      <c r="K502" s="1691"/>
      <c r="L502" s="1691"/>
      <c r="M502" s="1691"/>
      <c r="N502" s="1691"/>
      <c r="O502" s="1691"/>
      <c r="P502" s="1691"/>
      <c r="Q502" s="1691"/>
      <c r="R502" s="1691"/>
      <c r="S502" s="1691"/>
      <c r="T502" s="1691"/>
      <c r="U502" s="1691"/>
      <c r="V502" s="1691"/>
      <c r="W502" s="1691"/>
      <c r="X502" s="1691"/>
      <c r="Y502" s="1691"/>
      <c r="Z502" s="1691"/>
      <c r="AA502" s="1691"/>
      <c r="AB502" s="1691"/>
      <c r="AC502" s="1691"/>
      <c r="AD502" s="1691"/>
      <c r="AE502" s="1691"/>
      <c r="AF502" s="1691"/>
      <c r="AG502" s="1691"/>
      <c r="AH502" s="1691"/>
      <c r="AI502" s="1691"/>
      <c r="AJ502" s="1691"/>
      <c r="AK502" s="1691"/>
      <c r="AL502" s="1691"/>
      <c r="AM502" s="1691"/>
      <c r="AN502" s="1691"/>
      <c r="AO502" s="1691"/>
      <c r="AP502" s="1691"/>
      <c r="AQ502" s="1691"/>
      <c r="AR502" s="1691"/>
      <c r="AS502" s="1691"/>
      <c r="AT502" s="1691"/>
    </row>
    <row r="503">
      <c r="A503" s="1419"/>
      <c r="B503" s="1697"/>
      <c r="C503" s="1698"/>
      <c r="D503" s="1698"/>
      <c r="E503" s="1689"/>
      <c r="F503" s="1689"/>
      <c r="G503" s="1689"/>
      <c r="H503" s="1689"/>
      <c r="I503" s="1689"/>
      <c r="J503" s="1689"/>
      <c r="K503" s="1689"/>
      <c r="L503" s="1689"/>
      <c r="M503" s="1689"/>
      <c r="N503" s="1689"/>
      <c r="O503" s="1689"/>
      <c r="P503" s="1689"/>
      <c r="Q503" s="1689"/>
      <c r="R503" s="1689"/>
      <c r="S503" s="1689"/>
      <c r="T503" s="1689"/>
      <c r="U503" s="1689"/>
      <c r="V503" s="1689"/>
      <c r="W503" s="1689"/>
      <c r="X503" s="1689"/>
      <c r="Y503" s="1689"/>
      <c r="Z503" s="1689"/>
      <c r="AA503" s="1689"/>
      <c r="AB503" s="1689"/>
      <c r="AC503" s="1689"/>
      <c r="AD503" s="1689"/>
      <c r="AE503" s="1689"/>
      <c r="AF503" s="1689"/>
      <c r="AG503" s="1689"/>
      <c r="AH503" s="1689"/>
      <c r="AI503" s="1689"/>
      <c r="AJ503" s="1689"/>
      <c r="AK503" s="1689"/>
      <c r="AL503" s="1689"/>
      <c r="AM503" s="1689"/>
      <c r="AN503" s="1689"/>
      <c r="AO503" s="1689"/>
      <c r="AP503" s="1689"/>
      <c r="AQ503" s="1689"/>
      <c r="AR503" s="1689"/>
      <c r="AS503" s="1689"/>
      <c r="AT503" s="1689"/>
    </row>
    <row r="504">
      <c r="A504" s="1419"/>
      <c r="B504" s="1699"/>
      <c r="C504" s="1700"/>
      <c r="D504" s="1700"/>
      <c r="E504" s="1691"/>
      <c r="F504" s="1691"/>
      <c r="G504" s="1691"/>
      <c r="H504" s="1691"/>
      <c r="I504" s="1691"/>
      <c r="J504" s="1691"/>
      <c r="K504" s="1691"/>
      <c r="L504" s="1691"/>
      <c r="M504" s="1691"/>
      <c r="N504" s="1691"/>
      <c r="O504" s="1691"/>
      <c r="P504" s="1691"/>
      <c r="Q504" s="1691"/>
      <c r="R504" s="1691"/>
      <c r="S504" s="1691"/>
      <c r="T504" s="1691"/>
      <c r="U504" s="1691"/>
      <c r="V504" s="1691"/>
      <c r="W504" s="1691"/>
      <c r="X504" s="1691"/>
      <c r="Y504" s="1691"/>
      <c r="Z504" s="1691"/>
      <c r="AA504" s="1691"/>
      <c r="AB504" s="1691"/>
      <c r="AC504" s="1691"/>
      <c r="AD504" s="1691"/>
      <c r="AE504" s="1691"/>
      <c r="AF504" s="1691"/>
      <c r="AG504" s="1691"/>
      <c r="AH504" s="1691"/>
      <c r="AI504" s="1691"/>
      <c r="AJ504" s="1691"/>
      <c r="AK504" s="1691"/>
      <c r="AL504" s="1691"/>
      <c r="AM504" s="1691"/>
      <c r="AN504" s="1691"/>
      <c r="AO504" s="1691"/>
      <c r="AP504" s="1691"/>
      <c r="AQ504" s="1691"/>
      <c r="AR504" s="1691"/>
      <c r="AS504" s="1691"/>
      <c r="AT504" s="1691"/>
    </row>
    <row r="505">
      <c r="A505" s="1419"/>
      <c r="B505" s="1697"/>
      <c r="C505" s="1698"/>
      <c r="D505" s="1698"/>
      <c r="E505" s="1689"/>
      <c r="F505" s="1689"/>
      <c r="G505" s="1689"/>
      <c r="H505" s="1689"/>
      <c r="I505" s="1689"/>
      <c r="J505" s="1689"/>
      <c r="K505" s="1689"/>
      <c r="L505" s="1689"/>
      <c r="M505" s="1689"/>
      <c r="N505" s="1689"/>
      <c r="O505" s="1689"/>
      <c r="P505" s="1689"/>
      <c r="Q505" s="1689"/>
      <c r="R505" s="1689"/>
      <c r="S505" s="1689"/>
      <c r="T505" s="1689"/>
      <c r="U505" s="1689"/>
      <c r="V505" s="1689"/>
      <c r="W505" s="1689"/>
      <c r="X505" s="1689"/>
      <c r="Y505" s="1689"/>
      <c r="Z505" s="1689"/>
      <c r="AA505" s="1689"/>
      <c r="AB505" s="1689"/>
      <c r="AC505" s="1689"/>
      <c r="AD505" s="1689"/>
      <c r="AE505" s="1689"/>
      <c r="AF505" s="1689"/>
      <c r="AG505" s="1689"/>
      <c r="AH505" s="1689"/>
      <c r="AI505" s="1689"/>
      <c r="AJ505" s="1689"/>
      <c r="AK505" s="1689"/>
      <c r="AL505" s="1689"/>
      <c r="AM505" s="1689"/>
      <c r="AN505" s="1689"/>
      <c r="AO505" s="1689"/>
      <c r="AP505" s="1689"/>
      <c r="AQ505" s="1689"/>
      <c r="AR505" s="1689"/>
      <c r="AS505" s="1689"/>
      <c r="AT505" s="1689"/>
    </row>
    <row r="506">
      <c r="A506" s="1419"/>
      <c r="B506" s="1699"/>
      <c r="C506" s="1700"/>
      <c r="D506" s="1700"/>
      <c r="E506" s="1691"/>
      <c r="F506" s="1691"/>
      <c r="G506" s="1691"/>
      <c r="H506" s="1691"/>
      <c r="I506" s="1691"/>
      <c r="J506" s="1691"/>
      <c r="K506" s="1691"/>
      <c r="L506" s="1691"/>
      <c r="M506" s="1691"/>
      <c r="N506" s="1691"/>
      <c r="O506" s="1691"/>
      <c r="P506" s="1691"/>
      <c r="Q506" s="1691"/>
      <c r="R506" s="1691"/>
      <c r="S506" s="1691"/>
      <c r="T506" s="1691"/>
      <c r="U506" s="1691"/>
      <c r="V506" s="1691"/>
      <c r="W506" s="1691"/>
      <c r="X506" s="1691"/>
      <c r="Y506" s="1691"/>
      <c r="Z506" s="1691"/>
      <c r="AA506" s="1691"/>
      <c r="AB506" s="1691"/>
      <c r="AC506" s="1691"/>
      <c r="AD506" s="1691"/>
      <c r="AE506" s="1691"/>
      <c r="AF506" s="1691"/>
      <c r="AG506" s="1691"/>
      <c r="AH506" s="1691"/>
      <c r="AI506" s="1691"/>
      <c r="AJ506" s="1691"/>
      <c r="AK506" s="1691"/>
      <c r="AL506" s="1691"/>
      <c r="AM506" s="1691"/>
      <c r="AN506" s="1691"/>
      <c r="AO506" s="1691"/>
      <c r="AP506" s="1691"/>
      <c r="AQ506" s="1691"/>
      <c r="AR506" s="1691"/>
      <c r="AS506" s="1691"/>
      <c r="AT506" s="1691"/>
    </row>
    <row r="507">
      <c r="A507" s="1419"/>
      <c r="B507" s="1697"/>
      <c r="C507" s="1698"/>
      <c r="D507" s="1698"/>
      <c r="E507" s="1689"/>
      <c r="F507" s="1689"/>
      <c r="G507" s="1689"/>
      <c r="H507" s="1689"/>
      <c r="I507" s="1689"/>
      <c r="J507" s="1689"/>
      <c r="K507" s="1689"/>
      <c r="L507" s="1689"/>
      <c r="M507" s="1689"/>
      <c r="N507" s="1689"/>
      <c r="O507" s="1689"/>
      <c r="P507" s="1689"/>
      <c r="Q507" s="1689"/>
      <c r="R507" s="1689"/>
      <c r="S507" s="1689"/>
      <c r="T507" s="1689"/>
      <c r="U507" s="1689"/>
      <c r="V507" s="1689"/>
      <c r="W507" s="1689"/>
      <c r="X507" s="1689"/>
      <c r="Y507" s="1689"/>
      <c r="Z507" s="1689"/>
      <c r="AA507" s="1689"/>
      <c r="AB507" s="1689"/>
      <c r="AC507" s="1689"/>
      <c r="AD507" s="1689"/>
      <c r="AE507" s="1689"/>
      <c r="AF507" s="1689"/>
      <c r="AG507" s="1689"/>
      <c r="AH507" s="1689"/>
      <c r="AI507" s="1689"/>
      <c r="AJ507" s="1689"/>
      <c r="AK507" s="1689"/>
      <c r="AL507" s="1689"/>
      <c r="AM507" s="1689"/>
      <c r="AN507" s="1689"/>
      <c r="AO507" s="1689"/>
      <c r="AP507" s="1689"/>
      <c r="AQ507" s="1689"/>
      <c r="AR507" s="1689"/>
      <c r="AS507" s="1689"/>
      <c r="AT507" s="1689"/>
    </row>
    <row r="508">
      <c r="A508" s="1419"/>
      <c r="B508" s="1699"/>
      <c r="C508" s="1700"/>
      <c r="D508" s="1700"/>
      <c r="E508" s="1691"/>
      <c r="F508" s="1691"/>
      <c r="G508" s="1691"/>
      <c r="H508" s="1691"/>
      <c r="I508" s="1691"/>
      <c r="J508" s="1691"/>
      <c r="K508" s="1691"/>
      <c r="L508" s="1691"/>
      <c r="M508" s="1691"/>
      <c r="N508" s="1691"/>
      <c r="O508" s="1691"/>
      <c r="P508" s="1691"/>
      <c r="Q508" s="1691"/>
      <c r="R508" s="1691"/>
      <c r="S508" s="1691"/>
      <c r="T508" s="1691"/>
      <c r="U508" s="1691"/>
      <c r="V508" s="1691"/>
      <c r="W508" s="1691"/>
      <c r="X508" s="1691"/>
      <c r="Y508" s="1691"/>
      <c r="Z508" s="1691"/>
      <c r="AA508" s="1691"/>
      <c r="AB508" s="1691"/>
      <c r="AC508" s="1691"/>
      <c r="AD508" s="1691"/>
      <c r="AE508" s="1691"/>
      <c r="AF508" s="1691"/>
      <c r="AG508" s="1691"/>
      <c r="AH508" s="1691"/>
      <c r="AI508" s="1691"/>
      <c r="AJ508" s="1691"/>
      <c r="AK508" s="1691"/>
      <c r="AL508" s="1691"/>
      <c r="AM508" s="1691"/>
      <c r="AN508" s="1691"/>
      <c r="AO508" s="1691"/>
      <c r="AP508" s="1691"/>
      <c r="AQ508" s="1691"/>
      <c r="AR508" s="1691"/>
      <c r="AS508" s="1691"/>
      <c r="AT508" s="1691"/>
    </row>
    <row r="509">
      <c r="A509" s="1419"/>
      <c r="B509" s="1697"/>
      <c r="C509" s="1698"/>
      <c r="D509" s="1698"/>
      <c r="E509" s="1689"/>
      <c r="F509" s="1689"/>
      <c r="G509" s="1689"/>
      <c r="H509" s="1689"/>
      <c r="I509" s="1689"/>
      <c r="J509" s="1689"/>
      <c r="K509" s="1689"/>
      <c r="L509" s="1689"/>
      <c r="M509" s="1689"/>
      <c r="N509" s="1689"/>
      <c r="O509" s="1689"/>
      <c r="P509" s="1689"/>
      <c r="Q509" s="1689"/>
      <c r="R509" s="1689"/>
      <c r="S509" s="1689"/>
      <c r="T509" s="1689"/>
      <c r="U509" s="1689"/>
      <c r="V509" s="1689"/>
      <c r="W509" s="1689"/>
      <c r="X509" s="1689"/>
      <c r="Y509" s="1689"/>
      <c r="Z509" s="1689"/>
      <c r="AA509" s="1689"/>
      <c r="AB509" s="1689"/>
      <c r="AC509" s="1689"/>
      <c r="AD509" s="1689"/>
      <c r="AE509" s="1689"/>
      <c r="AF509" s="1689"/>
      <c r="AG509" s="1689"/>
      <c r="AH509" s="1689"/>
      <c r="AI509" s="1689"/>
      <c r="AJ509" s="1689"/>
      <c r="AK509" s="1689"/>
      <c r="AL509" s="1689"/>
      <c r="AM509" s="1689"/>
      <c r="AN509" s="1689"/>
      <c r="AO509" s="1689"/>
      <c r="AP509" s="1689"/>
      <c r="AQ509" s="1689"/>
      <c r="AR509" s="1689"/>
      <c r="AS509" s="1689"/>
      <c r="AT509" s="1689"/>
    </row>
    <row r="510">
      <c r="A510" s="1419"/>
      <c r="B510" s="1701"/>
      <c r="C510" s="1702"/>
      <c r="D510" s="1702"/>
      <c r="E510" s="1703"/>
      <c r="F510" s="1703"/>
      <c r="G510" s="1703"/>
      <c r="H510" s="1703"/>
      <c r="I510" s="1703"/>
      <c r="J510" s="1703"/>
      <c r="K510" s="1703"/>
      <c r="L510" s="1703"/>
      <c r="M510" s="1703"/>
      <c r="N510" s="1703"/>
      <c r="O510" s="1703"/>
      <c r="P510" s="1703"/>
      <c r="Q510" s="1703"/>
      <c r="R510" s="1703"/>
      <c r="S510" s="1703"/>
      <c r="T510" s="1703"/>
      <c r="U510" s="1703"/>
      <c r="V510" s="1703"/>
      <c r="W510" s="1703"/>
      <c r="X510" s="1703"/>
      <c r="Y510" s="1704"/>
      <c r="Z510" s="1704"/>
      <c r="AA510" s="1704"/>
      <c r="AB510" s="1704"/>
      <c r="AC510" s="1704"/>
      <c r="AD510" s="1704"/>
      <c r="AE510" s="1704"/>
      <c r="AF510" s="1704"/>
      <c r="AG510" s="1704"/>
      <c r="AH510" s="1704"/>
      <c r="AI510" s="1704"/>
      <c r="AJ510" s="1704"/>
      <c r="AK510" s="1704"/>
      <c r="AL510" s="1704"/>
      <c r="AM510" s="1704"/>
      <c r="AN510" s="1704"/>
      <c r="AO510" s="1704"/>
      <c r="AP510" s="1704"/>
      <c r="AQ510" s="1704"/>
      <c r="AR510" s="1704"/>
      <c r="AS510" s="1704"/>
      <c r="AT510" s="1704"/>
    </row>
    <row r="511">
      <c r="A511" s="1419"/>
      <c r="B511" s="1705"/>
      <c r="C511" s="1702"/>
      <c r="D511" s="1702"/>
      <c r="E511" s="1703"/>
      <c r="F511" s="1703"/>
      <c r="G511" s="1703"/>
      <c r="H511" s="1703"/>
      <c r="I511" s="1703"/>
      <c r="J511" s="1703"/>
      <c r="K511" s="1703"/>
      <c r="L511" s="1703"/>
      <c r="M511" s="1703"/>
      <c r="N511" s="1703"/>
      <c r="O511" s="1703"/>
      <c r="P511" s="1703"/>
      <c r="Q511" s="1703"/>
      <c r="R511" s="1703"/>
      <c r="S511" s="1703"/>
      <c r="T511" s="1703"/>
      <c r="U511" s="1703"/>
      <c r="V511" s="1703"/>
      <c r="W511" s="1703"/>
      <c r="X511" s="1703"/>
      <c r="Y511" s="1704"/>
      <c r="Z511" s="1704"/>
      <c r="AA511" s="1704"/>
      <c r="AB511" s="1704"/>
      <c r="AC511" s="1704"/>
      <c r="AD511" s="1704"/>
      <c r="AE511" s="1704"/>
      <c r="AF511" s="1704"/>
      <c r="AG511" s="1704"/>
      <c r="AH511" s="1704"/>
      <c r="AI511" s="1704"/>
      <c r="AJ511" s="1704"/>
      <c r="AK511" s="1704"/>
      <c r="AL511" s="1704"/>
      <c r="AM511" s="1704"/>
      <c r="AN511" s="1704"/>
      <c r="AO511" s="1704"/>
      <c r="AP511" s="1704"/>
      <c r="AQ511" s="1704"/>
      <c r="AR511" s="1704"/>
      <c r="AS511" s="1704"/>
      <c r="AT511" s="1704"/>
    </row>
    <row r="512">
      <c r="A512" s="1419"/>
      <c r="B512" s="1705"/>
      <c r="C512" s="1702"/>
      <c r="D512" s="1702"/>
      <c r="E512" s="1703"/>
      <c r="F512" s="1703"/>
      <c r="G512" s="1703"/>
      <c r="H512" s="1703"/>
      <c r="I512" s="1703"/>
      <c r="J512" s="1703"/>
      <c r="K512" s="1703"/>
      <c r="L512" s="1703"/>
      <c r="M512" s="1703"/>
      <c r="N512" s="1703"/>
      <c r="O512" s="1703"/>
      <c r="P512" s="1703"/>
      <c r="Q512" s="1703"/>
      <c r="R512" s="1703"/>
      <c r="S512" s="1703"/>
      <c r="T512" s="1703"/>
      <c r="U512" s="1703"/>
      <c r="V512" s="1703"/>
      <c r="W512" s="1703"/>
      <c r="X512" s="1703"/>
      <c r="Y512" s="1704"/>
      <c r="Z512" s="1704"/>
      <c r="AA512" s="1704"/>
      <c r="AB512" s="1704"/>
      <c r="AC512" s="1704"/>
      <c r="AD512" s="1704"/>
      <c r="AE512" s="1704"/>
      <c r="AF512" s="1704"/>
      <c r="AG512" s="1704"/>
      <c r="AH512" s="1704"/>
      <c r="AI512" s="1704"/>
      <c r="AJ512" s="1704"/>
      <c r="AK512" s="1704"/>
      <c r="AL512" s="1704"/>
      <c r="AM512" s="1704"/>
      <c r="AN512" s="1704"/>
      <c r="AO512" s="1704"/>
      <c r="AP512" s="1704"/>
      <c r="AQ512" s="1704"/>
      <c r="AR512" s="1704"/>
      <c r="AS512" s="1704"/>
      <c r="AT512" s="1704"/>
    </row>
    <row r="513">
      <c r="A513" s="1419"/>
      <c r="B513" s="1705"/>
      <c r="C513" s="1702"/>
      <c r="D513" s="1702"/>
      <c r="E513" s="1703"/>
      <c r="F513" s="1703"/>
      <c r="G513" s="1703"/>
      <c r="H513" s="1703"/>
      <c r="I513" s="1703"/>
      <c r="J513" s="1703"/>
      <c r="K513" s="1703"/>
      <c r="L513" s="1703"/>
      <c r="M513" s="1703"/>
      <c r="N513" s="1703"/>
      <c r="O513" s="1703"/>
      <c r="P513" s="1703"/>
      <c r="Q513" s="1703"/>
      <c r="R513" s="1703"/>
      <c r="S513" s="1703"/>
      <c r="T513" s="1703"/>
      <c r="U513" s="1703"/>
      <c r="V513" s="1703"/>
      <c r="W513" s="1703"/>
      <c r="X513" s="1703"/>
      <c r="Y513" s="1704"/>
      <c r="Z513" s="1704"/>
      <c r="AA513" s="1704"/>
      <c r="AB513" s="1704"/>
      <c r="AC513" s="1704"/>
      <c r="AD513" s="1704"/>
      <c r="AE513" s="1704"/>
      <c r="AF513" s="1704"/>
      <c r="AG513" s="1704"/>
      <c r="AH513" s="1704"/>
      <c r="AI513" s="1704"/>
      <c r="AJ513" s="1704"/>
      <c r="AK513" s="1704"/>
      <c r="AL513" s="1704"/>
      <c r="AM513" s="1704"/>
      <c r="AN513" s="1704"/>
      <c r="AO513" s="1704"/>
      <c r="AP513" s="1704"/>
      <c r="AQ513" s="1704"/>
      <c r="AR513" s="1704"/>
      <c r="AS513" s="1704"/>
      <c r="AT513" s="1704"/>
    </row>
    <row r="514">
      <c r="A514" s="1419"/>
      <c r="B514" s="1705"/>
      <c r="C514" s="1702"/>
      <c r="D514" s="1702"/>
      <c r="E514" s="1703"/>
      <c r="F514" s="1703"/>
      <c r="G514" s="1703"/>
      <c r="H514" s="1703"/>
      <c r="I514" s="1703"/>
      <c r="J514" s="1703"/>
      <c r="K514" s="1703"/>
      <c r="L514" s="1703"/>
      <c r="M514" s="1703"/>
      <c r="N514" s="1703"/>
      <c r="O514" s="1703"/>
      <c r="P514" s="1703"/>
      <c r="Q514" s="1703"/>
      <c r="R514" s="1703"/>
      <c r="S514" s="1703"/>
      <c r="T514" s="1703"/>
      <c r="U514" s="1703"/>
      <c r="V514" s="1703"/>
      <c r="W514" s="1703"/>
      <c r="X514" s="1703"/>
      <c r="Y514" s="1704"/>
      <c r="Z514" s="1704"/>
      <c r="AA514" s="1704"/>
      <c r="AB514" s="1704"/>
      <c r="AC514" s="1704"/>
      <c r="AD514" s="1704"/>
      <c r="AE514" s="1704"/>
      <c r="AF514" s="1704"/>
      <c r="AG514" s="1704"/>
      <c r="AH514" s="1704"/>
      <c r="AI514" s="1704"/>
      <c r="AJ514" s="1704"/>
      <c r="AK514" s="1704"/>
      <c r="AL514" s="1704"/>
      <c r="AM514" s="1704"/>
      <c r="AN514" s="1704"/>
      <c r="AO514" s="1704"/>
      <c r="AP514" s="1704"/>
      <c r="AQ514" s="1704"/>
      <c r="AR514" s="1704"/>
      <c r="AS514" s="1704"/>
      <c r="AT514" s="1704"/>
    </row>
    <row r="515">
      <c r="A515" s="1419"/>
      <c r="B515" s="1705"/>
      <c r="C515" s="1702"/>
      <c r="D515" s="1702"/>
      <c r="E515" s="1703"/>
      <c r="F515" s="1703"/>
      <c r="G515" s="1703"/>
      <c r="H515" s="1703"/>
      <c r="I515" s="1703"/>
      <c r="J515" s="1703"/>
      <c r="K515" s="1703"/>
      <c r="L515" s="1703"/>
      <c r="M515" s="1703"/>
      <c r="N515" s="1703"/>
      <c r="O515" s="1703"/>
      <c r="P515" s="1703"/>
      <c r="Q515" s="1703"/>
      <c r="R515" s="1703"/>
      <c r="S515" s="1703"/>
      <c r="T515" s="1703"/>
      <c r="U515" s="1703"/>
      <c r="V515" s="1703"/>
      <c r="W515" s="1703"/>
      <c r="X515" s="1703"/>
      <c r="Y515" s="1704"/>
      <c r="Z515" s="1704"/>
      <c r="AA515" s="1704"/>
      <c r="AB515" s="1704"/>
      <c r="AC515" s="1704"/>
      <c r="AD515" s="1704"/>
      <c r="AE515" s="1704"/>
      <c r="AF515" s="1704"/>
      <c r="AG515" s="1704"/>
      <c r="AH515" s="1704"/>
      <c r="AI515" s="1704"/>
      <c r="AJ515" s="1704"/>
      <c r="AK515" s="1704"/>
      <c r="AL515" s="1704"/>
      <c r="AM515" s="1704"/>
      <c r="AN515" s="1704"/>
      <c r="AO515" s="1704"/>
      <c r="AP515" s="1704"/>
      <c r="AQ515" s="1704"/>
      <c r="AR515" s="1704"/>
      <c r="AS515" s="1704"/>
      <c r="AT515" s="1704"/>
    </row>
    <row r="516">
      <c r="A516" s="1419"/>
      <c r="B516" s="1706"/>
      <c r="C516" s="1702"/>
      <c r="D516" s="1702"/>
      <c r="E516" s="1703"/>
      <c r="F516" s="1703"/>
      <c r="G516" s="1703"/>
      <c r="H516" s="1703"/>
      <c r="I516" s="1703"/>
      <c r="J516" s="1703"/>
      <c r="K516" s="1703"/>
      <c r="L516" s="1703"/>
      <c r="M516" s="1703"/>
      <c r="N516" s="1703"/>
      <c r="O516" s="1703"/>
      <c r="P516" s="1703"/>
      <c r="Q516" s="1703"/>
      <c r="R516" s="1703"/>
      <c r="S516" s="1703"/>
      <c r="T516" s="1703"/>
      <c r="U516" s="1703"/>
      <c r="V516" s="1703"/>
      <c r="W516" s="1703"/>
      <c r="X516" s="1703"/>
      <c r="Y516" s="1704"/>
      <c r="Z516" s="1704"/>
      <c r="AA516" s="1704"/>
      <c r="AB516" s="1704"/>
      <c r="AC516" s="1704"/>
      <c r="AD516" s="1704"/>
      <c r="AE516" s="1704"/>
      <c r="AF516" s="1704"/>
      <c r="AG516" s="1704"/>
      <c r="AH516" s="1704"/>
      <c r="AI516" s="1704"/>
      <c r="AJ516" s="1704"/>
      <c r="AK516" s="1704"/>
      <c r="AL516" s="1704"/>
      <c r="AM516" s="1704"/>
      <c r="AN516" s="1704"/>
      <c r="AO516" s="1704"/>
      <c r="AP516" s="1704"/>
      <c r="AQ516" s="1704"/>
      <c r="AR516" s="1704"/>
      <c r="AS516" s="1704"/>
      <c r="AT516" s="1704"/>
    </row>
    <row r="517">
      <c r="A517" s="1419"/>
      <c r="B517" s="1701"/>
      <c r="C517" s="1702"/>
      <c r="D517" s="1702"/>
      <c r="E517" s="1703"/>
      <c r="F517" s="1703"/>
      <c r="G517" s="1703"/>
      <c r="H517" s="1703"/>
      <c r="I517" s="1703"/>
      <c r="J517" s="1703"/>
      <c r="K517" s="1703"/>
      <c r="L517" s="1703"/>
      <c r="M517" s="1703"/>
      <c r="N517" s="1703"/>
      <c r="O517" s="1703"/>
      <c r="P517" s="1703"/>
      <c r="Q517" s="1703"/>
      <c r="R517" s="1703"/>
      <c r="S517" s="1703"/>
      <c r="T517" s="1703"/>
      <c r="U517" s="1703"/>
      <c r="V517" s="1703"/>
      <c r="W517" s="1703"/>
      <c r="X517" s="1703"/>
      <c r="Y517" s="1704"/>
      <c r="Z517" s="1704"/>
      <c r="AA517" s="1704"/>
      <c r="AB517" s="1704"/>
      <c r="AC517" s="1704"/>
      <c r="AD517" s="1704"/>
      <c r="AE517" s="1704"/>
      <c r="AF517" s="1704"/>
      <c r="AG517" s="1704"/>
      <c r="AH517" s="1704"/>
      <c r="AI517" s="1704"/>
      <c r="AJ517" s="1704"/>
      <c r="AK517" s="1704"/>
      <c r="AL517" s="1704"/>
      <c r="AM517" s="1704"/>
      <c r="AN517" s="1704"/>
      <c r="AO517" s="1704"/>
      <c r="AP517" s="1704"/>
      <c r="AQ517" s="1704"/>
      <c r="AR517" s="1704"/>
      <c r="AS517" s="1704"/>
      <c r="AT517" s="1704"/>
    </row>
    <row r="518">
      <c r="A518" s="1419"/>
      <c r="B518" s="1701"/>
      <c r="C518" s="1702"/>
      <c r="D518" s="1702"/>
      <c r="E518" s="1703"/>
      <c r="F518" s="1703"/>
      <c r="G518" s="1703"/>
      <c r="H518" s="1703"/>
      <c r="I518" s="1703"/>
      <c r="J518" s="1703"/>
      <c r="K518" s="1703"/>
      <c r="L518" s="1703"/>
      <c r="M518" s="1703"/>
      <c r="N518" s="1703"/>
      <c r="O518" s="1703"/>
      <c r="P518" s="1703"/>
      <c r="Q518" s="1703"/>
      <c r="R518" s="1703"/>
      <c r="S518" s="1703"/>
      <c r="T518" s="1703"/>
      <c r="U518" s="1703"/>
      <c r="V518" s="1703"/>
      <c r="W518" s="1703"/>
      <c r="X518" s="1703"/>
      <c r="Y518" s="1704"/>
      <c r="Z518" s="1704"/>
      <c r="AA518" s="1704"/>
      <c r="AB518" s="1704"/>
      <c r="AC518" s="1704"/>
      <c r="AD518" s="1704"/>
      <c r="AE518" s="1704"/>
      <c r="AF518" s="1704"/>
      <c r="AG518" s="1704"/>
      <c r="AH518" s="1704"/>
      <c r="AI518" s="1704"/>
      <c r="AJ518" s="1704"/>
      <c r="AK518" s="1704"/>
      <c r="AL518" s="1704"/>
      <c r="AM518" s="1704"/>
      <c r="AN518" s="1704"/>
      <c r="AO518" s="1704"/>
      <c r="AP518" s="1704"/>
      <c r="AQ518" s="1704"/>
      <c r="AR518" s="1704"/>
      <c r="AS518" s="1704"/>
      <c r="AT518" s="1704"/>
    </row>
    <row r="519">
      <c r="A519" s="1419"/>
      <c r="B519" s="1701"/>
      <c r="C519" s="1702"/>
      <c r="D519" s="1702"/>
      <c r="E519" s="1703"/>
      <c r="F519" s="1703"/>
      <c r="G519" s="1703"/>
      <c r="H519" s="1703"/>
      <c r="I519" s="1703"/>
      <c r="J519" s="1703"/>
      <c r="K519" s="1703"/>
      <c r="L519" s="1703"/>
      <c r="M519" s="1703"/>
      <c r="N519" s="1703"/>
      <c r="O519" s="1703"/>
      <c r="P519" s="1703"/>
      <c r="Q519" s="1703"/>
      <c r="R519" s="1703"/>
      <c r="S519" s="1703"/>
      <c r="T519" s="1703"/>
      <c r="U519" s="1703"/>
      <c r="V519" s="1703"/>
      <c r="W519" s="1703"/>
      <c r="X519" s="1703"/>
      <c r="Y519" s="1704"/>
      <c r="Z519" s="1704"/>
      <c r="AA519" s="1704"/>
      <c r="AB519" s="1704"/>
      <c r="AC519" s="1704"/>
      <c r="AD519" s="1704"/>
      <c r="AE519" s="1704"/>
      <c r="AF519" s="1704"/>
      <c r="AG519" s="1704"/>
      <c r="AH519" s="1704"/>
      <c r="AI519" s="1704"/>
      <c r="AJ519" s="1704"/>
      <c r="AK519" s="1704"/>
      <c r="AL519" s="1704"/>
      <c r="AM519" s="1704"/>
      <c r="AN519" s="1704"/>
      <c r="AO519" s="1704"/>
      <c r="AP519" s="1704"/>
      <c r="AQ519" s="1704"/>
      <c r="AR519" s="1704"/>
      <c r="AS519" s="1704"/>
      <c r="AT519" s="1704"/>
    </row>
    <row r="520">
      <c r="A520" s="1440" t="s">
        <v>2461</v>
      </c>
      <c r="B520" s="1701"/>
      <c r="C520" s="1702"/>
      <c r="D520" s="1702"/>
      <c r="E520" s="1703"/>
      <c r="F520" s="1703"/>
      <c r="G520" s="1703"/>
      <c r="H520" s="1703"/>
      <c r="I520" s="1703"/>
      <c r="J520" s="1703"/>
      <c r="K520" s="1703"/>
      <c r="L520" s="1703"/>
      <c r="M520" s="1703"/>
      <c r="N520" s="1703"/>
      <c r="O520" s="1703"/>
      <c r="P520" s="1703"/>
      <c r="Q520" s="1703"/>
      <c r="R520" s="1703"/>
      <c r="S520" s="1703"/>
      <c r="T520" s="1703"/>
      <c r="U520" s="1703"/>
      <c r="V520" s="1703"/>
      <c r="W520" s="1703"/>
      <c r="X520" s="1703"/>
      <c r="Y520" s="1707"/>
      <c r="Z520" s="1707"/>
      <c r="AA520" s="1707"/>
      <c r="AB520" s="1707"/>
      <c r="AC520" s="1707"/>
      <c r="AD520" s="1707"/>
      <c r="AE520" s="1707"/>
      <c r="AF520" s="1707"/>
      <c r="AG520" s="1707"/>
      <c r="AH520" s="1707"/>
      <c r="AI520" s="1707"/>
      <c r="AJ520" s="1707"/>
      <c r="AK520" s="1707"/>
      <c r="AL520" s="1707"/>
      <c r="AM520" s="1707"/>
      <c r="AN520" s="1707"/>
      <c r="AO520" s="1707"/>
      <c r="AP520" s="1707"/>
      <c r="AQ520" s="1707"/>
      <c r="AR520" s="1707"/>
      <c r="AS520" s="1707"/>
      <c r="AT520" s="1707"/>
    </row>
    <row r="521">
      <c r="A521" s="1461" t="s">
        <v>2461</v>
      </c>
      <c r="B521" s="1708"/>
      <c r="C521" s="1709"/>
      <c r="D521" s="1709"/>
      <c r="E521" s="1710"/>
      <c r="F521" s="1710"/>
      <c r="G521" s="1710"/>
      <c r="H521" s="1710"/>
      <c r="I521" s="1710"/>
      <c r="J521" s="1710"/>
      <c r="K521" s="1710"/>
      <c r="L521" s="1710"/>
      <c r="M521" s="1711"/>
      <c r="N521" s="1711"/>
      <c r="O521" s="1711"/>
      <c r="P521" s="1711"/>
      <c r="Q521" s="1711"/>
      <c r="R521" s="1711"/>
      <c r="S521" s="1711"/>
      <c r="T521" s="1711"/>
      <c r="U521" s="1711"/>
      <c r="V521" s="1711"/>
      <c r="W521" s="1711"/>
      <c r="X521" s="1711"/>
      <c r="Y521" s="1711"/>
      <c r="Z521" s="1711"/>
      <c r="AA521" s="1711"/>
      <c r="AB521" s="1711"/>
      <c r="AC521" s="1711"/>
      <c r="AD521" s="1711"/>
      <c r="AE521" s="1711"/>
      <c r="AF521" s="1711"/>
      <c r="AG521" s="1711"/>
      <c r="AH521" s="1711"/>
      <c r="AI521" s="1711"/>
      <c r="AJ521" s="1711"/>
      <c r="AK521" s="1711"/>
      <c r="AL521" s="1711"/>
      <c r="AM521" s="1711"/>
      <c r="AN521" s="1711"/>
      <c r="AO521" s="1711"/>
      <c r="AP521" s="1711"/>
      <c r="AQ521" s="1711"/>
      <c r="AR521" s="1711"/>
      <c r="AS521" s="1711"/>
      <c r="AT521" s="1711"/>
    </row>
    <row r="522">
      <c r="A522" s="1461" t="s">
        <v>2461</v>
      </c>
      <c r="B522" s="1708"/>
      <c r="C522" s="1709"/>
      <c r="D522" s="1709"/>
      <c r="E522" s="1710"/>
      <c r="F522" s="1710"/>
      <c r="G522" s="1710"/>
      <c r="H522" s="1710"/>
      <c r="I522" s="1710"/>
      <c r="J522" s="1710"/>
      <c r="K522" s="1710"/>
      <c r="L522" s="1710"/>
      <c r="M522" s="1711"/>
      <c r="N522" s="1711"/>
      <c r="O522" s="1711"/>
      <c r="P522" s="1711"/>
      <c r="Q522" s="1711"/>
      <c r="R522" s="1711"/>
      <c r="S522" s="1711"/>
      <c r="T522" s="1711"/>
      <c r="U522" s="1711"/>
      <c r="V522" s="1711"/>
      <c r="W522" s="1711"/>
      <c r="X522" s="1711"/>
      <c r="Y522" s="1711"/>
      <c r="Z522" s="1711"/>
      <c r="AA522" s="1711"/>
      <c r="AB522" s="1711"/>
      <c r="AC522" s="1711"/>
      <c r="AD522" s="1711"/>
      <c r="AE522" s="1711"/>
      <c r="AF522" s="1711"/>
      <c r="AG522" s="1711"/>
      <c r="AH522" s="1711"/>
      <c r="AI522" s="1711"/>
      <c r="AJ522" s="1711"/>
      <c r="AK522" s="1711"/>
      <c r="AL522" s="1711"/>
      <c r="AM522" s="1711"/>
      <c r="AN522" s="1711"/>
      <c r="AO522" s="1711"/>
      <c r="AP522" s="1711"/>
      <c r="AQ522" s="1711"/>
      <c r="AR522" s="1711"/>
      <c r="AS522" s="1711"/>
      <c r="AT522" s="1711"/>
    </row>
    <row r="523">
      <c r="A523" s="1461" t="s">
        <v>2461</v>
      </c>
      <c r="B523" s="1708"/>
      <c r="C523" s="1709"/>
      <c r="D523" s="1709"/>
      <c r="E523" s="1710"/>
      <c r="F523" s="1710"/>
      <c r="G523" s="1710"/>
      <c r="H523" s="1710"/>
      <c r="I523" s="1710"/>
      <c r="J523" s="1710"/>
      <c r="K523" s="1710"/>
      <c r="L523" s="1710"/>
      <c r="M523" s="1711"/>
      <c r="N523" s="1711"/>
      <c r="O523" s="1711"/>
      <c r="P523" s="1711"/>
      <c r="Q523" s="1711"/>
      <c r="R523" s="1711"/>
      <c r="S523" s="1711"/>
      <c r="T523" s="1711"/>
      <c r="U523" s="1711"/>
      <c r="V523" s="1711"/>
      <c r="W523" s="1711"/>
      <c r="X523" s="1711"/>
      <c r="Y523" s="1711"/>
      <c r="Z523" s="1711"/>
      <c r="AA523" s="1711"/>
      <c r="AB523" s="1711"/>
      <c r="AC523" s="1711"/>
      <c r="AD523" s="1711"/>
      <c r="AE523" s="1711"/>
      <c r="AF523" s="1711"/>
      <c r="AG523" s="1711"/>
      <c r="AH523" s="1711"/>
      <c r="AI523" s="1711"/>
      <c r="AJ523" s="1711"/>
      <c r="AK523" s="1711"/>
      <c r="AL523" s="1711"/>
      <c r="AM523" s="1711"/>
      <c r="AN523" s="1711"/>
      <c r="AO523" s="1711"/>
      <c r="AP523" s="1711"/>
      <c r="AQ523" s="1711"/>
      <c r="AR523" s="1711"/>
      <c r="AS523" s="1711"/>
      <c r="AT523" s="1711"/>
    </row>
    <row r="524">
      <c r="A524" s="1461" t="s">
        <v>2461</v>
      </c>
      <c r="B524" s="1708"/>
      <c r="C524" s="1709"/>
      <c r="D524" s="1709"/>
      <c r="E524" s="1710"/>
      <c r="F524" s="1710"/>
      <c r="G524" s="1710"/>
      <c r="H524" s="1710"/>
      <c r="I524" s="1710"/>
      <c r="J524" s="1710"/>
      <c r="K524" s="1710"/>
      <c r="L524" s="1710"/>
      <c r="M524" s="1711"/>
      <c r="N524" s="1711"/>
      <c r="O524" s="1711"/>
      <c r="P524" s="1711"/>
      <c r="Q524" s="1711"/>
      <c r="R524" s="1711"/>
      <c r="S524" s="1711"/>
      <c r="T524" s="1711"/>
      <c r="U524" s="1711"/>
      <c r="V524" s="1711"/>
      <c r="W524" s="1711"/>
      <c r="X524" s="1711"/>
      <c r="Y524" s="1711"/>
      <c r="Z524" s="1711"/>
      <c r="AA524" s="1711"/>
      <c r="AB524" s="1711"/>
      <c r="AC524" s="1711"/>
      <c r="AD524" s="1711"/>
      <c r="AE524" s="1711"/>
      <c r="AF524" s="1711"/>
      <c r="AG524" s="1711"/>
      <c r="AH524" s="1711"/>
      <c r="AI524" s="1711"/>
      <c r="AJ524" s="1711"/>
      <c r="AK524" s="1711"/>
      <c r="AL524" s="1711"/>
      <c r="AM524" s="1711"/>
      <c r="AN524" s="1711"/>
      <c r="AO524" s="1711"/>
      <c r="AP524" s="1711"/>
      <c r="AQ524" s="1711"/>
      <c r="AR524" s="1711"/>
      <c r="AS524" s="1711"/>
      <c r="AT524" s="1711"/>
    </row>
    <row r="525">
      <c r="A525" s="1461" t="s">
        <v>2461</v>
      </c>
      <c r="B525" s="1708"/>
      <c r="C525" s="1709"/>
      <c r="D525" s="1709"/>
      <c r="E525" s="1710"/>
      <c r="F525" s="1710"/>
      <c r="G525" s="1710"/>
      <c r="H525" s="1710"/>
      <c r="I525" s="1710"/>
      <c r="J525" s="1710"/>
      <c r="K525" s="1710"/>
      <c r="L525" s="1710"/>
      <c r="M525" s="1711"/>
      <c r="N525" s="1711"/>
      <c r="O525" s="1711"/>
      <c r="P525" s="1711"/>
      <c r="Q525" s="1711"/>
      <c r="R525" s="1711"/>
      <c r="S525" s="1711"/>
      <c r="T525" s="1711"/>
      <c r="U525" s="1711"/>
      <c r="V525" s="1711"/>
      <c r="W525" s="1711"/>
      <c r="X525" s="1711"/>
      <c r="Y525" s="1711"/>
      <c r="Z525" s="1711"/>
      <c r="AA525" s="1711"/>
      <c r="AB525" s="1711"/>
      <c r="AC525" s="1711"/>
      <c r="AD525" s="1711"/>
      <c r="AE525" s="1711"/>
      <c r="AF525" s="1711"/>
      <c r="AG525" s="1711"/>
      <c r="AH525" s="1711"/>
      <c r="AI525" s="1711"/>
      <c r="AJ525" s="1711"/>
      <c r="AK525" s="1711"/>
      <c r="AL525" s="1711"/>
      <c r="AM525" s="1711"/>
      <c r="AN525" s="1711"/>
      <c r="AO525" s="1711"/>
      <c r="AP525" s="1711"/>
      <c r="AQ525" s="1711"/>
      <c r="AR525" s="1711"/>
      <c r="AS525" s="1711"/>
      <c r="AT525" s="1711"/>
    </row>
    <row r="526">
      <c r="A526" s="1461" t="s">
        <v>2461</v>
      </c>
      <c r="B526" s="1708"/>
      <c r="C526" s="1709"/>
      <c r="D526" s="1709"/>
      <c r="E526" s="1710"/>
      <c r="F526" s="1710"/>
      <c r="G526" s="1710"/>
      <c r="H526" s="1710"/>
      <c r="I526" s="1710"/>
      <c r="J526" s="1710"/>
      <c r="K526" s="1710"/>
      <c r="L526" s="1710"/>
      <c r="M526" s="1711"/>
      <c r="N526" s="1711"/>
      <c r="O526" s="1711"/>
      <c r="P526" s="1711"/>
      <c r="Q526" s="1711"/>
      <c r="R526" s="1711"/>
      <c r="S526" s="1711"/>
      <c r="T526" s="1711"/>
      <c r="U526" s="1711"/>
      <c r="V526" s="1711"/>
      <c r="W526" s="1711"/>
      <c r="X526" s="1711"/>
      <c r="Y526" s="1711"/>
      <c r="Z526" s="1711"/>
      <c r="AA526" s="1711"/>
      <c r="AB526" s="1711"/>
      <c r="AC526" s="1711"/>
      <c r="AD526" s="1711"/>
      <c r="AE526" s="1711"/>
      <c r="AF526" s="1711"/>
      <c r="AG526" s="1711"/>
      <c r="AH526" s="1711"/>
      <c r="AI526" s="1711"/>
      <c r="AJ526" s="1711"/>
      <c r="AK526" s="1711"/>
      <c r="AL526" s="1711"/>
      <c r="AM526" s="1711"/>
      <c r="AN526" s="1711"/>
      <c r="AO526" s="1711"/>
      <c r="AP526" s="1711"/>
      <c r="AQ526" s="1711"/>
      <c r="AR526" s="1711"/>
      <c r="AS526" s="1711"/>
      <c r="AT526" s="1711"/>
    </row>
    <row r="527">
      <c r="A527" s="1461" t="s">
        <v>2461</v>
      </c>
      <c r="B527" s="1708"/>
      <c r="C527" s="1709"/>
      <c r="D527" s="1709"/>
      <c r="E527" s="1710"/>
      <c r="F527" s="1710"/>
      <c r="G527" s="1710"/>
      <c r="H527" s="1710"/>
      <c r="I527" s="1710"/>
      <c r="J527" s="1710"/>
      <c r="K527" s="1710"/>
      <c r="L527" s="1710"/>
      <c r="M527" s="1711"/>
      <c r="N527" s="1711"/>
      <c r="O527" s="1711"/>
      <c r="P527" s="1711"/>
      <c r="Q527" s="1711"/>
      <c r="R527" s="1711"/>
      <c r="S527" s="1711"/>
      <c r="T527" s="1711"/>
      <c r="U527" s="1711"/>
      <c r="V527" s="1711"/>
      <c r="W527" s="1711"/>
      <c r="X527" s="1711"/>
      <c r="Y527" s="1711"/>
      <c r="Z527" s="1711"/>
      <c r="AA527" s="1711"/>
      <c r="AB527" s="1711"/>
      <c r="AC527" s="1711"/>
      <c r="AD527" s="1711"/>
      <c r="AE527" s="1711"/>
      <c r="AF527" s="1711"/>
      <c r="AG527" s="1711"/>
      <c r="AH527" s="1711"/>
      <c r="AI527" s="1711"/>
      <c r="AJ527" s="1711"/>
      <c r="AK527" s="1711"/>
      <c r="AL527" s="1711"/>
      <c r="AM527" s="1711"/>
      <c r="AN527" s="1711"/>
      <c r="AO527" s="1711"/>
      <c r="AP527" s="1711"/>
      <c r="AQ527" s="1711"/>
      <c r="AR527" s="1711"/>
      <c r="AS527" s="1711"/>
      <c r="AT527" s="1711"/>
    </row>
    <row r="528">
      <c r="A528" s="1461" t="s">
        <v>2461</v>
      </c>
      <c r="B528" s="1708"/>
      <c r="C528" s="1709"/>
      <c r="D528" s="1709"/>
      <c r="E528" s="1710"/>
      <c r="F528" s="1710"/>
      <c r="G528" s="1710"/>
      <c r="H528" s="1710"/>
      <c r="I528" s="1710"/>
      <c r="J528" s="1710"/>
      <c r="K528" s="1710"/>
      <c r="L528" s="1710"/>
      <c r="M528" s="1711"/>
      <c r="N528" s="1711"/>
      <c r="O528" s="1711"/>
      <c r="P528" s="1711"/>
      <c r="Q528" s="1711"/>
      <c r="R528" s="1711"/>
      <c r="S528" s="1711"/>
      <c r="T528" s="1711"/>
      <c r="U528" s="1711"/>
      <c r="V528" s="1711"/>
      <c r="W528" s="1711"/>
      <c r="X528" s="1711"/>
      <c r="Y528" s="1711"/>
      <c r="Z528" s="1711"/>
      <c r="AA528" s="1711"/>
      <c r="AB528" s="1711"/>
      <c r="AC528" s="1711"/>
      <c r="AD528" s="1711"/>
      <c r="AE528" s="1711"/>
      <c r="AF528" s="1711"/>
      <c r="AG528" s="1711"/>
      <c r="AH528" s="1711"/>
      <c r="AI528" s="1711"/>
      <c r="AJ528" s="1711"/>
      <c r="AK528" s="1711"/>
      <c r="AL528" s="1711"/>
      <c r="AM528" s="1711"/>
      <c r="AN528" s="1711"/>
      <c r="AO528" s="1711"/>
      <c r="AP528" s="1711"/>
      <c r="AQ528" s="1711"/>
      <c r="AR528" s="1711"/>
      <c r="AS528" s="1711"/>
      <c r="AT528" s="1711"/>
    </row>
    <row r="529">
      <c r="A529" s="1461" t="s">
        <v>2461</v>
      </c>
      <c r="B529" s="1708"/>
      <c r="C529" s="1709"/>
      <c r="D529" s="1709"/>
      <c r="E529" s="1710"/>
      <c r="F529" s="1710"/>
      <c r="G529" s="1710"/>
      <c r="H529" s="1710"/>
      <c r="I529" s="1710"/>
      <c r="J529" s="1710"/>
      <c r="K529" s="1710"/>
      <c r="L529" s="1710"/>
      <c r="M529" s="1711"/>
      <c r="N529" s="1711"/>
      <c r="O529" s="1711"/>
      <c r="P529" s="1711"/>
      <c r="Q529" s="1711"/>
      <c r="R529" s="1711"/>
      <c r="S529" s="1711"/>
      <c r="T529" s="1711"/>
      <c r="U529" s="1711"/>
      <c r="V529" s="1711"/>
      <c r="W529" s="1711"/>
      <c r="X529" s="1711"/>
      <c r="Y529" s="1711"/>
      <c r="Z529" s="1711"/>
      <c r="AA529" s="1711"/>
      <c r="AB529" s="1711"/>
      <c r="AC529" s="1711"/>
      <c r="AD529" s="1711"/>
      <c r="AE529" s="1711"/>
      <c r="AF529" s="1711"/>
      <c r="AG529" s="1711"/>
      <c r="AH529" s="1711"/>
      <c r="AI529" s="1711"/>
      <c r="AJ529" s="1711"/>
      <c r="AK529" s="1711"/>
      <c r="AL529" s="1711"/>
      <c r="AM529" s="1711"/>
      <c r="AN529" s="1711"/>
      <c r="AO529" s="1711"/>
      <c r="AP529" s="1711"/>
      <c r="AQ529" s="1711"/>
      <c r="AR529" s="1711"/>
      <c r="AS529" s="1711"/>
      <c r="AT529" s="1711"/>
    </row>
    <row r="530">
      <c r="A530" s="1461" t="s">
        <v>2461</v>
      </c>
      <c r="B530" s="1708"/>
      <c r="C530" s="1709"/>
      <c r="D530" s="1709"/>
      <c r="E530" s="1710"/>
      <c r="F530" s="1710"/>
      <c r="G530" s="1710"/>
      <c r="H530" s="1710"/>
      <c r="I530" s="1710"/>
      <c r="J530" s="1710"/>
      <c r="K530" s="1710"/>
      <c r="L530" s="1710"/>
      <c r="M530" s="1711"/>
      <c r="N530" s="1711"/>
      <c r="O530" s="1711"/>
      <c r="P530" s="1711"/>
      <c r="Q530" s="1711"/>
      <c r="R530" s="1711"/>
      <c r="S530" s="1711"/>
      <c r="T530" s="1711"/>
      <c r="U530" s="1711"/>
      <c r="V530" s="1711"/>
      <c r="W530" s="1711"/>
      <c r="X530" s="1711"/>
      <c r="Y530" s="1711"/>
      <c r="Z530" s="1711"/>
      <c r="AA530" s="1711"/>
      <c r="AB530" s="1711"/>
      <c r="AC530" s="1711"/>
      <c r="AD530" s="1711"/>
      <c r="AE530" s="1711"/>
      <c r="AF530" s="1711"/>
      <c r="AG530" s="1711"/>
      <c r="AH530" s="1711"/>
      <c r="AI530" s="1711"/>
      <c r="AJ530" s="1711"/>
      <c r="AK530" s="1711"/>
      <c r="AL530" s="1711"/>
      <c r="AM530" s="1711"/>
      <c r="AN530" s="1711"/>
      <c r="AO530" s="1711"/>
      <c r="AP530" s="1711"/>
      <c r="AQ530" s="1711"/>
      <c r="AR530" s="1711"/>
      <c r="AS530" s="1711"/>
      <c r="AT530" s="1711"/>
    </row>
    <row r="531">
      <c r="A531" s="1461" t="s">
        <v>2461</v>
      </c>
      <c r="B531" s="1708"/>
      <c r="C531" s="1709"/>
      <c r="D531" s="1709"/>
      <c r="E531" s="1710"/>
      <c r="F531" s="1710"/>
      <c r="G531" s="1710"/>
      <c r="H531" s="1710"/>
      <c r="I531" s="1710"/>
      <c r="J531" s="1710"/>
      <c r="K531" s="1710"/>
      <c r="L531" s="1710"/>
      <c r="M531" s="1711"/>
      <c r="N531" s="1711"/>
      <c r="O531" s="1711"/>
      <c r="P531" s="1711"/>
      <c r="Q531" s="1711"/>
      <c r="R531" s="1711"/>
      <c r="S531" s="1711"/>
      <c r="T531" s="1711"/>
      <c r="U531" s="1711"/>
      <c r="V531" s="1711"/>
      <c r="W531" s="1711"/>
      <c r="X531" s="1711"/>
      <c r="Y531" s="1711"/>
      <c r="Z531" s="1711"/>
      <c r="AA531" s="1711"/>
      <c r="AB531" s="1711"/>
      <c r="AC531" s="1711"/>
      <c r="AD531" s="1711"/>
      <c r="AE531" s="1711"/>
      <c r="AF531" s="1711"/>
      <c r="AG531" s="1711"/>
      <c r="AH531" s="1711"/>
      <c r="AI531" s="1711"/>
      <c r="AJ531" s="1711"/>
      <c r="AK531" s="1711"/>
      <c r="AL531" s="1711"/>
      <c r="AM531" s="1711"/>
      <c r="AN531" s="1711"/>
      <c r="AO531" s="1711"/>
      <c r="AP531" s="1711"/>
      <c r="AQ531" s="1711"/>
      <c r="AR531" s="1711"/>
      <c r="AS531" s="1711"/>
      <c r="AT531" s="1711"/>
    </row>
    <row r="532">
      <c r="A532" s="1461" t="s">
        <v>2461</v>
      </c>
      <c r="B532" s="1708"/>
      <c r="C532" s="1709"/>
      <c r="D532" s="1709"/>
      <c r="E532" s="1710"/>
      <c r="F532" s="1710"/>
      <c r="G532" s="1710"/>
      <c r="H532" s="1710"/>
      <c r="I532" s="1710"/>
      <c r="J532" s="1710"/>
      <c r="K532" s="1710"/>
      <c r="L532" s="1710"/>
      <c r="M532" s="1711"/>
      <c r="N532" s="1711"/>
      <c r="O532" s="1711"/>
      <c r="P532" s="1711"/>
      <c r="Q532" s="1711"/>
      <c r="R532" s="1711"/>
      <c r="S532" s="1711"/>
      <c r="T532" s="1711"/>
      <c r="U532" s="1711"/>
      <c r="V532" s="1711"/>
      <c r="W532" s="1711"/>
      <c r="X532" s="1711"/>
      <c r="Y532" s="1711"/>
      <c r="Z532" s="1711"/>
      <c r="AA532" s="1711"/>
      <c r="AB532" s="1711"/>
      <c r="AC532" s="1711"/>
      <c r="AD532" s="1711"/>
      <c r="AE532" s="1711"/>
      <c r="AF532" s="1711"/>
      <c r="AG532" s="1711"/>
      <c r="AH532" s="1711"/>
      <c r="AI532" s="1711"/>
      <c r="AJ532" s="1711"/>
      <c r="AK532" s="1711"/>
      <c r="AL532" s="1711"/>
      <c r="AM532" s="1711"/>
      <c r="AN532" s="1711"/>
      <c r="AO532" s="1711"/>
      <c r="AP532" s="1711"/>
      <c r="AQ532" s="1711"/>
      <c r="AR532" s="1711"/>
      <c r="AS532" s="1711"/>
      <c r="AT532" s="1711"/>
    </row>
    <row r="533">
      <c r="A533" s="1461" t="s">
        <v>2461</v>
      </c>
      <c r="B533" s="1708"/>
      <c r="C533" s="1709"/>
      <c r="D533" s="1709"/>
      <c r="E533" s="1710"/>
      <c r="F533" s="1710"/>
      <c r="G533" s="1710"/>
      <c r="H533" s="1710"/>
      <c r="I533" s="1710"/>
      <c r="J533" s="1710"/>
      <c r="K533" s="1710"/>
      <c r="L533" s="1710"/>
      <c r="M533" s="1711"/>
      <c r="N533" s="1711"/>
      <c r="O533" s="1711"/>
      <c r="P533" s="1711"/>
      <c r="Q533" s="1711"/>
      <c r="R533" s="1711"/>
      <c r="S533" s="1711"/>
      <c r="T533" s="1711"/>
      <c r="U533" s="1711"/>
      <c r="V533" s="1711"/>
      <c r="W533" s="1711"/>
      <c r="X533" s="1711"/>
      <c r="Y533" s="1711"/>
      <c r="Z533" s="1711"/>
      <c r="AA533" s="1711"/>
      <c r="AB533" s="1711"/>
      <c r="AC533" s="1711"/>
      <c r="AD533" s="1711"/>
      <c r="AE533" s="1711"/>
      <c r="AF533" s="1711"/>
      <c r="AG533" s="1711"/>
      <c r="AH533" s="1711"/>
      <c r="AI533" s="1711"/>
      <c r="AJ533" s="1711"/>
      <c r="AK533" s="1711"/>
      <c r="AL533" s="1711"/>
      <c r="AM533" s="1711"/>
      <c r="AN533" s="1711"/>
      <c r="AO533" s="1711"/>
      <c r="AP533" s="1711"/>
      <c r="AQ533" s="1711"/>
      <c r="AR533" s="1711"/>
      <c r="AS533" s="1711"/>
      <c r="AT533" s="1711"/>
    </row>
    <row r="534">
      <c r="A534" s="1461" t="s">
        <v>2461</v>
      </c>
      <c r="B534" s="1708"/>
      <c r="C534" s="1709"/>
      <c r="D534" s="1709"/>
      <c r="E534" s="1710"/>
      <c r="F534" s="1710"/>
      <c r="G534" s="1710"/>
      <c r="H534" s="1710"/>
      <c r="I534" s="1710"/>
      <c r="J534" s="1710"/>
      <c r="K534" s="1710"/>
      <c r="L534" s="1710"/>
      <c r="M534" s="1711"/>
      <c r="N534" s="1711"/>
      <c r="O534" s="1711"/>
      <c r="P534" s="1711"/>
      <c r="Q534" s="1711"/>
      <c r="R534" s="1711"/>
      <c r="S534" s="1711"/>
      <c r="T534" s="1711"/>
      <c r="U534" s="1711"/>
      <c r="V534" s="1711"/>
      <c r="W534" s="1711"/>
      <c r="X534" s="1711"/>
      <c r="Y534" s="1711"/>
      <c r="Z534" s="1711"/>
      <c r="AA534" s="1711"/>
      <c r="AB534" s="1711"/>
      <c r="AC534" s="1711"/>
      <c r="AD534" s="1711"/>
      <c r="AE534" s="1711"/>
      <c r="AF534" s="1711"/>
      <c r="AG534" s="1711"/>
      <c r="AH534" s="1711"/>
      <c r="AI534" s="1711"/>
      <c r="AJ534" s="1711"/>
      <c r="AK534" s="1711"/>
      <c r="AL534" s="1711"/>
      <c r="AM534" s="1711"/>
      <c r="AN534" s="1711"/>
      <c r="AO534" s="1711"/>
      <c r="AP534" s="1711"/>
      <c r="AQ534" s="1711"/>
      <c r="AR534" s="1711"/>
      <c r="AS534" s="1711"/>
      <c r="AT534" s="1711"/>
    </row>
    <row r="535">
      <c r="A535" s="1461" t="s">
        <v>2461</v>
      </c>
      <c r="B535" s="1708"/>
      <c r="C535" s="1709"/>
      <c r="D535" s="1709"/>
      <c r="E535" s="1710"/>
      <c r="F535" s="1710"/>
      <c r="G535" s="1710"/>
      <c r="H535" s="1710"/>
      <c r="I535" s="1710"/>
      <c r="J535" s="1710"/>
      <c r="K535" s="1710"/>
      <c r="L535" s="1710"/>
      <c r="M535" s="1711"/>
      <c r="N535" s="1711"/>
      <c r="O535" s="1711"/>
      <c r="P535" s="1711"/>
      <c r="Q535" s="1711"/>
      <c r="R535" s="1711"/>
      <c r="S535" s="1711"/>
      <c r="T535" s="1711"/>
      <c r="U535" s="1711"/>
      <c r="V535" s="1711"/>
      <c r="W535" s="1711"/>
      <c r="X535" s="1711"/>
      <c r="Y535" s="1711"/>
      <c r="Z535" s="1711"/>
      <c r="AA535" s="1711"/>
      <c r="AB535" s="1711"/>
      <c r="AC535" s="1711"/>
      <c r="AD535" s="1711"/>
      <c r="AE535" s="1711"/>
      <c r="AF535" s="1711"/>
      <c r="AG535" s="1711"/>
      <c r="AH535" s="1711"/>
      <c r="AI535" s="1711"/>
      <c r="AJ535" s="1711"/>
      <c r="AK535" s="1711"/>
      <c r="AL535" s="1711"/>
      <c r="AM535" s="1711"/>
      <c r="AN535" s="1711"/>
      <c r="AO535" s="1711"/>
      <c r="AP535" s="1711"/>
      <c r="AQ535" s="1711"/>
      <c r="AR535" s="1711"/>
      <c r="AS535" s="1711"/>
      <c r="AT535" s="1711"/>
    </row>
    <row r="536">
      <c r="A536" s="1461" t="s">
        <v>2461</v>
      </c>
      <c r="B536" s="1708"/>
      <c r="C536" s="1709"/>
      <c r="D536" s="1709"/>
      <c r="E536" s="1710"/>
      <c r="F536" s="1710"/>
      <c r="G536" s="1710"/>
      <c r="H536" s="1710"/>
      <c r="I536" s="1710"/>
      <c r="J536" s="1710"/>
      <c r="K536" s="1710"/>
      <c r="L536" s="1710"/>
      <c r="M536" s="1711"/>
      <c r="N536" s="1711"/>
      <c r="O536" s="1711"/>
      <c r="P536" s="1711"/>
      <c r="Q536" s="1711"/>
      <c r="R536" s="1711"/>
      <c r="S536" s="1711"/>
      <c r="T536" s="1711"/>
      <c r="U536" s="1711"/>
      <c r="V536" s="1711"/>
      <c r="W536" s="1711"/>
      <c r="X536" s="1711"/>
      <c r="Y536" s="1711"/>
      <c r="Z536" s="1711"/>
      <c r="AA536" s="1711"/>
      <c r="AB536" s="1711"/>
      <c r="AC536" s="1711"/>
      <c r="AD536" s="1711"/>
      <c r="AE536" s="1711"/>
      <c r="AF536" s="1711"/>
      <c r="AG536" s="1711"/>
      <c r="AH536" s="1711"/>
      <c r="AI536" s="1711"/>
      <c r="AJ536" s="1711"/>
      <c r="AK536" s="1711"/>
      <c r="AL536" s="1711"/>
      <c r="AM536" s="1711"/>
      <c r="AN536" s="1711"/>
      <c r="AO536" s="1711"/>
      <c r="AP536" s="1711"/>
      <c r="AQ536" s="1711"/>
      <c r="AR536" s="1711"/>
      <c r="AS536" s="1711"/>
      <c r="AT536" s="1711"/>
    </row>
    <row r="537">
      <c r="A537" s="1461" t="s">
        <v>2461</v>
      </c>
      <c r="B537" s="1708"/>
      <c r="C537" s="1709"/>
      <c r="D537" s="1709"/>
      <c r="E537" s="1710"/>
      <c r="F537" s="1710"/>
      <c r="G537" s="1710"/>
      <c r="H537" s="1710"/>
      <c r="I537" s="1710"/>
      <c r="J537" s="1710"/>
      <c r="K537" s="1710"/>
      <c r="L537" s="1710"/>
      <c r="M537" s="1711"/>
      <c r="N537" s="1711"/>
      <c r="O537" s="1711"/>
      <c r="P537" s="1711"/>
      <c r="Q537" s="1711"/>
      <c r="R537" s="1711"/>
      <c r="S537" s="1711"/>
      <c r="T537" s="1711"/>
      <c r="U537" s="1711"/>
      <c r="V537" s="1711"/>
      <c r="W537" s="1711"/>
      <c r="X537" s="1711"/>
      <c r="Y537" s="1711"/>
      <c r="Z537" s="1711"/>
      <c r="AA537" s="1711"/>
      <c r="AB537" s="1711"/>
      <c r="AC537" s="1711"/>
      <c r="AD537" s="1711"/>
      <c r="AE537" s="1711"/>
      <c r="AF537" s="1711"/>
      <c r="AG537" s="1711"/>
      <c r="AH537" s="1711"/>
      <c r="AI537" s="1711"/>
      <c r="AJ537" s="1711"/>
      <c r="AK537" s="1711"/>
      <c r="AL537" s="1711"/>
      <c r="AM537" s="1711"/>
      <c r="AN537" s="1711"/>
      <c r="AO537" s="1711"/>
      <c r="AP537" s="1711"/>
      <c r="AQ537" s="1711"/>
      <c r="AR537" s="1711"/>
      <c r="AS537" s="1711"/>
      <c r="AT537" s="1711"/>
    </row>
    <row r="538">
      <c r="A538" s="1461" t="s">
        <v>2461</v>
      </c>
      <c r="B538" s="1708"/>
      <c r="C538" s="1709"/>
      <c r="D538" s="1709"/>
      <c r="E538" s="1710"/>
      <c r="F538" s="1710"/>
      <c r="G538" s="1710"/>
      <c r="H538" s="1710"/>
      <c r="I538" s="1710"/>
      <c r="J538" s="1710"/>
      <c r="K538" s="1710"/>
      <c r="L538" s="1710"/>
      <c r="M538" s="1711"/>
      <c r="N538" s="1711"/>
      <c r="O538" s="1711"/>
      <c r="P538" s="1711"/>
      <c r="Q538" s="1711"/>
      <c r="R538" s="1711"/>
      <c r="S538" s="1711"/>
      <c r="T538" s="1711"/>
      <c r="U538" s="1711"/>
      <c r="V538" s="1711"/>
      <c r="W538" s="1711"/>
      <c r="X538" s="1711"/>
      <c r="Y538" s="1712"/>
      <c r="Z538" s="1712"/>
      <c r="AA538" s="1712"/>
      <c r="AB538" s="1712"/>
      <c r="AC538" s="1712"/>
      <c r="AD538" s="1712"/>
      <c r="AE538" s="1712"/>
      <c r="AF538" s="1712"/>
      <c r="AG538" s="1712"/>
      <c r="AH538" s="1712"/>
      <c r="AI538" s="1712"/>
      <c r="AJ538" s="1712"/>
      <c r="AK538" s="1712"/>
      <c r="AL538" s="1712"/>
      <c r="AM538" s="1712"/>
      <c r="AN538" s="1712"/>
      <c r="AO538" s="1712"/>
      <c r="AP538" s="1712"/>
      <c r="AQ538" s="1712"/>
      <c r="AR538" s="1712"/>
      <c r="AS538" s="1712"/>
      <c r="AT538" s="1712"/>
    </row>
    <row r="539">
      <c r="A539" s="1461" t="s">
        <v>2461</v>
      </c>
      <c r="B539" s="1708"/>
      <c r="C539" s="1709"/>
      <c r="D539" s="1709"/>
      <c r="E539" s="1710"/>
      <c r="F539" s="1710"/>
      <c r="G539" s="1710"/>
      <c r="H539" s="1710"/>
      <c r="I539" s="1710"/>
      <c r="J539" s="1710"/>
      <c r="K539" s="1710"/>
      <c r="L539" s="1710"/>
      <c r="M539" s="1711"/>
      <c r="N539" s="1711"/>
      <c r="O539" s="1711"/>
      <c r="P539" s="1711"/>
      <c r="Q539" s="1711"/>
      <c r="R539" s="1711"/>
      <c r="S539" s="1711"/>
      <c r="T539" s="1711"/>
      <c r="U539" s="1711"/>
      <c r="V539" s="1711"/>
      <c r="W539" s="1711"/>
      <c r="X539" s="1711"/>
      <c r="Y539" s="1712"/>
      <c r="Z539" s="1712"/>
      <c r="AA539" s="1712"/>
      <c r="AB539" s="1712"/>
      <c r="AC539" s="1712"/>
      <c r="AD539" s="1712"/>
      <c r="AE539" s="1712"/>
      <c r="AF539" s="1712"/>
      <c r="AG539" s="1712"/>
      <c r="AH539" s="1712"/>
      <c r="AI539" s="1712"/>
      <c r="AJ539" s="1712"/>
      <c r="AK539" s="1712"/>
      <c r="AL539" s="1712"/>
      <c r="AM539" s="1712"/>
      <c r="AN539" s="1712"/>
      <c r="AO539" s="1712"/>
      <c r="AP539" s="1712"/>
      <c r="AQ539" s="1712"/>
      <c r="AR539" s="1712"/>
      <c r="AS539" s="1712"/>
      <c r="AT539" s="1712"/>
    </row>
    <row r="540">
      <c r="A540" s="1461" t="s">
        <v>2461</v>
      </c>
      <c r="B540" s="1708"/>
      <c r="C540" s="1709"/>
      <c r="D540" s="1709"/>
      <c r="E540" s="1710"/>
      <c r="F540" s="1710"/>
      <c r="G540" s="1710"/>
      <c r="H540" s="1710"/>
      <c r="I540" s="1710"/>
      <c r="J540" s="1710"/>
      <c r="K540" s="1710"/>
      <c r="L540" s="1710"/>
      <c r="M540" s="1711"/>
      <c r="N540" s="1711"/>
      <c r="O540" s="1711"/>
      <c r="P540" s="1711"/>
      <c r="Q540" s="1711"/>
      <c r="R540" s="1711"/>
      <c r="S540" s="1711"/>
      <c r="T540" s="1711"/>
      <c r="U540" s="1711"/>
      <c r="V540" s="1711"/>
      <c r="W540" s="1711"/>
      <c r="X540" s="1711"/>
      <c r="Y540" s="1712"/>
      <c r="Z540" s="1712"/>
      <c r="AA540" s="1712"/>
      <c r="AB540" s="1712"/>
      <c r="AC540" s="1712"/>
      <c r="AD540" s="1712"/>
      <c r="AE540" s="1712"/>
      <c r="AF540" s="1712"/>
      <c r="AG540" s="1712"/>
      <c r="AH540" s="1712"/>
      <c r="AI540" s="1712"/>
      <c r="AJ540" s="1712"/>
      <c r="AK540" s="1712"/>
      <c r="AL540" s="1712"/>
      <c r="AM540" s="1712"/>
      <c r="AN540" s="1712"/>
      <c r="AO540" s="1712"/>
      <c r="AP540" s="1712"/>
      <c r="AQ540" s="1712"/>
      <c r="AR540" s="1712"/>
      <c r="AS540" s="1712"/>
      <c r="AT540" s="1712"/>
    </row>
    <row r="541">
      <c r="A541" s="1461" t="s">
        <v>2461</v>
      </c>
      <c r="B541" s="1708"/>
      <c r="C541" s="1709"/>
      <c r="D541" s="1709"/>
      <c r="E541" s="1710"/>
      <c r="F541" s="1710"/>
      <c r="G541" s="1710"/>
      <c r="H541" s="1710"/>
      <c r="I541" s="1710"/>
      <c r="J541" s="1710"/>
      <c r="K541" s="1710"/>
      <c r="L541" s="1710"/>
      <c r="M541" s="1711"/>
      <c r="N541" s="1711"/>
      <c r="O541" s="1711"/>
      <c r="P541" s="1711"/>
      <c r="Q541" s="1711"/>
      <c r="R541" s="1711"/>
      <c r="S541" s="1711"/>
      <c r="T541" s="1711"/>
      <c r="U541" s="1711"/>
      <c r="V541" s="1711"/>
      <c r="W541" s="1711"/>
      <c r="X541" s="1711"/>
      <c r="Y541" s="1712"/>
      <c r="Z541" s="1712"/>
      <c r="AA541" s="1712"/>
      <c r="AB541" s="1712"/>
      <c r="AC541" s="1712"/>
      <c r="AD541" s="1712"/>
      <c r="AE541" s="1712"/>
      <c r="AF541" s="1712"/>
      <c r="AG541" s="1712"/>
      <c r="AH541" s="1712"/>
      <c r="AI541" s="1712"/>
      <c r="AJ541" s="1712"/>
      <c r="AK541" s="1712"/>
      <c r="AL541" s="1712"/>
      <c r="AM541" s="1712"/>
      <c r="AN541" s="1712"/>
      <c r="AO541" s="1712"/>
      <c r="AP541" s="1712"/>
      <c r="AQ541" s="1712"/>
      <c r="AR541" s="1712"/>
      <c r="AS541" s="1712"/>
      <c r="AT541" s="1712"/>
    </row>
    <row r="542">
      <c r="A542" s="1461" t="s">
        <v>2461</v>
      </c>
      <c r="B542" s="1708"/>
      <c r="C542" s="1709"/>
      <c r="D542" s="1709"/>
      <c r="E542" s="1710"/>
      <c r="F542" s="1710"/>
      <c r="G542" s="1710"/>
      <c r="H542" s="1710"/>
      <c r="I542" s="1710"/>
      <c r="J542" s="1710"/>
      <c r="K542" s="1710"/>
      <c r="L542" s="1710"/>
      <c r="M542" s="1711"/>
      <c r="N542" s="1711"/>
      <c r="O542" s="1711"/>
      <c r="P542" s="1711"/>
      <c r="Q542" s="1711"/>
      <c r="R542" s="1711"/>
      <c r="S542" s="1711"/>
      <c r="T542" s="1711"/>
      <c r="U542" s="1711"/>
      <c r="V542" s="1711"/>
      <c r="W542" s="1711"/>
      <c r="X542" s="1711"/>
      <c r="Y542" s="1712"/>
      <c r="Z542" s="1712"/>
      <c r="AA542" s="1712"/>
      <c r="AB542" s="1712"/>
      <c r="AC542" s="1712"/>
      <c r="AD542" s="1712"/>
      <c r="AE542" s="1712"/>
      <c r="AF542" s="1712"/>
      <c r="AG542" s="1712"/>
      <c r="AH542" s="1712"/>
      <c r="AI542" s="1712"/>
      <c r="AJ542" s="1712"/>
      <c r="AK542" s="1712"/>
      <c r="AL542" s="1712"/>
      <c r="AM542" s="1712"/>
      <c r="AN542" s="1712"/>
      <c r="AO542" s="1712"/>
      <c r="AP542" s="1712"/>
      <c r="AQ542" s="1712"/>
      <c r="AR542" s="1712"/>
      <c r="AS542" s="1712"/>
      <c r="AT542" s="1712"/>
    </row>
    <row r="543">
      <c r="A543" s="1474" t="s">
        <v>2461</v>
      </c>
      <c r="B543" s="1708"/>
      <c r="C543" s="1709"/>
      <c r="D543" s="1709"/>
      <c r="E543" s="1710"/>
      <c r="F543" s="1710"/>
      <c r="G543" s="1710"/>
      <c r="H543" s="1710"/>
      <c r="I543" s="1710"/>
      <c r="J543" s="1710"/>
      <c r="K543" s="1710"/>
      <c r="L543" s="1710"/>
      <c r="M543" s="1711"/>
      <c r="N543" s="1711"/>
      <c r="O543" s="1711"/>
      <c r="P543" s="1711"/>
      <c r="Q543" s="1711"/>
      <c r="R543" s="1711"/>
      <c r="S543" s="1711"/>
      <c r="T543" s="1711"/>
      <c r="U543" s="1711"/>
      <c r="V543" s="1711"/>
      <c r="W543" s="1711"/>
      <c r="X543" s="1711"/>
      <c r="Y543" s="1712"/>
      <c r="Z543" s="1712"/>
      <c r="AA543" s="1712"/>
      <c r="AB543" s="1712"/>
      <c r="AC543" s="1712"/>
      <c r="AD543" s="1712"/>
      <c r="AE543" s="1712"/>
      <c r="AF543" s="1712"/>
      <c r="AG543" s="1712"/>
      <c r="AH543" s="1712"/>
      <c r="AI543" s="1712"/>
      <c r="AJ543" s="1712"/>
      <c r="AK543" s="1712"/>
      <c r="AL543" s="1712"/>
      <c r="AM543" s="1712"/>
      <c r="AN543" s="1712"/>
      <c r="AO543" s="1712"/>
      <c r="AP543" s="1712"/>
      <c r="AQ543" s="1712"/>
      <c r="AR543" s="1712"/>
      <c r="AS543" s="1712"/>
      <c r="AT543" s="1712"/>
    </row>
    <row r="544">
      <c r="A544" s="1474" t="s">
        <v>2461</v>
      </c>
      <c r="B544" s="1708"/>
      <c r="C544" s="1709"/>
      <c r="D544" s="1709"/>
      <c r="E544" s="1710"/>
      <c r="F544" s="1710"/>
      <c r="G544" s="1710"/>
      <c r="H544" s="1710"/>
      <c r="I544" s="1710"/>
      <c r="J544" s="1710"/>
      <c r="K544" s="1710"/>
      <c r="L544" s="1710"/>
      <c r="M544" s="1711"/>
      <c r="N544" s="1711"/>
      <c r="O544" s="1711"/>
      <c r="P544" s="1711"/>
      <c r="Q544" s="1711"/>
      <c r="R544" s="1711"/>
      <c r="S544" s="1711"/>
      <c r="T544" s="1711"/>
      <c r="U544" s="1711"/>
      <c r="V544" s="1711"/>
      <c r="W544" s="1711"/>
      <c r="X544" s="1711"/>
      <c r="Y544" s="1712"/>
      <c r="Z544" s="1712"/>
      <c r="AA544" s="1712"/>
      <c r="AB544" s="1712"/>
      <c r="AC544" s="1712"/>
      <c r="AD544" s="1712"/>
      <c r="AE544" s="1712"/>
      <c r="AF544" s="1712"/>
      <c r="AG544" s="1712"/>
      <c r="AH544" s="1712"/>
      <c r="AI544" s="1712"/>
      <c r="AJ544" s="1712"/>
      <c r="AK544" s="1712"/>
      <c r="AL544" s="1712"/>
      <c r="AM544" s="1712"/>
      <c r="AN544" s="1712"/>
      <c r="AO544" s="1712"/>
      <c r="AP544" s="1712"/>
      <c r="AQ544" s="1712"/>
      <c r="AR544" s="1712"/>
      <c r="AS544" s="1712"/>
      <c r="AT544" s="1712"/>
    </row>
    <row r="545">
      <c r="A545" s="1474" t="s">
        <v>2461</v>
      </c>
      <c r="B545" s="1708"/>
      <c r="C545" s="1709"/>
      <c r="D545" s="1709"/>
      <c r="E545" s="1710"/>
      <c r="F545" s="1710"/>
      <c r="G545" s="1710"/>
      <c r="H545" s="1710"/>
      <c r="I545" s="1710"/>
      <c r="J545" s="1710"/>
      <c r="K545" s="1710"/>
      <c r="L545" s="1710"/>
      <c r="M545" s="1711"/>
      <c r="N545" s="1711"/>
      <c r="O545" s="1711"/>
      <c r="P545" s="1711"/>
      <c r="Q545" s="1711"/>
      <c r="R545" s="1711"/>
      <c r="S545" s="1711"/>
      <c r="T545" s="1711"/>
      <c r="U545" s="1711"/>
      <c r="V545" s="1711"/>
      <c r="W545" s="1711"/>
      <c r="X545" s="1711"/>
      <c r="Y545" s="1712"/>
      <c r="Z545" s="1712"/>
      <c r="AA545" s="1712"/>
      <c r="AB545" s="1712"/>
      <c r="AC545" s="1712"/>
      <c r="AD545" s="1712"/>
      <c r="AE545" s="1712"/>
      <c r="AF545" s="1712"/>
      <c r="AG545" s="1712"/>
      <c r="AH545" s="1712"/>
      <c r="AI545" s="1712"/>
      <c r="AJ545" s="1712"/>
      <c r="AK545" s="1712"/>
      <c r="AL545" s="1712"/>
      <c r="AM545" s="1712"/>
      <c r="AN545" s="1712"/>
      <c r="AO545" s="1712"/>
      <c r="AP545" s="1712"/>
      <c r="AQ545" s="1712"/>
      <c r="AR545" s="1712"/>
      <c r="AS545" s="1712"/>
      <c r="AT545" s="1712"/>
    </row>
    <row r="546">
      <c r="A546" s="1474" t="s">
        <v>2461</v>
      </c>
      <c r="B546" s="1708"/>
      <c r="C546" s="1709"/>
      <c r="D546" s="1709"/>
      <c r="E546" s="1710"/>
      <c r="F546" s="1710"/>
      <c r="G546" s="1710"/>
      <c r="H546" s="1710"/>
      <c r="I546" s="1710"/>
      <c r="J546" s="1710"/>
      <c r="K546" s="1710"/>
      <c r="L546" s="1710"/>
      <c r="M546" s="1711"/>
      <c r="N546" s="1711"/>
      <c r="O546" s="1711"/>
      <c r="P546" s="1711"/>
      <c r="Q546" s="1711"/>
      <c r="R546" s="1711"/>
      <c r="S546" s="1711"/>
      <c r="T546" s="1711"/>
      <c r="U546" s="1711"/>
      <c r="V546" s="1711"/>
      <c r="W546" s="1711"/>
      <c r="X546" s="1711"/>
      <c r="Y546" s="1712"/>
      <c r="Z546" s="1712"/>
      <c r="AA546" s="1712"/>
      <c r="AB546" s="1712"/>
      <c r="AC546" s="1712"/>
      <c r="AD546" s="1712"/>
      <c r="AE546" s="1712"/>
      <c r="AF546" s="1712"/>
      <c r="AG546" s="1712"/>
      <c r="AH546" s="1712"/>
      <c r="AI546" s="1712"/>
      <c r="AJ546" s="1712"/>
      <c r="AK546" s="1712"/>
      <c r="AL546" s="1712"/>
      <c r="AM546" s="1712"/>
      <c r="AN546" s="1712"/>
      <c r="AO546" s="1712"/>
      <c r="AP546" s="1712"/>
      <c r="AQ546" s="1712"/>
      <c r="AR546" s="1712"/>
      <c r="AS546" s="1712"/>
      <c r="AT546" s="1712"/>
    </row>
    <row r="547">
      <c r="A547" s="1474" t="s">
        <v>2461</v>
      </c>
      <c r="B547" s="1708"/>
      <c r="C547" s="1709"/>
      <c r="D547" s="1709"/>
      <c r="E547" s="1710"/>
      <c r="F547" s="1710"/>
      <c r="G547" s="1710"/>
      <c r="H547" s="1710"/>
      <c r="I547" s="1710"/>
      <c r="J547" s="1710"/>
      <c r="K547" s="1710"/>
      <c r="L547" s="1710"/>
      <c r="M547" s="1711"/>
      <c r="N547" s="1711"/>
      <c r="O547" s="1711"/>
      <c r="P547" s="1711"/>
      <c r="Q547" s="1711"/>
      <c r="R547" s="1711"/>
      <c r="S547" s="1711"/>
      <c r="T547" s="1711"/>
      <c r="U547" s="1711"/>
      <c r="V547" s="1711"/>
      <c r="W547" s="1711"/>
      <c r="X547" s="1711"/>
      <c r="Y547" s="1712"/>
      <c r="Z547" s="1712"/>
      <c r="AA547" s="1712"/>
      <c r="AB547" s="1712"/>
      <c r="AC547" s="1712"/>
      <c r="AD547" s="1712"/>
      <c r="AE547" s="1712"/>
      <c r="AF547" s="1712"/>
      <c r="AG547" s="1712"/>
      <c r="AH547" s="1712"/>
      <c r="AI547" s="1712"/>
      <c r="AJ547" s="1712"/>
      <c r="AK547" s="1712"/>
      <c r="AL547" s="1712"/>
      <c r="AM547" s="1712"/>
      <c r="AN547" s="1712"/>
      <c r="AO547" s="1712"/>
      <c r="AP547" s="1712"/>
      <c r="AQ547" s="1712"/>
      <c r="AR547" s="1712"/>
      <c r="AS547" s="1712"/>
      <c r="AT547" s="1712"/>
    </row>
    <row r="548">
      <c r="A548" s="1474" t="s">
        <v>2461</v>
      </c>
      <c r="B548" s="1708"/>
      <c r="C548" s="1709"/>
      <c r="D548" s="1709"/>
      <c r="E548" s="1710"/>
      <c r="F548" s="1710"/>
      <c r="G548" s="1710"/>
      <c r="H548" s="1710"/>
      <c r="I548" s="1710"/>
      <c r="J548" s="1710"/>
      <c r="K548" s="1710"/>
      <c r="L548" s="1710"/>
      <c r="M548" s="1711"/>
      <c r="N548" s="1711"/>
      <c r="O548" s="1711"/>
      <c r="P548" s="1711"/>
      <c r="Q548" s="1711"/>
      <c r="R548" s="1711"/>
      <c r="S548" s="1711"/>
      <c r="T548" s="1711"/>
      <c r="U548" s="1711"/>
      <c r="V548" s="1711"/>
      <c r="W548" s="1711"/>
      <c r="X548" s="1711"/>
      <c r="Y548" s="1712"/>
      <c r="Z548" s="1712"/>
      <c r="AA548" s="1712"/>
      <c r="AB548" s="1712"/>
      <c r="AC548" s="1712"/>
      <c r="AD548" s="1712"/>
      <c r="AE548" s="1712"/>
      <c r="AF548" s="1712"/>
      <c r="AG548" s="1712"/>
      <c r="AH548" s="1712"/>
      <c r="AI548" s="1712"/>
      <c r="AJ548" s="1712"/>
      <c r="AK548" s="1712"/>
      <c r="AL548" s="1712"/>
      <c r="AM548" s="1712"/>
      <c r="AN548" s="1712"/>
      <c r="AO548" s="1712"/>
      <c r="AP548" s="1712"/>
      <c r="AQ548" s="1712"/>
      <c r="AR548" s="1712"/>
      <c r="AS548" s="1712"/>
      <c r="AT548" s="1712"/>
    </row>
    <row r="549">
      <c r="A549" s="1474" t="s">
        <v>2461</v>
      </c>
      <c r="B549" s="1708"/>
      <c r="C549" s="1709"/>
      <c r="D549" s="1709"/>
      <c r="E549" s="1710"/>
      <c r="F549" s="1710"/>
      <c r="G549" s="1710"/>
      <c r="H549" s="1710"/>
      <c r="I549" s="1710"/>
      <c r="J549" s="1710"/>
      <c r="K549" s="1710"/>
      <c r="L549" s="1710"/>
      <c r="M549" s="1711"/>
      <c r="N549" s="1711"/>
      <c r="O549" s="1711"/>
      <c r="P549" s="1711"/>
      <c r="Q549" s="1711"/>
      <c r="R549" s="1711"/>
      <c r="S549" s="1711"/>
      <c r="T549" s="1711"/>
      <c r="U549" s="1711"/>
      <c r="V549" s="1711"/>
      <c r="W549" s="1711"/>
      <c r="X549" s="1711"/>
      <c r="Y549" s="1712"/>
      <c r="Z549" s="1712"/>
      <c r="AA549" s="1712"/>
      <c r="AB549" s="1712"/>
      <c r="AC549" s="1712"/>
      <c r="AD549" s="1712"/>
      <c r="AE549" s="1712"/>
      <c r="AF549" s="1712"/>
      <c r="AG549" s="1712"/>
      <c r="AH549" s="1712"/>
      <c r="AI549" s="1712"/>
      <c r="AJ549" s="1712"/>
      <c r="AK549" s="1712"/>
      <c r="AL549" s="1712"/>
      <c r="AM549" s="1712"/>
      <c r="AN549" s="1712"/>
      <c r="AO549" s="1712"/>
      <c r="AP549" s="1712"/>
      <c r="AQ549" s="1712"/>
      <c r="AR549" s="1712"/>
      <c r="AS549" s="1712"/>
      <c r="AT549" s="1712"/>
    </row>
    <row r="550">
      <c r="A550" s="1474" t="s">
        <v>2461</v>
      </c>
      <c r="B550" s="1708"/>
      <c r="C550" s="1709"/>
      <c r="D550" s="1709"/>
      <c r="E550" s="1710"/>
      <c r="F550" s="1710"/>
      <c r="G550" s="1710"/>
      <c r="H550" s="1710"/>
      <c r="I550" s="1710"/>
      <c r="J550" s="1710"/>
      <c r="K550" s="1710"/>
      <c r="L550" s="1710"/>
      <c r="M550" s="1711"/>
      <c r="N550" s="1711"/>
      <c r="O550" s="1711"/>
      <c r="P550" s="1711"/>
      <c r="Q550" s="1711"/>
      <c r="R550" s="1711"/>
      <c r="S550" s="1711"/>
      <c r="T550" s="1711"/>
      <c r="U550" s="1711"/>
      <c r="V550" s="1711"/>
      <c r="W550" s="1711"/>
      <c r="X550" s="1711"/>
      <c r="Y550" s="1712"/>
      <c r="Z550" s="1712"/>
      <c r="AA550" s="1712"/>
      <c r="AB550" s="1712"/>
      <c r="AC550" s="1712"/>
      <c r="AD550" s="1712"/>
      <c r="AE550" s="1712"/>
      <c r="AF550" s="1712"/>
      <c r="AG550" s="1712"/>
      <c r="AH550" s="1712"/>
      <c r="AI550" s="1712"/>
      <c r="AJ550" s="1712"/>
      <c r="AK550" s="1712"/>
      <c r="AL550" s="1712"/>
      <c r="AM550" s="1712"/>
      <c r="AN550" s="1712"/>
      <c r="AO550" s="1712"/>
      <c r="AP550" s="1712"/>
      <c r="AQ550" s="1712"/>
      <c r="AR550" s="1712"/>
      <c r="AS550" s="1712"/>
      <c r="AT550" s="1712"/>
    </row>
    <row r="551">
      <c r="A551" s="1474" t="s">
        <v>2461</v>
      </c>
      <c r="B551" s="1708"/>
      <c r="C551" s="1709"/>
      <c r="D551" s="1709"/>
      <c r="E551" s="1710"/>
      <c r="F551" s="1710"/>
      <c r="G551" s="1710"/>
      <c r="H551" s="1710"/>
      <c r="I551" s="1710"/>
      <c r="J551" s="1710"/>
      <c r="K551" s="1710"/>
      <c r="L551" s="1710"/>
      <c r="M551" s="1711"/>
      <c r="N551" s="1711"/>
      <c r="O551" s="1711"/>
      <c r="P551" s="1711"/>
      <c r="Q551" s="1711"/>
      <c r="R551" s="1711"/>
      <c r="S551" s="1711"/>
      <c r="T551" s="1711"/>
      <c r="U551" s="1711"/>
      <c r="V551" s="1711"/>
      <c r="W551" s="1711"/>
      <c r="X551" s="1711"/>
      <c r="Y551" s="1712"/>
      <c r="Z551" s="1712"/>
      <c r="AA551" s="1712"/>
      <c r="AB551" s="1712"/>
      <c r="AC551" s="1712"/>
      <c r="AD551" s="1712"/>
      <c r="AE551" s="1712"/>
      <c r="AF551" s="1712"/>
      <c r="AG551" s="1712"/>
      <c r="AH551" s="1712"/>
      <c r="AI551" s="1712"/>
      <c r="AJ551" s="1712"/>
      <c r="AK551" s="1712"/>
      <c r="AL551" s="1712"/>
      <c r="AM551" s="1712"/>
      <c r="AN551" s="1712"/>
      <c r="AO551" s="1712"/>
      <c r="AP551" s="1712"/>
      <c r="AQ551" s="1712"/>
      <c r="AR551" s="1712"/>
      <c r="AS551" s="1712"/>
      <c r="AT551" s="1712"/>
    </row>
    <row r="552">
      <c r="A552" s="1474" t="s">
        <v>2461</v>
      </c>
      <c r="B552" s="1708"/>
      <c r="C552" s="1709"/>
      <c r="D552" s="1709"/>
      <c r="E552" s="1710"/>
      <c r="F552" s="1710"/>
      <c r="G552" s="1710"/>
      <c r="H552" s="1710"/>
      <c r="I552" s="1710"/>
      <c r="J552" s="1710"/>
      <c r="K552" s="1710"/>
      <c r="L552" s="1710"/>
      <c r="M552" s="1711"/>
      <c r="N552" s="1711"/>
      <c r="O552" s="1711"/>
      <c r="P552" s="1711"/>
      <c r="Q552" s="1711"/>
      <c r="R552" s="1711"/>
      <c r="S552" s="1711"/>
      <c r="T552" s="1711"/>
      <c r="U552" s="1711"/>
      <c r="V552" s="1711"/>
      <c r="W552" s="1711"/>
      <c r="X552" s="1711"/>
      <c r="Y552" s="1712"/>
      <c r="Z552" s="1712"/>
      <c r="AA552" s="1712"/>
      <c r="AB552" s="1712"/>
      <c r="AC552" s="1712"/>
      <c r="AD552" s="1712"/>
      <c r="AE552" s="1712"/>
      <c r="AF552" s="1712"/>
      <c r="AG552" s="1712"/>
      <c r="AH552" s="1712"/>
      <c r="AI552" s="1712"/>
      <c r="AJ552" s="1712"/>
      <c r="AK552" s="1712"/>
      <c r="AL552" s="1712"/>
      <c r="AM552" s="1712"/>
      <c r="AN552" s="1712"/>
      <c r="AO552" s="1712"/>
      <c r="AP552" s="1712"/>
      <c r="AQ552" s="1712"/>
      <c r="AR552" s="1712"/>
      <c r="AS552" s="1712"/>
      <c r="AT552" s="1712"/>
    </row>
    <row r="553">
      <c r="A553" s="1474" t="s">
        <v>2461</v>
      </c>
      <c r="B553" s="1708"/>
      <c r="C553" s="1709"/>
      <c r="D553" s="1709"/>
      <c r="E553" s="1710"/>
      <c r="F553" s="1710"/>
      <c r="G553" s="1710"/>
      <c r="H553" s="1710"/>
      <c r="I553" s="1710"/>
      <c r="J553" s="1710"/>
      <c r="K553" s="1710"/>
      <c r="L553" s="1710"/>
      <c r="M553" s="1711"/>
      <c r="N553" s="1711"/>
      <c r="O553" s="1711"/>
      <c r="P553" s="1711"/>
      <c r="Q553" s="1711"/>
      <c r="R553" s="1711"/>
      <c r="S553" s="1711"/>
      <c r="T553" s="1711"/>
      <c r="U553" s="1711"/>
      <c r="V553" s="1711"/>
      <c r="W553" s="1711"/>
      <c r="X553" s="1711"/>
      <c r="Y553" s="1712"/>
      <c r="Z553" s="1712"/>
      <c r="AA553" s="1712"/>
      <c r="AB553" s="1712"/>
      <c r="AC553" s="1712"/>
      <c r="AD553" s="1712"/>
      <c r="AE553" s="1712"/>
      <c r="AF553" s="1712"/>
      <c r="AG553" s="1712"/>
      <c r="AH553" s="1712"/>
      <c r="AI553" s="1712"/>
      <c r="AJ553" s="1712"/>
      <c r="AK553" s="1712"/>
      <c r="AL553" s="1712"/>
      <c r="AM553" s="1712"/>
      <c r="AN553" s="1712"/>
      <c r="AO553" s="1712"/>
      <c r="AP553" s="1712"/>
      <c r="AQ553" s="1712"/>
      <c r="AR553" s="1712"/>
      <c r="AS553" s="1712"/>
      <c r="AT553" s="1712"/>
    </row>
    <row r="554">
      <c r="A554" s="1474" t="s">
        <v>2461</v>
      </c>
      <c r="B554" s="1708"/>
      <c r="C554" s="1709"/>
      <c r="D554" s="1709"/>
      <c r="E554" s="1710"/>
      <c r="F554" s="1710"/>
      <c r="G554" s="1710"/>
      <c r="H554" s="1710"/>
      <c r="I554" s="1710"/>
      <c r="J554" s="1710"/>
      <c r="K554" s="1710"/>
      <c r="L554" s="1710"/>
      <c r="M554" s="1711"/>
      <c r="N554" s="1711"/>
      <c r="O554" s="1711"/>
      <c r="P554" s="1711"/>
      <c r="Q554" s="1711"/>
      <c r="R554" s="1711"/>
      <c r="S554" s="1711"/>
      <c r="T554" s="1711"/>
      <c r="U554" s="1711"/>
      <c r="V554" s="1711"/>
      <c r="W554" s="1711"/>
      <c r="X554" s="1711"/>
      <c r="Y554" s="1712"/>
      <c r="Z554" s="1712"/>
      <c r="AA554" s="1712"/>
      <c r="AB554" s="1712"/>
      <c r="AC554" s="1712"/>
      <c r="AD554" s="1712"/>
      <c r="AE554" s="1712"/>
      <c r="AF554" s="1712"/>
      <c r="AG554" s="1712"/>
      <c r="AH554" s="1712"/>
      <c r="AI554" s="1712"/>
      <c r="AJ554" s="1712"/>
      <c r="AK554" s="1712"/>
      <c r="AL554" s="1712"/>
      <c r="AM554" s="1712"/>
      <c r="AN554" s="1712"/>
      <c r="AO554" s="1712"/>
      <c r="AP554" s="1712"/>
      <c r="AQ554" s="1712"/>
      <c r="AR554" s="1712"/>
      <c r="AS554" s="1712"/>
      <c r="AT554" s="1712"/>
    </row>
    <row r="555">
      <c r="A555" s="1474" t="s">
        <v>2461</v>
      </c>
      <c r="B555" s="1708"/>
      <c r="C555" s="1709"/>
      <c r="D555" s="1709"/>
      <c r="E555" s="1710"/>
      <c r="F555" s="1710"/>
      <c r="G555" s="1710"/>
      <c r="H555" s="1710"/>
      <c r="I555" s="1710"/>
      <c r="J555" s="1710"/>
      <c r="K555" s="1710"/>
      <c r="L555" s="1710"/>
      <c r="M555" s="1711"/>
      <c r="N555" s="1711"/>
      <c r="O555" s="1711"/>
      <c r="P555" s="1711"/>
      <c r="Q555" s="1711"/>
      <c r="R555" s="1711"/>
      <c r="S555" s="1711"/>
      <c r="T555" s="1711"/>
      <c r="U555" s="1711"/>
      <c r="V555" s="1711"/>
      <c r="W555" s="1711"/>
      <c r="X555" s="1711"/>
      <c r="Y555" s="1712"/>
      <c r="Z555" s="1712"/>
      <c r="AA555" s="1712"/>
      <c r="AB555" s="1712"/>
      <c r="AC555" s="1712"/>
      <c r="AD555" s="1712"/>
      <c r="AE555" s="1712"/>
      <c r="AF555" s="1712"/>
      <c r="AG555" s="1712"/>
      <c r="AH555" s="1712"/>
      <c r="AI555" s="1712"/>
      <c r="AJ555" s="1712"/>
      <c r="AK555" s="1712"/>
      <c r="AL555" s="1712"/>
      <c r="AM555" s="1712"/>
      <c r="AN555" s="1712"/>
      <c r="AO555" s="1712"/>
      <c r="AP555" s="1712"/>
      <c r="AQ555" s="1712"/>
      <c r="AR555" s="1712"/>
      <c r="AS555" s="1712"/>
      <c r="AT555" s="1712"/>
    </row>
    <row r="556">
      <c r="A556" s="1474" t="s">
        <v>2461</v>
      </c>
      <c r="B556" s="1708"/>
      <c r="C556" s="1709"/>
      <c r="D556" s="1709"/>
      <c r="E556" s="1710"/>
      <c r="F556" s="1710"/>
      <c r="G556" s="1710"/>
      <c r="H556" s="1710"/>
      <c r="I556" s="1710"/>
      <c r="J556" s="1710"/>
      <c r="K556" s="1710"/>
      <c r="L556" s="1710"/>
      <c r="M556" s="1711"/>
      <c r="N556" s="1711"/>
      <c r="O556" s="1711"/>
      <c r="P556" s="1711"/>
      <c r="Q556" s="1711"/>
      <c r="R556" s="1711"/>
      <c r="S556" s="1711"/>
      <c r="T556" s="1711"/>
      <c r="U556" s="1711"/>
      <c r="V556" s="1711"/>
      <c r="W556" s="1711"/>
      <c r="X556" s="1711"/>
      <c r="Y556" s="1712"/>
      <c r="Z556" s="1712"/>
      <c r="AA556" s="1712"/>
      <c r="AB556" s="1712"/>
      <c r="AC556" s="1712"/>
      <c r="AD556" s="1712"/>
      <c r="AE556" s="1712"/>
      <c r="AF556" s="1712"/>
      <c r="AG556" s="1712"/>
      <c r="AH556" s="1712"/>
      <c r="AI556" s="1712"/>
      <c r="AJ556" s="1712"/>
      <c r="AK556" s="1712"/>
      <c r="AL556" s="1712"/>
      <c r="AM556" s="1712"/>
      <c r="AN556" s="1712"/>
      <c r="AO556" s="1712"/>
      <c r="AP556" s="1712"/>
      <c r="AQ556" s="1712"/>
      <c r="AR556" s="1712"/>
      <c r="AS556" s="1712"/>
      <c r="AT556" s="1712"/>
    </row>
    <row r="557">
      <c r="A557" s="1474" t="s">
        <v>2461</v>
      </c>
      <c r="B557" s="1708"/>
      <c r="C557" s="1709"/>
      <c r="D557" s="1709"/>
      <c r="E557" s="1710"/>
      <c r="F557" s="1710"/>
      <c r="G557" s="1710"/>
      <c r="H557" s="1710"/>
      <c r="I557" s="1710"/>
      <c r="J557" s="1710"/>
      <c r="K557" s="1710"/>
      <c r="L557" s="1710"/>
      <c r="M557" s="1711"/>
      <c r="N557" s="1711"/>
      <c r="O557" s="1711"/>
      <c r="P557" s="1711"/>
      <c r="Q557" s="1711"/>
      <c r="R557" s="1711"/>
      <c r="S557" s="1711"/>
      <c r="T557" s="1711"/>
      <c r="U557" s="1711"/>
      <c r="V557" s="1711"/>
      <c r="W557" s="1711"/>
      <c r="X557" s="1711"/>
      <c r="Y557" s="1712"/>
      <c r="Z557" s="1712"/>
      <c r="AA557" s="1712"/>
      <c r="AB557" s="1712"/>
      <c r="AC557" s="1712"/>
      <c r="AD557" s="1712"/>
      <c r="AE557" s="1712"/>
      <c r="AF557" s="1712"/>
      <c r="AG557" s="1712"/>
      <c r="AH557" s="1712"/>
      <c r="AI557" s="1712"/>
      <c r="AJ557" s="1712"/>
      <c r="AK557" s="1712"/>
      <c r="AL557" s="1712"/>
      <c r="AM557" s="1712"/>
      <c r="AN557" s="1712"/>
      <c r="AO557" s="1712"/>
      <c r="AP557" s="1712"/>
      <c r="AQ557" s="1712"/>
      <c r="AR557" s="1712"/>
      <c r="AS557" s="1712"/>
      <c r="AT557" s="1712"/>
    </row>
    <row r="558">
      <c r="A558" s="1474" t="s">
        <v>2461</v>
      </c>
      <c r="B558" s="1708"/>
      <c r="C558" s="1709"/>
      <c r="D558" s="1709"/>
      <c r="E558" s="1710"/>
      <c r="F558" s="1710"/>
      <c r="G558" s="1710"/>
      <c r="H558" s="1710"/>
      <c r="I558" s="1710"/>
      <c r="J558" s="1710"/>
      <c r="K558" s="1710"/>
      <c r="L558" s="1710"/>
      <c r="M558" s="1711"/>
      <c r="N558" s="1711"/>
      <c r="O558" s="1711"/>
      <c r="P558" s="1711"/>
      <c r="Q558" s="1711"/>
      <c r="R558" s="1711"/>
      <c r="S558" s="1711"/>
      <c r="T558" s="1711"/>
      <c r="U558" s="1711"/>
      <c r="V558" s="1711"/>
      <c r="W558" s="1711"/>
      <c r="X558" s="1711"/>
      <c r="Y558" s="1712"/>
      <c r="Z558" s="1712"/>
      <c r="AA558" s="1712"/>
      <c r="AB558" s="1712"/>
      <c r="AC558" s="1712"/>
      <c r="AD558" s="1712"/>
      <c r="AE558" s="1712"/>
      <c r="AF558" s="1712"/>
      <c r="AG558" s="1712"/>
      <c r="AH558" s="1712"/>
      <c r="AI558" s="1712"/>
      <c r="AJ558" s="1712"/>
      <c r="AK558" s="1712"/>
      <c r="AL558" s="1712"/>
      <c r="AM558" s="1712"/>
      <c r="AN558" s="1712"/>
      <c r="AO558" s="1712"/>
      <c r="AP558" s="1712"/>
      <c r="AQ558" s="1712"/>
      <c r="AR558" s="1712"/>
      <c r="AS558" s="1712"/>
      <c r="AT558" s="1712"/>
    </row>
    <row r="559">
      <c r="A559" s="1474" t="s">
        <v>2461</v>
      </c>
      <c r="B559" s="1708"/>
      <c r="C559" s="1709"/>
      <c r="D559" s="1709"/>
      <c r="E559" s="1710"/>
      <c r="F559" s="1710"/>
      <c r="G559" s="1710"/>
      <c r="H559" s="1710"/>
      <c r="I559" s="1710"/>
      <c r="J559" s="1710"/>
      <c r="K559" s="1710"/>
      <c r="L559" s="1710"/>
      <c r="M559" s="1711"/>
      <c r="N559" s="1711"/>
      <c r="O559" s="1711"/>
      <c r="P559" s="1711"/>
      <c r="Q559" s="1711"/>
      <c r="R559" s="1711"/>
      <c r="S559" s="1711"/>
      <c r="T559" s="1711"/>
      <c r="U559" s="1711"/>
      <c r="V559" s="1711"/>
      <c r="W559" s="1711"/>
      <c r="X559" s="1711"/>
      <c r="Y559" s="1712"/>
      <c r="Z559" s="1712"/>
      <c r="AA559" s="1712"/>
      <c r="AB559" s="1712"/>
      <c r="AC559" s="1712"/>
      <c r="AD559" s="1712"/>
      <c r="AE559" s="1712"/>
      <c r="AF559" s="1712"/>
      <c r="AG559" s="1712"/>
      <c r="AH559" s="1712"/>
      <c r="AI559" s="1712"/>
      <c r="AJ559" s="1712"/>
      <c r="AK559" s="1712"/>
      <c r="AL559" s="1712"/>
      <c r="AM559" s="1712"/>
      <c r="AN559" s="1712"/>
      <c r="AO559" s="1712"/>
      <c r="AP559" s="1712"/>
      <c r="AQ559" s="1712"/>
      <c r="AR559" s="1712"/>
      <c r="AS559" s="1712"/>
      <c r="AT559" s="1712"/>
    </row>
    <row r="560">
      <c r="A560" s="1474" t="s">
        <v>2461</v>
      </c>
      <c r="B560" s="1708"/>
      <c r="C560" s="1709"/>
      <c r="D560" s="1709"/>
      <c r="E560" s="1710"/>
      <c r="F560" s="1710"/>
      <c r="G560" s="1710"/>
      <c r="H560" s="1710"/>
      <c r="I560" s="1710"/>
      <c r="J560" s="1710"/>
      <c r="K560" s="1710"/>
      <c r="L560" s="1710"/>
      <c r="M560" s="1711"/>
      <c r="N560" s="1711"/>
      <c r="O560" s="1711"/>
      <c r="P560" s="1711"/>
      <c r="Q560" s="1711"/>
      <c r="R560" s="1711"/>
      <c r="S560" s="1711"/>
      <c r="T560" s="1711"/>
      <c r="U560" s="1711"/>
      <c r="V560" s="1711"/>
      <c r="W560" s="1711"/>
      <c r="X560" s="1711"/>
      <c r="Y560" s="1712"/>
      <c r="Z560" s="1712"/>
      <c r="AA560" s="1712"/>
      <c r="AB560" s="1712"/>
      <c r="AC560" s="1712"/>
      <c r="AD560" s="1712"/>
      <c r="AE560" s="1712"/>
      <c r="AF560" s="1712"/>
      <c r="AG560" s="1712"/>
      <c r="AH560" s="1712"/>
      <c r="AI560" s="1712"/>
      <c r="AJ560" s="1712"/>
      <c r="AK560" s="1712"/>
      <c r="AL560" s="1712"/>
      <c r="AM560" s="1712"/>
      <c r="AN560" s="1712"/>
      <c r="AO560" s="1712"/>
      <c r="AP560" s="1712"/>
      <c r="AQ560" s="1712"/>
      <c r="AR560" s="1712"/>
      <c r="AS560" s="1712"/>
      <c r="AT560" s="1712"/>
    </row>
    <row r="561">
      <c r="A561" s="1474" t="s">
        <v>2461</v>
      </c>
      <c r="B561" s="1708"/>
      <c r="C561" s="1709"/>
      <c r="D561" s="1709"/>
      <c r="E561" s="1710"/>
      <c r="F561" s="1710"/>
      <c r="G561" s="1710"/>
      <c r="H561" s="1710"/>
      <c r="I561" s="1710"/>
      <c r="J561" s="1710"/>
      <c r="K561" s="1710"/>
      <c r="L561" s="1710"/>
      <c r="M561" s="1711"/>
      <c r="N561" s="1711"/>
      <c r="O561" s="1711"/>
      <c r="P561" s="1711"/>
      <c r="Q561" s="1711"/>
      <c r="R561" s="1711"/>
      <c r="S561" s="1711"/>
      <c r="T561" s="1711"/>
      <c r="U561" s="1711"/>
      <c r="V561" s="1711"/>
      <c r="W561" s="1711"/>
      <c r="X561" s="1711"/>
      <c r="Y561" s="1712"/>
      <c r="Z561" s="1712"/>
      <c r="AA561" s="1712"/>
      <c r="AB561" s="1712"/>
      <c r="AC561" s="1712"/>
      <c r="AD561" s="1712"/>
      <c r="AE561" s="1712"/>
      <c r="AF561" s="1712"/>
      <c r="AG561" s="1712"/>
      <c r="AH561" s="1712"/>
      <c r="AI561" s="1712"/>
      <c r="AJ561" s="1712"/>
      <c r="AK561" s="1712"/>
      <c r="AL561" s="1712"/>
      <c r="AM561" s="1712"/>
      <c r="AN561" s="1712"/>
      <c r="AO561" s="1712"/>
      <c r="AP561" s="1712"/>
      <c r="AQ561" s="1712"/>
      <c r="AR561" s="1712"/>
      <c r="AS561" s="1712"/>
      <c r="AT561" s="1712"/>
    </row>
    <row r="562">
      <c r="A562" s="1474" t="s">
        <v>2461</v>
      </c>
      <c r="B562" s="1708"/>
      <c r="C562" s="1709"/>
      <c r="D562" s="1709"/>
      <c r="E562" s="1710"/>
      <c r="F562" s="1710"/>
      <c r="G562" s="1710"/>
      <c r="H562" s="1710"/>
      <c r="I562" s="1710"/>
      <c r="J562" s="1710"/>
      <c r="K562" s="1710"/>
      <c r="L562" s="1710"/>
      <c r="M562" s="1711"/>
      <c r="N562" s="1711"/>
      <c r="O562" s="1711"/>
      <c r="P562" s="1711"/>
      <c r="Q562" s="1711"/>
      <c r="R562" s="1711"/>
      <c r="S562" s="1711"/>
      <c r="T562" s="1711"/>
      <c r="U562" s="1711"/>
      <c r="V562" s="1711"/>
      <c r="W562" s="1711"/>
      <c r="X562" s="1711"/>
      <c r="Y562" s="1712"/>
      <c r="Z562" s="1712"/>
      <c r="AA562" s="1712"/>
      <c r="AB562" s="1712"/>
      <c r="AC562" s="1712"/>
      <c r="AD562" s="1712"/>
      <c r="AE562" s="1712"/>
      <c r="AF562" s="1712"/>
      <c r="AG562" s="1712"/>
      <c r="AH562" s="1712"/>
      <c r="AI562" s="1712"/>
      <c r="AJ562" s="1712"/>
      <c r="AK562" s="1712"/>
      <c r="AL562" s="1712"/>
      <c r="AM562" s="1712"/>
      <c r="AN562" s="1712"/>
      <c r="AO562" s="1712"/>
      <c r="AP562" s="1712"/>
      <c r="AQ562" s="1712"/>
      <c r="AR562" s="1712"/>
      <c r="AS562" s="1712"/>
      <c r="AT562" s="1712"/>
    </row>
    <row r="563">
      <c r="A563" s="1474" t="s">
        <v>2461</v>
      </c>
      <c r="B563" s="1708"/>
      <c r="C563" s="1709"/>
      <c r="D563" s="1709"/>
      <c r="E563" s="1710"/>
      <c r="F563" s="1710"/>
      <c r="G563" s="1710"/>
      <c r="H563" s="1710"/>
      <c r="I563" s="1710"/>
      <c r="J563" s="1710"/>
      <c r="K563" s="1710"/>
      <c r="L563" s="1710"/>
      <c r="M563" s="1711"/>
      <c r="N563" s="1711"/>
      <c r="O563" s="1711"/>
      <c r="P563" s="1711"/>
      <c r="Q563" s="1711"/>
      <c r="R563" s="1711"/>
      <c r="S563" s="1711"/>
      <c r="T563" s="1711"/>
      <c r="U563" s="1711"/>
      <c r="V563" s="1711"/>
      <c r="W563" s="1711"/>
      <c r="X563" s="1711"/>
      <c r="Y563" s="1712"/>
      <c r="Z563" s="1712"/>
      <c r="AA563" s="1712"/>
      <c r="AB563" s="1712"/>
      <c r="AC563" s="1712"/>
      <c r="AD563" s="1712"/>
      <c r="AE563" s="1712"/>
      <c r="AF563" s="1712"/>
      <c r="AG563" s="1712"/>
      <c r="AH563" s="1712"/>
      <c r="AI563" s="1712"/>
      <c r="AJ563" s="1712"/>
      <c r="AK563" s="1712"/>
      <c r="AL563" s="1712"/>
      <c r="AM563" s="1712"/>
      <c r="AN563" s="1712"/>
      <c r="AO563" s="1712"/>
      <c r="AP563" s="1712"/>
      <c r="AQ563" s="1712"/>
      <c r="AR563" s="1712"/>
      <c r="AS563" s="1712"/>
      <c r="AT563" s="1712"/>
    </row>
    <row r="564">
      <c r="A564" s="1474" t="s">
        <v>2461</v>
      </c>
      <c r="B564" s="1708"/>
      <c r="C564" s="1709"/>
      <c r="D564" s="1709"/>
      <c r="E564" s="1710"/>
      <c r="F564" s="1710"/>
      <c r="G564" s="1710"/>
      <c r="H564" s="1710"/>
      <c r="I564" s="1710"/>
      <c r="J564" s="1710"/>
      <c r="K564" s="1710"/>
      <c r="L564" s="1710"/>
      <c r="M564" s="1711"/>
      <c r="N564" s="1711"/>
      <c r="O564" s="1711"/>
      <c r="P564" s="1711"/>
      <c r="Q564" s="1711"/>
      <c r="R564" s="1711"/>
      <c r="S564" s="1711"/>
      <c r="T564" s="1711"/>
      <c r="U564" s="1711"/>
      <c r="V564" s="1711"/>
      <c r="W564" s="1711"/>
      <c r="X564" s="1711"/>
      <c r="Y564" s="1712"/>
      <c r="Z564" s="1712"/>
      <c r="AA564" s="1712"/>
      <c r="AB564" s="1712"/>
      <c r="AC564" s="1712"/>
      <c r="AD564" s="1712"/>
      <c r="AE564" s="1712"/>
      <c r="AF564" s="1712"/>
      <c r="AG564" s="1712"/>
      <c r="AH564" s="1712"/>
      <c r="AI564" s="1712"/>
      <c r="AJ564" s="1712"/>
      <c r="AK564" s="1712"/>
      <c r="AL564" s="1712"/>
      <c r="AM564" s="1712"/>
      <c r="AN564" s="1712"/>
      <c r="AO564" s="1712"/>
      <c r="AP564" s="1712"/>
      <c r="AQ564" s="1712"/>
      <c r="AR564" s="1712"/>
      <c r="AS564" s="1712"/>
      <c r="AT564" s="1712"/>
    </row>
    <row r="565">
      <c r="A565" s="1474" t="s">
        <v>2461</v>
      </c>
      <c r="B565" s="1708"/>
      <c r="C565" s="1709"/>
      <c r="D565" s="1709"/>
      <c r="E565" s="1710"/>
      <c r="F565" s="1710"/>
      <c r="G565" s="1710"/>
      <c r="H565" s="1710"/>
      <c r="I565" s="1710"/>
      <c r="J565" s="1710"/>
      <c r="K565" s="1710"/>
      <c r="L565" s="1710"/>
      <c r="M565" s="1711"/>
      <c r="N565" s="1711"/>
      <c r="O565" s="1711"/>
      <c r="P565" s="1711"/>
      <c r="Q565" s="1711"/>
      <c r="R565" s="1711"/>
      <c r="S565" s="1711"/>
      <c r="T565" s="1711"/>
      <c r="U565" s="1711"/>
      <c r="V565" s="1711"/>
      <c r="W565" s="1711"/>
      <c r="X565" s="1711"/>
      <c r="Y565" s="1712"/>
      <c r="Z565" s="1712"/>
      <c r="AA565" s="1712"/>
      <c r="AB565" s="1712"/>
      <c r="AC565" s="1712"/>
      <c r="AD565" s="1712"/>
      <c r="AE565" s="1712"/>
      <c r="AF565" s="1712"/>
      <c r="AG565" s="1712"/>
      <c r="AH565" s="1712"/>
      <c r="AI565" s="1712"/>
      <c r="AJ565" s="1712"/>
      <c r="AK565" s="1712"/>
      <c r="AL565" s="1712"/>
      <c r="AM565" s="1712"/>
      <c r="AN565" s="1712"/>
      <c r="AO565" s="1712"/>
      <c r="AP565" s="1712"/>
      <c r="AQ565" s="1712"/>
      <c r="AR565" s="1712"/>
      <c r="AS565" s="1712"/>
      <c r="AT565" s="1712"/>
    </row>
    <row r="566">
      <c r="A566" s="1474" t="s">
        <v>2461</v>
      </c>
      <c r="B566" s="1708"/>
      <c r="C566" s="1709"/>
      <c r="D566" s="1709"/>
      <c r="E566" s="1710"/>
      <c r="F566" s="1710"/>
      <c r="G566" s="1710"/>
      <c r="H566" s="1710"/>
      <c r="I566" s="1710"/>
      <c r="J566" s="1710"/>
      <c r="K566" s="1710"/>
      <c r="L566" s="1710"/>
      <c r="M566" s="1711"/>
      <c r="N566" s="1711"/>
      <c r="O566" s="1711"/>
      <c r="P566" s="1711"/>
      <c r="Q566" s="1711"/>
      <c r="R566" s="1711"/>
      <c r="S566" s="1711"/>
      <c r="T566" s="1711"/>
      <c r="U566" s="1711"/>
      <c r="V566" s="1711"/>
      <c r="W566" s="1711"/>
      <c r="X566" s="1711"/>
      <c r="Y566" s="1712"/>
      <c r="Z566" s="1712"/>
      <c r="AA566" s="1712"/>
      <c r="AB566" s="1712"/>
      <c r="AC566" s="1712"/>
      <c r="AD566" s="1712"/>
      <c r="AE566" s="1712"/>
      <c r="AF566" s="1712"/>
      <c r="AG566" s="1712"/>
      <c r="AH566" s="1712"/>
      <c r="AI566" s="1712"/>
      <c r="AJ566" s="1712"/>
      <c r="AK566" s="1712"/>
      <c r="AL566" s="1712"/>
      <c r="AM566" s="1712"/>
      <c r="AN566" s="1712"/>
      <c r="AO566" s="1712"/>
      <c r="AP566" s="1712"/>
      <c r="AQ566" s="1712"/>
      <c r="AR566" s="1712"/>
      <c r="AS566" s="1712"/>
      <c r="AT566" s="1712"/>
    </row>
    <row r="567">
      <c r="A567" s="1474" t="s">
        <v>2461</v>
      </c>
      <c r="B567" s="1708"/>
      <c r="C567" s="1709"/>
      <c r="D567" s="1709"/>
      <c r="E567" s="1710"/>
      <c r="F567" s="1710"/>
      <c r="G567" s="1710"/>
      <c r="H567" s="1710"/>
      <c r="I567" s="1710"/>
      <c r="J567" s="1710"/>
      <c r="K567" s="1710"/>
      <c r="L567" s="1710"/>
      <c r="M567" s="1711"/>
      <c r="N567" s="1711"/>
      <c r="O567" s="1711"/>
      <c r="P567" s="1711"/>
      <c r="Q567" s="1711"/>
      <c r="R567" s="1711"/>
      <c r="S567" s="1711"/>
      <c r="T567" s="1711"/>
      <c r="U567" s="1711"/>
      <c r="V567" s="1711"/>
      <c r="W567" s="1711"/>
      <c r="X567" s="1711"/>
      <c r="Y567" s="1712"/>
      <c r="Z567" s="1712"/>
      <c r="AA567" s="1712"/>
      <c r="AB567" s="1712"/>
      <c r="AC567" s="1712"/>
      <c r="AD567" s="1712"/>
      <c r="AE567" s="1712"/>
      <c r="AF567" s="1712"/>
      <c r="AG567" s="1712"/>
      <c r="AH567" s="1712"/>
      <c r="AI567" s="1712"/>
      <c r="AJ567" s="1712"/>
      <c r="AK567" s="1712"/>
      <c r="AL567" s="1712"/>
      <c r="AM567" s="1712"/>
      <c r="AN567" s="1712"/>
      <c r="AO567" s="1712"/>
      <c r="AP567" s="1712"/>
      <c r="AQ567" s="1712"/>
      <c r="AR567" s="1712"/>
      <c r="AS567" s="1712"/>
      <c r="AT567" s="1712"/>
    </row>
    <row r="568">
      <c r="A568" s="1474" t="s">
        <v>2461</v>
      </c>
      <c r="B568" s="1708"/>
      <c r="C568" s="1709"/>
      <c r="D568" s="1709"/>
      <c r="E568" s="1710"/>
      <c r="F568" s="1710"/>
      <c r="G568" s="1710"/>
      <c r="H568" s="1710"/>
      <c r="I568" s="1710"/>
      <c r="J568" s="1710"/>
      <c r="K568" s="1710"/>
      <c r="L568" s="1710"/>
      <c r="M568" s="1711"/>
      <c r="N568" s="1711"/>
      <c r="O568" s="1711"/>
      <c r="P568" s="1711"/>
      <c r="Q568" s="1711"/>
      <c r="R568" s="1711"/>
      <c r="S568" s="1711"/>
      <c r="T568" s="1711"/>
      <c r="U568" s="1711"/>
      <c r="V568" s="1711"/>
      <c r="W568" s="1711"/>
      <c r="X568" s="1711"/>
      <c r="Y568" s="1712"/>
      <c r="Z568" s="1712"/>
      <c r="AA568" s="1712"/>
      <c r="AB568" s="1712"/>
      <c r="AC568" s="1712"/>
      <c r="AD568" s="1712"/>
      <c r="AE568" s="1712"/>
      <c r="AF568" s="1712"/>
      <c r="AG568" s="1712"/>
      <c r="AH568" s="1712"/>
      <c r="AI568" s="1712"/>
      <c r="AJ568" s="1712"/>
      <c r="AK568" s="1712"/>
      <c r="AL568" s="1712"/>
      <c r="AM568" s="1712"/>
      <c r="AN568" s="1712"/>
      <c r="AO568" s="1712"/>
      <c r="AP568" s="1712"/>
      <c r="AQ568" s="1712"/>
      <c r="AR568" s="1712"/>
      <c r="AS568" s="1712"/>
      <c r="AT568" s="1712"/>
    </row>
    <row r="569">
      <c r="A569" s="1474" t="s">
        <v>2461</v>
      </c>
      <c r="B569" s="1708"/>
      <c r="C569" s="1709"/>
      <c r="D569" s="1709"/>
      <c r="E569" s="1710"/>
      <c r="F569" s="1710"/>
      <c r="G569" s="1710"/>
      <c r="H569" s="1710"/>
      <c r="I569" s="1710"/>
      <c r="J569" s="1710"/>
      <c r="K569" s="1710"/>
      <c r="L569" s="1710"/>
      <c r="M569" s="1711"/>
      <c r="N569" s="1711"/>
      <c r="O569" s="1711"/>
      <c r="P569" s="1711"/>
      <c r="Q569" s="1711"/>
      <c r="R569" s="1711"/>
      <c r="S569" s="1711"/>
      <c r="T569" s="1711"/>
      <c r="U569" s="1711"/>
      <c r="V569" s="1711"/>
      <c r="W569" s="1711"/>
      <c r="X569" s="1711"/>
      <c r="Y569" s="1712"/>
      <c r="Z569" s="1712"/>
      <c r="AA569" s="1712"/>
      <c r="AB569" s="1712"/>
      <c r="AC569" s="1712"/>
      <c r="AD569" s="1712"/>
      <c r="AE569" s="1712"/>
      <c r="AF569" s="1712"/>
      <c r="AG569" s="1712"/>
      <c r="AH569" s="1712"/>
      <c r="AI569" s="1712"/>
      <c r="AJ569" s="1712"/>
      <c r="AK569" s="1712"/>
      <c r="AL569" s="1712"/>
      <c r="AM569" s="1712"/>
      <c r="AN569" s="1712"/>
      <c r="AO569" s="1712"/>
      <c r="AP569" s="1712"/>
      <c r="AQ569" s="1712"/>
      <c r="AR569" s="1712"/>
      <c r="AS569" s="1712"/>
      <c r="AT569" s="1712"/>
    </row>
    <row r="570">
      <c r="A570" s="1474" t="s">
        <v>2461</v>
      </c>
      <c r="B570" s="1708"/>
      <c r="C570" s="1709"/>
      <c r="D570" s="1709"/>
      <c r="E570" s="1710"/>
      <c r="F570" s="1710"/>
      <c r="G570" s="1710"/>
      <c r="H570" s="1710"/>
      <c r="I570" s="1710"/>
      <c r="J570" s="1710"/>
      <c r="K570" s="1710"/>
      <c r="L570" s="1710"/>
      <c r="M570" s="1711"/>
      <c r="N570" s="1711"/>
      <c r="O570" s="1711"/>
      <c r="P570" s="1711"/>
      <c r="Q570" s="1711"/>
      <c r="R570" s="1711"/>
      <c r="S570" s="1711"/>
      <c r="T570" s="1711"/>
      <c r="U570" s="1711"/>
      <c r="V570" s="1711"/>
      <c r="W570" s="1711"/>
      <c r="X570" s="1711"/>
      <c r="Y570" s="1712"/>
      <c r="Z570" s="1712"/>
      <c r="AA570" s="1712"/>
      <c r="AB570" s="1712"/>
      <c r="AC570" s="1712"/>
      <c r="AD570" s="1712"/>
      <c r="AE570" s="1712"/>
      <c r="AF570" s="1712"/>
      <c r="AG570" s="1712"/>
      <c r="AH570" s="1712"/>
      <c r="AI570" s="1712"/>
      <c r="AJ570" s="1712"/>
      <c r="AK570" s="1712"/>
      <c r="AL570" s="1712"/>
      <c r="AM570" s="1712"/>
      <c r="AN570" s="1712"/>
      <c r="AO570" s="1712"/>
      <c r="AP570" s="1712"/>
      <c r="AQ570" s="1712"/>
      <c r="AR570" s="1712"/>
      <c r="AS570" s="1712"/>
      <c r="AT570" s="1712"/>
    </row>
    <row r="571">
      <c r="A571" s="1474" t="s">
        <v>2461</v>
      </c>
      <c r="B571" s="1708"/>
      <c r="C571" s="1709"/>
      <c r="D571" s="1709"/>
      <c r="E571" s="1710"/>
      <c r="F571" s="1710"/>
      <c r="G571" s="1710"/>
      <c r="H571" s="1710"/>
      <c r="I571" s="1710"/>
      <c r="J571" s="1710"/>
      <c r="K571" s="1710"/>
      <c r="L571" s="1710"/>
      <c r="M571" s="1711"/>
      <c r="N571" s="1711"/>
      <c r="O571" s="1711"/>
      <c r="P571" s="1711"/>
      <c r="Q571" s="1711"/>
      <c r="R571" s="1711"/>
      <c r="S571" s="1711"/>
      <c r="T571" s="1711"/>
      <c r="U571" s="1711"/>
      <c r="V571" s="1711"/>
      <c r="W571" s="1711"/>
      <c r="X571" s="1711"/>
      <c r="Y571" s="1712"/>
      <c r="Z571" s="1712"/>
      <c r="AA571" s="1712"/>
      <c r="AB571" s="1712"/>
      <c r="AC571" s="1712"/>
      <c r="AD571" s="1712"/>
      <c r="AE571" s="1712"/>
      <c r="AF571" s="1712"/>
      <c r="AG571" s="1712"/>
      <c r="AH571" s="1712"/>
      <c r="AI571" s="1712"/>
      <c r="AJ571" s="1712"/>
      <c r="AK571" s="1712"/>
      <c r="AL571" s="1712"/>
      <c r="AM571" s="1712"/>
      <c r="AN571" s="1712"/>
      <c r="AO571" s="1712"/>
      <c r="AP571" s="1712"/>
      <c r="AQ571" s="1712"/>
      <c r="AR571" s="1712"/>
      <c r="AS571" s="1712"/>
      <c r="AT571" s="1712"/>
    </row>
    <row r="572">
      <c r="A572" s="1474" t="s">
        <v>2461</v>
      </c>
      <c r="B572" s="1708"/>
      <c r="C572" s="1709"/>
      <c r="D572" s="1709"/>
      <c r="E572" s="1710"/>
      <c r="F572" s="1710"/>
      <c r="G572" s="1710"/>
      <c r="H572" s="1710"/>
      <c r="I572" s="1710"/>
      <c r="J572" s="1710"/>
      <c r="K572" s="1710"/>
      <c r="L572" s="1710"/>
      <c r="M572" s="1711"/>
      <c r="N572" s="1711"/>
      <c r="O572" s="1711"/>
      <c r="P572" s="1711"/>
      <c r="Q572" s="1711"/>
      <c r="R572" s="1711"/>
      <c r="S572" s="1711"/>
      <c r="T572" s="1711"/>
      <c r="U572" s="1711"/>
      <c r="V572" s="1711"/>
      <c r="W572" s="1711"/>
      <c r="X572" s="1711"/>
      <c r="Y572" s="1712"/>
      <c r="Z572" s="1712"/>
      <c r="AA572" s="1712"/>
      <c r="AB572" s="1712"/>
      <c r="AC572" s="1712"/>
      <c r="AD572" s="1712"/>
      <c r="AE572" s="1712"/>
      <c r="AF572" s="1712"/>
      <c r="AG572" s="1712"/>
      <c r="AH572" s="1712"/>
      <c r="AI572" s="1712"/>
      <c r="AJ572" s="1712"/>
      <c r="AK572" s="1712"/>
      <c r="AL572" s="1712"/>
      <c r="AM572" s="1712"/>
      <c r="AN572" s="1712"/>
      <c r="AO572" s="1712"/>
      <c r="AP572" s="1712"/>
      <c r="AQ572" s="1712"/>
      <c r="AR572" s="1712"/>
      <c r="AS572" s="1712"/>
      <c r="AT572" s="1712"/>
    </row>
    <row r="573">
      <c r="A573" s="1474" t="s">
        <v>2461</v>
      </c>
      <c r="B573" s="1708"/>
      <c r="C573" s="1709"/>
      <c r="D573" s="1709"/>
      <c r="E573" s="1710"/>
      <c r="F573" s="1710"/>
      <c r="G573" s="1710"/>
      <c r="H573" s="1710"/>
      <c r="I573" s="1710"/>
      <c r="J573" s="1710"/>
      <c r="K573" s="1710"/>
      <c r="L573" s="1710"/>
      <c r="M573" s="1711"/>
      <c r="N573" s="1711"/>
      <c r="O573" s="1711"/>
      <c r="P573" s="1711"/>
      <c r="Q573" s="1711"/>
      <c r="R573" s="1711"/>
      <c r="S573" s="1711"/>
      <c r="T573" s="1711"/>
      <c r="U573" s="1711"/>
      <c r="V573" s="1711"/>
      <c r="W573" s="1711"/>
      <c r="X573" s="1711"/>
      <c r="Y573" s="1712"/>
      <c r="Z573" s="1712"/>
      <c r="AA573" s="1712"/>
      <c r="AB573" s="1712"/>
      <c r="AC573" s="1712"/>
      <c r="AD573" s="1712"/>
      <c r="AE573" s="1712"/>
      <c r="AF573" s="1712"/>
      <c r="AG573" s="1712"/>
      <c r="AH573" s="1712"/>
      <c r="AI573" s="1712"/>
      <c r="AJ573" s="1712"/>
      <c r="AK573" s="1712"/>
      <c r="AL573" s="1712"/>
      <c r="AM573" s="1712"/>
      <c r="AN573" s="1712"/>
      <c r="AO573" s="1712"/>
      <c r="AP573" s="1712"/>
      <c r="AQ573" s="1712"/>
      <c r="AR573" s="1712"/>
      <c r="AS573" s="1712"/>
      <c r="AT573" s="1712"/>
    </row>
    <row r="574">
      <c r="A574" s="1474" t="s">
        <v>2461</v>
      </c>
      <c r="B574" s="1708"/>
      <c r="C574" s="1709"/>
      <c r="D574" s="1709"/>
      <c r="E574" s="1710"/>
      <c r="F574" s="1710"/>
      <c r="G574" s="1710"/>
      <c r="H574" s="1710"/>
      <c r="I574" s="1710"/>
      <c r="J574" s="1710"/>
      <c r="K574" s="1710"/>
      <c r="L574" s="1710"/>
      <c r="M574" s="1711"/>
      <c r="N574" s="1711"/>
      <c r="O574" s="1711"/>
      <c r="P574" s="1711"/>
      <c r="Q574" s="1711"/>
      <c r="R574" s="1711"/>
      <c r="S574" s="1711"/>
      <c r="T574" s="1711"/>
      <c r="U574" s="1711"/>
      <c r="V574" s="1711"/>
      <c r="W574" s="1711"/>
      <c r="X574" s="1711"/>
      <c r="Y574" s="1712"/>
      <c r="Z574" s="1712"/>
      <c r="AA574" s="1712"/>
      <c r="AB574" s="1712"/>
      <c r="AC574" s="1712"/>
      <c r="AD574" s="1712"/>
      <c r="AE574" s="1712"/>
      <c r="AF574" s="1712"/>
      <c r="AG574" s="1712"/>
      <c r="AH574" s="1712"/>
      <c r="AI574" s="1712"/>
      <c r="AJ574" s="1712"/>
      <c r="AK574" s="1712"/>
      <c r="AL574" s="1712"/>
      <c r="AM574" s="1712"/>
      <c r="AN574" s="1712"/>
      <c r="AO574" s="1712"/>
      <c r="AP574" s="1712"/>
      <c r="AQ574" s="1712"/>
      <c r="AR574" s="1712"/>
      <c r="AS574" s="1712"/>
      <c r="AT574" s="1712"/>
    </row>
    <row r="575">
      <c r="A575" s="1474" t="s">
        <v>2461</v>
      </c>
      <c r="B575" s="1708"/>
      <c r="C575" s="1709"/>
      <c r="D575" s="1709"/>
      <c r="E575" s="1710"/>
      <c r="F575" s="1710"/>
      <c r="G575" s="1710"/>
      <c r="H575" s="1710"/>
      <c r="I575" s="1710"/>
      <c r="J575" s="1710"/>
      <c r="K575" s="1710"/>
      <c r="L575" s="1710"/>
      <c r="M575" s="1711"/>
      <c r="N575" s="1711"/>
      <c r="O575" s="1711"/>
      <c r="P575" s="1711"/>
      <c r="Q575" s="1711"/>
      <c r="R575" s="1711"/>
      <c r="S575" s="1711"/>
      <c r="T575" s="1711"/>
      <c r="U575" s="1711"/>
      <c r="V575" s="1711"/>
      <c r="W575" s="1711"/>
      <c r="X575" s="1711"/>
      <c r="Y575" s="1712"/>
      <c r="Z575" s="1712"/>
      <c r="AA575" s="1712"/>
      <c r="AB575" s="1712"/>
      <c r="AC575" s="1712"/>
      <c r="AD575" s="1712"/>
      <c r="AE575" s="1712"/>
      <c r="AF575" s="1712"/>
      <c r="AG575" s="1712"/>
      <c r="AH575" s="1712"/>
      <c r="AI575" s="1712"/>
      <c r="AJ575" s="1712"/>
      <c r="AK575" s="1712"/>
      <c r="AL575" s="1712"/>
      <c r="AM575" s="1712"/>
      <c r="AN575" s="1712"/>
      <c r="AO575" s="1712"/>
      <c r="AP575" s="1712"/>
      <c r="AQ575" s="1712"/>
      <c r="AR575" s="1712"/>
      <c r="AS575" s="1712"/>
      <c r="AT575" s="1712"/>
    </row>
    <row r="576">
      <c r="A576" s="1474" t="s">
        <v>2461</v>
      </c>
      <c r="B576" s="1708"/>
      <c r="C576" s="1709"/>
      <c r="D576" s="1709"/>
      <c r="E576" s="1710"/>
      <c r="F576" s="1710"/>
      <c r="G576" s="1710"/>
      <c r="H576" s="1710"/>
      <c r="I576" s="1710"/>
      <c r="J576" s="1710"/>
      <c r="K576" s="1710"/>
      <c r="L576" s="1710"/>
      <c r="M576" s="1711"/>
      <c r="N576" s="1711"/>
      <c r="O576" s="1711"/>
      <c r="P576" s="1711"/>
      <c r="Q576" s="1711"/>
      <c r="R576" s="1711"/>
      <c r="S576" s="1711"/>
      <c r="T576" s="1711"/>
      <c r="U576" s="1711"/>
      <c r="V576" s="1711"/>
      <c r="W576" s="1711"/>
      <c r="X576" s="1711"/>
      <c r="Y576" s="1712"/>
      <c r="Z576" s="1712"/>
      <c r="AA576" s="1712"/>
      <c r="AB576" s="1712"/>
      <c r="AC576" s="1712"/>
      <c r="AD576" s="1712"/>
      <c r="AE576" s="1712"/>
      <c r="AF576" s="1712"/>
      <c r="AG576" s="1712"/>
      <c r="AH576" s="1712"/>
      <c r="AI576" s="1712"/>
      <c r="AJ576" s="1712"/>
      <c r="AK576" s="1712"/>
      <c r="AL576" s="1712"/>
      <c r="AM576" s="1712"/>
      <c r="AN576" s="1712"/>
      <c r="AO576" s="1712"/>
      <c r="AP576" s="1712"/>
      <c r="AQ576" s="1712"/>
      <c r="AR576" s="1712"/>
      <c r="AS576" s="1712"/>
      <c r="AT576" s="1712"/>
    </row>
    <row r="577">
      <c r="A577" s="1474" t="s">
        <v>2461</v>
      </c>
      <c r="B577" s="1708"/>
      <c r="C577" s="1709"/>
      <c r="D577" s="1709"/>
      <c r="E577" s="1710"/>
      <c r="F577" s="1710"/>
      <c r="G577" s="1710"/>
      <c r="H577" s="1710"/>
      <c r="I577" s="1710"/>
      <c r="J577" s="1710"/>
      <c r="K577" s="1710"/>
      <c r="L577" s="1710"/>
      <c r="M577" s="1711"/>
      <c r="N577" s="1711"/>
      <c r="O577" s="1711"/>
      <c r="P577" s="1711"/>
      <c r="Q577" s="1711"/>
      <c r="R577" s="1711"/>
      <c r="S577" s="1711"/>
      <c r="T577" s="1711"/>
      <c r="U577" s="1711"/>
      <c r="V577" s="1711"/>
      <c r="W577" s="1711"/>
      <c r="X577" s="1711"/>
      <c r="Y577" s="1712"/>
      <c r="Z577" s="1712"/>
      <c r="AA577" s="1712"/>
      <c r="AB577" s="1712"/>
      <c r="AC577" s="1712"/>
      <c r="AD577" s="1712"/>
      <c r="AE577" s="1712"/>
      <c r="AF577" s="1712"/>
      <c r="AG577" s="1712"/>
      <c r="AH577" s="1712"/>
      <c r="AI577" s="1712"/>
      <c r="AJ577" s="1712"/>
      <c r="AK577" s="1712"/>
      <c r="AL577" s="1712"/>
      <c r="AM577" s="1712"/>
      <c r="AN577" s="1712"/>
      <c r="AO577" s="1712"/>
      <c r="AP577" s="1712"/>
      <c r="AQ577" s="1712"/>
      <c r="AR577" s="1712"/>
      <c r="AS577" s="1712"/>
      <c r="AT577" s="1712"/>
    </row>
    <row r="578">
      <c r="A578" s="1474" t="s">
        <v>2461</v>
      </c>
      <c r="B578" s="1708"/>
      <c r="C578" s="1709"/>
      <c r="D578" s="1709"/>
      <c r="E578" s="1710"/>
      <c r="F578" s="1710"/>
      <c r="G578" s="1710"/>
      <c r="H578" s="1710"/>
      <c r="I578" s="1710"/>
      <c r="J578" s="1710"/>
      <c r="K578" s="1710"/>
      <c r="L578" s="1710"/>
      <c r="M578" s="1711"/>
      <c r="N578" s="1711"/>
      <c r="O578" s="1711"/>
      <c r="P578" s="1711"/>
      <c r="Q578" s="1711"/>
      <c r="R578" s="1711"/>
      <c r="S578" s="1711"/>
      <c r="T578" s="1711"/>
      <c r="U578" s="1711"/>
      <c r="V578" s="1711"/>
      <c r="W578" s="1711"/>
      <c r="X578" s="1711"/>
      <c r="Y578" s="1712"/>
      <c r="Z578" s="1712"/>
      <c r="AA578" s="1712"/>
      <c r="AB578" s="1712"/>
      <c r="AC578" s="1712"/>
      <c r="AD578" s="1712"/>
      <c r="AE578" s="1712"/>
      <c r="AF578" s="1712"/>
      <c r="AG578" s="1712"/>
      <c r="AH578" s="1712"/>
      <c r="AI578" s="1712"/>
      <c r="AJ578" s="1712"/>
      <c r="AK578" s="1712"/>
      <c r="AL578" s="1712"/>
      <c r="AM578" s="1712"/>
      <c r="AN578" s="1712"/>
      <c r="AO578" s="1712"/>
      <c r="AP578" s="1712"/>
      <c r="AQ578" s="1712"/>
      <c r="AR578" s="1712"/>
      <c r="AS578" s="1712"/>
      <c r="AT578" s="1712"/>
    </row>
    <row r="579">
      <c r="A579" s="1474" t="s">
        <v>2461</v>
      </c>
      <c r="B579" s="1708"/>
      <c r="C579" s="1709"/>
      <c r="D579" s="1709"/>
      <c r="E579" s="1710"/>
      <c r="F579" s="1710"/>
      <c r="G579" s="1710"/>
      <c r="H579" s="1710"/>
      <c r="I579" s="1710"/>
      <c r="J579" s="1710"/>
      <c r="K579" s="1710"/>
      <c r="L579" s="1710"/>
      <c r="M579" s="1711"/>
      <c r="N579" s="1711"/>
      <c r="O579" s="1711"/>
      <c r="P579" s="1711"/>
      <c r="Q579" s="1711"/>
      <c r="R579" s="1711"/>
      <c r="S579" s="1711"/>
      <c r="T579" s="1711"/>
      <c r="U579" s="1711"/>
      <c r="V579" s="1711"/>
      <c r="W579" s="1711"/>
      <c r="X579" s="1711"/>
      <c r="Y579" s="1712"/>
      <c r="Z579" s="1712"/>
      <c r="AA579" s="1712"/>
      <c r="AB579" s="1712"/>
      <c r="AC579" s="1712"/>
      <c r="AD579" s="1712"/>
      <c r="AE579" s="1712"/>
      <c r="AF579" s="1712"/>
      <c r="AG579" s="1712"/>
      <c r="AH579" s="1712"/>
      <c r="AI579" s="1712"/>
      <c r="AJ579" s="1712"/>
      <c r="AK579" s="1712"/>
      <c r="AL579" s="1712"/>
      <c r="AM579" s="1712"/>
      <c r="AN579" s="1712"/>
      <c r="AO579" s="1712"/>
      <c r="AP579" s="1712"/>
      <c r="AQ579" s="1712"/>
      <c r="AR579" s="1712"/>
      <c r="AS579" s="1712"/>
      <c r="AT579" s="1712"/>
    </row>
    <row r="580">
      <c r="A580" s="1474" t="s">
        <v>2461</v>
      </c>
      <c r="B580" s="1708"/>
      <c r="C580" s="1709"/>
      <c r="D580" s="1709"/>
      <c r="E580" s="1710"/>
      <c r="F580" s="1710"/>
      <c r="G580" s="1710"/>
      <c r="H580" s="1710"/>
      <c r="I580" s="1710"/>
      <c r="J580" s="1710"/>
      <c r="K580" s="1710"/>
      <c r="L580" s="1710"/>
      <c r="M580" s="1711"/>
      <c r="N580" s="1711"/>
      <c r="O580" s="1711"/>
      <c r="P580" s="1711"/>
      <c r="Q580" s="1711"/>
      <c r="R580" s="1711"/>
      <c r="S580" s="1711"/>
      <c r="T580" s="1711"/>
      <c r="U580" s="1711"/>
      <c r="V580" s="1711"/>
      <c r="W580" s="1711"/>
      <c r="X580" s="1711"/>
      <c r="Y580" s="1712"/>
      <c r="Z580" s="1712"/>
      <c r="AA580" s="1712"/>
      <c r="AB580" s="1712"/>
      <c r="AC580" s="1712"/>
      <c r="AD580" s="1712"/>
      <c r="AE580" s="1712"/>
      <c r="AF580" s="1712"/>
      <c r="AG580" s="1712"/>
      <c r="AH580" s="1712"/>
      <c r="AI580" s="1712"/>
      <c r="AJ580" s="1712"/>
      <c r="AK580" s="1712"/>
      <c r="AL580" s="1712"/>
      <c r="AM580" s="1712"/>
      <c r="AN580" s="1712"/>
      <c r="AO580" s="1712"/>
      <c r="AP580" s="1712"/>
      <c r="AQ580" s="1712"/>
      <c r="AR580" s="1712"/>
      <c r="AS580" s="1712"/>
      <c r="AT580" s="1712"/>
    </row>
    <row r="581">
      <c r="A581" s="1474" t="s">
        <v>2461</v>
      </c>
      <c r="B581" s="1708"/>
      <c r="C581" s="1709"/>
      <c r="D581" s="1709"/>
      <c r="E581" s="1710"/>
      <c r="F581" s="1710"/>
      <c r="G581" s="1710"/>
      <c r="H581" s="1710"/>
      <c r="I581" s="1710"/>
      <c r="J581" s="1710"/>
      <c r="K581" s="1710"/>
      <c r="L581" s="1710"/>
      <c r="M581" s="1711"/>
      <c r="N581" s="1711"/>
      <c r="O581" s="1711"/>
      <c r="P581" s="1711"/>
      <c r="Q581" s="1711"/>
      <c r="R581" s="1711"/>
      <c r="S581" s="1711"/>
      <c r="T581" s="1711"/>
      <c r="U581" s="1711"/>
      <c r="V581" s="1711"/>
      <c r="W581" s="1711"/>
      <c r="X581" s="1711"/>
      <c r="Y581" s="1712"/>
      <c r="Z581" s="1712"/>
      <c r="AA581" s="1712"/>
      <c r="AB581" s="1712"/>
      <c r="AC581" s="1712"/>
      <c r="AD581" s="1712"/>
      <c r="AE581" s="1712"/>
      <c r="AF581" s="1712"/>
      <c r="AG581" s="1712"/>
      <c r="AH581" s="1712"/>
      <c r="AI581" s="1712"/>
      <c r="AJ581" s="1712"/>
      <c r="AK581" s="1712"/>
      <c r="AL581" s="1712"/>
      <c r="AM581" s="1712"/>
      <c r="AN581" s="1712"/>
      <c r="AO581" s="1712"/>
      <c r="AP581" s="1712"/>
      <c r="AQ581" s="1712"/>
      <c r="AR581" s="1712"/>
      <c r="AS581" s="1712"/>
      <c r="AT581" s="1712"/>
    </row>
    <row r="582">
      <c r="A582" s="1474" t="s">
        <v>2461</v>
      </c>
      <c r="B582" s="1708"/>
      <c r="C582" s="1709"/>
      <c r="D582" s="1709"/>
      <c r="E582" s="1710"/>
      <c r="F582" s="1710"/>
      <c r="G582" s="1710"/>
      <c r="H582" s="1710"/>
      <c r="I582" s="1710"/>
      <c r="J582" s="1710"/>
      <c r="K582" s="1710"/>
      <c r="L582" s="1710"/>
      <c r="M582" s="1711"/>
      <c r="N582" s="1711"/>
      <c r="O582" s="1711"/>
      <c r="P582" s="1711"/>
      <c r="Q582" s="1711"/>
      <c r="R582" s="1711"/>
      <c r="S582" s="1711"/>
      <c r="T582" s="1711"/>
      <c r="U582" s="1711"/>
      <c r="V582" s="1711"/>
      <c r="W582" s="1711"/>
      <c r="X582" s="1711"/>
      <c r="Y582" s="1712"/>
      <c r="Z582" s="1712"/>
      <c r="AA582" s="1712"/>
      <c r="AB582" s="1712"/>
      <c r="AC582" s="1712"/>
      <c r="AD582" s="1712"/>
      <c r="AE582" s="1712"/>
      <c r="AF582" s="1712"/>
      <c r="AG582" s="1712"/>
      <c r="AH582" s="1712"/>
      <c r="AI582" s="1712"/>
      <c r="AJ582" s="1712"/>
      <c r="AK582" s="1712"/>
      <c r="AL582" s="1712"/>
      <c r="AM582" s="1712"/>
      <c r="AN582" s="1712"/>
      <c r="AO582" s="1712"/>
      <c r="AP582" s="1712"/>
      <c r="AQ582" s="1712"/>
      <c r="AR582" s="1712"/>
      <c r="AS582" s="1712"/>
      <c r="AT582" s="1712"/>
    </row>
    <row r="583">
      <c r="A583" s="1474" t="s">
        <v>2461</v>
      </c>
      <c r="B583" s="1708"/>
      <c r="C583" s="1709"/>
      <c r="D583" s="1709"/>
      <c r="E583" s="1710"/>
      <c r="F583" s="1710"/>
      <c r="G583" s="1710"/>
      <c r="H583" s="1710"/>
      <c r="I583" s="1710"/>
      <c r="J583" s="1710"/>
      <c r="K583" s="1710"/>
      <c r="L583" s="1710"/>
      <c r="M583" s="1711"/>
      <c r="N583" s="1711"/>
      <c r="O583" s="1711"/>
      <c r="P583" s="1711"/>
      <c r="Q583" s="1711"/>
      <c r="R583" s="1711"/>
      <c r="S583" s="1711"/>
      <c r="T583" s="1711"/>
      <c r="U583" s="1711"/>
      <c r="V583" s="1711"/>
      <c r="W583" s="1711"/>
      <c r="X583" s="1711"/>
      <c r="Y583" s="1712"/>
      <c r="Z583" s="1712"/>
      <c r="AA583" s="1712"/>
      <c r="AB583" s="1712"/>
      <c r="AC583" s="1712"/>
      <c r="AD583" s="1712"/>
      <c r="AE583" s="1712"/>
      <c r="AF583" s="1712"/>
      <c r="AG583" s="1712"/>
      <c r="AH583" s="1712"/>
      <c r="AI583" s="1712"/>
      <c r="AJ583" s="1712"/>
      <c r="AK583" s="1712"/>
      <c r="AL583" s="1712"/>
      <c r="AM583" s="1712"/>
      <c r="AN583" s="1712"/>
      <c r="AO583" s="1712"/>
      <c r="AP583" s="1712"/>
      <c r="AQ583" s="1712"/>
      <c r="AR583" s="1712"/>
      <c r="AS583" s="1712"/>
      <c r="AT583" s="1712"/>
    </row>
    <row r="584">
      <c r="A584" s="1474" t="s">
        <v>2461</v>
      </c>
      <c r="B584" s="1708"/>
      <c r="C584" s="1709"/>
      <c r="D584" s="1709"/>
      <c r="E584" s="1710"/>
      <c r="F584" s="1710"/>
      <c r="G584" s="1710"/>
      <c r="H584" s="1710"/>
      <c r="I584" s="1710"/>
      <c r="J584" s="1710"/>
      <c r="K584" s="1710"/>
      <c r="L584" s="1710"/>
      <c r="M584" s="1711"/>
      <c r="N584" s="1711"/>
      <c r="O584" s="1711"/>
      <c r="P584" s="1711"/>
      <c r="Q584" s="1711"/>
      <c r="R584" s="1711"/>
      <c r="S584" s="1711"/>
      <c r="T584" s="1711"/>
      <c r="U584" s="1711"/>
      <c r="V584" s="1711"/>
      <c r="W584" s="1711"/>
      <c r="X584" s="1711"/>
      <c r="Y584" s="1712"/>
      <c r="Z584" s="1712"/>
      <c r="AA584" s="1712"/>
      <c r="AB584" s="1712"/>
      <c r="AC584" s="1712"/>
      <c r="AD584" s="1712"/>
      <c r="AE584" s="1712"/>
      <c r="AF584" s="1712"/>
      <c r="AG584" s="1712"/>
      <c r="AH584" s="1712"/>
      <c r="AI584" s="1712"/>
      <c r="AJ584" s="1712"/>
      <c r="AK584" s="1712"/>
      <c r="AL584" s="1712"/>
      <c r="AM584" s="1712"/>
      <c r="AN584" s="1712"/>
      <c r="AO584" s="1712"/>
      <c r="AP584" s="1712"/>
      <c r="AQ584" s="1712"/>
      <c r="AR584" s="1712"/>
      <c r="AS584" s="1712"/>
      <c r="AT584" s="1712"/>
    </row>
    <row r="585">
      <c r="A585" s="1474" t="s">
        <v>2461</v>
      </c>
      <c r="B585" s="1708"/>
      <c r="C585" s="1709"/>
      <c r="D585" s="1709"/>
      <c r="E585" s="1710"/>
      <c r="F585" s="1710"/>
      <c r="G585" s="1710"/>
      <c r="H585" s="1710"/>
      <c r="I585" s="1710"/>
      <c r="J585" s="1710"/>
      <c r="K585" s="1710"/>
      <c r="L585" s="1710"/>
      <c r="M585" s="1711"/>
      <c r="N585" s="1711"/>
      <c r="O585" s="1711"/>
      <c r="P585" s="1711"/>
      <c r="Q585" s="1711"/>
      <c r="R585" s="1711"/>
      <c r="S585" s="1711"/>
      <c r="T585" s="1711"/>
      <c r="U585" s="1711"/>
      <c r="V585" s="1711"/>
      <c r="W585" s="1711"/>
      <c r="X585" s="1711"/>
      <c r="Y585" s="1712"/>
      <c r="Z585" s="1712"/>
      <c r="AA585" s="1712"/>
      <c r="AB585" s="1712"/>
      <c r="AC585" s="1712"/>
      <c r="AD585" s="1712"/>
      <c r="AE585" s="1712"/>
      <c r="AF585" s="1712"/>
      <c r="AG585" s="1712"/>
      <c r="AH585" s="1712"/>
      <c r="AI585" s="1712"/>
      <c r="AJ585" s="1712"/>
      <c r="AK585" s="1712"/>
      <c r="AL585" s="1712"/>
      <c r="AM585" s="1712"/>
      <c r="AN585" s="1712"/>
      <c r="AO585" s="1712"/>
      <c r="AP585" s="1712"/>
      <c r="AQ585" s="1712"/>
      <c r="AR585" s="1712"/>
      <c r="AS585" s="1712"/>
      <c r="AT585" s="1712"/>
    </row>
    <row r="586">
      <c r="A586" s="1474" t="s">
        <v>2461</v>
      </c>
      <c r="B586" s="1708"/>
      <c r="C586" s="1709"/>
      <c r="D586" s="1709"/>
      <c r="E586" s="1710"/>
      <c r="F586" s="1710"/>
      <c r="G586" s="1710"/>
      <c r="H586" s="1710"/>
      <c r="I586" s="1710"/>
      <c r="J586" s="1710"/>
      <c r="K586" s="1710"/>
      <c r="L586" s="1710"/>
      <c r="M586" s="1711"/>
      <c r="N586" s="1711"/>
      <c r="O586" s="1711"/>
      <c r="P586" s="1711"/>
      <c r="Q586" s="1711"/>
      <c r="R586" s="1711"/>
      <c r="S586" s="1711"/>
      <c r="T586" s="1711"/>
      <c r="U586" s="1711"/>
      <c r="V586" s="1711"/>
      <c r="W586" s="1711"/>
      <c r="X586" s="1711"/>
      <c r="Y586" s="1712"/>
      <c r="Z586" s="1712"/>
      <c r="AA586" s="1712"/>
      <c r="AB586" s="1712"/>
      <c r="AC586" s="1712"/>
      <c r="AD586" s="1712"/>
      <c r="AE586" s="1712"/>
      <c r="AF586" s="1712"/>
      <c r="AG586" s="1712"/>
      <c r="AH586" s="1712"/>
      <c r="AI586" s="1712"/>
      <c r="AJ586" s="1712"/>
      <c r="AK586" s="1712"/>
      <c r="AL586" s="1712"/>
      <c r="AM586" s="1712"/>
      <c r="AN586" s="1712"/>
      <c r="AO586" s="1712"/>
      <c r="AP586" s="1712"/>
      <c r="AQ586" s="1712"/>
      <c r="AR586" s="1712"/>
      <c r="AS586" s="1712"/>
      <c r="AT586" s="1712"/>
    </row>
    <row r="587">
      <c r="A587" s="1474" t="s">
        <v>2461</v>
      </c>
      <c r="B587" s="1708"/>
      <c r="C587" s="1709"/>
      <c r="D587" s="1709"/>
      <c r="E587" s="1710"/>
      <c r="F587" s="1710"/>
      <c r="G587" s="1710"/>
      <c r="H587" s="1710"/>
      <c r="I587" s="1710"/>
      <c r="J587" s="1710"/>
      <c r="K587" s="1710"/>
      <c r="L587" s="1710"/>
      <c r="M587" s="1711"/>
      <c r="N587" s="1711"/>
      <c r="O587" s="1711"/>
      <c r="P587" s="1711"/>
      <c r="Q587" s="1711"/>
      <c r="R587" s="1711"/>
      <c r="S587" s="1711"/>
      <c r="T587" s="1711"/>
      <c r="U587" s="1711"/>
      <c r="V587" s="1711"/>
      <c r="W587" s="1711"/>
      <c r="X587" s="1711"/>
      <c r="Y587" s="1712"/>
      <c r="Z587" s="1712"/>
      <c r="AA587" s="1712"/>
      <c r="AB587" s="1712"/>
      <c r="AC587" s="1712"/>
      <c r="AD587" s="1712"/>
      <c r="AE587" s="1712"/>
      <c r="AF587" s="1712"/>
      <c r="AG587" s="1712"/>
      <c r="AH587" s="1712"/>
      <c r="AI587" s="1712"/>
      <c r="AJ587" s="1712"/>
      <c r="AK587" s="1712"/>
      <c r="AL587" s="1712"/>
      <c r="AM587" s="1712"/>
      <c r="AN587" s="1712"/>
      <c r="AO587" s="1712"/>
      <c r="AP587" s="1712"/>
      <c r="AQ587" s="1712"/>
      <c r="AR587" s="1712"/>
      <c r="AS587" s="1712"/>
      <c r="AT587" s="1712"/>
    </row>
    <row r="588">
      <c r="A588" s="1474" t="s">
        <v>2461</v>
      </c>
      <c r="B588" s="1708"/>
      <c r="C588" s="1709"/>
      <c r="D588" s="1709"/>
      <c r="E588" s="1710"/>
      <c r="F588" s="1710"/>
      <c r="G588" s="1710"/>
      <c r="H588" s="1710"/>
      <c r="I588" s="1710"/>
      <c r="J588" s="1710"/>
      <c r="K588" s="1710"/>
      <c r="L588" s="1710"/>
      <c r="M588" s="1711"/>
      <c r="N588" s="1711"/>
      <c r="O588" s="1711"/>
      <c r="P588" s="1711"/>
      <c r="Q588" s="1711"/>
      <c r="R588" s="1711"/>
      <c r="S588" s="1711"/>
      <c r="T588" s="1711"/>
      <c r="U588" s="1711"/>
      <c r="V588" s="1711"/>
      <c r="W588" s="1711"/>
      <c r="X588" s="1711"/>
      <c r="Y588" s="1712"/>
      <c r="Z588" s="1712"/>
      <c r="AA588" s="1712"/>
      <c r="AB588" s="1712"/>
      <c r="AC588" s="1712"/>
      <c r="AD588" s="1712"/>
      <c r="AE588" s="1712"/>
      <c r="AF588" s="1712"/>
      <c r="AG588" s="1712"/>
      <c r="AH588" s="1712"/>
      <c r="AI588" s="1712"/>
      <c r="AJ588" s="1712"/>
      <c r="AK588" s="1712"/>
      <c r="AL588" s="1712"/>
      <c r="AM588" s="1712"/>
      <c r="AN588" s="1712"/>
      <c r="AO588" s="1712"/>
      <c r="AP588" s="1712"/>
      <c r="AQ588" s="1712"/>
      <c r="AR588" s="1712"/>
      <c r="AS588" s="1712"/>
      <c r="AT588" s="1712"/>
    </row>
    <row r="589">
      <c r="A589" s="1474" t="s">
        <v>2461</v>
      </c>
      <c r="B589" s="1708"/>
      <c r="C589" s="1709"/>
      <c r="D589" s="1709"/>
      <c r="E589" s="1710"/>
      <c r="F589" s="1710"/>
      <c r="G589" s="1710"/>
      <c r="H589" s="1710"/>
      <c r="I589" s="1710"/>
      <c r="J589" s="1710"/>
      <c r="K589" s="1710"/>
      <c r="L589" s="1710"/>
      <c r="M589" s="1711"/>
      <c r="N589" s="1711"/>
      <c r="O589" s="1711"/>
      <c r="P589" s="1711"/>
      <c r="Q589" s="1711"/>
      <c r="R589" s="1711"/>
      <c r="S589" s="1711"/>
      <c r="T589" s="1711"/>
      <c r="U589" s="1711"/>
      <c r="V589" s="1711"/>
      <c r="W589" s="1711"/>
      <c r="X589" s="1711"/>
      <c r="Y589" s="1712"/>
      <c r="Z589" s="1712"/>
      <c r="AA589" s="1712"/>
      <c r="AB589" s="1712"/>
      <c r="AC589" s="1712"/>
      <c r="AD589" s="1712"/>
      <c r="AE589" s="1712"/>
      <c r="AF589" s="1712"/>
      <c r="AG589" s="1712"/>
      <c r="AH589" s="1712"/>
      <c r="AI589" s="1712"/>
      <c r="AJ589" s="1712"/>
      <c r="AK589" s="1712"/>
      <c r="AL589" s="1712"/>
      <c r="AM589" s="1712"/>
      <c r="AN589" s="1712"/>
      <c r="AO589" s="1712"/>
      <c r="AP589" s="1712"/>
      <c r="AQ589" s="1712"/>
      <c r="AR589" s="1712"/>
      <c r="AS589" s="1712"/>
      <c r="AT589" s="1712"/>
    </row>
    <row r="590">
      <c r="A590" s="1474" t="s">
        <v>2461</v>
      </c>
      <c r="B590" s="1708"/>
      <c r="C590" s="1709"/>
      <c r="D590" s="1709"/>
      <c r="E590" s="1710"/>
      <c r="F590" s="1710"/>
      <c r="G590" s="1710"/>
      <c r="H590" s="1710"/>
      <c r="I590" s="1710"/>
      <c r="J590" s="1710"/>
      <c r="K590" s="1710"/>
      <c r="L590" s="1710"/>
      <c r="M590" s="1711"/>
      <c r="N590" s="1711"/>
      <c r="O590" s="1711"/>
      <c r="P590" s="1711"/>
      <c r="Q590" s="1711"/>
      <c r="R590" s="1711"/>
      <c r="S590" s="1711"/>
      <c r="T590" s="1711"/>
      <c r="U590" s="1711"/>
      <c r="V590" s="1711"/>
      <c r="W590" s="1711"/>
      <c r="X590" s="1711"/>
      <c r="Y590" s="1712"/>
      <c r="Z590" s="1712"/>
      <c r="AA590" s="1712"/>
      <c r="AB590" s="1712"/>
      <c r="AC590" s="1712"/>
      <c r="AD590" s="1712"/>
      <c r="AE590" s="1712"/>
      <c r="AF590" s="1712"/>
      <c r="AG590" s="1712"/>
      <c r="AH590" s="1712"/>
      <c r="AI590" s="1712"/>
      <c r="AJ590" s="1712"/>
      <c r="AK590" s="1712"/>
      <c r="AL590" s="1712"/>
      <c r="AM590" s="1712"/>
      <c r="AN590" s="1712"/>
      <c r="AO590" s="1712"/>
      <c r="AP590" s="1712"/>
      <c r="AQ590" s="1712"/>
      <c r="AR590" s="1712"/>
      <c r="AS590" s="1712"/>
      <c r="AT590" s="1712"/>
    </row>
    <row r="591">
      <c r="A591" s="1474" t="s">
        <v>2461</v>
      </c>
      <c r="B591" s="1708"/>
      <c r="C591" s="1709"/>
      <c r="D591" s="1709"/>
      <c r="E591" s="1710"/>
      <c r="F591" s="1710"/>
      <c r="G591" s="1710"/>
      <c r="H591" s="1710"/>
      <c r="I591" s="1710"/>
      <c r="J591" s="1710"/>
      <c r="K591" s="1710"/>
      <c r="L591" s="1710"/>
      <c r="M591" s="1711"/>
      <c r="N591" s="1711"/>
      <c r="O591" s="1711"/>
      <c r="P591" s="1711"/>
      <c r="Q591" s="1711"/>
      <c r="R591" s="1711"/>
      <c r="S591" s="1711"/>
      <c r="T591" s="1711"/>
      <c r="U591" s="1711"/>
      <c r="V591" s="1711"/>
      <c r="W591" s="1711"/>
      <c r="X591" s="1711"/>
      <c r="Y591" s="1712"/>
      <c r="Z591" s="1712"/>
      <c r="AA591" s="1712"/>
      <c r="AB591" s="1712"/>
      <c r="AC591" s="1712"/>
      <c r="AD591" s="1712"/>
      <c r="AE591" s="1712"/>
      <c r="AF591" s="1712"/>
      <c r="AG591" s="1712"/>
      <c r="AH591" s="1712"/>
      <c r="AI591" s="1712"/>
      <c r="AJ591" s="1712"/>
      <c r="AK591" s="1712"/>
      <c r="AL591" s="1712"/>
      <c r="AM591" s="1712"/>
      <c r="AN591" s="1712"/>
      <c r="AO591" s="1712"/>
      <c r="AP591" s="1712"/>
      <c r="AQ591" s="1712"/>
      <c r="AR591" s="1712"/>
      <c r="AS591" s="1712"/>
      <c r="AT591" s="1712"/>
    </row>
    <row r="592">
      <c r="A592" s="1474" t="s">
        <v>2461</v>
      </c>
      <c r="B592" s="1708"/>
      <c r="C592" s="1709"/>
      <c r="D592" s="1709"/>
      <c r="E592" s="1710"/>
      <c r="F592" s="1710"/>
      <c r="G592" s="1710"/>
      <c r="H592" s="1710"/>
      <c r="I592" s="1710"/>
      <c r="J592" s="1710"/>
      <c r="K592" s="1710"/>
      <c r="L592" s="1710"/>
      <c r="M592" s="1711"/>
      <c r="N592" s="1711"/>
      <c r="O592" s="1711"/>
      <c r="P592" s="1711"/>
      <c r="Q592" s="1711"/>
      <c r="R592" s="1711"/>
      <c r="S592" s="1711"/>
      <c r="T592" s="1711"/>
      <c r="U592" s="1711"/>
      <c r="V592" s="1711"/>
      <c r="W592" s="1711"/>
      <c r="X592" s="1711"/>
      <c r="Y592" s="1712"/>
      <c r="Z592" s="1712"/>
      <c r="AA592" s="1712"/>
      <c r="AB592" s="1712"/>
      <c r="AC592" s="1712"/>
      <c r="AD592" s="1712"/>
      <c r="AE592" s="1712"/>
      <c r="AF592" s="1712"/>
      <c r="AG592" s="1712"/>
      <c r="AH592" s="1712"/>
      <c r="AI592" s="1712"/>
      <c r="AJ592" s="1712"/>
      <c r="AK592" s="1712"/>
      <c r="AL592" s="1712"/>
      <c r="AM592" s="1712"/>
      <c r="AN592" s="1712"/>
      <c r="AO592" s="1712"/>
      <c r="AP592" s="1712"/>
      <c r="AQ592" s="1712"/>
      <c r="AR592" s="1712"/>
      <c r="AS592" s="1712"/>
      <c r="AT592" s="1712"/>
    </row>
    <row r="593">
      <c r="A593" s="1474" t="s">
        <v>2461</v>
      </c>
      <c r="B593" s="1708"/>
      <c r="C593" s="1709"/>
      <c r="D593" s="1709"/>
      <c r="E593" s="1710"/>
      <c r="F593" s="1710"/>
      <c r="G593" s="1710"/>
      <c r="H593" s="1710"/>
      <c r="I593" s="1710"/>
      <c r="J593" s="1710"/>
      <c r="K593" s="1710"/>
      <c r="L593" s="1710"/>
      <c r="M593" s="1711"/>
      <c r="N593" s="1711"/>
      <c r="O593" s="1711"/>
      <c r="P593" s="1711"/>
      <c r="Q593" s="1711"/>
      <c r="R593" s="1711"/>
      <c r="S593" s="1711"/>
      <c r="T593" s="1711"/>
      <c r="U593" s="1711"/>
      <c r="V593" s="1711"/>
      <c r="W593" s="1711"/>
      <c r="X593" s="1711"/>
      <c r="Y593" s="1712"/>
      <c r="Z593" s="1712"/>
      <c r="AA593" s="1712"/>
      <c r="AB593" s="1712"/>
      <c r="AC593" s="1712"/>
      <c r="AD593" s="1712"/>
      <c r="AE593" s="1712"/>
      <c r="AF593" s="1712"/>
      <c r="AG593" s="1712"/>
      <c r="AH593" s="1712"/>
      <c r="AI593" s="1712"/>
      <c r="AJ593" s="1712"/>
      <c r="AK593" s="1712"/>
      <c r="AL593" s="1712"/>
      <c r="AM593" s="1712"/>
      <c r="AN593" s="1712"/>
      <c r="AO593" s="1712"/>
      <c r="AP593" s="1712"/>
      <c r="AQ593" s="1712"/>
      <c r="AR593" s="1712"/>
      <c r="AS593" s="1712"/>
      <c r="AT593" s="1712"/>
    </row>
    <row r="594">
      <c r="A594" s="1474" t="s">
        <v>2461</v>
      </c>
      <c r="B594" s="1708"/>
      <c r="C594" s="1709"/>
      <c r="D594" s="1709"/>
      <c r="E594" s="1710"/>
      <c r="F594" s="1710"/>
      <c r="G594" s="1710"/>
      <c r="H594" s="1710"/>
      <c r="I594" s="1710"/>
      <c r="J594" s="1710"/>
      <c r="K594" s="1710"/>
      <c r="L594" s="1710"/>
      <c r="M594" s="1711"/>
      <c r="N594" s="1711"/>
      <c r="O594" s="1711"/>
      <c r="P594" s="1711"/>
      <c r="Q594" s="1711"/>
      <c r="R594" s="1711"/>
      <c r="S594" s="1711"/>
      <c r="T594" s="1711"/>
      <c r="U594" s="1711"/>
      <c r="V594" s="1711"/>
      <c r="W594" s="1711"/>
      <c r="X594" s="1711"/>
      <c r="Y594" s="1712"/>
      <c r="Z594" s="1712"/>
      <c r="AA594" s="1712"/>
      <c r="AB594" s="1712"/>
      <c r="AC594" s="1712"/>
      <c r="AD594" s="1712"/>
      <c r="AE594" s="1712"/>
      <c r="AF594" s="1712"/>
      <c r="AG594" s="1712"/>
      <c r="AH594" s="1712"/>
      <c r="AI594" s="1712"/>
      <c r="AJ594" s="1712"/>
      <c r="AK594" s="1712"/>
      <c r="AL594" s="1712"/>
      <c r="AM594" s="1712"/>
      <c r="AN594" s="1712"/>
      <c r="AO594" s="1712"/>
      <c r="AP594" s="1712"/>
      <c r="AQ594" s="1712"/>
      <c r="AR594" s="1712"/>
      <c r="AS594" s="1712"/>
      <c r="AT594" s="1712"/>
    </row>
    <row r="595">
      <c r="A595" s="1474" t="s">
        <v>2461</v>
      </c>
      <c r="B595" s="1708"/>
      <c r="C595" s="1709"/>
      <c r="D595" s="1709"/>
      <c r="E595" s="1710"/>
      <c r="F595" s="1710"/>
      <c r="G595" s="1710"/>
      <c r="H595" s="1710"/>
      <c r="I595" s="1710"/>
      <c r="J595" s="1710"/>
      <c r="K595" s="1710"/>
      <c r="L595" s="1710"/>
      <c r="M595" s="1711"/>
      <c r="N595" s="1711"/>
      <c r="O595" s="1711"/>
      <c r="P595" s="1711"/>
      <c r="Q595" s="1711"/>
      <c r="R595" s="1711"/>
      <c r="S595" s="1711"/>
      <c r="T595" s="1711"/>
      <c r="U595" s="1711"/>
      <c r="V595" s="1711"/>
      <c r="W595" s="1711"/>
      <c r="X595" s="1711"/>
      <c r="Y595" s="1712"/>
      <c r="Z595" s="1712"/>
      <c r="AA595" s="1712"/>
      <c r="AB595" s="1712"/>
      <c r="AC595" s="1712"/>
      <c r="AD595" s="1712"/>
      <c r="AE595" s="1712"/>
      <c r="AF595" s="1712"/>
      <c r="AG595" s="1712"/>
      <c r="AH595" s="1712"/>
      <c r="AI595" s="1712"/>
      <c r="AJ595" s="1712"/>
      <c r="AK595" s="1712"/>
      <c r="AL595" s="1712"/>
      <c r="AM595" s="1712"/>
      <c r="AN595" s="1712"/>
      <c r="AO595" s="1712"/>
      <c r="AP595" s="1712"/>
      <c r="AQ595" s="1712"/>
      <c r="AR595" s="1712"/>
      <c r="AS595" s="1712"/>
      <c r="AT595" s="1712"/>
    </row>
    <row r="596">
      <c r="A596" s="1474" t="s">
        <v>2461</v>
      </c>
      <c r="B596" s="1708"/>
      <c r="C596" s="1709"/>
      <c r="D596" s="1709"/>
      <c r="E596" s="1710"/>
      <c r="F596" s="1710"/>
      <c r="G596" s="1710"/>
      <c r="H596" s="1710"/>
      <c r="I596" s="1710"/>
      <c r="J596" s="1710"/>
      <c r="K596" s="1710"/>
      <c r="L596" s="1710"/>
      <c r="M596" s="1711"/>
      <c r="N596" s="1711"/>
      <c r="O596" s="1711"/>
      <c r="P596" s="1711"/>
      <c r="Q596" s="1711"/>
      <c r="R596" s="1711"/>
      <c r="S596" s="1711"/>
      <c r="T596" s="1711"/>
      <c r="U596" s="1711"/>
      <c r="V596" s="1711"/>
      <c r="W596" s="1711"/>
      <c r="X596" s="1711"/>
      <c r="Y596" s="1712"/>
      <c r="Z596" s="1712"/>
      <c r="AA596" s="1712"/>
      <c r="AB596" s="1712"/>
      <c r="AC596" s="1712"/>
      <c r="AD596" s="1712"/>
      <c r="AE596" s="1712"/>
      <c r="AF596" s="1712"/>
      <c r="AG596" s="1712"/>
      <c r="AH596" s="1712"/>
      <c r="AI596" s="1712"/>
      <c r="AJ596" s="1712"/>
      <c r="AK596" s="1712"/>
      <c r="AL596" s="1712"/>
      <c r="AM596" s="1712"/>
      <c r="AN596" s="1712"/>
      <c r="AO596" s="1712"/>
      <c r="AP596" s="1712"/>
      <c r="AQ596" s="1712"/>
      <c r="AR596" s="1712"/>
      <c r="AS596" s="1712"/>
      <c r="AT596" s="1712"/>
    </row>
    <row r="597">
      <c r="A597" s="1474" t="s">
        <v>2461</v>
      </c>
      <c r="B597" s="1708"/>
      <c r="C597" s="1709"/>
      <c r="D597" s="1709"/>
      <c r="E597" s="1710"/>
      <c r="F597" s="1710"/>
      <c r="G597" s="1710"/>
      <c r="H597" s="1710"/>
      <c r="I597" s="1710"/>
      <c r="J597" s="1710"/>
      <c r="K597" s="1710"/>
      <c r="L597" s="1710"/>
      <c r="M597" s="1711"/>
      <c r="N597" s="1711"/>
      <c r="O597" s="1711"/>
      <c r="P597" s="1711"/>
      <c r="Q597" s="1711"/>
      <c r="R597" s="1711"/>
      <c r="S597" s="1711"/>
      <c r="T597" s="1711"/>
      <c r="U597" s="1711"/>
      <c r="V597" s="1711"/>
      <c r="W597" s="1711"/>
      <c r="X597" s="1711"/>
      <c r="Y597" s="1712"/>
      <c r="Z597" s="1712"/>
      <c r="AA597" s="1712"/>
      <c r="AB597" s="1712"/>
      <c r="AC597" s="1712"/>
      <c r="AD597" s="1712"/>
      <c r="AE597" s="1712"/>
      <c r="AF597" s="1712"/>
      <c r="AG597" s="1712"/>
      <c r="AH597" s="1712"/>
      <c r="AI597" s="1712"/>
      <c r="AJ597" s="1712"/>
      <c r="AK597" s="1712"/>
      <c r="AL597" s="1712"/>
      <c r="AM597" s="1712"/>
      <c r="AN597" s="1712"/>
      <c r="AO597" s="1712"/>
      <c r="AP597" s="1712"/>
      <c r="AQ597" s="1712"/>
      <c r="AR597" s="1712"/>
      <c r="AS597" s="1712"/>
      <c r="AT597" s="1712"/>
    </row>
    <row r="598">
      <c r="A598" s="1474" t="s">
        <v>2461</v>
      </c>
      <c r="B598" s="1708"/>
      <c r="C598" s="1709"/>
      <c r="D598" s="1709"/>
      <c r="E598" s="1710"/>
      <c r="F598" s="1710"/>
      <c r="G598" s="1710"/>
      <c r="H598" s="1710"/>
      <c r="I598" s="1710"/>
      <c r="J598" s="1710"/>
      <c r="K598" s="1710"/>
      <c r="L598" s="1710"/>
      <c r="M598" s="1711"/>
      <c r="N598" s="1711"/>
      <c r="O598" s="1711"/>
      <c r="P598" s="1711"/>
      <c r="Q598" s="1711"/>
      <c r="R598" s="1711"/>
      <c r="S598" s="1711"/>
      <c r="T598" s="1711"/>
      <c r="U598" s="1711"/>
      <c r="V598" s="1711"/>
      <c r="W598" s="1711"/>
      <c r="X598" s="1711"/>
      <c r="Y598" s="1712"/>
      <c r="Z598" s="1712"/>
      <c r="AA598" s="1712"/>
      <c r="AB598" s="1712"/>
      <c r="AC598" s="1712"/>
      <c r="AD598" s="1712"/>
      <c r="AE598" s="1712"/>
      <c r="AF598" s="1712"/>
      <c r="AG598" s="1712"/>
      <c r="AH598" s="1712"/>
      <c r="AI598" s="1712"/>
      <c r="AJ598" s="1712"/>
      <c r="AK598" s="1712"/>
      <c r="AL598" s="1712"/>
      <c r="AM598" s="1712"/>
      <c r="AN598" s="1712"/>
      <c r="AO598" s="1712"/>
      <c r="AP598" s="1712"/>
      <c r="AQ598" s="1712"/>
      <c r="AR598" s="1712"/>
      <c r="AS598" s="1712"/>
      <c r="AT598" s="1712"/>
    </row>
    <row r="599">
      <c r="A599" s="1474" t="s">
        <v>2461</v>
      </c>
      <c r="B599" s="1708"/>
      <c r="C599" s="1709"/>
      <c r="D599" s="1709"/>
      <c r="E599" s="1710"/>
      <c r="F599" s="1710"/>
      <c r="G599" s="1710"/>
      <c r="H599" s="1710"/>
      <c r="I599" s="1710"/>
      <c r="J599" s="1710"/>
      <c r="K599" s="1710"/>
      <c r="L599" s="1710"/>
      <c r="M599" s="1711"/>
      <c r="N599" s="1711"/>
      <c r="O599" s="1711"/>
      <c r="P599" s="1711"/>
      <c r="Q599" s="1711"/>
      <c r="R599" s="1711"/>
      <c r="S599" s="1711"/>
      <c r="T599" s="1711"/>
      <c r="U599" s="1711"/>
      <c r="V599" s="1711"/>
      <c r="W599" s="1711"/>
      <c r="X599" s="1711"/>
      <c r="Y599" s="1712"/>
      <c r="Z599" s="1712"/>
      <c r="AA599" s="1712"/>
      <c r="AB599" s="1712"/>
      <c r="AC599" s="1712"/>
      <c r="AD599" s="1712"/>
      <c r="AE599" s="1712"/>
      <c r="AF599" s="1712"/>
      <c r="AG599" s="1712"/>
      <c r="AH599" s="1712"/>
      <c r="AI599" s="1712"/>
      <c r="AJ599" s="1712"/>
      <c r="AK599" s="1712"/>
      <c r="AL599" s="1712"/>
      <c r="AM599" s="1712"/>
      <c r="AN599" s="1712"/>
      <c r="AO599" s="1712"/>
      <c r="AP599" s="1712"/>
      <c r="AQ599" s="1712"/>
      <c r="AR599" s="1712"/>
      <c r="AS599" s="1712"/>
      <c r="AT599" s="1712"/>
    </row>
    <row r="600">
      <c r="A600" s="1474" t="s">
        <v>2461</v>
      </c>
      <c r="B600" s="1708"/>
      <c r="C600" s="1709"/>
      <c r="D600" s="1709"/>
      <c r="E600" s="1710"/>
      <c r="F600" s="1710"/>
      <c r="G600" s="1710"/>
      <c r="H600" s="1710"/>
      <c r="I600" s="1710"/>
      <c r="J600" s="1710"/>
      <c r="K600" s="1710"/>
      <c r="L600" s="1710"/>
      <c r="M600" s="1711"/>
      <c r="N600" s="1711"/>
      <c r="O600" s="1711"/>
      <c r="P600" s="1711"/>
      <c r="Q600" s="1711"/>
      <c r="R600" s="1711"/>
      <c r="S600" s="1711"/>
      <c r="T600" s="1711"/>
      <c r="U600" s="1711"/>
      <c r="V600" s="1711"/>
      <c r="W600" s="1711"/>
      <c r="X600" s="1711"/>
      <c r="Y600" s="1712"/>
      <c r="Z600" s="1712"/>
      <c r="AA600" s="1712"/>
      <c r="AB600" s="1712"/>
      <c r="AC600" s="1712"/>
      <c r="AD600" s="1712"/>
      <c r="AE600" s="1712"/>
      <c r="AF600" s="1712"/>
      <c r="AG600" s="1712"/>
      <c r="AH600" s="1712"/>
      <c r="AI600" s="1712"/>
      <c r="AJ600" s="1712"/>
      <c r="AK600" s="1712"/>
      <c r="AL600" s="1712"/>
      <c r="AM600" s="1712"/>
      <c r="AN600" s="1712"/>
      <c r="AO600" s="1712"/>
      <c r="AP600" s="1712"/>
      <c r="AQ600" s="1712"/>
      <c r="AR600" s="1712"/>
      <c r="AS600" s="1712"/>
      <c r="AT600" s="1712"/>
    </row>
    <row r="601">
      <c r="A601" s="1474" t="s">
        <v>2461</v>
      </c>
      <c r="B601" s="1708"/>
      <c r="C601" s="1709"/>
      <c r="D601" s="1709"/>
      <c r="E601" s="1710"/>
      <c r="F601" s="1710"/>
      <c r="G601" s="1710"/>
      <c r="H601" s="1710"/>
      <c r="I601" s="1710"/>
      <c r="J601" s="1710"/>
      <c r="K601" s="1710"/>
      <c r="L601" s="1710"/>
      <c r="M601" s="1711"/>
      <c r="N601" s="1711"/>
      <c r="O601" s="1711"/>
      <c r="P601" s="1711"/>
      <c r="Q601" s="1711"/>
      <c r="R601" s="1711"/>
      <c r="S601" s="1711"/>
      <c r="T601" s="1711"/>
      <c r="U601" s="1711"/>
      <c r="V601" s="1711"/>
      <c r="W601" s="1711"/>
      <c r="X601" s="1711"/>
      <c r="Y601" s="1712"/>
      <c r="Z601" s="1712"/>
      <c r="AA601" s="1712"/>
      <c r="AB601" s="1712"/>
      <c r="AC601" s="1712"/>
      <c r="AD601" s="1712"/>
      <c r="AE601" s="1712"/>
      <c r="AF601" s="1712"/>
      <c r="AG601" s="1712"/>
      <c r="AH601" s="1712"/>
      <c r="AI601" s="1712"/>
      <c r="AJ601" s="1712"/>
      <c r="AK601" s="1712"/>
      <c r="AL601" s="1712"/>
      <c r="AM601" s="1712"/>
      <c r="AN601" s="1712"/>
      <c r="AO601" s="1712"/>
      <c r="AP601" s="1712"/>
      <c r="AQ601" s="1712"/>
      <c r="AR601" s="1712"/>
      <c r="AS601" s="1712"/>
      <c r="AT601" s="1712"/>
    </row>
    <row r="602">
      <c r="A602" s="1474" t="s">
        <v>2461</v>
      </c>
      <c r="B602" s="1708"/>
      <c r="C602" s="1709"/>
      <c r="D602" s="1709"/>
      <c r="E602" s="1710"/>
      <c r="F602" s="1710"/>
      <c r="G602" s="1710"/>
      <c r="H602" s="1710"/>
      <c r="I602" s="1710"/>
      <c r="J602" s="1710"/>
      <c r="K602" s="1710"/>
      <c r="L602" s="1710"/>
      <c r="M602" s="1711"/>
      <c r="N602" s="1711"/>
      <c r="O602" s="1711"/>
      <c r="P602" s="1711"/>
      <c r="Q602" s="1711"/>
      <c r="R602" s="1711"/>
      <c r="S602" s="1711"/>
      <c r="T602" s="1711"/>
      <c r="U602" s="1711"/>
      <c r="V602" s="1711"/>
      <c r="W602" s="1711"/>
      <c r="X602" s="1711"/>
      <c r="Y602" s="1712"/>
      <c r="Z602" s="1712"/>
      <c r="AA602" s="1712"/>
      <c r="AB602" s="1712"/>
      <c r="AC602" s="1712"/>
      <c r="AD602" s="1712"/>
      <c r="AE602" s="1712"/>
      <c r="AF602" s="1712"/>
      <c r="AG602" s="1712"/>
      <c r="AH602" s="1712"/>
      <c r="AI602" s="1712"/>
      <c r="AJ602" s="1712"/>
      <c r="AK602" s="1712"/>
      <c r="AL602" s="1712"/>
      <c r="AM602" s="1712"/>
      <c r="AN602" s="1712"/>
      <c r="AO602" s="1712"/>
      <c r="AP602" s="1712"/>
      <c r="AQ602" s="1712"/>
      <c r="AR602" s="1712"/>
      <c r="AS602" s="1712"/>
      <c r="AT602" s="1712"/>
    </row>
    <row r="603">
      <c r="A603" s="1474" t="s">
        <v>2461</v>
      </c>
      <c r="B603" s="1708"/>
      <c r="C603" s="1709"/>
      <c r="D603" s="1709"/>
      <c r="E603" s="1710"/>
      <c r="F603" s="1710"/>
      <c r="G603" s="1710"/>
      <c r="H603" s="1710"/>
      <c r="I603" s="1710"/>
      <c r="J603" s="1710"/>
      <c r="K603" s="1710"/>
      <c r="L603" s="1710"/>
      <c r="M603" s="1711"/>
      <c r="N603" s="1711"/>
      <c r="O603" s="1711"/>
      <c r="P603" s="1711"/>
      <c r="Q603" s="1711"/>
      <c r="R603" s="1711"/>
      <c r="S603" s="1711"/>
      <c r="T603" s="1711"/>
      <c r="U603" s="1711"/>
      <c r="V603" s="1711"/>
      <c r="W603" s="1711"/>
      <c r="X603" s="1711"/>
      <c r="Y603" s="1712"/>
      <c r="Z603" s="1712"/>
      <c r="AA603" s="1712"/>
      <c r="AB603" s="1712"/>
      <c r="AC603" s="1712"/>
      <c r="AD603" s="1712"/>
      <c r="AE603" s="1712"/>
      <c r="AF603" s="1712"/>
      <c r="AG603" s="1712"/>
      <c r="AH603" s="1712"/>
      <c r="AI603" s="1712"/>
      <c r="AJ603" s="1712"/>
      <c r="AK603" s="1712"/>
      <c r="AL603" s="1712"/>
      <c r="AM603" s="1712"/>
      <c r="AN603" s="1712"/>
      <c r="AO603" s="1712"/>
      <c r="AP603" s="1712"/>
      <c r="AQ603" s="1712"/>
      <c r="AR603" s="1712"/>
      <c r="AS603" s="1712"/>
      <c r="AT603" s="1712"/>
    </row>
    <row r="604">
      <c r="A604" s="1474" t="s">
        <v>2461</v>
      </c>
      <c r="B604" s="1708"/>
      <c r="C604" s="1709"/>
      <c r="D604" s="1709"/>
      <c r="E604" s="1710"/>
      <c r="F604" s="1710"/>
      <c r="G604" s="1710"/>
      <c r="H604" s="1710"/>
      <c r="I604" s="1710"/>
      <c r="J604" s="1710"/>
      <c r="K604" s="1710"/>
      <c r="L604" s="1710"/>
      <c r="M604" s="1711"/>
      <c r="N604" s="1711"/>
      <c r="O604" s="1711"/>
      <c r="P604" s="1711"/>
      <c r="Q604" s="1711"/>
      <c r="R604" s="1711"/>
      <c r="S604" s="1711"/>
      <c r="T604" s="1711"/>
      <c r="U604" s="1711"/>
      <c r="V604" s="1711"/>
      <c r="W604" s="1711"/>
      <c r="X604" s="1711"/>
      <c r="Y604" s="1712"/>
      <c r="Z604" s="1712"/>
      <c r="AA604" s="1712"/>
      <c r="AB604" s="1712"/>
      <c r="AC604" s="1712"/>
      <c r="AD604" s="1712"/>
      <c r="AE604" s="1712"/>
      <c r="AF604" s="1712"/>
      <c r="AG604" s="1712"/>
      <c r="AH604" s="1712"/>
      <c r="AI604" s="1712"/>
      <c r="AJ604" s="1712"/>
      <c r="AK604" s="1712"/>
      <c r="AL604" s="1712"/>
      <c r="AM604" s="1712"/>
      <c r="AN604" s="1712"/>
      <c r="AO604" s="1712"/>
      <c r="AP604" s="1712"/>
      <c r="AQ604" s="1712"/>
      <c r="AR604" s="1712"/>
      <c r="AS604" s="1712"/>
      <c r="AT604" s="1712"/>
    </row>
    <row r="605">
      <c r="A605" s="1474" t="s">
        <v>2461</v>
      </c>
      <c r="B605" s="1708"/>
      <c r="C605" s="1709"/>
      <c r="D605" s="1709"/>
      <c r="E605" s="1710"/>
      <c r="F605" s="1710"/>
      <c r="G605" s="1710"/>
      <c r="H605" s="1710"/>
      <c r="I605" s="1710"/>
      <c r="J605" s="1710"/>
      <c r="K605" s="1710"/>
      <c r="L605" s="1710"/>
      <c r="M605" s="1711"/>
      <c r="N605" s="1711"/>
      <c r="O605" s="1711"/>
      <c r="P605" s="1711"/>
      <c r="Q605" s="1711"/>
      <c r="R605" s="1711"/>
      <c r="S605" s="1711"/>
      <c r="T605" s="1711"/>
      <c r="U605" s="1711"/>
      <c r="V605" s="1711"/>
      <c r="W605" s="1711"/>
      <c r="X605" s="1711"/>
      <c r="Y605" s="1712"/>
      <c r="Z605" s="1712"/>
      <c r="AA605" s="1712"/>
      <c r="AB605" s="1712"/>
      <c r="AC605" s="1712"/>
      <c r="AD605" s="1712"/>
      <c r="AE605" s="1712"/>
      <c r="AF605" s="1712"/>
      <c r="AG605" s="1712"/>
      <c r="AH605" s="1712"/>
      <c r="AI605" s="1712"/>
      <c r="AJ605" s="1712"/>
      <c r="AK605" s="1712"/>
      <c r="AL605" s="1712"/>
      <c r="AM605" s="1712"/>
      <c r="AN605" s="1712"/>
      <c r="AO605" s="1712"/>
      <c r="AP605" s="1712"/>
      <c r="AQ605" s="1712"/>
      <c r="AR605" s="1712"/>
      <c r="AS605" s="1712"/>
      <c r="AT605" s="1712"/>
    </row>
    <row r="606">
      <c r="A606" s="1474" t="s">
        <v>2461</v>
      </c>
      <c r="B606" s="1708"/>
      <c r="C606" s="1709"/>
      <c r="D606" s="1709"/>
      <c r="E606" s="1710"/>
      <c r="F606" s="1710"/>
      <c r="G606" s="1710"/>
      <c r="H606" s="1710"/>
      <c r="I606" s="1710"/>
      <c r="J606" s="1710"/>
      <c r="K606" s="1710"/>
      <c r="L606" s="1710"/>
      <c r="M606" s="1711"/>
      <c r="N606" s="1711"/>
      <c r="O606" s="1711"/>
      <c r="P606" s="1711"/>
      <c r="Q606" s="1711"/>
      <c r="R606" s="1711"/>
      <c r="S606" s="1711"/>
      <c r="T606" s="1711"/>
      <c r="U606" s="1711"/>
      <c r="V606" s="1711"/>
      <c r="W606" s="1711"/>
      <c r="X606" s="1711"/>
      <c r="Y606" s="1712"/>
      <c r="Z606" s="1712"/>
      <c r="AA606" s="1712"/>
      <c r="AB606" s="1712"/>
      <c r="AC606" s="1712"/>
      <c r="AD606" s="1712"/>
      <c r="AE606" s="1712"/>
      <c r="AF606" s="1712"/>
      <c r="AG606" s="1712"/>
      <c r="AH606" s="1712"/>
      <c r="AI606" s="1712"/>
      <c r="AJ606" s="1712"/>
      <c r="AK606" s="1712"/>
      <c r="AL606" s="1712"/>
      <c r="AM606" s="1712"/>
      <c r="AN606" s="1712"/>
      <c r="AO606" s="1712"/>
      <c r="AP606" s="1712"/>
      <c r="AQ606" s="1712"/>
      <c r="AR606" s="1712"/>
      <c r="AS606" s="1712"/>
      <c r="AT606" s="1712"/>
    </row>
    <row r="607">
      <c r="A607" s="1474" t="s">
        <v>2461</v>
      </c>
      <c r="B607" s="1708"/>
      <c r="C607" s="1709"/>
      <c r="D607" s="1709"/>
      <c r="E607" s="1710"/>
      <c r="F607" s="1710"/>
      <c r="G607" s="1710"/>
      <c r="H607" s="1710"/>
      <c r="I607" s="1710"/>
      <c r="J607" s="1710"/>
      <c r="K607" s="1710"/>
      <c r="L607" s="1710"/>
      <c r="M607" s="1711"/>
      <c r="N607" s="1711"/>
      <c r="O607" s="1711"/>
      <c r="P607" s="1711"/>
      <c r="Q607" s="1711"/>
      <c r="R607" s="1711"/>
      <c r="S607" s="1711"/>
      <c r="T607" s="1711"/>
      <c r="U607" s="1711"/>
      <c r="V607" s="1711"/>
      <c r="W607" s="1711"/>
      <c r="X607" s="1711"/>
      <c r="Y607" s="1712"/>
      <c r="Z607" s="1712"/>
      <c r="AA607" s="1712"/>
      <c r="AB607" s="1712"/>
      <c r="AC607" s="1712"/>
      <c r="AD607" s="1712"/>
      <c r="AE607" s="1712"/>
      <c r="AF607" s="1712"/>
      <c r="AG607" s="1712"/>
      <c r="AH607" s="1712"/>
      <c r="AI607" s="1712"/>
      <c r="AJ607" s="1712"/>
      <c r="AK607" s="1712"/>
      <c r="AL607" s="1712"/>
      <c r="AM607" s="1712"/>
      <c r="AN607" s="1712"/>
      <c r="AO607" s="1712"/>
      <c r="AP607" s="1712"/>
      <c r="AQ607" s="1712"/>
      <c r="AR607" s="1712"/>
      <c r="AS607" s="1712"/>
      <c r="AT607" s="1712"/>
    </row>
    <row r="608">
      <c r="A608" s="1474" t="s">
        <v>2461</v>
      </c>
      <c r="B608" s="1708"/>
      <c r="C608" s="1709"/>
      <c r="D608" s="1709"/>
      <c r="E608" s="1710"/>
      <c r="F608" s="1710"/>
      <c r="G608" s="1710"/>
      <c r="H608" s="1710"/>
      <c r="I608" s="1710"/>
      <c r="J608" s="1710"/>
      <c r="K608" s="1710"/>
      <c r="L608" s="1710"/>
      <c r="M608" s="1711"/>
      <c r="N608" s="1711"/>
      <c r="O608" s="1711"/>
      <c r="P608" s="1711"/>
      <c r="Q608" s="1711"/>
      <c r="R608" s="1711"/>
      <c r="S608" s="1711"/>
      <c r="T608" s="1711"/>
      <c r="U608" s="1711"/>
      <c r="V608" s="1711"/>
      <c r="W608" s="1711"/>
      <c r="X608" s="1711"/>
      <c r="Y608" s="1712"/>
      <c r="Z608" s="1712"/>
      <c r="AA608" s="1712"/>
      <c r="AB608" s="1712"/>
      <c r="AC608" s="1712"/>
      <c r="AD608" s="1712"/>
      <c r="AE608" s="1712"/>
      <c r="AF608" s="1712"/>
      <c r="AG608" s="1712"/>
      <c r="AH608" s="1712"/>
      <c r="AI608" s="1712"/>
      <c r="AJ608" s="1712"/>
      <c r="AK608" s="1712"/>
      <c r="AL608" s="1712"/>
      <c r="AM608" s="1712"/>
      <c r="AN608" s="1712"/>
      <c r="AO608" s="1712"/>
      <c r="AP608" s="1712"/>
      <c r="AQ608" s="1712"/>
      <c r="AR608" s="1712"/>
      <c r="AS608" s="1712"/>
      <c r="AT608" s="1712"/>
    </row>
    <row r="609">
      <c r="A609" s="1474" t="s">
        <v>2461</v>
      </c>
      <c r="B609" s="1708"/>
      <c r="C609" s="1709"/>
      <c r="D609" s="1709"/>
      <c r="E609" s="1710"/>
      <c r="F609" s="1710"/>
      <c r="G609" s="1710"/>
      <c r="H609" s="1710"/>
      <c r="I609" s="1710"/>
      <c r="J609" s="1710"/>
      <c r="K609" s="1710"/>
      <c r="L609" s="1710"/>
      <c r="M609" s="1711"/>
      <c r="N609" s="1711"/>
      <c r="O609" s="1711"/>
      <c r="P609" s="1711"/>
      <c r="Q609" s="1711"/>
      <c r="R609" s="1711"/>
      <c r="S609" s="1711"/>
      <c r="T609" s="1711"/>
      <c r="U609" s="1711"/>
      <c r="V609" s="1711"/>
      <c r="W609" s="1711"/>
      <c r="X609" s="1711"/>
      <c r="Y609" s="1712"/>
      <c r="Z609" s="1712"/>
      <c r="AA609" s="1712"/>
      <c r="AB609" s="1712"/>
      <c r="AC609" s="1712"/>
      <c r="AD609" s="1712"/>
      <c r="AE609" s="1712"/>
      <c r="AF609" s="1712"/>
      <c r="AG609" s="1712"/>
      <c r="AH609" s="1712"/>
      <c r="AI609" s="1712"/>
      <c r="AJ609" s="1712"/>
      <c r="AK609" s="1712"/>
      <c r="AL609" s="1712"/>
      <c r="AM609" s="1712"/>
      <c r="AN609" s="1712"/>
      <c r="AO609" s="1712"/>
      <c r="AP609" s="1712"/>
      <c r="AQ609" s="1712"/>
      <c r="AR609" s="1712"/>
      <c r="AS609" s="1712"/>
      <c r="AT609" s="1712"/>
    </row>
    <row r="610">
      <c r="A610" s="1474" t="s">
        <v>2461</v>
      </c>
      <c r="B610" s="1708"/>
      <c r="C610" s="1709"/>
      <c r="D610" s="1709"/>
      <c r="E610" s="1710"/>
      <c r="F610" s="1710"/>
      <c r="G610" s="1710"/>
      <c r="H610" s="1710"/>
      <c r="I610" s="1710"/>
      <c r="J610" s="1710"/>
      <c r="K610" s="1710"/>
      <c r="L610" s="1710"/>
      <c r="M610" s="1711"/>
      <c r="N610" s="1711"/>
      <c r="O610" s="1711"/>
      <c r="P610" s="1711"/>
      <c r="Q610" s="1711"/>
      <c r="R610" s="1711"/>
      <c r="S610" s="1711"/>
      <c r="T610" s="1711"/>
      <c r="U610" s="1711"/>
      <c r="V610" s="1711"/>
      <c r="W610" s="1711"/>
      <c r="X610" s="1711"/>
      <c r="Y610" s="1712"/>
      <c r="Z610" s="1712"/>
      <c r="AA610" s="1712"/>
      <c r="AB610" s="1712"/>
      <c r="AC610" s="1712"/>
      <c r="AD610" s="1712"/>
      <c r="AE610" s="1712"/>
      <c r="AF610" s="1712"/>
      <c r="AG610" s="1712"/>
      <c r="AH610" s="1712"/>
      <c r="AI610" s="1712"/>
      <c r="AJ610" s="1712"/>
      <c r="AK610" s="1712"/>
      <c r="AL610" s="1712"/>
      <c r="AM610" s="1712"/>
      <c r="AN610" s="1712"/>
      <c r="AO610" s="1712"/>
      <c r="AP610" s="1712"/>
      <c r="AQ610" s="1712"/>
      <c r="AR610" s="1712"/>
      <c r="AS610" s="1712"/>
      <c r="AT610" s="1712"/>
    </row>
    <row r="611">
      <c r="A611" s="1474" t="s">
        <v>2461</v>
      </c>
      <c r="B611" s="1708"/>
      <c r="C611" s="1709"/>
      <c r="D611" s="1709"/>
      <c r="E611" s="1710"/>
      <c r="F611" s="1710"/>
      <c r="G611" s="1710"/>
      <c r="H611" s="1710"/>
      <c r="I611" s="1710"/>
      <c r="J611" s="1710"/>
      <c r="K611" s="1710"/>
      <c r="L611" s="1710"/>
      <c r="M611" s="1711"/>
      <c r="N611" s="1711"/>
      <c r="O611" s="1711"/>
      <c r="P611" s="1711"/>
      <c r="Q611" s="1711"/>
      <c r="R611" s="1711"/>
      <c r="S611" s="1711"/>
      <c r="T611" s="1711"/>
      <c r="U611" s="1711"/>
      <c r="V611" s="1711"/>
      <c r="W611" s="1711"/>
      <c r="X611" s="1711"/>
      <c r="Y611" s="1712"/>
      <c r="Z611" s="1712"/>
      <c r="AA611" s="1712"/>
      <c r="AB611" s="1712"/>
      <c r="AC611" s="1712"/>
      <c r="AD611" s="1712"/>
      <c r="AE611" s="1712"/>
      <c r="AF611" s="1712"/>
      <c r="AG611" s="1712"/>
      <c r="AH611" s="1712"/>
      <c r="AI611" s="1712"/>
      <c r="AJ611" s="1712"/>
      <c r="AK611" s="1712"/>
      <c r="AL611" s="1712"/>
      <c r="AM611" s="1712"/>
      <c r="AN611" s="1712"/>
      <c r="AO611" s="1712"/>
      <c r="AP611" s="1712"/>
      <c r="AQ611" s="1712"/>
      <c r="AR611" s="1712"/>
      <c r="AS611" s="1712"/>
      <c r="AT611" s="1712"/>
    </row>
    <row r="612">
      <c r="A612" s="1474" t="s">
        <v>2461</v>
      </c>
      <c r="B612" s="1708"/>
      <c r="C612" s="1709"/>
      <c r="D612" s="1709"/>
      <c r="E612" s="1710"/>
      <c r="F612" s="1710"/>
      <c r="G612" s="1710"/>
      <c r="H612" s="1710"/>
      <c r="I612" s="1710"/>
      <c r="J612" s="1710"/>
      <c r="K612" s="1710"/>
      <c r="L612" s="1710"/>
      <c r="M612" s="1711"/>
      <c r="N612" s="1711"/>
      <c r="O612" s="1711"/>
      <c r="P612" s="1711"/>
      <c r="Q612" s="1711"/>
      <c r="R612" s="1711"/>
      <c r="S612" s="1711"/>
      <c r="T612" s="1711"/>
      <c r="U612" s="1711"/>
      <c r="V612" s="1711"/>
      <c r="W612" s="1711"/>
      <c r="X612" s="1711"/>
      <c r="Y612" s="1712"/>
      <c r="Z612" s="1712"/>
      <c r="AA612" s="1712"/>
      <c r="AB612" s="1712"/>
      <c r="AC612" s="1712"/>
      <c r="AD612" s="1712"/>
      <c r="AE612" s="1712"/>
      <c r="AF612" s="1712"/>
      <c r="AG612" s="1712"/>
      <c r="AH612" s="1712"/>
      <c r="AI612" s="1712"/>
      <c r="AJ612" s="1712"/>
      <c r="AK612" s="1712"/>
      <c r="AL612" s="1712"/>
      <c r="AM612" s="1712"/>
      <c r="AN612" s="1712"/>
      <c r="AO612" s="1712"/>
      <c r="AP612" s="1712"/>
      <c r="AQ612" s="1712"/>
      <c r="AR612" s="1712"/>
      <c r="AS612" s="1712"/>
      <c r="AT612" s="1712"/>
    </row>
    <row r="613">
      <c r="A613" s="1474" t="s">
        <v>2461</v>
      </c>
      <c r="B613" s="1708"/>
      <c r="C613" s="1709"/>
      <c r="D613" s="1709"/>
      <c r="E613" s="1710"/>
      <c r="F613" s="1710"/>
      <c r="G613" s="1710"/>
      <c r="H613" s="1710"/>
      <c r="I613" s="1710"/>
      <c r="J613" s="1710"/>
      <c r="K613" s="1710"/>
      <c r="L613" s="1710"/>
      <c r="M613" s="1711"/>
      <c r="N613" s="1711"/>
      <c r="O613" s="1711"/>
      <c r="P613" s="1711"/>
      <c r="Q613" s="1711"/>
      <c r="R613" s="1711"/>
      <c r="S613" s="1711"/>
      <c r="T613" s="1711"/>
      <c r="U613" s="1711"/>
      <c r="V613" s="1711"/>
      <c r="W613" s="1711"/>
      <c r="X613" s="1711"/>
      <c r="Y613" s="1712"/>
      <c r="Z613" s="1712"/>
      <c r="AA613" s="1712"/>
      <c r="AB613" s="1712"/>
      <c r="AC613" s="1712"/>
      <c r="AD613" s="1712"/>
      <c r="AE613" s="1712"/>
      <c r="AF613" s="1712"/>
      <c r="AG613" s="1712"/>
      <c r="AH613" s="1712"/>
      <c r="AI613" s="1712"/>
      <c r="AJ613" s="1712"/>
      <c r="AK613" s="1712"/>
      <c r="AL613" s="1712"/>
      <c r="AM613" s="1712"/>
      <c r="AN613" s="1712"/>
      <c r="AO613" s="1712"/>
      <c r="AP613" s="1712"/>
      <c r="AQ613" s="1712"/>
      <c r="AR613" s="1712"/>
      <c r="AS613" s="1712"/>
      <c r="AT613" s="1712"/>
    </row>
    <row r="614">
      <c r="A614" s="1474" t="s">
        <v>2461</v>
      </c>
      <c r="B614" s="1708"/>
      <c r="C614" s="1709"/>
      <c r="D614" s="1709"/>
      <c r="E614" s="1710"/>
      <c r="F614" s="1710"/>
      <c r="G614" s="1710"/>
      <c r="H614" s="1710"/>
      <c r="I614" s="1710"/>
      <c r="J614" s="1710"/>
      <c r="K614" s="1710"/>
      <c r="L614" s="1710"/>
      <c r="M614" s="1711"/>
      <c r="N614" s="1711"/>
      <c r="O614" s="1711"/>
      <c r="P614" s="1711"/>
      <c r="Q614" s="1711"/>
      <c r="R614" s="1711"/>
      <c r="S614" s="1711"/>
      <c r="T614" s="1711"/>
      <c r="U614" s="1711"/>
      <c r="V614" s="1711"/>
      <c r="W614" s="1711"/>
      <c r="X614" s="1711"/>
      <c r="Y614" s="1712"/>
      <c r="Z614" s="1712"/>
      <c r="AA614" s="1712"/>
      <c r="AB614" s="1712"/>
      <c r="AC614" s="1712"/>
      <c r="AD614" s="1712"/>
      <c r="AE614" s="1712"/>
      <c r="AF614" s="1712"/>
      <c r="AG614" s="1712"/>
      <c r="AH614" s="1712"/>
      <c r="AI614" s="1712"/>
      <c r="AJ614" s="1712"/>
      <c r="AK614" s="1712"/>
      <c r="AL614" s="1712"/>
      <c r="AM614" s="1712"/>
      <c r="AN614" s="1712"/>
      <c r="AO614" s="1712"/>
      <c r="AP614" s="1712"/>
      <c r="AQ614" s="1712"/>
      <c r="AR614" s="1712"/>
      <c r="AS614" s="1712"/>
      <c r="AT614" s="1712"/>
    </row>
    <row r="615">
      <c r="A615" s="1474" t="s">
        <v>2461</v>
      </c>
      <c r="B615" s="1708"/>
      <c r="C615" s="1709"/>
      <c r="D615" s="1709"/>
      <c r="E615" s="1710"/>
      <c r="F615" s="1710"/>
      <c r="G615" s="1710"/>
      <c r="H615" s="1710"/>
      <c r="I615" s="1710"/>
      <c r="J615" s="1710"/>
      <c r="K615" s="1710"/>
      <c r="L615" s="1710"/>
      <c r="M615" s="1711"/>
      <c r="N615" s="1711"/>
      <c r="O615" s="1711"/>
      <c r="P615" s="1711"/>
      <c r="Q615" s="1711"/>
      <c r="R615" s="1711"/>
      <c r="S615" s="1711"/>
      <c r="T615" s="1711"/>
      <c r="U615" s="1711"/>
      <c r="V615" s="1711"/>
      <c r="W615" s="1711"/>
      <c r="X615" s="1711"/>
      <c r="Y615" s="1712"/>
      <c r="Z615" s="1712"/>
      <c r="AA615" s="1712"/>
      <c r="AB615" s="1712"/>
      <c r="AC615" s="1712"/>
      <c r="AD615" s="1712"/>
      <c r="AE615" s="1712"/>
      <c r="AF615" s="1712"/>
      <c r="AG615" s="1712"/>
      <c r="AH615" s="1712"/>
      <c r="AI615" s="1712"/>
      <c r="AJ615" s="1712"/>
      <c r="AK615" s="1712"/>
      <c r="AL615" s="1712"/>
      <c r="AM615" s="1712"/>
      <c r="AN615" s="1712"/>
      <c r="AO615" s="1712"/>
      <c r="AP615" s="1712"/>
      <c r="AQ615" s="1712"/>
      <c r="AR615" s="1712"/>
      <c r="AS615" s="1712"/>
      <c r="AT615" s="1712"/>
    </row>
    <row r="616">
      <c r="A616" s="1474" t="s">
        <v>2461</v>
      </c>
      <c r="B616" s="1708"/>
      <c r="C616" s="1709"/>
      <c r="D616" s="1709"/>
      <c r="E616" s="1710"/>
      <c r="F616" s="1710"/>
      <c r="G616" s="1710"/>
      <c r="H616" s="1710"/>
      <c r="I616" s="1710"/>
      <c r="J616" s="1710"/>
      <c r="K616" s="1710"/>
      <c r="L616" s="1710"/>
      <c r="M616" s="1711"/>
      <c r="N616" s="1711"/>
      <c r="O616" s="1711"/>
      <c r="P616" s="1711"/>
      <c r="Q616" s="1711"/>
      <c r="R616" s="1711"/>
      <c r="S616" s="1711"/>
      <c r="T616" s="1711"/>
      <c r="U616" s="1711"/>
      <c r="V616" s="1711"/>
      <c r="W616" s="1711"/>
      <c r="X616" s="1711"/>
      <c r="Y616" s="1712"/>
      <c r="Z616" s="1712"/>
      <c r="AA616" s="1712"/>
      <c r="AB616" s="1712"/>
      <c r="AC616" s="1712"/>
      <c r="AD616" s="1712"/>
      <c r="AE616" s="1712"/>
      <c r="AF616" s="1712"/>
      <c r="AG616" s="1712"/>
      <c r="AH616" s="1712"/>
      <c r="AI616" s="1712"/>
      <c r="AJ616" s="1712"/>
      <c r="AK616" s="1712"/>
      <c r="AL616" s="1712"/>
      <c r="AM616" s="1712"/>
      <c r="AN616" s="1712"/>
      <c r="AO616" s="1712"/>
      <c r="AP616" s="1712"/>
      <c r="AQ616" s="1712"/>
      <c r="AR616" s="1712"/>
      <c r="AS616" s="1712"/>
      <c r="AT616" s="1712"/>
    </row>
    <row r="617">
      <c r="A617" s="1474" t="s">
        <v>2461</v>
      </c>
      <c r="B617" s="1708"/>
      <c r="C617" s="1709"/>
      <c r="D617" s="1709"/>
      <c r="E617" s="1710"/>
      <c r="F617" s="1710"/>
      <c r="G617" s="1710"/>
      <c r="H617" s="1710"/>
      <c r="I617" s="1710"/>
      <c r="J617" s="1710"/>
      <c r="K617" s="1710"/>
      <c r="L617" s="1710"/>
      <c r="M617" s="1711"/>
      <c r="N617" s="1711"/>
      <c r="O617" s="1711"/>
      <c r="P617" s="1711"/>
      <c r="Q617" s="1711"/>
      <c r="R617" s="1711"/>
      <c r="S617" s="1711"/>
      <c r="T617" s="1711"/>
      <c r="U617" s="1711"/>
      <c r="V617" s="1711"/>
      <c r="W617" s="1711"/>
      <c r="X617" s="1711"/>
      <c r="Y617" s="1712"/>
      <c r="Z617" s="1712"/>
      <c r="AA617" s="1712"/>
      <c r="AB617" s="1712"/>
      <c r="AC617" s="1712"/>
      <c r="AD617" s="1712"/>
      <c r="AE617" s="1712"/>
      <c r="AF617" s="1712"/>
      <c r="AG617" s="1712"/>
      <c r="AH617" s="1712"/>
      <c r="AI617" s="1712"/>
      <c r="AJ617" s="1712"/>
      <c r="AK617" s="1712"/>
      <c r="AL617" s="1712"/>
      <c r="AM617" s="1712"/>
      <c r="AN617" s="1712"/>
      <c r="AO617" s="1712"/>
      <c r="AP617" s="1712"/>
      <c r="AQ617" s="1712"/>
      <c r="AR617" s="1712"/>
      <c r="AS617" s="1712"/>
      <c r="AT617" s="1712"/>
    </row>
    <row r="618">
      <c r="A618" s="1474" t="s">
        <v>2461</v>
      </c>
      <c r="B618" s="1708"/>
      <c r="C618" s="1709"/>
      <c r="D618" s="1709"/>
      <c r="E618" s="1710"/>
      <c r="F618" s="1710"/>
      <c r="G618" s="1710"/>
      <c r="H618" s="1710"/>
      <c r="I618" s="1710"/>
      <c r="J618" s="1710"/>
      <c r="K618" s="1710"/>
      <c r="L618" s="1710"/>
      <c r="M618" s="1711"/>
      <c r="N618" s="1711"/>
      <c r="O618" s="1711"/>
      <c r="P618" s="1711"/>
      <c r="Q618" s="1711"/>
      <c r="R618" s="1711"/>
      <c r="S618" s="1711"/>
      <c r="T618" s="1711"/>
      <c r="U618" s="1711"/>
      <c r="V618" s="1711"/>
      <c r="W618" s="1711"/>
      <c r="X618" s="1711"/>
      <c r="Y618" s="1712"/>
      <c r="Z618" s="1712"/>
      <c r="AA618" s="1712"/>
      <c r="AB618" s="1712"/>
      <c r="AC618" s="1712"/>
      <c r="AD618" s="1712"/>
      <c r="AE618" s="1712"/>
      <c r="AF618" s="1712"/>
      <c r="AG618" s="1712"/>
      <c r="AH618" s="1712"/>
      <c r="AI618" s="1712"/>
      <c r="AJ618" s="1712"/>
      <c r="AK618" s="1712"/>
      <c r="AL618" s="1712"/>
      <c r="AM618" s="1712"/>
      <c r="AN618" s="1712"/>
      <c r="AO618" s="1712"/>
      <c r="AP618" s="1712"/>
      <c r="AQ618" s="1712"/>
      <c r="AR618" s="1712"/>
      <c r="AS618" s="1712"/>
      <c r="AT618" s="1712"/>
    </row>
    <row r="619">
      <c r="A619" s="1474" t="s">
        <v>2461</v>
      </c>
      <c r="B619" s="1708"/>
      <c r="C619" s="1709"/>
      <c r="D619" s="1709"/>
      <c r="E619" s="1710"/>
      <c r="F619" s="1710"/>
      <c r="G619" s="1710"/>
      <c r="H619" s="1710"/>
      <c r="I619" s="1710"/>
      <c r="J619" s="1710"/>
      <c r="K619" s="1710"/>
      <c r="L619" s="1710"/>
      <c r="M619" s="1711"/>
      <c r="N619" s="1711"/>
      <c r="O619" s="1711"/>
      <c r="P619" s="1711"/>
      <c r="Q619" s="1711"/>
      <c r="R619" s="1711"/>
      <c r="S619" s="1711"/>
      <c r="T619" s="1711"/>
      <c r="U619" s="1711"/>
      <c r="V619" s="1711"/>
      <c r="W619" s="1711"/>
      <c r="X619" s="1711"/>
      <c r="Y619" s="1712"/>
      <c r="Z619" s="1712"/>
      <c r="AA619" s="1712"/>
      <c r="AB619" s="1712"/>
      <c r="AC619" s="1712"/>
      <c r="AD619" s="1712"/>
      <c r="AE619" s="1712"/>
      <c r="AF619" s="1712"/>
      <c r="AG619" s="1712"/>
      <c r="AH619" s="1712"/>
      <c r="AI619" s="1712"/>
      <c r="AJ619" s="1712"/>
      <c r="AK619" s="1712"/>
      <c r="AL619" s="1712"/>
      <c r="AM619" s="1712"/>
      <c r="AN619" s="1712"/>
      <c r="AO619" s="1712"/>
      <c r="AP619" s="1712"/>
      <c r="AQ619" s="1712"/>
      <c r="AR619" s="1712"/>
      <c r="AS619" s="1712"/>
      <c r="AT619" s="1712"/>
    </row>
    <row r="620">
      <c r="A620" s="1474" t="s">
        <v>2461</v>
      </c>
      <c r="B620" s="1708"/>
      <c r="C620" s="1709"/>
      <c r="D620" s="1709"/>
      <c r="E620" s="1710"/>
      <c r="F620" s="1710"/>
      <c r="G620" s="1710"/>
      <c r="H620" s="1710"/>
      <c r="I620" s="1710"/>
      <c r="J620" s="1710"/>
      <c r="K620" s="1710"/>
      <c r="L620" s="1710"/>
      <c r="M620" s="1711"/>
      <c r="N620" s="1711"/>
      <c r="O620" s="1711"/>
      <c r="P620" s="1711"/>
      <c r="Q620" s="1711"/>
      <c r="R620" s="1711"/>
      <c r="S620" s="1711"/>
      <c r="T620" s="1711"/>
      <c r="U620" s="1711"/>
      <c r="V620" s="1711"/>
      <c r="W620" s="1711"/>
      <c r="X620" s="1711"/>
      <c r="Y620" s="1712"/>
      <c r="Z620" s="1712"/>
      <c r="AA620" s="1712"/>
      <c r="AB620" s="1712"/>
      <c r="AC620" s="1712"/>
      <c r="AD620" s="1712"/>
      <c r="AE620" s="1712"/>
      <c r="AF620" s="1712"/>
      <c r="AG620" s="1712"/>
      <c r="AH620" s="1712"/>
      <c r="AI620" s="1712"/>
      <c r="AJ620" s="1712"/>
      <c r="AK620" s="1712"/>
      <c r="AL620" s="1712"/>
      <c r="AM620" s="1712"/>
      <c r="AN620" s="1712"/>
      <c r="AO620" s="1712"/>
      <c r="AP620" s="1712"/>
      <c r="AQ620" s="1712"/>
      <c r="AR620" s="1712"/>
      <c r="AS620" s="1712"/>
      <c r="AT620" s="1712"/>
    </row>
    <row r="621">
      <c r="A621" s="1474" t="s">
        <v>2461</v>
      </c>
      <c r="B621" s="1708"/>
      <c r="C621" s="1709"/>
      <c r="D621" s="1709"/>
      <c r="E621" s="1710"/>
      <c r="F621" s="1710"/>
      <c r="G621" s="1710"/>
      <c r="H621" s="1710"/>
      <c r="I621" s="1710"/>
      <c r="J621" s="1710"/>
      <c r="K621" s="1710"/>
      <c r="L621" s="1710"/>
      <c r="M621" s="1711"/>
      <c r="N621" s="1711"/>
      <c r="O621" s="1711"/>
      <c r="P621" s="1711"/>
      <c r="Q621" s="1711"/>
      <c r="R621" s="1711"/>
      <c r="S621" s="1711"/>
      <c r="T621" s="1711"/>
      <c r="U621" s="1711"/>
      <c r="V621" s="1711"/>
      <c r="W621" s="1711"/>
      <c r="X621" s="1711"/>
      <c r="Y621" s="1712"/>
      <c r="Z621" s="1712"/>
      <c r="AA621" s="1712"/>
      <c r="AB621" s="1712"/>
      <c r="AC621" s="1712"/>
      <c r="AD621" s="1712"/>
      <c r="AE621" s="1712"/>
      <c r="AF621" s="1712"/>
      <c r="AG621" s="1712"/>
      <c r="AH621" s="1712"/>
      <c r="AI621" s="1712"/>
      <c r="AJ621" s="1712"/>
      <c r="AK621" s="1712"/>
      <c r="AL621" s="1712"/>
      <c r="AM621" s="1712"/>
      <c r="AN621" s="1712"/>
      <c r="AO621" s="1712"/>
      <c r="AP621" s="1712"/>
      <c r="AQ621" s="1712"/>
      <c r="AR621" s="1712"/>
      <c r="AS621" s="1712"/>
      <c r="AT621" s="1712"/>
    </row>
    <row r="622">
      <c r="A622" s="1474" t="s">
        <v>2461</v>
      </c>
      <c r="B622" s="1708"/>
      <c r="C622" s="1709"/>
      <c r="D622" s="1709"/>
      <c r="E622" s="1710"/>
      <c r="F622" s="1710"/>
      <c r="G622" s="1710"/>
      <c r="H622" s="1710"/>
      <c r="I622" s="1710"/>
      <c r="J622" s="1710"/>
      <c r="K622" s="1710"/>
      <c r="L622" s="1710"/>
      <c r="M622" s="1711"/>
      <c r="N622" s="1711"/>
      <c r="O622" s="1711"/>
      <c r="P622" s="1711"/>
      <c r="Q622" s="1711"/>
      <c r="R622" s="1711"/>
      <c r="S622" s="1711"/>
      <c r="T622" s="1711"/>
      <c r="U622" s="1711"/>
      <c r="V622" s="1711"/>
      <c r="W622" s="1711"/>
      <c r="X622" s="1711"/>
      <c r="Y622" s="1712"/>
      <c r="Z622" s="1712"/>
      <c r="AA622" s="1712"/>
      <c r="AB622" s="1712"/>
      <c r="AC622" s="1712"/>
      <c r="AD622" s="1712"/>
      <c r="AE622" s="1712"/>
      <c r="AF622" s="1712"/>
      <c r="AG622" s="1712"/>
      <c r="AH622" s="1712"/>
      <c r="AI622" s="1712"/>
      <c r="AJ622" s="1712"/>
      <c r="AK622" s="1712"/>
      <c r="AL622" s="1712"/>
      <c r="AM622" s="1712"/>
      <c r="AN622" s="1712"/>
      <c r="AO622" s="1712"/>
      <c r="AP622" s="1712"/>
      <c r="AQ622" s="1712"/>
      <c r="AR622" s="1712"/>
      <c r="AS622" s="1712"/>
      <c r="AT622" s="1712"/>
    </row>
    <row r="623">
      <c r="A623" s="1474" t="s">
        <v>2461</v>
      </c>
      <c r="B623" s="1708"/>
      <c r="C623" s="1709"/>
      <c r="D623" s="1709"/>
      <c r="E623" s="1710"/>
      <c r="F623" s="1710"/>
      <c r="G623" s="1710"/>
      <c r="H623" s="1710"/>
      <c r="I623" s="1710"/>
      <c r="J623" s="1710"/>
      <c r="K623" s="1710"/>
      <c r="L623" s="1710"/>
      <c r="M623" s="1711"/>
      <c r="N623" s="1711"/>
      <c r="O623" s="1711"/>
      <c r="P623" s="1711"/>
      <c r="Q623" s="1711"/>
      <c r="R623" s="1711"/>
      <c r="S623" s="1711"/>
      <c r="T623" s="1711"/>
      <c r="U623" s="1711"/>
      <c r="V623" s="1711"/>
      <c r="W623" s="1711"/>
      <c r="X623" s="1711"/>
      <c r="Y623" s="1712"/>
      <c r="Z623" s="1712"/>
      <c r="AA623" s="1712"/>
      <c r="AB623" s="1712"/>
      <c r="AC623" s="1712"/>
      <c r="AD623" s="1712"/>
      <c r="AE623" s="1712"/>
      <c r="AF623" s="1712"/>
      <c r="AG623" s="1712"/>
      <c r="AH623" s="1712"/>
      <c r="AI623" s="1712"/>
      <c r="AJ623" s="1712"/>
      <c r="AK623" s="1712"/>
      <c r="AL623" s="1712"/>
      <c r="AM623" s="1712"/>
      <c r="AN623" s="1712"/>
      <c r="AO623" s="1712"/>
      <c r="AP623" s="1712"/>
      <c r="AQ623" s="1712"/>
      <c r="AR623" s="1712"/>
      <c r="AS623" s="1712"/>
      <c r="AT623" s="1712"/>
    </row>
    <row r="624">
      <c r="A624" s="1474" t="s">
        <v>2461</v>
      </c>
      <c r="B624" s="1708"/>
      <c r="C624" s="1709"/>
      <c r="D624" s="1709"/>
      <c r="E624" s="1710"/>
      <c r="F624" s="1710"/>
      <c r="G624" s="1710"/>
      <c r="H624" s="1710"/>
      <c r="I624" s="1710"/>
      <c r="J624" s="1710"/>
      <c r="K624" s="1710"/>
      <c r="L624" s="1710"/>
      <c r="M624" s="1711"/>
      <c r="N624" s="1711"/>
      <c r="O624" s="1711"/>
      <c r="P624" s="1711"/>
      <c r="Q624" s="1711"/>
      <c r="R624" s="1711"/>
      <c r="S624" s="1711"/>
      <c r="T624" s="1711"/>
      <c r="U624" s="1711"/>
      <c r="V624" s="1711"/>
      <c r="W624" s="1711"/>
      <c r="X624" s="1711"/>
      <c r="Y624" s="1712"/>
      <c r="Z624" s="1712"/>
      <c r="AA624" s="1712"/>
      <c r="AB624" s="1712"/>
      <c r="AC624" s="1712"/>
      <c r="AD624" s="1712"/>
      <c r="AE624" s="1712"/>
      <c r="AF624" s="1712"/>
      <c r="AG624" s="1712"/>
      <c r="AH624" s="1712"/>
      <c r="AI624" s="1712"/>
      <c r="AJ624" s="1712"/>
      <c r="AK624" s="1712"/>
      <c r="AL624" s="1712"/>
      <c r="AM624" s="1712"/>
      <c r="AN624" s="1712"/>
      <c r="AO624" s="1712"/>
      <c r="AP624" s="1712"/>
      <c r="AQ624" s="1712"/>
      <c r="AR624" s="1712"/>
      <c r="AS624" s="1712"/>
      <c r="AT624" s="1712"/>
    </row>
    <row r="625">
      <c r="A625" s="1474" t="s">
        <v>2461</v>
      </c>
      <c r="B625" s="1708"/>
      <c r="C625" s="1709"/>
      <c r="D625" s="1709"/>
      <c r="E625" s="1710"/>
      <c r="F625" s="1710"/>
      <c r="G625" s="1710"/>
      <c r="H625" s="1710"/>
      <c r="I625" s="1710"/>
      <c r="J625" s="1710"/>
      <c r="K625" s="1710"/>
      <c r="L625" s="1710"/>
      <c r="M625" s="1711"/>
      <c r="N625" s="1711"/>
      <c r="O625" s="1711"/>
      <c r="P625" s="1711"/>
      <c r="Q625" s="1711"/>
      <c r="R625" s="1711"/>
      <c r="S625" s="1711"/>
      <c r="T625" s="1711"/>
      <c r="U625" s="1711"/>
      <c r="V625" s="1711"/>
      <c r="W625" s="1711"/>
      <c r="X625" s="1711"/>
      <c r="Y625" s="1712"/>
      <c r="Z625" s="1712"/>
      <c r="AA625" s="1712"/>
      <c r="AB625" s="1712"/>
      <c r="AC625" s="1712"/>
      <c r="AD625" s="1712"/>
      <c r="AE625" s="1712"/>
      <c r="AF625" s="1712"/>
      <c r="AG625" s="1712"/>
      <c r="AH625" s="1712"/>
      <c r="AI625" s="1712"/>
      <c r="AJ625" s="1712"/>
      <c r="AK625" s="1712"/>
      <c r="AL625" s="1712"/>
      <c r="AM625" s="1712"/>
      <c r="AN625" s="1712"/>
      <c r="AO625" s="1712"/>
      <c r="AP625" s="1712"/>
      <c r="AQ625" s="1712"/>
      <c r="AR625" s="1712"/>
      <c r="AS625" s="1712"/>
      <c r="AT625" s="1712"/>
    </row>
    <row r="626">
      <c r="A626" s="1474" t="s">
        <v>2461</v>
      </c>
      <c r="B626" s="1708"/>
      <c r="C626" s="1709"/>
      <c r="D626" s="1709"/>
      <c r="E626" s="1710"/>
      <c r="F626" s="1710"/>
      <c r="G626" s="1710"/>
      <c r="H626" s="1710"/>
      <c r="I626" s="1710"/>
      <c r="J626" s="1710"/>
      <c r="K626" s="1710"/>
      <c r="L626" s="1710"/>
      <c r="M626" s="1711"/>
      <c r="N626" s="1711"/>
      <c r="O626" s="1711"/>
      <c r="P626" s="1711"/>
      <c r="Q626" s="1711"/>
      <c r="R626" s="1711"/>
      <c r="S626" s="1711"/>
      <c r="T626" s="1711"/>
      <c r="U626" s="1711"/>
      <c r="V626" s="1711"/>
      <c r="W626" s="1711"/>
      <c r="X626" s="1711"/>
      <c r="Y626" s="1712"/>
      <c r="Z626" s="1712"/>
      <c r="AA626" s="1712"/>
      <c r="AB626" s="1712"/>
      <c r="AC626" s="1712"/>
      <c r="AD626" s="1712"/>
      <c r="AE626" s="1712"/>
      <c r="AF626" s="1712"/>
      <c r="AG626" s="1712"/>
      <c r="AH626" s="1712"/>
      <c r="AI626" s="1712"/>
      <c r="AJ626" s="1712"/>
      <c r="AK626" s="1712"/>
      <c r="AL626" s="1712"/>
      <c r="AM626" s="1712"/>
      <c r="AN626" s="1712"/>
      <c r="AO626" s="1712"/>
      <c r="AP626" s="1712"/>
      <c r="AQ626" s="1712"/>
      <c r="AR626" s="1712"/>
      <c r="AS626" s="1712"/>
      <c r="AT626" s="1712"/>
    </row>
    <row r="627">
      <c r="A627" s="1474" t="s">
        <v>2461</v>
      </c>
      <c r="B627" s="1708"/>
      <c r="C627" s="1709"/>
      <c r="D627" s="1709"/>
      <c r="E627" s="1710"/>
      <c r="F627" s="1710"/>
      <c r="G627" s="1710"/>
      <c r="H627" s="1710"/>
      <c r="I627" s="1710"/>
      <c r="J627" s="1710"/>
      <c r="K627" s="1710"/>
      <c r="L627" s="1710"/>
      <c r="M627" s="1711"/>
      <c r="N627" s="1711"/>
      <c r="O627" s="1711"/>
      <c r="P627" s="1711"/>
      <c r="Q627" s="1711"/>
      <c r="R627" s="1711"/>
      <c r="S627" s="1711"/>
      <c r="T627" s="1711"/>
      <c r="U627" s="1711"/>
      <c r="V627" s="1711"/>
      <c r="W627" s="1711"/>
      <c r="X627" s="1711"/>
      <c r="Y627" s="1712"/>
      <c r="Z627" s="1712"/>
      <c r="AA627" s="1712"/>
      <c r="AB627" s="1712"/>
      <c r="AC627" s="1712"/>
      <c r="AD627" s="1712"/>
      <c r="AE627" s="1712"/>
      <c r="AF627" s="1712"/>
      <c r="AG627" s="1712"/>
      <c r="AH627" s="1712"/>
      <c r="AI627" s="1712"/>
      <c r="AJ627" s="1712"/>
      <c r="AK627" s="1712"/>
      <c r="AL627" s="1712"/>
      <c r="AM627" s="1712"/>
      <c r="AN627" s="1712"/>
      <c r="AO627" s="1712"/>
      <c r="AP627" s="1712"/>
      <c r="AQ627" s="1712"/>
      <c r="AR627" s="1712"/>
      <c r="AS627" s="1712"/>
      <c r="AT627" s="1712"/>
    </row>
    <row r="628">
      <c r="A628" s="1474" t="s">
        <v>2461</v>
      </c>
      <c r="B628" s="1708"/>
      <c r="C628" s="1709"/>
      <c r="D628" s="1709"/>
      <c r="E628" s="1710"/>
      <c r="F628" s="1710"/>
      <c r="G628" s="1710"/>
      <c r="H628" s="1710"/>
      <c r="I628" s="1710"/>
      <c r="J628" s="1710"/>
      <c r="K628" s="1710"/>
      <c r="L628" s="1710"/>
      <c r="M628" s="1711"/>
      <c r="N628" s="1711"/>
      <c r="O628" s="1711"/>
      <c r="P628" s="1711"/>
      <c r="Q628" s="1711"/>
      <c r="R628" s="1711"/>
      <c r="S628" s="1711"/>
      <c r="T628" s="1711"/>
      <c r="U628" s="1711"/>
      <c r="V628" s="1711"/>
      <c r="W628" s="1711"/>
      <c r="X628" s="1711"/>
      <c r="Y628" s="1712"/>
      <c r="Z628" s="1712"/>
      <c r="AA628" s="1712"/>
      <c r="AB628" s="1712"/>
      <c r="AC628" s="1712"/>
      <c r="AD628" s="1712"/>
      <c r="AE628" s="1712"/>
      <c r="AF628" s="1712"/>
      <c r="AG628" s="1712"/>
      <c r="AH628" s="1712"/>
      <c r="AI628" s="1712"/>
      <c r="AJ628" s="1712"/>
      <c r="AK628" s="1712"/>
      <c r="AL628" s="1712"/>
      <c r="AM628" s="1712"/>
      <c r="AN628" s="1712"/>
      <c r="AO628" s="1712"/>
      <c r="AP628" s="1712"/>
      <c r="AQ628" s="1712"/>
      <c r="AR628" s="1712"/>
      <c r="AS628" s="1712"/>
      <c r="AT628" s="1712"/>
    </row>
    <row r="629">
      <c r="A629" s="1474" t="s">
        <v>2461</v>
      </c>
      <c r="B629" s="1708"/>
      <c r="C629" s="1709"/>
      <c r="D629" s="1709"/>
      <c r="E629" s="1710"/>
      <c r="F629" s="1710"/>
      <c r="G629" s="1710"/>
      <c r="H629" s="1710"/>
      <c r="I629" s="1710"/>
      <c r="J629" s="1710"/>
      <c r="K629" s="1710"/>
      <c r="L629" s="1710"/>
      <c r="M629" s="1711"/>
      <c r="N629" s="1711"/>
      <c r="O629" s="1711"/>
      <c r="P629" s="1711"/>
      <c r="Q629" s="1711"/>
      <c r="R629" s="1711"/>
      <c r="S629" s="1711"/>
      <c r="T629" s="1711"/>
      <c r="U629" s="1711"/>
      <c r="V629" s="1711"/>
      <c r="W629" s="1711"/>
      <c r="X629" s="1711"/>
      <c r="Y629" s="1712"/>
      <c r="Z629" s="1712"/>
      <c r="AA629" s="1712"/>
      <c r="AB629" s="1712"/>
      <c r="AC629" s="1712"/>
      <c r="AD629" s="1712"/>
      <c r="AE629" s="1712"/>
      <c r="AF629" s="1712"/>
      <c r="AG629" s="1712"/>
      <c r="AH629" s="1712"/>
      <c r="AI629" s="1712"/>
      <c r="AJ629" s="1712"/>
      <c r="AK629" s="1712"/>
      <c r="AL629" s="1712"/>
      <c r="AM629" s="1712"/>
      <c r="AN629" s="1712"/>
      <c r="AO629" s="1712"/>
      <c r="AP629" s="1712"/>
      <c r="AQ629" s="1712"/>
      <c r="AR629" s="1712"/>
      <c r="AS629" s="1712"/>
      <c r="AT629" s="1712"/>
    </row>
    <row r="630">
      <c r="A630" s="1474" t="s">
        <v>2461</v>
      </c>
      <c r="B630" s="1708"/>
      <c r="C630" s="1709"/>
      <c r="D630" s="1709"/>
      <c r="E630" s="1710"/>
      <c r="F630" s="1710"/>
      <c r="G630" s="1710"/>
      <c r="H630" s="1710"/>
      <c r="I630" s="1710"/>
      <c r="J630" s="1710"/>
      <c r="K630" s="1710"/>
      <c r="L630" s="1710"/>
      <c r="M630" s="1711"/>
      <c r="N630" s="1711"/>
      <c r="O630" s="1711"/>
      <c r="P630" s="1711"/>
      <c r="Q630" s="1711"/>
      <c r="R630" s="1711"/>
      <c r="S630" s="1711"/>
      <c r="T630" s="1711"/>
      <c r="U630" s="1711"/>
      <c r="V630" s="1711"/>
      <c r="W630" s="1711"/>
      <c r="X630" s="1711"/>
      <c r="Y630" s="1712"/>
      <c r="Z630" s="1712"/>
      <c r="AA630" s="1712"/>
      <c r="AB630" s="1712"/>
      <c r="AC630" s="1712"/>
      <c r="AD630" s="1712"/>
      <c r="AE630" s="1712"/>
      <c r="AF630" s="1712"/>
      <c r="AG630" s="1712"/>
      <c r="AH630" s="1712"/>
      <c r="AI630" s="1712"/>
      <c r="AJ630" s="1712"/>
      <c r="AK630" s="1712"/>
      <c r="AL630" s="1712"/>
      <c r="AM630" s="1712"/>
      <c r="AN630" s="1712"/>
      <c r="AO630" s="1712"/>
      <c r="AP630" s="1712"/>
      <c r="AQ630" s="1712"/>
      <c r="AR630" s="1712"/>
      <c r="AS630" s="1712"/>
      <c r="AT630" s="1712"/>
    </row>
    <row r="631">
      <c r="A631" s="1474" t="s">
        <v>2461</v>
      </c>
      <c r="B631" s="1708"/>
      <c r="C631" s="1709"/>
      <c r="D631" s="1709"/>
      <c r="E631" s="1710"/>
      <c r="F631" s="1710"/>
      <c r="G631" s="1710"/>
      <c r="H631" s="1710"/>
      <c r="I631" s="1710"/>
      <c r="J631" s="1710"/>
      <c r="K631" s="1710"/>
      <c r="L631" s="1710"/>
      <c r="M631" s="1711"/>
      <c r="N631" s="1711"/>
      <c r="O631" s="1711"/>
      <c r="P631" s="1711"/>
      <c r="Q631" s="1711"/>
      <c r="R631" s="1711"/>
      <c r="S631" s="1711"/>
      <c r="T631" s="1711"/>
      <c r="U631" s="1711"/>
      <c r="V631" s="1711"/>
      <c r="W631" s="1711"/>
      <c r="X631" s="1711"/>
      <c r="Y631" s="1712"/>
      <c r="Z631" s="1712"/>
      <c r="AA631" s="1712"/>
      <c r="AB631" s="1712"/>
      <c r="AC631" s="1712"/>
      <c r="AD631" s="1712"/>
      <c r="AE631" s="1712"/>
      <c r="AF631" s="1712"/>
      <c r="AG631" s="1712"/>
      <c r="AH631" s="1712"/>
      <c r="AI631" s="1712"/>
      <c r="AJ631" s="1712"/>
      <c r="AK631" s="1712"/>
      <c r="AL631" s="1712"/>
      <c r="AM631" s="1712"/>
      <c r="AN631" s="1712"/>
      <c r="AO631" s="1712"/>
      <c r="AP631" s="1712"/>
      <c r="AQ631" s="1712"/>
      <c r="AR631" s="1712"/>
      <c r="AS631" s="1712"/>
      <c r="AT631" s="1712"/>
    </row>
    <row r="632">
      <c r="A632" s="1474" t="s">
        <v>2461</v>
      </c>
      <c r="B632" s="1708"/>
      <c r="C632" s="1709"/>
      <c r="D632" s="1709"/>
      <c r="E632" s="1710"/>
      <c r="F632" s="1710"/>
      <c r="G632" s="1710"/>
      <c r="H632" s="1710"/>
      <c r="I632" s="1710"/>
      <c r="J632" s="1710"/>
      <c r="K632" s="1710"/>
      <c r="L632" s="1710"/>
      <c r="M632" s="1711"/>
      <c r="N632" s="1711"/>
      <c r="O632" s="1711"/>
      <c r="P632" s="1711"/>
      <c r="Q632" s="1711"/>
      <c r="R632" s="1711"/>
      <c r="S632" s="1711"/>
      <c r="T632" s="1711"/>
      <c r="U632" s="1711"/>
      <c r="V632" s="1711"/>
      <c r="W632" s="1711"/>
      <c r="X632" s="1711"/>
      <c r="Y632" s="1712"/>
      <c r="Z632" s="1712"/>
      <c r="AA632" s="1712"/>
      <c r="AB632" s="1712"/>
      <c r="AC632" s="1712"/>
      <c r="AD632" s="1712"/>
      <c r="AE632" s="1712"/>
      <c r="AF632" s="1712"/>
      <c r="AG632" s="1712"/>
      <c r="AH632" s="1712"/>
      <c r="AI632" s="1712"/>
      <c r="AJ632" s="1712"/>
      <c r="AK632" s="1712"/>
      <c r="AL632" s="1712"/>
      <c r="AM632" s="1712"/>
      <c r="AN632" s="1712"/>
      <c r="AO632" s="1712"/>
      <c r="AP632" s="1712"/>
      <c r="AQ632" s="1712"/>
      <c r="AR632" s="1712"/>
      <c r="AS632" s="1712"/>
      <c r="AT632" s="1712"/>
    </row>
    <row r="633">
      <c r="A633" s="1474" t="s">
        <v>2461</v>
      </c>
      <c r="B633" s="1708"/>
      <c r="C633" s="1709"/>
      <c r="D633" s="1709"/>
      <c r="E633" s="1710"/>
      <c r="F633" s="1710"/>
      <c r="G633" s="1710"/>
      <c r="H633" s="1710"/>
      <c r="I633" s="1710"/>
      <c r="J633" s="1710"/>
      <c r="K633" s="1710"/>
      <c r="L633" s="1710"/>
      <c r="M633" s="1711"/>
      <c r="N633" s="1711"/>
      <c r="O633" s="1711"/>
      <c r="P633" s="1711"/>
      <c r="Q633" s="1711"/>
      <c r="R633" s="1711"/>
      <c r="S633" s="1711"/>
      <c r="T633" s="1711"/>
      <c r="U633" s="1711"/>
      <c r="V633" s="1711"/>
      <c r="W633" s="1711"/>
      <c r="X633" s="1711"/>
      <c r="Y633" s="1712"/>
      <c r="Z633" s="1712"/>
      <c r="AA633" s="1712"/>
      <c r="AB633" s="1712"/>
      <c r="AC633" s="1712"/>
      <c r="AD633" s="1712"/>
      <c r="AE633" s="1712"/>
      <c r="AF633" s="1712"/>
      <c r="AG633" s="1712"/>
      <c r="AH633" s="1712"/>
      <c r="AI633" s="1712"/>
      <c r="AJ633" s="1712"/>
      <c r="AK633" s="1712"/>
      <c r="AL633" s="1712"/>
      <c r="AM633" s="1712"/>
      <c r="AN633" s="1712"/>
      <c r="AO633" s="1712"/>
      <c r="AP633" s="1712"/>
      <c r="AQ633" s="1712"/>
      <c r="AR633" s="1712"/>
      <c r="AS633" s="1712"/>
      <c r="AT633" s="1712"/>
    </row>
    <row r="634">
      <c r="A634" s="1474" t="s">
        <v>2461</v>
      </c>
      <c r="B634" s="1708"/>
      <c r="C634" s="1709"/>
      <c r="D634" s="1709"/>
      <c r="E634" s="1710"/>
      <c r="F634" s="1710"/>
      <c r="G634" s="1710"/>
      <c r="H634" s="1710"/>
      <c r="I634" s="1710"/>
      <c r="J634" s="1710"/>
      <c r="K634" s="1710"/>
      <c r="L634" s="1710"/>
      <c r="M634" s="1711"/>
      <c r="N634" s="1711"/>
      <c r="O634" s="1711"/>
      <c r="P634" s="1711"/>
      <c r="Q634" s="1711"/>
      <c r="R634" s="1711"/>
      <c r="S634" s="1711"/>
      <c r="T634" s="1711"/>
      <c r="U634" s="1711"/>
      <c r="V634" s="1711"/>
      <c r="W634" s="1711"/>
      <c r="X634" s="1711"/>
      <c r="Y634" s="1712"/>
      <c r="Z634" s="1712"/>
      <c r="AA634" s="1712"/>
      <c r="AB634" s="1712"/>
      <c r="AC634" s="1712"/>
      <c r="AD634" s="1712"/>
      <c r="AE634" s="1712"/>
      <c r="AF634" s="1712"/>
      <c r="AG634" s="1712"/>
      <c r="AH634" s="1712"/>
      <c r="AI634" s="1712"/>
      <c r="AJ634" s="1712"/>
      <c r="AK634" s="1712"/>
      <c r="AL634" s="1712"/>
      <c r="AM634" s="1712"/>
      <c r="AN634" s="1712"/>
      <c r="AO634" s="1712"/>
      <c r="AP634" s="1712"/>
      <c r="AQ634" s="1712"/>
      <c r="AR634" s="1712"/>
      <c r="AS634" s="1712"/>
      <c r="AT634" s="1712"/>
    </row>
    <row r="635">
      <c r="A635" s="1474" t="s">
        <v>2461</v>
      </c>
      <c r="B635" s="1708"/>
      <c r="C635" s="1709"/>
      <c r="D635" s="1709"/>
      <c r="E635" s="1710"/>
      <c r="F635" s="1710"/>
      <c r="G635" s="1710"/>
      <c r="H635" s="1710"/>
      <c r="I635" s="1710"/>
      <c r="J635" s="1710"/>
      <c r="K635" s="1710"/>
      <c r="L635" s="1710"/>
      <c r="M635" s="1711"/>
      <c r="N635" s="1711"/>
      <c r="O635" s="1711"/>
      <c r="P635" s="1711"/>
      <c r="Q635" s="1711"/>
      <c r="R635" s="1711"/>
      <c r="S635" s="1711"/>
      <c r="T635" s="1711"/>
      <c r="U635" s="1711"/>
      <c r="V635" s="1711"/>
      <c r="W635" s="1711"/>
      <c r="X635" s="1711"/>
      <c r="Y635" s="1712"/>
      <c r="Z635" s="1712"/>
      <c r="AA635" s="1712"/>
      <c r="AB635" s="1712"/>
      <c r="AC635" s="1712"/>
      <c r="AD635" s="1712"/>
      <c r="AE635" s="1712"/>
      <c r="AF635" s="1712"/>
      <c r="AG635" s="1712"/>
      <c r="AH635" s="1712"/>
      <c r="AI635" s="1712"/>
      <c r="AJ635" s="1712"/>
      <c r="AK635" s="1712"/>
      <c r="AL635" s="1712"/>
      <c r="AM635" s="1712"/>
      <c r="AN635" s="1712"/>
      <c r="AO635" s="1712"/>
      <c r="AP635" s="1712"/>
      <c r="AQ635" s="1712"/>
      <c r="AR635" s="1712"/>
      <c r="AS635" s="1712"/>
      <c r="AT635" s="1712"/>
    </row>
    <row r="636">
      <c r="A636" s="1474" t="s">
        <v>2461</v>
      </c>
      <c r="B636" s="1708"/>
      <c r="C636" s="1709"/>
      <c r="D636" s="1709"/>
      <c r="E636" s="1710"/>
      <c r="F636" s="1710"/>
      <c r="G636" s="1710"/>
      <c r="H636" s="1710"/>
      <c r="I636" s="1710"/>
      <c r="J636" s="1710"/>
      <c r="K636" s="1710"/>
      <c r="L636" s="1710"/>
      <c r="M636" s="1711"/>
      <c r="N636" s="1711"/>
      <c r="O636" s="1711"/>
      <c r="P636" s="1711"/>
      <c r="Q636" s="1711"/>
      <c r="R636" s="1711"/>
      <c r="S636" s="1711"/>
      <c r="T636" s="1711"/>
      <c r="U636" s="1711"/>
      <c r="V636" s="1711"/>
      <c r="W636" s="1711"/>
      <c r="X636" s="1711"/>
      <c r="Y636" s="1712"/>
      <c r="Z636" s="1712"/>
      <c r="AA636" s="1712"/>
      <c r="AB636" s="1712"/>
      <c r="AC636" s="1712"/>
      <c r="AD636" s="1712"/>
      <c r="AE636" s="1712"/>
      <c r="AF636" s="1712"/>
      <c r="AG636" s="1712"/>
      <c r="AH636" s="1712"/>
      <c r="AI636" s="1712"/>
      <c r="AJ636" s="1712"/>
      <c r="AK636" s="1712"/>
      <c r="AL636" s="1712"/>
      <c r="AM636" s="1712"/>
      <c r="AN636" s="1712"/>
      <c r="AO636" s="1712"/>
      <c r="AP636" s="1712"/>
      <c r="AQ636" s="1712"/>
      <c r="AR636" s="1712"/>
      <c r="AS636" s="1712"/>
      <c r="AT636" s="1712"/>
    </row>
    <row r="637">
      <c r="A637" s="1474" t="s">
        <v>2461</v>
      </c>
      <c r="B637" s="1708"/>
      <c r="C637" s="1709"/>
      <c r="D637" s="1709"/>
      <c r="E637" s="1710"/>
      <c r="F637" s="1710"/>
      <c r="G637" s="1710"/>
      <c r="H637" s="1710"/>
      <c r="I637" s="1710"/>
      <c r="J637" s="1710"/>
      <c r="K637" s="1710"/>
      <c r="L637" s="1710"/>
      <c r="M637" s="1711"/>
      <c r="N637" s="1711"/>
      <c r="O637" s="1711"/>
      <c r="P637" s="1711"/>
      <c r="Q637" s="1711"/>
      <c r="R637" s="1711"/>
      <c r="S637" s="1711"/>
      <c r="T637" s="1711"/>
      <c r="U637" s="1711"/>
      <c r="V637" s="1711"/>
      <c r="W637" s="1711"/>
      <c r="X637" s="1711"/>
      <c r="Y637" s="1712"/>
      <c r="Z637" s="1712"/>
      <c r="AA637" s="1712"/>
      <c r="AB637" s="1712"/>
      <c r="AC637" s="1712"/>
      <c r="AD637" s="1712"/>
      <c r="AE637" s="1712"/>
      <c r="AF637" s="1712"/>
      <c r="AG637" s="1712"/>
      <c r="AH637" s="1712"/>
      <c r="AI637" s="1712"/>
      <c r="AJ637" s="1712"/>
      <c r="AK637" s="1712"/>
      <c r="AL637" s="1712"/>
      <c r="AM637" s="1712"/>
      <c r="AN637" s="1712"/>
      <c r="AO637" s="1712"/>
      <c r="AP637" s="1712"/>
      <c r="AQ637" s="1712"/>
      <c r="AR637" s="1712"/>
      <c r="AS637" s="1712"/>
      <c r="AT637" s="1712"/>
    </row>
    <row r="638">
      <c r="A638" s="1474" t="s">
        <v>2461</v>
      </c>
      <c r="B638" s="1708"/>
      <c r="C638" s="1709"/>
      <c r="D638" s="1709"/>
      <c r="E638" s="1710"/>
      <c r="F638" s="1710"/>
      <c r="G638" s="1710"/>
      <c r="H638" s="1710"/>
      <c r="I638" s="1710"/>
      <c r="J638" s="1710"/>
      <c r="K638" s="1710"/>
      <c r="L638" s="1710"/>
      <c r="M638" s="1711"/>
      <c r="N638" s="1711"/>
      <c r="O638" s="1711"/>
      <c r="P638" s="1711"/>
      <c r="Q638" s="1711"/>
      <c r="R638" s="1711"/>
      <c r="S638" s="1711"/>
      <c r="T638" s="1711"/>
      <c r="U638" s="1711"/>
      <c r="V638" s="1711"/>
      <c r="W638" s="1711"/>
      <c r="X638" s="1711"/>
      <c r="Y638" s="1712"/>
      <c r="Z638" s="1712"/>
      <c r="AA638" s="1712"/>
      <c r="AB638" s="1712"/>
      <c r="AC638" s="1712"/>
      <c r="AD638" s="1712"/>
      <c r="AE638" s="1712"/>
      <c r="AF638" s="1712"/>
      <c r="AG638" s="1712"/>
      <c r="AH638" s="1712"/>
      <c r="AI638" s="1712"/>
      <c r="AJ638" s="1712"/>
      <c r="AK638" s="1712"/>
      <c r="AL638" s="1712"/>
      <c r="AM638" s="1712"/>
      <c r="AN638" s="1712"/>
      <c r="AO638" s="1712"/>
      <c r="AP638" s="1712"/>
      <c r="AQ638" s="1712"/>
      <c r="AR638" s="1712"/>
      <c r="AS638" s="1712"/>
      <c r="AT638" s="1712"/>
    </row>
    <row r="639">
      <c r="A639" s="1474" t="s">
        <v>2461</v>
      </c>
      <c r="B639" s="1708"/>
      <c r="C639" s="1709"/>
      <c r="D639" s="1709"/>
      <c r="E639" s="1710"/>
      <c r="F639" s="1710"/>
      <c r="G639" s="1710"/>
      <c r="H639" s="1710"/>
      <c r="I639" s="1710"/>
      <c r="J639" s="1710"/>
      <c r="K639" s="1710"/>
      <c r="L639" s="1710"/>
      <c r="M639" s="1711"/>
      <c r="N639" s="1711"/>
      <c r="O639" s="1711"/>
      <c r="P639" s="1711"/>
      <c r="Q639" s="1711"/>
      <c r="R639" s="1711"/>
      <c r="S639" s="1711"/>
      <c r="T639" s="1711"/>
      <c r="U639" s="1711"/>
      <c r="V639" s="1711"/>
      <c r="W639" s="1711"/>
      <c r="X639" s="1711"/>
      <c r="Y639" s="1712"/>
      <c r="Z639" s="1712"/>
      <c r="AA639" s="1712"/>
      <c r="AB639" s="1712"/>
      <c r="AC639" s="1712"/>
      <c r="AD639" s="1712"/>
      <c r="AE639" s="1712"/>
      <c r="AF639" s="1712"/>
      <c r="AG639" s="1712"/>
      <c r="AH639" s="1712"/>
      <c r="AI639" s="1712"/>
      <c r="AJ639" s="1712"/>
      <c r="AK639" s="1712"/>
      <c r="AL639" s="1712"/>
      <c r="AM639" s="1712"/>
      <c r="AN639" s="1712"/>
      <c r="AO639" s="1712"/>
      <c r="AP639" s="1712"/>
      <c r="AQ639" s="1712"/>
      <c r="AR639" s="1712"/>
      <c r="AS639" s="1712"/>
      <c r="AT639" s="1712"/>
    </row>
    <row r="640">
      <c r="A640" s="1474" t="s">
        <v>2461</v>
      </c>
      <c r="B640" s="1708"/>
      <c r="C640" s="1709"/>
      <c r="D640" s="1709"/>
      <c r="E640" s="1710"/>
      <c r="F640" s="1710"/>
      <c r="G640" s="1710"/>
      <c r="H640" s="1710"/>
      <c r="I640" s="1710"/>
      <c r="J640" s="1710"/>
      <c r="K640" s="1710"/>
      <c r="L640" s="1710"/>
      <c r="M640" s="1711"/>
      <c r="N640" s="1711"/>
      <c r="O640" s="1711"/>
      <c r="P640" s="1711"/>
      <c r="Q640" s="1711"/>
      <c r="R640" s="1711"/>
      <c r="S640" s="1711"/>
      <c r="T640" s="1711"/>
      <c r="U640" s="1711"/>
      <c r="V640" s="1711"/>
      <c r="W640" s="1711"/>
      <c r="X640" s="1711"/>
      <c r="Y640" s="1712"/>
      <c r="Z640" s="1712"/>
      <c r="AA640" s="1712"/>
      <c r="AB640" s="1712"/>
      <c r="AC640" s="1712"/>
      <c r="AD640" s="1712"/>
      <c r="AE640" s="1712"/>
      <c r="AF640" s="1712"/>
      <c r="AG640" s="1712"/>
      <c r="AH640" s="1712"/>
      <c r="AI640" s="1712"/>
      <c r="AJ640" s="1712"/>
      <c r="AK640" s="1712"/>
      <c r="AL640" s="1712"/>
      <c r="AM640" s="1712"/>
      <c r="AN640" s="1712"/>
      <c r="AO640" s="1712"/>
      <c r="AP640" s="1712"/>
      <c r="AQ640" s="1712"/>
      <c r="AR640" s="1712"/>
      <c r="AS640" s="1712"/>
      <c r="AT640" s="1712"/>
    </row>
    <row r="641">
      <c r="A641" s="1474" t="s">
        <v>2461</v>
      </c>
      <c r="B641" s="1708"/>
      <c r="C641" s="1709"/>
      <c r="D641" s="1709"/>
      <c r="E641" s="1710"/>
      <c r="F641" s="1710"/>
      <c r="G641" s="1710"/>
      <c r="H641" s="1710"/>
      <c r="I641" s="1710"/>
      <c r="J641" s="1710"/>
      <c r="K641" s="1710"/>
      <c r="L641" s="1710"/>
      <c r="M641" s="1711"/>
      <c r="N641" s="1711"/>
      <c r="O641" s="1711"/>
      <c r="P641" s="1711"/>
      <c r="Q641" s="1711"/>
      <c r="R641" s="1711"/>
      <c r="S641" s="1711"/>
      <c r="T641" s="1711"/>
      <c r="U641" s="1711"/>
      <c r="V641" s="1711"/>
      <c r="W641" s="1711"/>
      <c r="X641" s="1711"/>
      <c r="Y641" s="1712"/>
      <c r="Z641" s="1712"/>
      <c r="AA641" s="1712"/>
      <c r="AB641" s="1712"/>
      <c r="AC641" s="1712"/>
      <c r="AD641" s="1712"/>
      <c r="AE641" s="1712"/>
      <c r="AF641" s="1712"/>
      <c r="AG641" s="1712"/>
      <c r="AH641" s="1712"/>
      <c r="AI641" s="1712"/>
      <c r="AJ641" s="1712"/>
      <c r="AK641" s="1712"/>
      <c r="AL641" s="1712"/>
      <c r="AM641" s="1712"/>
      <c r="AN641" s="1712"/>
      <c r="AO641" s="1712"/>
      <c r="AP641" s="1712"/>
      <c r="AQ641" s="1712"/>
      <c r="AR641" s="1712"/>
      <c r="AS641" s="1712"/>
      <c r="AT641" s="1712"/>
    </row>
    <row r="642">
      <c r="A642" s="1474" t="s">
        <v>2461</v>
      </c>
      <c r="B642" s="1708"/>
      <c r="C642" s="1709"/>
      <c r="D642" s="1709"/>
      <c r="E642" s="1710"/>
      <c r="F642" s="1710"/>
      <c r="G642" s="1710"/>
      <c r="H642" s="1710"/>
      <c r="I642" s="1710"/>
      <c r="J642" s="1710"/>
      <c r="K642" s="1710"/>
      <c r="L642" s="1710"/>
      <c r="M642" s="1711"/>
      <c r="N642" s="1711"/>
      <c r="O642" s="1711"/>
      <c r="P642" s="1711"/>
      <c r="Q642" s="1711"/>
      <c r="R642" s="1711"/>
      <c r="S642" s="1711"/>
      <c r="T642" s="1711"/>
      <c r="U642" s="1711"/>
      <c r="V642" s="1711"/>
      <c r="W642" s="1711"/>
      <c r="X642" s="1711"/>
      <c r="Y642" s="1712"/>
      <c r="Z642" s="1712"/>
      <c r="AA642" s="1712"/>
      <c r="AB642" s="1712"/>
      <c r="AC642" s="1712"/>
      <c r="AD642" s="1712"/>
      <c r="AE642" s="1712"/>
      <c r="AF642" s="1712"/>
      <c r="AG642" s="1712"/>
      <c r="AH642" s="1712"/>
      <c r="AI642" s="1712"/>
      <c r="AJ642" s="1712"/>
      <c r="AK642" s="1712"/>
      <c r="AL642" s="1712"/>
      <c r="AM642" s="1712"/>
      <c r="AN642" s="1712"/>
      <c r="AO642" s="1712"/>
      <c r="AP642" s="1712"/>
      <c r="AQ642" s="1712"/>
      <c r="AR642" s="1712"/>
      <c r="AS642" s="1712"/>
      <c r="AT642" s="1712"/>
    </row>
    <row r="643">
      <c r="A643" s="1474" t="s">
        <v>2461</v>
      </c>
      <c r="B643" s="1708"/>
      <c r="C643" s="1709"/>
      <c r="D643" s="1709"/>
      <c r="E643" s="1710"/>
      <c r="F643" s="1710"/>
      <c r="G643" s="1710"/>
      <c r="H643" s="1710"/>
      <c r="I643" s="1710"/>
      <c r="J643" s="1710"/>
      <c r="K643" s="1710"/>
      <c r="L643" s="1710"/>
      <c r="M643" s="1711"/>
      <c r="N643" s="1711"/>
      <c r="O643" s="1711"/>
      <c r="P643" s="1711"/>
      <c r="Q643" s="1711"/>
      <c r="R643" s="1711"/>
      <c r="S643" s="1711"/>
      <c r="T643" s="1711"/>
      <c r="U643" s="1711"/>
      <c r="V643" s="1711"/>
      <c r="W643" s="1711"/>
      <c r="X643" s="1711"/>
      <c r="Y643" s="1712"/>
      <c r="Z643" s="1712"/>
      <c r="AA643" s="1712"/>
      <c r="AB643" s="1712"/>
      <c r="AC643" s="1712"/>
      <c r="AD643" s="1712"/>
      <c r="AE643" s="1712"/>
      <c r="AF643" s="1712"/>
      <c r="AG643" s="1712"/>
      <c r="AH643" s="1712"/>
      <c r="AI643" s="1712"/>
      <c r="AJ643" s="1712"/>
      <c r="AK643" s="1712"/>
      <c r="AL643" s="1712"/>
      <c r="AM643" s="1712"/>
      <c r="AN643" s="1712"/>
      <c r="AO643" s="1712"/>
      <c r="AP643" s="1712"/>
      <c r="AQ643" s="1712"/>
      <c r="AR643" s="1712"/>
      <c r="AS643" s="1712"/>
      <c r="AT643" s="1712"/>
    </row>
    <row r="644">
      <c r="A644" s="1474" t="s">
        <v>2461</v>
      </c>
      <c r="B644" s="1708"/>
      <c r="C644" s="1709"/>
      <c r="D644" s="1709"/>
      <c r="E644" s="1710"/>
      <c r="F644" s="1710"/>
      <c r="G644" s="1710"/>
      <c r="H644" s="1710"/>
      <c r="I644" s="1710"/>
      <c r="J644" s="1710"/>
      <c r="K644" s="1710"/>
      <c r="L644" s="1710"/>
      <c r="M644" s="1711"/>
      <c r="N644" s="1711"/>
      <c r="O644" s="1711"/>
      <c r="P644" s="1711"/>
      <c r="Q644" s="1711"/>
      <c r="R644" s="1711"/>
      <c r="S644" s="1711"/>
      <c r="T644" s="1711"/>
      <c r="U644" s="1711"/>
      <c r="V644" s="1711"/>
      <c r="W644" s="1711"/>
      <c r="X644" s="1711"/>
      <c r="Y644" s="1712"/>
      <c r="Z644" s="1712"/>
      <c r="AA644" s="1712"/>
      <c r="AB644" s="1712"/>
      <c r="AC644" s="1712"/>
      <c r="AD644" s="1712"/>
      <c r="AE644" s="1712"/>
      <c r="AF644" s="1712"/>
      <c r="AG644" s="1712"/>
      <c r="AH644" s="1712"/>
      <c r="AI644" s="1712"/>
      <c r="AJ644" s="1712"/>
      <c r="AK644" s="1712"/>
      <c r="AL644" s="1712"/>
      <c r="AM644" s="1712"/>
      <c r="AN644" s="1712"/>
      <c r="AO644" s="1712"/>
      <c r="AP644" s="1712"/>
      <c r="AQ644" s="1712"/>
      <c r="AR644" s="1712"/>
      <c r="AS644" s="1712"/>
      <c r="AT644" s="1712"/>
    </row>
    <row r="645">
      <c r="A645" s="1474" t="s">
        <v>2461</v>
      </c>
      <c r="B645" s="1708"/>
      <c r="C645" s="1709"/>
      <c r="D645" s="1709"/>
      <c r="E645" s="1710"/>
      <c r="F645" s="1710"/>
      <c r="G645" s="1710"/>
      <c r="H645" s="1710"/>
      <c r="I645" s="1710"/>
      <c r="J645" s="1710"/>
      <c r="K645" s="1710"/>
      <c r="L645" s="1710"/>
      <c r="M645" s="1711"/>
      <c r="N645" s="1711"/>
      <c r="O645" s="1711"/>
      <c r="P645" s="1711"/>
      <c r="Q645" s="1711"/>
      <c r="R645" s="1711"/>
      <c r="S645" s="1711"/>
      <c r="T645" s="1711"/>
      <c r="U645" s="1711"/>
      <c r="V645" s="1711"/>
      <c r="W645" s="1711"/>
      <c r="X645" s="1711"/>
      <c r="Y645" s="1712"/>
      <c r="Z645" s="1712"/>
      <c r="AA645" s="1712"/>
      <c r="AB645" s="1712"/>
      <c r="AC645" s="1712"/>
      <c r="AD645" s="1712"/>
      <c r="AE645" s="1712"/>
      <c r="AF645" s="1712"/>
      <c r="AG645" s="1712"/>
      <c r="AH645" s="1712"/>
      <c r="AI645" s="1712"/>
      <c r="AJ645" s="1712"/>
      <c r="AK645" s="1712"/>
      <c r="AL645" s="1712"/>
      <c r="AM645" s="1712"/>
      <c r="AN645" s="1712"/>
      <c r="AO645" s="1712"/>
      <c r="AP645" s="1712"/>
      <c r="AQ645" s="1712"/>
      <c r="AR645" s="1712"/>
      <c r="AS645" s="1712"/>
      <c r="AT645" s="1712"/>
    </row>
    <row r="646">
      <c r="A646" s="1474" t="s">
        <v>2461</v>
      </c>
      <c r="B646" s="1708"/>
      <c r="C646" s="1709"/>
      <c r="D646" s="1709"/>
      <c r="E646" s="1710"/>
      <c r="F646" s="1710"/>
      <c r="G646" s="1710"/>
      <c r="H646" s="1710"/>
      <c r="I646" s="1710"/>
      <c r="J646" s="1710"/>
      <c r="K646" s="1710"/>
      <c r="L646" s="1710"/>
      <c r="M646" s="1711"/>
      <c r="N646" s="1711"/>
      <c r="O646" s="1711"/>
      <c r="P646" s="1711"/>
      <c r="Q646" s="1711"/>
      <c r="R646" s="1711"/>
      <c r="S646" s="1711"/>
      <c r="T646" s="1711"/>
      <c r="U646" s="1711"/>
      <c r="V646" s="1711"/>
      <c r="W646" s="1711"/>
      <c r="X646" s="1711"/>
      <c r="Y646" s="1712"/>
      <c r="Z646" s="1712"/>
      <c r="AA646" s="1712"/>
      <c r="AB646" s="1712"/>
      <c r="AC646" s="1712"/>
      <c r="AD646" s="1712"/>
      <c r="AE646" s="1712"/>
      <c r="AF646" s="1712"/>
      <c r="AG646" s="1712"/>
      <c r="AH646" s="1712"/>
      <c r="AI646" s="1712"/>
      <c r="AJ646" s="1712"/>
      <c r="AK646" s="1712"/>
      <c r="AL646" s="1712"/>
      <c r="AM646" s="1712"/>
      <c r="AN646" s="1712"/>
      <c r="AO646" s="1712"/>
      <c r="AP646" s="1712"/>
      <c r="AQ646" s="1712"/>
      <c r="AR646" s="1712"/>
      <c r="AS646" s="1712"/>
      <c r="AT646" s="1712"/>
    </row>
    <row r="647">
      <c r="A647" s="1474" t="s">
        <v>2461</v>
      </c>
      <c r="B647" s="1708"/>
      <c r="C647" s="1709"/>
      <c r="D647" s="1709"/>
      <c r="E647" s="1710"/>
      <c r="F647" s="1710"/>
      <c r="G647" s="1710"/>
      <c r="H647" s="1710"/>
      <c r="I647" s="1710"/>
      <c r="J647" s="1710"/>
      <c r="K647" s="1710"/>
      <c r="L647" s="1710"/>
      <c r="M647" s="1711"/>
      <c r="N647" s="1711"/>
      <c r="O647" s="1711"/>
      <c r="P647" s="1711"/>
      <c r="Q647" s="1711"/>
      <c r="R647" s="1711"/>
      <c r="S647" s="1711"/>
      <c r="T647" s="1711"/>
      <c r="U647" s="1711"/>
      <c r="V647" s="1711"/>
      <c r="W647" s="1711"/>
      <c r="X647" s="1711"/>
      <c r="Y647" s="1712"/>
      <c r="Z647" s="1712"/>
      <c r="AA647" s="1712"/>
      <c r="AB647" s="1712"/>
      <c r="AC647" s="1712"/>
      <c r="AD647" s="1712"/>
      <c r="AE647" s="1712"/>
      <c r="AF647" s="1712"/>
      <c r="AG647" s="1712"/>
      <c r="AH647" s="1712"/>
      <c r="AI647" s="1712"/>
      <c r="AJ647" s="1712"/>
      <c r="AK647" s="1712"/>
      <c r="AL647" s="1712"/>
      <c r="AM647" s="1712"/>
      <c r="AN647" s="1712"/>
      <c r="AO647" s="1712"/>
      <c r="AP647" s="1712"/>
      <c r="AQ647" s="1712"/>
      <c r="AR647" s="1712"/>
      <c r="AS647" s="1712"/>
      <c r="AT647" s="1712"/>
    </row>
    <row r="648">
      <c r="A648" s="1474" t="s">
        <v>2461</v>
      </c>
      <c r="B648" s="1708"/>
      <c r="C648" s="1709"/>
      <c r="D648" s="1709"/>
      <c r="E648" s="1710"/>
      <c r="F648" s="1710"/>
      <c r="G648" s="1710"/>
      <c r="H648" s="1710"/>
      <c r="I648" s="1710"/>
      <c r="J648" s="1710"/>
      <c r="K648" s="1710"/>
      <c r="L648" s="1710"/>
      <c r="M648" s="1711"/>
      <c r="N648" s="1711"/>
      <c r="O648" s="1711"/>
      <c r="P648" s="1711"/>
      <c r="Q648" s="1711"/>
      <c r="R648" s="1711"/>
      <c r="S648" s="1711"/>
      <c r="T648" s="1711"/>
      <c r="U648" s="1711"/>
      <c r="V648" s="1711"/>
      <c r="W648" s="1711"/>
      <c r="X648" s="1711"/>
      <c r="Y648" s="1712"/>
      <c r="Z648" s="1712"/>
      <c r="AA648" s="1712"/>
      <c r="AB648" s="1712"/>
      <c r="AC648" s="1712"/>
      <c r="AD648" s="1712"/>
      <c r="AE648" s="1712"/>
      <c r="AF648" s="1712"/>
      <c r="AG648" s="1712"/>
      <c r="AH648" s="1712"/>
      <c r="AI648" s="1712"/>
      <c r="AJ648" s="1712"/>
      <c r="AK648" s="1712"/>
      <c r="AL648" s="1712"/>
      <c r="AM648" s="1712"/>
      <c r="AN648" s="1712"/>
      <c r="AO648" s="1712"/>
      <c r="AP648" s="1712"/>
      <c r="AQ648" s="1712"/>
      <c r="AR648" s="1712"/>
      <c r="AS648" s="1712"/>
      <c r="AT648" s="1712"/>
    </row>
    <row r="649">
      <c r="A649" s="1474" t="s">
        <v>2461</v>
      </c>
      <c r="B649" s="1708"/>
      <c r="C649" s="1709"/>
      <c r="D649" s="1709"/>
      <c r="E649" s="1710"/>
      <c r="F649" s="1710"/>
      <c r="G649" s="1710"/>
      <c r="H649" s="1710"/>
      <c r="I649" s="1710"/>
      <c r="J649" s="1710"/>
      <c r="K649" s="1710"/>
      <c r="L649" s="1710"/>
      <c r="M649" s="1711"/>
      <c r="N649" s="1711"/>
      <c r="O649" s="1711"/>
      <c r="P649" s="1711"/>
      <c r="Q649" s="1711"/>
      <c r="R649" s="1711"/>
      <c r="S649" s="1711"/>
      <c r="T649" s="1711"/>
      <c r="U649" s="1711"/>
      <c r="V649" s="1711"/>
      <c r="W649" s="1711"/>
      <c r="X649" s="1711"/>
      <c r="Y649" s="1712"/>
      <c r="Z649" s="1712"/>
      <c r="AA649" s="1712"/>
      <c r="AB649" s="1712"/>
      <c r="AC649" s="1712"/>
      <c r="AD649" s="1712"/>
      <c r="AE649" s="1712"/>
      <c r="AF649" s="1712"/>
      <c r="AG649" s="1712"/>
      <c r="AH649" s="1712"/>
      <c r="AI649" s="1712"/>
      <c r="AJ649" s="1712"/>
      <c r="AK649" s="1712"/>
      <c r="AL649" s="1712"/>
      <c r="AM649" s="1712"/>
      <c r="AN649" s="1712"/>
      <c r="AO649" s="1712"/>
      <c r="AP649" s="1712"/>
      <c r="AQ649" s="1712"/>
      <c r="AR649" s="1712"/>
      <c r="AS649" s="1712"/>
      <c r="AT649" s="1712"/>
    </row>
    <row r="650">
      <c r="A650" s="1474" t="s">
        <v>2461</v>
      </c>
      <c r="B650" s="1708"/>
      <c r="C650" s="1709"/>
      <c r="D650" s="1709"/>
      <c r="E650" s="1710"/>
      <c r="F650" s="1710"/>
      <c r="G650" s="1710"/>
      <c r="H650" s="1710"/>
      <c r="I650" s="1710"/>
      <c r="J650" s="1710"/>
      <c r="K650" s="1710"/>
      <c r="L650" s="1710"/>
      <c r="M650" s="1711"/>
      <c r="N650" s="1711"/>
      <c r="O650" s="1711"/>
      <c r="P650" s="1711"/>
      <c r="Q650" s="1711"/>
      <c r="R650" s="1711"/>
      <c r="S650" s="1711"/>
      <c r="T650" s="1711"/>
      <c r="U650" s="1711"/>
      <c r="V650" s="1711"/>
      <c r="W650" s="1711"/>
      <c r="X650" s="1711"/>
      <c r="Y650" s="1712"/>
      <c r="Z650" s="1712"/>
      <c r="AA650" s="1712"/>
      <c r="AB650" s="1712"/>
      <c r="AC650" s="1712"/>
      <c r="AD650" s="1712"/>
      <c r="AE650" s="1712"/>
      <c r="AF650" s="1712"/>
      <c r="AG650" s="1712"/>
      <c r="AH650" s="1712"/>
      <c r="AI650" s="1712"/>
      <c r="AJ650" s="1712"/>
      <c r="AK650" s="1712"/>
      <c r="AL650" s="1712"/>
      <c r="AM650" s="1712"/>
      <c r="AN650" s="1712"/>
      <c r="AO650" s="1712"/>
      <c r="AP650" s="1712"/>
      <c r="AQ650" s="1712"/>
      <c r="AR650" s="1712"/>
      <c r="AS650" s="1712"/>
      <c r="AT650" s="1712"/>
    </row>
    <row r="651">
      <c r="A651" s="1474" t="s">
        <v>2461</v>
      </c>
      <c r="B651" s="1708"/>
      <c r="C651" s="1709"/>
      <c r="D651" s="1709"/>
      <c r="E651" s="1710"/>
      <c r="F651" s="1710"/>
      <c r="G651" s="1710"/>
      <c r="H651" s="1710"/>
      <c r="I651" s="1710"/>
      <c r="J651" s="1710"/>
      <c r="K651" s="1710"/>
      <c r="L651" s="1710"/>
      <c r="M651" s="1711"/>
      <c r="N651" s="1711"/>
      <c r="O651" s="1711"/>
      <c r="P651" s="1711"/>
      <c r="Q651" s="1711"/>
      <c r="R651" s="1711"/>
      <c r="S651" s="1711"/>
      <c r="T651" s="1711"/>
      <c r="U651" s="1711"/>
      <c r="V651" s="1711"/>
      <c r="W651" s="1711"/>
      <c r="X651" s="1711"/>
      <c r="Y651" s="1712"/>
      <c r="Z651" s="1712"/>
      <c r="AA651" s="1712"/>
      <c r="AB651" s="1712"/>
      <c r="AC651" s="1712"/>
      <c r="AD651" s="1712"/>
      <c r="AE651" s="1712"/>
      <c r="AF651" s="1712"/>
      <c r="AG651" s="1712"/>
      <c r="AH651" s="1712"/>
      <c r="AI651" s="1712"/>
      <c r="AJ651" s="1712"/>
      <c r="AK651" s="1712"/>
      <c r="AL651" s="1712"/>
      <c r="AM651" s="1712"/>
      <c r="AN651" s="1712"/>
      <c r="AO651" s="1712"/>
      <c r="AP651" s="1712"/>
      <c r="AQ651" s="1712"/>
      <c r="AR651" s="1712"/>
      <c r="AS651" s="1712"/>
      <c r="AT651" s="1712"/>
    </row>
    <row r="652">
      <c r="A652" s="1474" t="s">
        <v>2461</v>
      </c>
      <c r="B652" s="1708"/>
      <c r="C652" s="1709"/>
      <c r="D652" s="1709"/>
      <c r="E652" s="1710"/>
      <c r="F652" s="1710"/>
      <c r="G652" s="1710"/>
      <c r="H652" s="1710"/>
      <c r="I652" s="1710"/>
      <c r="J652" s="1710"/>
      <c r="K652" s="1710"/>
      <c r="L652" s="1710"/>
      <c r="M652" s="1711"/>
      <c r="N652" s="1711"/>
      <c r="O652" s="1711"/>
      <c r="P652" s="1711"/>
      <c r="Q652" s="1711"/>
      <c r="R652" s="1711"/>
      <c r="S652" s="1711"/>
      <c r="T652" s="1711"/>
      <c r="U652" s="1711"/>
      <c r="V652" s="1711"/>
      <c r="W652" s="1711"/>
      <c r="X652" s="1711"/>
      <c r="Y652" s="1712"/>
      <c r="Z652" s="1712"/>
      <c r="AA652" s="1712"/>
      <c r="AB652" s="1712"/>
      <c r="AC652" s="1712"/>
      <c r="AD652" s="1712"/>
      <c r="AE652" s="1712"/>
      <c r="AF652" s="1712"/>
      <c r="AG652" s="1712"/>
      <c r="AH652" s="1712"/>
      <c r="AI652" s="1712"/>
      <c r="AJ652" s="1712"/>
      <c r="AK652" s="1712"/>
      <c r="AL652" s="1712"/>
      <c r="AM652" s="1712"/>
      <c r="AN652" s="1712"/>
      <c r="AO652" s="1712"/>
      <c r="AP652" s="1712"/>
      <c r="AQ652" s="1712"/>
      <c r="AR652" s="1712"/>
      <c r="AS652" s="1712"/>
      <c r="AT652" s="1712"/>
    </row>
    <row r="653">
      <c r="A653" s="1474" t="s">
        <v>2461</v>
      </c>
      <c r="B653" s="1708"/>
      <c r="C653" s="1709"/>
      <c r="D653" s="1709"/>
      <c r="E653" s="1710"/>
      <c r="F653" s="1710"/>
      <c r="G653" s="1710"/>
      <c r="H653" s="1710"/>
      <c r="I653" s="1710"/>
      <c r="J653" s="1710"/>
      <c r="K653" s="1710"/>
      <c r="L653" s="1710"/>
      <c r="M653" s="1711"/>
      <c r="N653" s="1711"/>
      <c r="O653" s="1711"/>
      <c r="P653" s="1711"/>
      <c r="Q653" s="1711"/>
      <c r="R653" s="1711"/>
      <c r="S653" s="1711"/>
      <c r="T653" s="1711"/>
      <c r="U653" s="1711"/>
      <c r="V653" s="1711"/>
      <c r="W653" s="1711"/>
      <c r="X653" s="1711"/>
      <c r="Y653" s="1712"/>
      <c r="Z653" s="1712"/>
      <c r="AA653" s="1712"/>
      <c r="AB653" s="1712"/>
      <c r="AC653" s="1712"/>
      <c r="AD653" s="1712"/>
      <c r="AE653" s="1712"/>
      <c r="AF653" s="1712"/>
      <c r="AG653" s="1712"/>
      <c r="AH653" s="1712"/>
      <c r="AI653" s="1712"/>
      <c r="AJ653" s="1712"/>
      <c r="AK653" s="1712"/>
      <c r="AL653" s="1712"/>
      <c r="AM653" s="1712"/>
      <c r="AN653" s="1712"/>
      <c r="AO653" s="1712"/>
      <c r="AP653" s="1712"/>
      <c r="AQ653" s="1712"/>
      <c r="AR653" s="1712"/>
      <c r="AS653" s="1712"/>
      <c r="AT653" s="1712"/>
    </row>
    <row r="654">
      <c r="A654" s="1474" t="s">
        <v>2461</v>
      </c>
      <c r="B654" s="1708"/>
      <c r="C654" s="1709"/>
      <c r="D654" s="1709"/>
      <c r="E654" s="1710"/>
      <c r="F654" s="1710"/>
      <c r="G654" s="1710"/>
      <c r="H654" s="1710"/>
      <c r="I654" s="1710"/>
      <c r="J654" s="1710"/>
      <c r="K654" s="1710"/>
      <c r="L654" s="1710"/>
      <c r="M654" s="1711"/>
      <c r="N654" s="1711"/>
      <c r="O654" s="1711"/>
      <c r="P654" s="1711"/>
      <c r="Q654" s="1711"/>
      <c r="R654" s="1711"/>
      <c r="S654" s="1711"/>
      <c r="T654" s="1711"/>
      <c r="U654" s="1711"/>
      <c r="V654" s="1711"/>
      <c r="W654" s="1711"/>
      <c r="X654" s="1711"/>
      <c r="Y654" s="1712"/>
      <c r="Z654" s="1712"/>
      <c r="AA654" s="1712"/>
      <c r="AB654" s="1712"/>
      <c r="AC654" s="1712"/>
      <c r="AD654" s="1712"/>
      <c r="AE654" s="1712"/>
      <c r="AF654" s="1712"/>
      <c r="AG654" s="1712"/>
      <c r="AH654" s="1712"/>
      <c r="AI654" s="1712"/>
      <c r="AJ654" s="1712"/>
      <c r="AK654" s="1712"/>
      <c r="AL654" s="1712"/>
      <c r="AM654" s="1712"/>
      <c r="AN654" s="1712"/>
      <c r="AO654" s="1712"/>
      <c r="AP654" s="1712"/>
      <c r="AQ654" s="1712"/>
      <c r="AR654" s="1712"/>
      <c r="AS654" s="1712"/>
      <c r="AT654" s="1712"/>
    </row>
    <row r="655">
      <c r="A655" s="1474" t="s">
        <v>2461</v>
      </c>
      <c r="B655" s="1708"/>
      <c r="C655" s="1709"/>
      <c r="D655" s="1709"/>
      <c r="E655" s="1710"/>
      <c r="F655" s="1710"/>
      <c r="G655" s="1710"/>
      <c r="H655" s="1710"/>
      <c r="I655" s="1710"/>
      <c r="J655" s="1710"/>
      <c r="K655" s="1710"/>
      <c r="L655" s="1710"/>
      <c r="M655" s="1711"/>
      <c r="N655" s="1711"/>
      <c r="O655" s="1711"/>
      <c r="P655" s="1711"/>
      <c r="Q655" s="1711"/>
      <c r="R655" s="1711"/>
      <c r="S655" s="1711"/>
      <c r="T655" s="1711"/>
      <c r="U655" s="1711"/>
      <c r="V655" s="1711"/>
      <c r="W655" s="1711"/>
      <c r="X655" s="1711"/>
      <c r="Y655" s="1712"/>
      <c r="Z655" s="1712"/>
      <c r="AA655" s="1712"/>
      <c r="AB655" s="1712"/>
      <c r="AC655" s="1712"/>
      <c r="AD655" s="1712"/>
      <c r="AE655" s="1712"/>
      <c r="AF655" s="1712"/>
      <c r="AG655" s="1712"/>
      <c r="AH655" s="1712"/>
      <c r="AI655" s="1712"/>
      <c r="AJ655" s="1712"/>
      <c r="AK655" s="1712"/>
      <c r="AL655" s="1712"/>
      <c r="AM655" s="1712"/>
      <c r="AN655" s="1712"/>
      <c r="AO655" s="1712"/>
      <c r="AP655" s="1712"/>
      <c r="AQ655" s="1712"/>
      <c r="AR655" s="1712"/>
      <c r="AS655" s="1712"/>
      <c r="AT655" s="1712"/>
    </row>
    <row r="656">
      <c r="A656" s="1474" t="s">
        <v>2461</v>
      </c>
      <c r="B656" s="1708"/>
      <c r="C656" s="1709"/>
      <c r="D656" s="1709"/>
      <c r="E656" s="1710"/>
      <c r="F656" s="1710"/>
      <c r="G656" s="1710"/>
      <c r="H656" s="1710"/>
      <c r="I656" s="1710"/>
      <c r="J656" s="1710"/>
      <c r="K656" s="1710"/>
      <c r="L656" s="1710"/>
      <c r="M656" s="1711"/>
      <c r="N656" s="1711"/>
      <c r="O656" s="1711"/>
      <c r="P656" s="1711"/>
      <c r="Q656" s="1711"/>
      <c r="R656" s="1711"/>
      <c r="S656" s="1711"/>
      <c r="T656" s="1711"/>
      <c r="U656" s="1711"/>
      <c r="V656" s="1711"/>
      <c r="W656" s="1711"/>
      <c r="X656" s="1711"/>
      <c r="Y656" s="1712"/>
      <c r="Z656" s="1712"/>
      <c r="AA656" s="1712"/>
      <c r="AB656" s="1712"/>
      <c r="AC656" s="1712"/>
      <c r="AD656" s="1712"/>
      <c r="AE656" s="1712"/>
      <c r="AF656" s="1712"/>
      <c r="AG656" s="1712"/>
      <c r="AH656" s="1712"/>
      <c r="AI656" s="1712"/>
      <c r="AJ656" s="1712"/>
      <c r="AK656" s="1712"/>
      <c r="AL656" s="1712"/>
      <c r="AM656" s="1712"/>
      <c r="AN656" s="1712"/>
      <c r="AO656" s="1712"/>
      <c r="AP656" s="1712"/>
      <c r="AQ656" s="1712"/>
      <c r="AR656" s="1712"/>
      <c r="AS656" s="1712"/>
      <c r="AT656" s="1712"/>
    </row>
    <row r="657">
      <c r="A657" s="1474" t="s">
        <v>2461</v>
      </c>
      <c r="B657" s="1708"/>
      <c r="C657" s="1709"/>
      <c r="D657" s="1709"/>
      <c r="E657" s="1710"/>
      <c r="F657" s="1710"/>
      <c r="G657" s="1710"/>
      <c r="H657" s="1710"/>
      <c r="I657" s="1710"/>
      <c r="J657" s="1710"/>
      <c r="K657" s="1710"/>
      <c r="L657" s="1710"/>
      <c r="M657" s="1711"/>
      <c r="N657" s="1711"/>
      <c r="O657" s="1711"/>
      <c r="P657" s="1711"/>
      <c r="Q657" s="1711"/>
      <c r="R657" s="1711"/>
      <c r="S657" s="1711"/>
      <c r="T657" s="1711"/>
      <c r="U657" s="1711"/>
      <c r="V657" s="1711"/>
      <c r="W657" s="1711"/>
      <c r="X657" s="1711"/>
      <c r="Y657" s="1712"/>
      <c r="Z657" s="1712"/>
      <c r="AA657" s="1712"/>
      <c r="AB657" s="1712"/>
      <c r="AC657" s="1712"/>
      <c r="AD657" s="1712"/>
      <c r="AE657" s="1712"/>
      <c r="AF657" s="1712"/>
      <c r="AG657" s="1712"/>
      <c r="AH657" s="1712"/>
      <c r="AI657" s="1712"/>
      <c r="AJ657" s="1712"/>
      <c r="AK657" s="1712"/>
      <c r="AL657" s="1712"/>
      <c r="AM657" s="1712"/>
      <c r="AN657" s="1712"/>
      <c r="AO657" s="1712"/>
      <c r="AP657" s="1712"/>
      <c r="AQ657" s="1712"/>
      <c r="AR657" s="1712"/>
      <c r="AS657" s="1712"/>
      <c r="AT657" s="1712"/>
    </row>
    <row r="658">
      <c r="A658" s="1474" t="s">
        <v>2461</v>
      </c>
      <c r="B658" s="1708"/>
      <c r="C658" s="1709"/>
      <c r="D658" s="1709"/>
      <c r="E658" s="1710"/>
      <c r="F658" s="1710"/>
      <c r="G658" s="1710"/>
      <c r="H658" s="1710"/>
      <c r="I658" s="1710"/>
      <c r="J658" s="1710"/>
      <c r="K658" s="1710"/>
      <c r="L658" s="1710"/>
      <c r="M658" s="1711"/>
      <c r="N658" s="1711"/>
      <c r="O658" s="1711"/>
      <c r="P658" s="1711"/>
      <c r="Q658" s="1711"/>
      <c r="R658" s="1711"/>
      <c r="S658" s="1711"/>
      <c r="T658" s="1711"/>
      <c r="U658" s="1711"/>
      <c r="V658" s="1711"/>
      <c r="W658" s="1711"/>
      <c r="X658" s="1711"/>
      <c r="Y658" s="1712"/>
      <c r="Z658" s="1712"/>
      <c r="AA658" s="1712"/>
      <c r="AB658" s="1712"/>
      <c r="AC658" s="1712"/>
      <c r="AD658" s="1712"/>
      <c r="AE658" s="1712"/>
      <c r="AF658" s="1712"/>
      <c r="AG658" s="1712"/>
      <c r="AH658" s="1712"/>
      <c r="AI658" s="1712"/>
      <c r="AJ658" s="1712"/>
      <c r="AK658" s="1712"/>
      <c r="AL658" s="1712"/>
      <c r="AM658" s="1712"/>
      <c r="AN658" s="1712"/>
      <c r="AO658" s="1712"/>
      <c r="AP658" s="1712"/>
      <c r="AQ658" s="1712"/>
      <c r="AR658" s="1712"/>
      <c r="AS658" s="1712"/>
      <c r="AT658" s="1712"/>
    </row>
    <row r="659">
      <c r="A659" s="1474" t="s">
        <v>2461</v>
      </c>
      <c r="B659" s="1708"/>
      <c r="C659" s="1709"/>
      <c r="D659" s="1709"/>
      <c r="E659" s="1710"/>
      <c r="F659" s="1710"/>
      <c r="G659" s="1710"/>
      <c r="H659" s="1710"/>
      <c r="I659" s="1710"/>
      <c r="J659" s="1710"/>
      <c r="K659" s="1710"/>
      <c r="L659" s="1710"/>
      <c r="M659" s="1711"/>
      <c r="N659" s="1711"/>
      <c r="O659" s="1711"/>
      <c r="P659" s="1711"/>
      <c r="Q659" s="1711"/>
      <c r="R659" s="1711"/>
      <c r="S659" s="1711"/>
      <c r="T659" s="1711"/>
      <c r="U659" s="1711"/>
      <c r="V659" s="1711"/>
      <c r="W659" s="1711"/>
      <c r="X659" s="1711"/>
      <c r="Y659" s="1712"/>
      <c r="Z659" s="1712"/>
      <c r="AA659" s="1712"/>
      <c r="AB659" s="1712"/>
      <c r="AC659" s="1712"/>
      <c r="AD659" s="1712"/>
      <c r="AE659" s="1712"/>
      <c r="AF659" s="1712"/>
      <c r="AG659" s="1712"/>
      <c r="AH659" s="1712"/>
      <c r="AI659" s="1712"/>
      <c r="AJ659" s="1712"/>
      <c r="AK659" s="1712"/>
      <c r="AL659" s="1712"/>
      <c r="AM659" s="1712"/>
      <c r="AN659" s="1712"/>
      <c r="AO659" s="1712"/>
      <c r="AP659" s="1712"/>
      <c r="AQ659" s="1712"/>
      <c r="AR659" s="1712"/>
      <c r="AS659" s="1712"/>
      <c r="AT659" s="1712"/>
    </row>
    <row r="660">
      <c r="A660" s="1474" t="s">
        <v>2461</v>
      </c>
      <c r="B660" s="1708"/>
      <c r="C660" s="1709"/>
      <c r="D660" s="1709"/>
      <c r="E660" s="1710"/>
      <c r="F660" s="1710"/>
      <c r="G660" s="1710"/>
      <c r="H660" s="1710"/>
      <c r="I660" s="1710"/>
      <c r="J660" s="1710"/>
      <c r="K660" s="1710"/>
      <c r="L660" s="1710"/>
      <c r="M660" s="1711"/>
      <c r="N660" s="1711"/>
      <c r="O660" s="1711"/>
      <c r="P660" s="1711"/>
      <c r="Q660" s="1711"/>
      <c r="R660" s="1711"/>
      <c r="S660" s="1711"/>
      <c r="T660" s="1711"/>
      <c r="U660" s="1711"/>
      <c r="V660" s="1711"/>
      <c r="W660" s="1711"/>
      <c r="X660" s="1711"/>
      <c r="Y660" s="1712"/>
      <c r="Z660" s="1712"/>
      <c r="AA660" s="1712"/>
      <c r="AB660" s="1712"/>
      <c r="AC660" s="1712"/>
      <c r="AD660" s="1712"/>
      <c r="AE660" s="1712"/>
      <c r="AF660" s="1712"/>
      <c r="AG660" s="1712"/>
      <c r="AH660" s="1712"/>
      <c r="AI660" s="1712"/>
      <c r="AJ660" s="1712"/>
      <c r="AK660" s="1712"/>
      <c r="AL660" s="1712"/>
      <c r="AM660" s="1712"/>
      <c r="AN660" s="1712"/>
      <c r="AO660" s="1712"/>
      <c r="AP660" s="1712"/>
      <c r="AQ660" s="1712"/>
      <c r="AR660" s="1712"/>
      <c r="AS660" s="1712"/>
      <c r="AT660" s="1712"/>
    </row>
    <row r="661">
      <c r="A661" s="1474" t="s">
        <v>2461</v>
      </c>
      <c r="B661" s="1708"/>
      <c r="C661" s="1709"/>
      <c r="D661" s="1709"/>
      <c r="E661" s="1710"/>
      <c r="F661" s="1710"/>
      <c r="G661" s="1710"/>
      <c r="H661" s="1710"/>
      <c r="I661" s="1710"/>
      <c r="J661" s="1710"/>
      <c r="K661" s="1710"/>
      <c r="L661" s="1710"/>
      <c r="M661" s="1711"/>
      <c r="N661" s="1711"/>
      <c r="O661" s="1711"/>
      <c r="P661" s="1711"/>
      <c r="Q661" s="1711"/>
      <c r="R661" s="1711"/>
      <c r="S661" s="1711"/>
      <c r="T661" s="1711"/>
      <c r="U661" s="1711"/>
      <c r="V661" s="1711"/>
      <c r="W661" s="1711"/>
      <c r="X661" s="1711"/>
      <c r="Y661" s="1712"/>
      <c r="Z661" s="1712"/>
      <c r="AA661" s="1712"/>
      <c r="AB661" s="1712"/>
      <c r="AC661" s="1712"/>
      <c r="AD661" s="1712"/>
      <c r="AE661" s="1712"/>
      <c r="AF661" s="1712"/>
      <c r="AG661" s="1712"/>
      <c r="AH661" s="1712"/>
      <c r="AI661" s="1712"/>
      <c r="AJ661" s="1712"/>
      <c r="AK661" s="1712"/>
      <c r="AL661" s="1712"/>
      <c r="AM661" s="1712"/>
      <c r="AN661" s="1712"/>
      <c r="AO661" s="1712"/>
      <c r="AP661" s="1712"/>
      <c r="AQ661" s="1712"/>
      <c r="AR661" s="1712"/>
      <c r="AS661" s="1712"/>
      <c r="AT661" s="1712"/>
    </row>
    <row r="662">
      <c r="A662" s="1474" t="s">
        <v>2461</v>
      </c>
      <c r="B662" s="1708"/>
      <c r="C662" s="1709"/>
      <c r="D662" s="1709"/>
      <c r="E662" s="1710"/>
      <c r="F662" s="1710"/>
      <c r="G662" s="1710"/>
      <c r="H662" s="1710"/>
      <c r="I662" s="1710"/>
      <c r="J662" s="1710"/>
      <c r="K662" s="1710"/>
      <c r="L662" s="1710"/>
      <c r="M662" s="1711"/>
      <c r="N662" s="1711"/>
      <c r="O662" s="1711"/>
      <c r="P662" s="1711"/>
      <c r="Q662" s="1711"/>
      <c r="R662" s="1711"/>
      <c r="S662" s="1711"/>
      <c r="T662" s="1711"/>
      <c r="U662" s="1711"/>
      <c r="V662" s="1711"/>
      <c r="W662" s="1711"/>
      <c r="X662" s="1711"/>
      <c r="Y662" s="1712"/>
      <c r="Z662" s="1712"/>
      <c r="AA662" s="1712"/>
      <c r="AB662" s="1712"/>
      <c r="AC662" s="1712"/>
      <c r="AD662" s="1712"/>
      <c r="AE662" s="1712"/>
      <c r="AF662" s="1712"/>
      <c r="AG662" s="1712"/>
      <c r="AH662" s="1712"/>
      <c r="AI662" s="1712"/>
      <c r="AJ662" s="1712"/>
      <c r="AK662" s="1712"/>
      <c r="AL662" s="1712"/>
      <c r="AM662" s="1712"/>
      <c r="AN662" s="1712"/>
      <c r="AO662" s="1712"/>
      <c r="AP662" s="1712"/>
      <c r="AQ662" s="1712"/>
      <c r="AR662" s="1712"/>
      <c r="AS662" s="1712"/>
      <c r="AT662" s="1712"/>
    </row>
    <row r="663">
      <c r="A663" s="1474" t="s">
        <v>2461</v>
      </c>
      <c r="B663" s="1708"/>
      <c r="C663" s="1709"/>
      <c r="D663" s="1709"/>
      <c r="E663" s="1710"/>
      <c r="F663" s="1710"/>
      <c r="G663" s="1710"/>
      <c r="H663" s="1710"/>
      <c r="I663" s="1710"/>
      <c r="J663" s="1710"/>
      <c r="K663" s="1710"/>
      <c r="L663" s="1710"/>
      <c r="M663" s="1711"/>
      <c r="N663" s="1711"/>
      <c r="O663" s="1711"/>
      <c r="P663" s="1711"/>
      <c r="Q663" s="1711"/>
      <c r="R663" s="1711"/>
      <c r="S663" s="1711"/>
      <c r="T663" s="1711"/>
      <c r="U663" s="1711"/>
      <c r="V663" s="1711"/>
      <c r="W663" s="1711"/>
      <c r="X663" s="1711"/>
      <c r="Y663" s="1712"/>
      <c r="Z663" s="1712"/>
      <c r="AA663" s="1712"/>
      <c r="AB663" s="1712"/>
      <c r="AC663" s="1712"/>
      <c r="AD663" s="1712"/>
      <c r="AE663" s="1712"/>
      <c r="AF663" s="1712"/>
      <c r="AG663" s="1712"/>
      <c r="AH663" s="1712"/>
      <c r="AI663" s="1712"/>
      <c r="AJ663" s="1712"/>
      <c r="AK663" s="1712"/>
      <c r="AL663" s="1712"/>
      <c r="AM663" s="1712"/>
      <c r="AN663" s="1712"/>
      <c r="AO663" s="1712"/>
      <c r="AP663" s="1712"/>
      <c r="AQ663" s="1712"/>
      <c r="AR663" s="1712"/>
      <c r="AS663" s="1712"/>
      <c r="AT663" s="1712"/>
    </row>
    <row r="664">
      <c r="A664" s="1474" t="s">
        <v>2461</v>
      </c>
      <c r="B664" s="1708"/>
      <c r="C664" s="1709"/>
      <c r="D664" s="1709"/>
      <c r="E664" s="1710"/>
      <c r="F664" s="1710"/>
      <c r="G664" s="1710"/>
      <c r="H664" s="1710"/>
      <c r="I664" s="1710"/>
      <c r="J664" s="1710"/>
      <c r="K664" s="1710"/>
      <c r="L664" s="1710"/>
      <c r="M664" s="1711"/>
      <c r="N664" s="1711"/>
      <c r="O664" s="1711"/>
      <c r="P664" s="1711"/>
      <c r="Q664" s="1711"/>
      <c r="R664" s="1711"/>
      <c r="S664" s="1711"/>
      <c r="T664" s="1711"/>
      <c r="U664" s="1711"/>
      <c r="V664" s="1711"/>
      <c r="W664" s="1711"/>
      <c r="X664" s="1711"/>
      <c r="Y664" s="1712"/>
      <c r="Z664" s="1712"/>
      <c r="AA664" s="1712"/>
      <c r="AB664" s="1712"/>
      <c r="AC664" s="1712"/>
      <c r="AD664" s="1712"/>
      <c r="AE664" s="1712"/>
      <c r="AF664" s="1712"/>
      <c r="AG664" s="1712"/>
      <c r="AH664" s="1712"/>
      <c r="AI664" s="1712"/>
      <c r="AJ664" s="1712"/>
      <c r="AK664" s="1712"/>
      <c r="AL664" s="1712"/>
      <c r="AM664" s="1712"/>
      <c r="AN664" s="1712"/>
      <c r="AO664" s="1712"/>
      <c r="AP664" s="1712"/>
      <c r="AQ664" s="1712"/>
      <c r="AR664" s="1712"/>
      <c r="AS664" s="1712"/>
      <c r="AT664" s="1712"/>
    </row>
    <row r="665">
      <c r="A665" s="1474" t="s">
        <v>2461</v>
      </c>
      <c r="B665" s="1708"/>
      <c r="C665" s="1709"/>
      <c r="D665" s="1709"/>
      <c r="E665" s="1710"/>
      <c r="F665" s="1710"/>
      <c r="G665" s="1710"/>
      <c r="H665" s="1710"/>
      <c r="I665" s="1710"/>
      <c r="J665" s="1710"/>
      <c r="K665" s="1710"/>
      <c r="L665" s="1710"/>
      <c r="M665" s="1711"/>
      <c r="N665" s="1711"/>
      <c r="O665" s="1711"/>
      <c r="P665" s="1711"/>
      <c r="Q665" s="1711"/>
      <c r="R665" s="1711"/>
      <c r="S665" s="1711"/>
      <c r="T665" s="1711"/>
      <c r="U665" s="1711"/>
      <c r="V665" s="1711"/>
      <c r="W665" s="1711"/>
      <c r="X665" s="1711"/>
      <c r="Y665" s="1712"/>
      <c r="Z665" s="1712"/>
      <c r="AA665" s="1712"/>
      <c r="AB665" s="1712"/>
      <c r="AC665" s="1712"/>
      <c r="AD665" s="1712"/>
      <c r="AE665" s="1712"/>
      <c r="AF665" s="1712"/>
      <c r="AG665" s="1712"/>
      <c r="AH665" s="1712"/>
      <c r="AI665" s="1712"/>
      <c r="AJ665" s="1712"/>
      <c r="AK665" s="1712"/>
      <c r="AL665" s="1712"/>
      <c r="AM665" s="1712"/>
      <c r="AN665" s="1712"/>
      <c r="AO665" s="1712"/>
      <c r="AP665" s="1712"/>
      <c r="AQ665" s="1712"/>
      <c r="AR665" s="1712"/>
      <c r="AS665" s="1712"/>
      <c r="AT665" s="1712"/>
    </row>
    <row r="666">
      <c r="A666" s="1474" t="s">
        <v>2461</v>
      </c>
      <c r="B666" s="1708"/>
      <c r="C666" s="1709"/>
      <c r="D666" s="1709"/>
      <c r="E666" s="1710"/>
      <c r="F666" s="1710"/>
      <c r="G666" s="1710"/>
      <c r="H666" s="1710"/>
      <c r="I666" s="1710"/>
      <c r="J666" s="1710"/>
      <c r="K666" s="1710"/>
      <c r="L666" s="1710"/>
      <c r="M666" s="1711"/>
      <c r="N666" s="1711"/>
      <c r="O666" s="1711"/>
      <c r="P666" s="1711"/>
      <c r="Q666" s="1711"/>
      <c r="R666" s="1711"/>
      <c r="S666" s="1711"/>
      <c r="T666" s="1711"/>
      <c r="U666" s="1711"/>
      <c r="V666" s="1711"/>
      <c r="W666" s="1711"/>
      <c r="X666" s="1711"/>
      <c r="Y666" s="1712"/>
      <c r="Z666" s="1712"/>
      <c r="AA666" s="1712"/>
      <c r="AB666" s="1712"/>
      <c r="AC666" s="1712"/>
      <c r="AD666" s="1712"/>
      <c r="AE666" s="1712"/>
      <c r="AF666" s="1712"/>
      <c r="AG666" s="1712"/>
      <c r="AH666" s="1712"/>
      <c r="AI666" s="1712"/>
      <c r="AJ666" s="1712"/>
      <c r="AK666" s="1712"/>
      <c r="AL666" s="1712"/>
      <c r="AM666" s="1712"/>
      <c r="AN666" s="1712"/>
      <c r="AO666" s="1712"/>
      <c r="AP666" s="1712"/>
      <c r="AQ666" s="1712"/>
      <c r="AR666" s="1712"/>
      <c r="AS666" s="1712"/>
      <c r="AT666" s="1712"/>
    </row>
    <row r="667">
      <c r="A667" s="1474" t="s">
        <v>2461</v>
      </c>
      <c r="B667" s="1708"/>
      <c r="C667" s="1709"/>
      <c r="D667" s="1709"/>
      <c r="E667" s="1710"/>
      <c r="F667" s="1710"/>
      <c r="G667" s="1710"/>
      <c r="H667" s="1710"/>
      <c r="I667" s="1710"/>
      <c r="J667" s="1710"/>
      <c r="K667" s="1710"/>
      <c r="L667" s="1710"/>
      <c r="M667" s="1711"/>
      <c r="N667" s="1711"/>
      <c r="O667" s="1711"/>
      <c r="P667" s="1711"/>
      <c r="Q667" s="1711"/>
      <c r="R667" s="1711"/>
      <c r="S667" s="1711"/>
      <c r="T667" s="1711"/>
      <c r="U667" s="1711"/>
      <c r="V667" s="1711"/>
      <c r="W667" s="1711"/>
      <c r="X667" s="1711"/>
      <c r="Y667" s="1712"/>
      <c r="Z667" s="1712"/>
      <c r="AA667" s="1712"/>
      <c r="AB667" s="1712"/>
      <c r="AC667" s="1712"/>
      <c r="AD667" s="1712"/>
      <c r="AE667" s="1712"/>
      <c r="AF667" s="1712"/>
      <c r="AG667" s="1712"/>
      <c r="AH667" s="1712"/>
      <c r="AI667" s="1712"/>
      <c r="AJ667" s="1712"/>
      <c r="AK667" s="1712"/>
      <c r="AL667" s="1712"/>
      <c r="AM667" s="1712"/>
      <c r="AN667" s="1712"/>
      <c r="AO667" s="1712"/>
      <c r="AP667" s="1712"/>
      <c r="AQ667" s="1712"/>
      <c r="AR667" s="1712"/>
      <c r="AS667" s="1712"/>
      <c r="AT667" s="1712"/>
    </row>
    <row r="668">
      <c r="A668" s="1474" t="s">
        <v>2461</v>
      </c>
      <c r="B668" s="1708"/>
      <c r="C668" s="1709"/>
      <c r="D668" s="1709"/>
      <c r="E668" s="1710"/>
      <c r="F668" s="1710"/>
      <c r="G668" s="1710"/>
      <c r="H668" s="1710"/>
      <c r="I668" s="1710"/>
      <c r="J668" s="1710"/>
      <c r="K668" s="1710"/>
      <c r="L668" s="1710"/>
      <c r="M668" s="1711"/>
      <c r="N668" s="1711"/>
      <c r="O668" s="1711"/>
      <c r="P668" s="1711"/>
      <c r="Q668" s="1711"/>
      <c r="R668" s="1711"/>
      <c r="S668" s="1711"/>
      <c r="T668" s="1711"/>
      <c r="U668" s="1711"/>
      <c r="V668" s="1711"/>
      <c r="W668" s="1711"/>
      <c r="X668" s="1711"/>
      <c r="Y668" s="1712"/>
      <c r="Z668" s="1712"/>
      <c r="AA668" s="1712"/>
      <c r="AB668" s="1712"/>
      <c r="AC668" s="1712"/>
      <c r="AD668" s="1712"/>
      <c r="AE668" s="1712"/>
      <c r="AF668" s="1712"/>
      <c r="AG668" s="1712"/>
      <c r="AH668" s="1712"/>
      <c r="AI668" s="1712"/>
      <c r="AJ668" s="1712"/>
      <c r="AK668" s="1712"/>
      <c r="AL668" s="1712"/>
      <c r="AM668" s="1712"/>
      <c r="AN668" s="1712"/>
      <c r="AO668" s="1712"/>
      <c r="AP668" s="1712"/>
      <c r="AQ668" s="1712"/>
      <c r="AR668" s="1712"/>
      <c r="AS668" s="1712"/>
      <c r="AT668" s="1712"/>
    </row>
    <row r="669">
      <c r="A669" s="1474" t="s">
        <v>2461</v>
      </c>
      <c r="B669" s="1708"/>
      <c r="C669" s="1709"/>
      <c r="D669" s="1709"/>
      <c r="E669" s="1710"/>
      <c r="F669" s="1710"/>
      <c r="G669" s="1710"/>
      <c r="H669" s="1710"/>
      <c r="I669" s="1710"/>
      <c r="J669" s="1710"/>
      <c r="K669" s="1710"/>
      <c r="L669" s="1710"/>
      <c r="M669" s="1711"/>
      <c r="N669" s="1711"/>
      <c r="O669" s="1711"/>
      <c r="P669" s="1711"/>
      <c r="Q669" s="1711"/>
      <c r="R669" s="1711"/>
      <c r="S669" s="1711"/>
      <c r="T669" s="1711"/>
      <c r="U669" s="1711"/>
      <c r="V669" s="1711"/>
      <c r="W669" s="1711"/>
      <c r="X669" s="1711"/>
      <c r="Y669" s="1712"/>
      <c r="Z669" s="1712"/>
      <c r="AA669" s="1712"/>
      <c r="AB669" s="1712"/>
      <c r="AC669" s="1712"/>
      <c r="AD669" s="1712"/>
      <c r="AE669" s="1712"/>
      <c r="AF669" s="1712"/>
      <c r="AG669" s="1712"/>
      <c r="AH669" s="1712"/>
      <c r="AI669" s="1712"/>
      <c r="AJ669" s="1712"/>
      <c r="AK669" s="1712"/>
      <c r="AL669" s="1712"/>
      <c r="AM669" s="1712"/>
      <c r="AN669" s="1712"/>
      <c r="AO669" s="1712"/>
      <c r="AP669" s="1712"/>
      <c r="AQ669" s="1712"/>
      <c r="AR669" s="1712"/>
      <c r="AS669" s="1712"/>
      <c r="AT669" s="1712"/>
    </row>
    <row r="670">
      <c r="A670" s="1474" t="s">
        <v>2461</v>
      </c>
      <c r="B670" s="1708"/>
      <c r="C670" s="1709"/>
      <c r="D670" s="1709"/>
      <c r="E670" s="1710"/>
      <c r="F670" s="1710"/>
      <c r="G670" s="1710"/>
      <c r="H670" s="1710"/>
      <c r="I670" s="1710"/>
      <c r="J670" s="1710"/>
      <c r="K670" s="1710"/>
      <c r="L670" s="1710"/>
      <c r="M670" s="1711"/>
      <c r="N670" s="1711"/>
      <c r="O670" s="1711"/>
      <c r="P670" s="1711"/>
      <c r="Q670" s="1711"/>
      <c r="R670" s="1711"/>
      <c r="S670" s="1711"/>
      <c r="T670" s="1711"/>
      <c r="U670" s="1711"/>
      <c r="V670" s="1711"/>
      <c r="W670" s="1711"/>
      <c r="X670" s="1711"/>
      <c r="Y670" s="1712"/>
      <c r="Z670" s="1712"/>
      <c r="AA670" s="1712"/>
      <c r="AB670" s="1712"/>
      <c r="AC670" s="1712"/>
      <c r="AD670" s="1712"/>
      <c r="AE670" s="1712"/>
      <c r="AF670" s="1712"/>
      <c r="AG670" s="1712"/>
      <c r="AH670" s="1712"/>
      <c r="AI670" s="1712"/>
      <c r="AJ670" s="1712"/>
      <c r="AK670" s="1712"/>
      <c r="AL670" s="1712"/>
      <c r="AM670" s="1712"/>
      <c r="AN670" s="1712"/>
      <c r="AO670" s="1712"/>
      <c r="AP670" s="1712"/>
      <c r="AQ670" s="1712"/>
      <c r="AR670" s="1712"/>
      <c r="AS670" s="1712"/>
      <c r="AT670" s="1712"/>
    </row>
    <row r="671">
      <c r="A671" s="1474" t="s">
        <v>2461</v>
      </c>
      <c r="B671" s="1708"/>
      <c r="C671" s="1709"/>
      <c r="D671" s="1709"/>
      <c r="E671" s="1710"/>
      <c r="F671" s="1710"/>
      <c r="G671" s="1710"/>
      <c r="H671" s="1710"/>
      <c r="I671" s="1710"/>
      <c r="J671" s="1710"/>
      <c r="K671" s="1710"/>
      <c r="L671" s="1710"/>
      <c r="M671" s="1711"/>
      <c r="N671" s="1711"/>
      <c r="O671" s="1711"/>
      <c r="P671" s="1711"/>
      <c r="Q671" s="1711"/>
      <c r="R671" s="1711"/>
      <c r="S671" s="1711"/>
      <c r="T671" s="1711"/>
      <c r="U671" s="1711"/>
      <c r="V671" s="1711"/>
      <c r="W671" s="1711"/>
      <c r="X671" s="1711"/>
      <c r="Y671" s="1712"/>
      <c r="Z671" s="1712"/>
      <c r="AA671" s="1712"/>
      <c r="AB671" s="1712"/>
      <c r="AC671" s="1712"/>
      <c r="AD671" s="1712"/>
      <c r="AE671" s="1712"/>
      <c r="AF671" s="1712"/>
      <c r="AG671" s="1712"/>
      <c r="AH671" s="1712"/>
      <c r="AI671" s="1712"/>
      <c r="AJ671" s="1712"/>
      <c r="AK671" s="1712"/>
      <c r="AL671" s="1712"/>
      <c r="AM671" s="1712"/>
      <c r="AN671" s="1712"/>
      <c r="AO671" s="1712"/>
      <c r="AP671" s="1712"/>
      <c r="AQ671" s="1712"/>
      <c r="AR671" s="1712"/>
      <c r="AS671" s="1712"/>
      <c r="AT671" s="1712"/>
    </row>
    <row r="672">
      <c r="A672" s="1474" t="s">
        <v>2461</v>
      </c>
      <c r="B672" s="1708"/>
      <c r="C672" s="1709"/>
      <c r="D672" s="1709"/>
      <c r="E672" s="1710"/>
      <c r="F672" s="1710"/>
      <c r="G672" s="1710"/>
      <c r="H672" s="1710"/>
      <c r="I672" s="1710"/>
      <c r="J672" s="1710"/>
      <c r="K672" s="1710"/>
      <c r="L672" s="1710"/>
      <c r="M672" s="1711"/>
      <c r="N672" s="1711"/>
      <c r="O672" s="1711"/>
      <c r="P672" s="1711"/>
      <c r="Q672" s="1711"/>
      <c r="R672" s="1711"/>
      <c r="S672" s="1711"/>
      <c r="T672" s="1711"/>
      <c r="U672" s="1711"/>
      <c r="V672" s="1711"/>
      <c r="W672" s="1711"/>
      <c r="X672" s="1711"/>
      <c r="Y672" s="1712"/>
      <c r="Z672" s="1712"/>
      <c r="AA672" s="1712"/>
      <c r="AB672" s="1712"/>
      <c r="AC672" s="1712"/>
      <c r="AD672" s="1712"/>
      <c r="AE672" s="1712"/>
      <c r="AF672" s="1712"/>
      <c r="AG672" s="1712"/>
      <c r="AH672" s="1712"/>
      <c r="AI672" s="1712"/>
      <c r="AJ672" s="1712"/>
      <c r="AK672" s="1712"/>
      <c r="AL672" s="1712"/>
      <c r="AM672" s="1712"/>
      <c r="AN672" s="1712"/>
      <c r="AO672" s="1712"/>
      <c r="AP672" s="1712"/>
      <c r="AQ672" s="1712"/>
      <c r="AR672" s="1712"/>
      <c r="AS672" s="1712"/>
      <c r="AT672" s="1712"/>
    </row>
    <row r="673">
      <c r="A673" s="1474" t="s">
        <v>2461</v>
      </c>
      <c r="B673" s="1708"/>
      <c r="C673" s="1709"/>
      <c r="D673" s="1709"/>
      <c r="E673" s="1710"/>
      <c r="F673" s="1710"/>
      <c r="G673" s="1710"/>
      <c r="H673" s="1710"/>
      <c r="I673" s="1710"/>
      <c r="J673" s="1710"/>
      <c r="K673" s="1710"/>
      <c r="L673" s="1710"/>
      <c r="M673" s="1711"/>
      <c r="N673" s="1711"/>
      <c r="O673" s="1711"/>
      <c r="P673" s="1711"/>
      <c r="Q673" s="1711"/>
      <c r="R673" s="1711"/>
      <c r="S673" s="1711"/>
      <c r="T673" s="1711"/>
      <c r="U673" s="1711"/>
      <c r="V673" s="1711"/>
      <c r="W673" s="1711"/>
      <c r="X673" s="1711"/>
      <c r="Y673" s="1712"/>
      <c r="Z673" s="1712"/>
      <c r="AA673" s="1712"/>
      <c r="AB673" s="1712"/>
      <c r="AC673" s="1712"/>
      <c r="AD673" s="1712"/>
      <c r="AE673" s="1712"/>
      <c r="AF673" s="1712"/>
      <c r="AG673" s="1712"/>
      <c r="AH673" s="1712"/>
      <c r="AI673" s="1712"/>
      <c r="AJ673" s="1712"/>
      <c r="AK673" s="1712"/>
      <c r="AL673" s="1712"/>
      <c r="AM673" s="1712"/>
      <c r="AN673" s="1712"/>
      <c r="AO673" s="1712"/>
      <c r="AP673" s="1712"/>
      <c r="AQ673" s="1712"/>
      <c r="AR673" s="1712"/>
      <c r="AS673" s="1712"/>
      <c r="AT673" s="1712"/>
    </row>
    <row r="674">
      <c r="A674" s="1474" t="s">
        <v>2461</v>
      </c>
      <c r="B674" s="1708"/>
      <c r="C674" s="1709"/>
      <c r="D674" s="1709"/>
      <c r="E674" s="1710"/>
      <c r="F674" s="1710"/>
      <c r="G674" s="1710"/>
      <c r="H674" s="1710"/>
      <c r="I674" s="1710"/>
      <c r="J674" s="1710"/>
      <c r="K674" s="1710"/>
      <c r="L674" s="1710"/>
      <c r="M674" s="1711"/>
      <c r="N674" s="1711"/>
      <c r="O674" s="1711"/>
      <c r="P674" s="1711"/>
      <c r="Q674" s="1711"/>
      <c r="R674" s="1711"/>
      <c r="S674" s="1711"/>
      <c r="T674" s="1711"/>
      <c r="U674" s="1711"/>
      <c r="V674" s="1711"/>
      <c r="W674" s="1711"/>
      <c r="X674" s="1711"/>
      <c r="Y674" s="1712"/>
      <c r="Z674" s="1712"/>
      <c r="AA674" s="1712"/>
      <c r="AB674" s="1712"/>
      <c r="AC674" s="1712"/>
      <c r="AD674" s="1712"/>
      <c r="AE674" s="1712"/>
      <c r="AF674" s="1712"/>
      <c r="AG674" s="1712"/>
      <c r="AH674" s="1712"/>
      <c r="AI674" s="1712"/>
      <c r="AJ674" s="1712"/>
      <c r="AK674" s="1712"/>
      <c r="AL674" s="1712"/>
      <c r="AM674" s="1712"/>
      <c r="AN674" s="1712"/>
      <c r="AO674" s="1712"/>
      <c r="AP674" s="1712"/>
      <c r="AQ674" s="1712"/>
      <c r="AR674" s="1712"/>
      <c r="AS674" s="1712"/>
      <c r="AT674" s="1712"/>
    </row>
    <row r="675">
      <c r="A675" s="1474" t="s">
        <v>2461</v>
      </c>
      <c r="B675" s="1708"/>
      <c r="C675" s="1709"/>
      <c r="D675" s="1709"/>
      <c r="E675" s="1710"/>
      <c r="F675" s="1710"/>
      <c r="G675" s="1710"/>
      <c r="H675" s="1710"/>
      <c r="I675" s="1710"/>
      <c r="J675" s="1710"/>
      <c r="K675" s="1710"/>
      <c r="L675" s="1710"/>
      <c r="M675" s="1711"/>
      <c r="N675" s="1711"/>
      <c r="O675" s="1711"/>
      <c r="P675" s="1711"/>
      <c r="Q675" s="1711"/>
      <c r="R675" s="1711"/>
      <c r="S675" s="1711"/>
      <c r="T675" s="1711"/>
      <c r="U675" s="1711"/>
      <c r="V675" s="1711"/>
      <c r="W675" s="1711"/>
      <c r="X675" s="1711"/>
      <c r="Y675" s="1712"/>
      <c r="Z675" s="1712"/>
      <c r="AA675" s="1712"/>
      <c r="AB675" s="1712"/>
      <c r="AC675" s="1712"/>
      <c r="AD675" s="1712"/>
      <c r="AE675" s="1712"/>
      <c r="AF675" s="1712"/>
      <c r="AG675" s="1712"/>
      <c r="AH675" s="1712"/>
      <c r="AI675" s="1712"/>
      <c r="AJ675" s="1712"/>
      <c r="AK675" s="1712"/>
      <c r="AL675" s="1712"/>
      <c r="AM675" s="1712"/>
      <c r="AN675" s="1712"/>
      <c r="AO675" s="1712"/>
      <c r="AP675" s="1712"/>
      <c r="AQ675" s="1712"/>
      <c r="AR675" s="1712"/>
      <c r="AS675" s="1712"/>
      <c r="AT675" s="1712"/>
    </row>
    <row r="676">
      <c r="A676" s="1474" t="s">
        <v>2461</v>
      </c>
      <c r="B676" s="1708"/>
      <c r="C676" s="1709"/>
      <c r="D676" s="1709"/>
      <c r="E676" s="1710"/>
      <c r="F676" s="1710"/>
      <c r="G676" s="1710"/>
      <c r="H676" s="1710"/>
      <c r="I676" s="1710"/>
      <c r="J676" s="1710"/>
      <c r="K676" s="1710"/>
      <c r="L676" s="1710"/>
      <c r="M676" s="1711"/>
      <c r="N676" s="1711"/>
      <c r="O676" s="1711"/>
      <c r="P676" s="1711"/>
      <c r="Q676" s="1711"/>
      <c r="R676" s="1711"/>
      <c r="S676" s="1711"/>
      <c r="T676" s="1711"/>
      <c r="U676" s="1711"/>
      <c r="V676" s="1711"/>
      <c r="W676" s="1711"/>
      <c r="X676" s="1711"/>
      <c r="Y676" s="1712"/>
      <c r="Z676" s="1712"/>
      <c r="AA676" s="1712"/>
      <c r="AB676" s="1712"/>
      <c r="AC676" s="1712"/>
      <c r="AD676" s="1712"/>
      <c r="AE676" s="1712"/>
      <c r="AF676" s="1712"/>
      <c r="AG676" s="1712"/>
      <c r="AH676" s="1712"/>
      <c r="AI676" s="1712"/>
      <c r="AJ676" s="1712"/>
      <c r="AK676" s="1712"/>
      <c r="AL676" s="1712"/>
      <c r="AM676" s="1712"/>
      <c r="AN676" s="1712"/>
      <c r="AO676" s="1712"/>
      <c r="AP676" s="1712"/>
      <c r="AQ676" s="1712"/>
      <c r="AR676" s="1712"/>
      <c r="AS676" s="1712"/>
      <c r="AT676" s="1712"/>
    </row>
    <row r="677">
      <c r="A677" s="1474" t="s">
        <v>2461</v>
      </c>
      <c r="B677" s="1708"/>
      <c r="C677" s="1709"/>
      <c r="D677" s="1709"/>
      <c r="E677" s="1710"/>
      <c r="F677" s="1710"/>
      <c r="G677" s="1710"/>
      <c r="H677" s="1710"/>
      <c r="I677" s="1710"/>
      <c r="J677" s="1710"/>
      <c r="K677" s="1710"/>
      <c r="L677" s="1710"/>
      <c r="M677" s="1711"/>
      <c r="N677" s="1711"/>
      <c r="O677" s="1711"/>
      <c r="P677" s="1711"/>
      <c r="Q677" s="1711"/>
      <c r="R677" s="1711"/>
      <c r="S677" s="1711"/>
      <c r="T677" s="1711"/>
      <c r="U677" s="1711"/>
      <c r="V677" s="1711"/>
      <c r="W677" s="1711"/>
      <c r="X677" s="1711"/>
      <c r="Y677" s="1712"/>
      <c r="Z677" s="1712"/>
      <c r="AA677" s="1712"/>
      <c r="AB677" s="1712"/>
      <c r="AC677" s="1712"/>
      <c r="AD677" s="1712"/>
      <c r="AE677" s="1712"/>
      <c r="AF677" s="1712"/>
      <c r="AG677" s="1712"/>
      <c r="AH677" s="1712"/>
      <c r="AI677" s="1712"/>
      <c r="AJ677" s="1712"/>
      <c r="AK677" s="1712"/>
      <c r="AL677" s="1712"/>
      <c r="AM677" s="1712"/>
      <c r="AN677" s="1712"/>
      <c r="AO677" s="1712"/>
      <c r="AP677" s="1712"/>
      <c r="AQ677" s="1712"/>
      <c r="AR677" s="1712"/>
      <c r="AS677" s="1712"/>
      <c r="AT677" s="1712"/>
    </row>
    <row r="678">
      <c r="A678" s="1474" t="s">
        <v>2461</v>
      </c>
      <c r="B678" s="1708"/>
      <c r="C678" s="1709"/>
      <c r="D678" s="1709"/>
      <c r="E678" s="1710"/>
      <c r="F678" s="1710"/>
      <c r="G678" s="1710"/>
      <c r="H678" s="1710"/>
      <c r="I678" s="1710"/>
      <c r="J678" s="1710"/>
      <c r="K678" s="1710"/>
      <c r="L678" s="1710"/>
      <c r="M678" s="1711"/>
      <c r="N678" s="1711"/>
      <c r="O678" s="1711"/>
      <c r="P678" s="1711"/>
      <c r="Q678" s="1711"/>
      <c r="R678" s="1711"/>
      <c r="S678" s="1711"/>
      <c r="T678" s="1711"/>
      <c r="U678" s="1711"/>
      <c r="V678" s="1711"/>
      <c r="W678" s="1711"/>
      <c r="X678" s="1711"/>
      <c r="Y678" s="1712"/>
      <c r="Z678" s="1712"/>
      <c r="AA678" s="1712"/>
      <c r="AB678" s="1712"/>
      <c r="AC678" s="1712"/>
      <c r="AD678" s="1712"/>
      <c r="AE678" s="1712"/>
      <c r="AF678" s="1712"/>
      <c r="AG678" s="1712"/>
      <c r="AH678" s="1712"/>
      <c r="AI678" s="1712"/>
      <c r="AJ678" s="1712"/>
      <c r="AK678" s="1712"/>
      <c r="AL678" s="1712"/>
      <c r="AM678" s="1712"/>
      <c r="AN678" s="1712"/>
      <c r="AO678" s="1712"/>
      <c r="AP678" s="1712"/>
      <c r="AQ678" s="1712"/>
      <c r="AR678" s="1712"/>
      <c r="AS678" s="1712"/>
      <c r="AT678" s="1712"/>
    </row>
    <row r="679">
      <c r="A679" s="1474" t="s">
        <v>2461</v>
      </c>
      <c r="B679" s="1708"/>
      <c r="C679" s="1709"/>
      <c r="D679" s="1709"/>
      <c r="E679" s="1710"/>
      <c r="F679" s="1710"/>
      <c r="G679" s="1710"/>
      <c r="H679" s="1710"/>
      <c r="I679" s="1710"/>
      <c r="J679" s="1710"/>
      <c r="K679" s="1710"/>
      <c r="L679" s="1710"/>
      <c r="M679" s="1711"/>
      <c r="N679" s="1711"/>
      <c r="O679" s="1711"/>
      <c r="P679" s="1711"/>
      <c r="Q679" s="1711"/>
      <c r="R679" s="1711"/>
      <c r="S679" s="1711"/>
      <c r="T679" s="1711"/>
      <c r="U679" s="1711"/>
      <c r="V679" s="1711"/>
      <c r="W679" s="1711"/>
      <c r="X679" s="1711"/>
      <c r="Y679" s="1712"/>
      <c r="Z679" s="1712"/>
      <c r="AA679" s="1712"/>
      <c r="AB679" s="1712"/>
      <c r="AC679" s="1712"/>
      <c r="AD679" s="1712"/>
      <c r="AE679" s="1712"/>
      <c r="AF679" s="1712"/>
      <c r="AG679" s="1712"/>
      <c r="AH679" s="1712"/>
      <c r="AI679" s="1712"/>
      <c r="AJ679" s="1712"/>
      <c r="AK679" s="1712"/>
      <c r="AL679" s="1712"/>
      <c r="AM679" s="1712"/>
      <c r="AN679" s="1712"/>
      <c r="AO679" s="1712"/>
      <c r="AP679" s="1712"/>
      <c r="AQ679" s="1712"/>
      <c r="AR679" s="1712"/>
      <c r="AS679" s="1712"/>
      <c r="AT679" s="1712"/>
    </row>
    <row r="680">
      <c r="A680" s="1474" t="s">
        <v>2461</v>
      </c>
      <c r="B680" s="1708"/>
      <c r="C680" s="1709"/>
      <c r="D680" s="1709"/>
      <c r="E680" s="1710"/>
      <c r="F680" s="1710"/>
      <c r="G680" s="1710"/>
      <c r="H680" s="1710"/>
      <c r="I680" s="1710"/>
      <c r="J680" s="1710"/>
      <c r="K680" s="1710"/>
      <c r="L680" s="1710"/>
      <c r="M680" s="1711"/>
      <c r="N680" s="1711"/>
      <c r="O680" s="1711"/>
      <c r="P680" s="1711"/>
      <c r="Q680" s="1711"/>
      <c r="R680" s="1711"/>
      <c r="S680" s="1711"/>
      <c r="T680" s="1711"/>
      <c r="U680" s="1711"/>
      <c r="V680" s="1711"/>
      <c r="W680" s="1711"/>
      <c r="X680" s="1711"/>
      <c r="Y680" s="1712"/>
      <c r="Z680" s="1712"/>
      <c r="AA680" s="1712"/>
      <c r="AB680" s="1712"/>
      <c r="AC680" s="1712"/>
      <c r="AD680" s="1712"/>
      <c r="AE680" s="1712"/>
      <c r="AF680" s="1712"/>
      <c r="AG680" s="1712"/>
      <c r="AH680" s="1712"/>
      <c r="AI680" s="1712"/>
      <c r="AJ680" s="1712"/>
      <c r="AK680" s="1712"/>
      <c r="AL680" s="1712"/>
      <c r="AM680" s="1712"/>
      <c r="AN680" s="1712"/>
      <c r="AO680" s="1712"/>
      <c r="AP680" s="1712"/>
      <c r="AQ680" s="1712"/>
      <c r="AR680" s="1712"/>
      <c r="AS680" s="1712"/>
      <c r="AT680" s="1712"/>
    </row>
    <row r="681">
      <c r="A681" s="1474" t="s">
        <v>2461</v>
      </c>
      <c r="B681" s="1708"/>
      <c r="C681" s="1709"/>
      <c r="D681" s="1709"/>
      <c r="E681" s="1710"/>
      <c r="F681" s="1710"/>
      <c r="G681" s="1710"/>
      <c r="H681" s="1710"/>
      <c r="I681" s="1710"/>
      <c r="J681" s="1710"/>
      <c r="K681" s="1710"/>
      <c r="L681" s="1710"/>
      <c r="M681" s="1711"/>
      <c r="N681" s="1711"/>
      <c r="O681" s="1711"/>
      <c r="P681" s="1711"/>
      <c r="Q681" s="1711"/>
      <c r="R681" s="1711"/>
      <c r="S681" s="1711"/>
      <c r="T681" s="1711"/>
      <c r="U681" s="1711"/>
      <c r="V681" s="1711"/>
      <c r="W681" s="1711"/>
      <c r="X681" s="1711"/>
      <c r="Y681" s="1712"/>
      <c r="Z681" s="1712"/>
      <c r="AA681" s="1712"/>
      <c r="AB681" s="1712"/>
      <c r="AC681" s="1712"/>
      <c r="AD681" s="1712"/>
      <c r="AE681" s="1712"/>
      <c r="AF681" s="1712"/>
      <c r="AG681" s="1712"/>
      <c r="AH681" s="1712"/>
      <c r="AI681" s="1712"/>
      <c r="AJ681" s="1712"/>
      <c r="AK681" s="1712"/>
      <c r="AL681" s="1712"/>
      <c r="AM681" s="1712"/>
      <c r="AN681" s="1712"/>
      <c r="AO681" s="1712"/>
      <c r="AP681" s="1712"/>
      <c r="AQ681" s="1712"/>
      <c r="AR681" s="1712"/>
      <c r="AS681" s="1712"/>
      <c r="AT681" s="1712"/>
    </row>
    <row r="682">
      <c r="A682" s="1474" t="s">
        <v>2461</v>
      </c>
      <c r="B682" s="1708"/>
      <c r="C682" s="1709"/>
      <c r="D682" s="1709"/>
      <c r="E682" s="1710"/>
      <c r="F682" s="1710"/>
      <c r="G682" s="1710"/>
      <c r="H682" s="1710"/>
      <c r="I682" s="1710"/>
      <c r="J682" s="1710"/>
      <c r="K682" s="1710"/>
      <c r="L682" s="1710"/>
      <c r="M682" s="1711"/>
      <c r="N682" s="1711"/>
      <c r="O682" s="1711"/>
      <c r="P682" s="1711"/>
      <c r="Q682" s="1711"/>
      <c r="R682" s="1711"/>
      <c r="S682" s="1711"/>
      <c r="T682" s="1711"/>
      <c r="U682" s="1711"/>
      <c r="V682" s="1711"/>
      <c r="W682" s="1711"/>
      <c r="X682" s="1711"/>
      <c r="Y682" s="1712"/>
      <c r="Z682" s="1712"/>
      <c r="AA682" s="1712"/>
      <c r="AB682" s="1712"/>
      <c r="AC682" s="1712"/>
      <c r="AD682" s="1712"/>
      <c r="AE682" s="1712"/>
      <c r="AF682" s="1712"/>
      <c r="AG682" s="1712"/>
      <c r="AH682" s="1712"/>
      <c r="AI682" s="1712"/>
      <c r="AJ682" s="1712"/>
      <c r="AK682" s="1712"/>
      <c r="AL682" s="1712"/>
      <c r="AM682" s="1712"/>
      <c r="AN682" s="1712"/>
      <c r="AO682" s="1712"/>
      <c r="AP682" s="1712"/>
      <c r="AQ682" s="1712"/>
      <c r="AR682" s="1712"/>
      <c r="AS682" s="1712"/>
      <c r="AT682" s="1712"/>
    </row>
    <row r="683">
      <c r="A683" s="1474" t="s">
        <v>2461</v>
      </c>
      <c r="B683" s="1708"/>
      <c r="C683" s="1709"/>
      <c r="D683" s="1709"/>
      <c r="E683" s="1710"/>
      <c r="F683" s="1710"/>
      <c r="G683" s="1710"/>
      <c r="H683" s="1710"/>
      <c r="I683" s="1710"/>
      <c r="J683" s="1710"/>
      <c r="K683" s="1710"/>
      <c r="L683" s="1710"/>
      <c r="M683" s="1711"/>
      <c r="N683" s="1711"/>
      <c r="O683" s="1711"/>
      <c r="P683" s="1711"/>
      <c r="Q683" s="1711"/>
      <c r="R683" s="1711"/>
      <c r="S683" s="1711"/>
      <c r="T683" s="1711"/>
      <c r="U683" s="1711"/>
      <c r="V683" s="1711"/>
      <c r="W683" s="1711"/>
      <c r="X683" s="1711"/>
      <c r="Y683" s="1712"/>
      <c r="Z683" s="1712"/>
      <c r="AA683" s="1712"/>
      <c r="AB683" s="1712"/>
      <c r="AC683" s="1712"/>
      <c r="AD683" s="1712"/>
      <c r="AE683" s="1712"/>
      <c r="AF683" s="1712"/>
      <c r="AG683" s="1712"/>
      <c r="AH683" s="1712"/>
      <c r="AI683" s="1712"/>
      <c r="AJ683" s="1712"/>
      <c r="AK683" s="1712"/>
      <c r="AL683" s="1712"/>
      <c r="AM683" s="1712"/>
      <c r="AN683" s="1712"/>
      <c r="AO683" s="1712"/>
      <c r="AP683" s="1712"/>
      <c r="AQ683" s="1712"/>
      <c r="AR683" s="1712"/>
      <c r="AS683" s="1712"/>
      <c r="AT683" s="1712"/>
    </row>
    <row r="684">
      <c r="A684" s="1474" t="s">
        <v>2461</v>
      </c>
      <c r="B684" s="1708"/>
      <c r="C684" s="1709"/>
      <c r="D684" s="1709"/>
      <c r="E684" s="1710"/>
      <c r="F684" s="1710"/>
      <c r="G684" s="1710"/>
      <c r="H684" s="1710"/>
      <c r="I684" s="1710"/>
      <c r="J684" s="1710"/>
      <c r="K684" s="1710"/>
      <c r="L684" s="1710"/>
      <c r="M684" s="1711"/>
      <c r="N684" s="1711"/>
      <c r="O684" s="1711"/>
      <c r="P684" s="1711"/>
      <c r="Q684" s="1711"/>
      <c r="R684" s="1711"/>
      <c r="S684" s="1711"/>
      <c r="T684" s="1711"/>
      <c r="U684" s="1711"/>
      <c r="V684" s="1711"/>
      <c r="W684" s="1711"/>
      <c r="X684" s="1711"/>
      <c r="Y684" s="1712"/>
      <c r="Z684" s="1712"/>
      <c r="AA684" s="1712"/>
      <c r="AB684" s="1712"/>
      <c r="AC684" s="1712"/>
      <c r="AD684" s="1712"/>
      <c r="AE684" s="1712"/>
      <c r="AF684" s="1712"/>
      <c r="AG684" s="1712"/>
      <c r="AH684" s="1712"/>
      <c r="AI684" s="1712"/>
      <c r="AJ684" s="1712"/>
      <c r="AK684" s="1712"/>
      <c r="AL684" s="1712"/>
      <c r="AM684" s="1712"/>
      <c r="AN684" s="1712"/>
      <c r="AO684" s="1712"/>
      <c r="AP684" s="1712"/>
      <c r="AQ684" s="1712"/>
      <c r="AR684" s="1712"/>
      <c r="AS684" s="1712"/>
      <c r="AT684" s="1712"/>
    </row>
    <row r="685">
      <c r="A685" s="1474" t="s">
        <v>2461</v>
      </c>
      <c r="B685" s="1708"/>
      <c r="C685" s="1709"/>
      <c r="D685" s="1709"/>
      <c r="E685" s="1710"/>
      <c r="F685" s="1710"/>
      <c r="G685" s="1710"/>
      <c r="H685" s="1710"/>
      <c r="I685" s="1710"/>
      <c r="J685" s="1710"/>
      <c r="K685" s="1710"/>
      <c r="L685" s="1710"/>
      <c r="M685" s="1711"/>
      <c r="N685" s="1711"/>
      <c r="O685" s="1711"/>
      <c r="P685" s="1711"/>
      <c r="Q685" s="1711"/>
      <c r="R685" s="1711"/>
      <c r="S685" s="1711"/>
      <c r="T685" s="1711"/>
      <c r="U685" s="1711"/>
      <c r="V685" s="1711"/>
      <c r="W685" s="1711"/>
      <c r="X685" s="1711"/>
      <c r="Y685" s="1712"/>
      <c r="Z685" s="1712"/>
      <c r="AA685" s="1712"/>
      <c r="AB685" s="1712"/>
      <c r="AC685" s="1712"/>
      <c r="AD685" s="1712"/>
      <c r="AE685" s="1712"/>
      <c r="AF685" s="1712"/>
      <c r="AG685" s="1712"/>
      <c r="AH685" s="1712"/>
      <c r="AI685" s="1712"/>
      <c r="AJ685" s="1712"/>
      <c r="AK685" s="1712"/>
      <c r="AL685" s="1712"/>
      <c r="AM685" s="1712"/>
      <c r="AN685" s="1712"/>
      <c r="AO685" s="1712"/>
      <c r="AP685" s="1712"/>
      <c r="AQ685" s="1712"/>
      <c r="AR685" s="1712"/>
      <c r="AS685" s="1712"/>
      <c r="AT685" s="1712"/>
    </row>
    <row r="686">
      <c r="A686" s="1474" t="s">
        <v>2461</v>
      </c>
      <c r="B686" s="1708"/>
      <c r="C686" s="1709"/>
      <c r="D686" s="1709"/>
      <c r="E686" s="1710"/>
      <c r="F686" s="1710"/>
      <c r="G686" s="1710"/>
      <c r="H686" s="1710"/>
      <c r="I686" s="1710"/>
      <c r="J686" s="1710"/>
      <c r="K686" s="1710"/>
      <c r="L686" s="1710"/>
      <c r="M686" s="1711"/>
      <c r="N686" s="1711"/>
      <c r="O686" s="1711"/>
      <c r="P686" s="1711"/>
      <c r="Q686" s="1711"/>
      <c r="R686" s="1711"/>
      <c r="S686" s="1711"/>
      <c r="T686" s="1711"/>
      <c r="U686" s="1711"/>
      <c r="V686" s="1711"/>
      <c r="W686" s="1711"/>
      <c r="X686" s="1711"/>
      <c r="Y686" s="1712"/>
      <c r="Z686" s="1712"/>
      <c r="AA686" s="1712"/>
      <c r="AB686" s="1712"/>
      <c r="AC686" s="1712"/>
      <c r="AD686" s="1712"/>
      <c r="AE686" s="1712"/>
      <c r="AF686" s="1712"/>
      <c r="AG686" s="1712"/>
      <c r="AH686" s="1712"/>
      <c r="AI686" s="1712"/>
      <c r="AJ686" s="1712"/>
      <c r="AK686" s="1712"/>
      <c r="AL686" s="1712"/>
      <c r="AM686" s="1712"/>
      <c r="AN686" s="1712"/>
      <c r="AO686" s="1712"/>
      <c r="AP686" s="1712"/>
      <c r="AQ686" s="1712"/>
      <c r="AR686" s="1712"/>
      <c r="AS686" s="1712"/>
      <c r="AT686" s="1712"/>
    </row>
    <row r="687">
      <c r="A687" s="1474" t="s">
        <v>2461</v>
      </c>
      <c r="B687" s="1708"/>
      <c r="C687" s="1709"/>
      <c r="D687" s="1709"/>
      <c r="E687" s="1710"/>
      <c r="F687" s="1710"/>
      <c r="G687" s="1710"/>
      <c r="H687" s="1710"/>
      <c r="I687" s="1710"/>
      <c r="J687" s="1710"/>
      <c r="K687" s="1710"/>
      <c r="L687" s="1710"/>
      <c r="M687" s="1711"/>
      <c r="N687" s="1711"/>
      <c r="O687" s="1711"/>
      <c r="P687" s="1711"/>
      <c r="Q687" s="1711"/>
      <c r="R687" s="1711"/>
      <c r="S687" s="1711"/>
      <c r="T687" s="1711"/>
      <c r="U687" s="1711"/>
      <c r="V687" s="1711"/>
      <c r="W687" s="1711"/>
      <c r="X687" s="1711"/>
      <c r="Y687" s="1712"/>
      <c r="Z687" s="1712"/>
      <c r="AA687" s="1712"/>
      <c r="AB687" s="1712"/>
      <c r="AC687" s="1712"/>
      <c r="AD687" s="1712"/>
      <c r="AE687" s="1712"/>
      <c r="AF687" s="1712"/>
      <c r="AG687" s="1712"/>
      <c r="AH687" s="1712"/>
      <c r="AI687" s="1712"/>
      <c r="AJ687" s="1712"/>
      <c r="AK687" s="1712"/>
      <c r="AL687" s="1712"/>
      <c r="AM687" s="1712"/>
      <c r="AN687" s="1712"/>
      <c r="AO687" s="1712"/>
      <c r="AP687" s="1712"/>
      <c r="AQ687" s="1712"/>
      <c r="AR687" s="1712"/>
      <c r="AS687" s="1712"/>
      <c r="AT687" s="1712"/>
    </row>
    <row r="688">
      <c r="A688" s="1474" t="s">
        <v>2461</v>
      </c>
      <c r="B688" s="1708"/>
      <c r="C688" s="1709"/>
      <c r="D688" s="1709"/>
      <c r="E688" s="1710"/>
      <c r="F688" s="1710"/>
      <c r="G688" s="1710"/>
      <c r="H688" s="1710"/>
      <c r="I688" s="1710"/>
      <c r="J688" s="1710"/>
      <c r="K688" s="1710"/>
      <c r="L688" s="1710"/>
      <c r="M688" s="1711"/>
      <c r="N688" s="1711"/>
      <c r="O688" s="1711"/>
      <c r="P688" s="1711"/>
      <c r="Q688" s="1711"/>
      <c r="R688" s="1711"/>
      <c r="S688" s="1711"/>
      <c r="T688" s="1711"/>
      <c r="U688" s="1711"/>
      <c r="V688" s="1711"/>
      <c r="W688" s="1711"/>
      <c r="X688" s="1711"/>
      <c r="Y688" s="1712"/>
      <c r="Z688" s="1712"/>
      <c r="AA688" s="1712"/>
      <c r="AB688" s="1712"/>
      <c r="AC688" s="1712"/>
      <c r="AD688" s="1712"/>
      <c r="AE688" s="1712"/>
      <c r="AF688" s="1712"/>
      <c r="AG688" s="1712"/>
      <c r="AH688" s="1712"/>
      <c r="AI688" s="1712"/>
      <c r="AJ688" s="1712"/>
      <c r="AK688" s="1712"/>
      <c r="AL688" s="1712"/>
      <c r="AM688" s="1712"/>
      <c r="AN688" s="1712"/>
      <c r="AO688" s="1712"/>
      <c r="AP688" s="1712"/>
      <c r="AQ688" s="1712"/>
      <c r="AR688" s="1712"/>
      <c r="AS688" s="1712"/>
      <c r="AT688" s="1712"/>
    </row>
    <row r="689">
      <c r="A689" s="1474" t="s">
        <v>2461</v>
      </c>
      <c r="B689" s="1708"/>
      <c r="C689" s="1709"/>
      <c r="D689" s="1709"/>
      <c r="E689" s="1710"/>
      <c r="F689" s="1710"/>
      <c r="G689" s="1710"/>
      <c r="H689" s="1710"/>
      <c r="I689" s="1710"/>
      <c r="J689" s="1710"/>
      <c r="K689" s="1710"/>
      <c r="L689" s="1710"/>
      <c r="M689" s="1711"/>
      <c r="N689" s="1711"/>
      <c r="O689" s="1711"/>
      <c r="P689" s="1711"/>
      <c r="Q689" s="1711"/>
      <c r="R689" s="1711"/>
      <c r="S689" s="1711"/>
      <c r="T689" s="1711"/>
      <c r="U689" s="1711"/>
      <c r="V689" s="1711"/>
      <c r="W689" s="1711"/>
      <c r="X689" s="1711"/>
      <c r="Y689" s="1712"/>
      <c r="Z689" s="1712"/>
      <c r="AA689" s="1712"/>
      <c r="AB689" s="1712"/>
      <c r="AC689" s="1712"/>
      <c r="AD689" s="1712"/>
      <c r="AE689" s="1712"/>
      <c r="AF689" s="1712"/>
      <c r="AG689" s="1712"/>
      <c r="AH689" s="1712"/>
      <c r="AI689" s="1712"/>
      <c r="AJ689" s="1712"/>
      <c r="AK689" s="1712"/>
      <c r="AL689" s="1712"/>
      <c r="AM689" s="1712"/>
      <c r="AN689" s="1712"/>
      <c r="AO689" s="1712"/>
      <c r="AP689" s="1712"/>
      <c r="AQ689" s="1712"/>
      <c r="AR689" s="1712"/>
      <c r="AS689" s="1712"/>
      <c r="AT689" s="1712"/>
    </row>
    <row r="690">
      <c r="A690" s="1474" t="s">
        <v>2461</v>
      </c>
      <c r="B690" s="1708"/>
      <c r="C690" s="1709"/>
      <c r="D690" s="1709"/>
      <c r="E690" s="1710"/>
      <c r="F690" s="1710"/>
      <c r="G690" s="1710"/>
      <c r="H690" s="1710"/>
      <c r="I690" s="1710"/>
      <c r="J690" s="1710"/>
      <c r="K690" s="1710"/>
      <c r="L690" s="1710"/>
      <c r="M690" s="1711"/>
      <c r="N690" s="1711"/>
      <c r="O690" s="1711"/>
      <c r="P690" s="1711"/>
      <c r="Q690" s="1711"/>
      <c r="R690" s="1711"/>
      <c r="S690" s="1711"/>
      <c r="T690" s="1711"/>
      <c r="U690" s="1711"/>
      <c r="V690" s="1711"/>
      <c r="W690" s="1711"/>
      <c r="X690" s="1711"/>
      <c r="Y690" s="1712"/>
      <c r="Z690" s="1712"/>
      <c r="AA690" s="1712"/>
      <c r="AB690" s="1712"/>
      <c r="AC690" s="1712"/>
      <c r="AD690" s="1712"/>
      <c r="AE690" s="1712"/>
      <c r="AF690" s="1712"/>
      <c r="AG690" s="1712"/>
      <c r="AH690" s="1712"/>
      <c r="AI690" s="1712"/>
      <c r="AJ690" s="1712"/>
      <c r="AK690" s="1712"/>
      <c r="AL690" s="1712"/>
      <c r="AM690" s="1712"/>
      <c r="AN690" s="1712"/>
      <c r="AO690" s="1712"/>
      <c r="AP690" s="1712"/>
      <c r="AQ690" s="1712"/>
      <c r="AR690" s="1712"/>
      <c r="AS690" s="1712"/>
      <c r="AT690" s="1712"/>
    </row>
    <row r="691">
      <c r="A691" s="1474" t="s">
        <v>2461</v>
      </c>
      <c r="B691" s="1708"/>
      <c r="C691" s="1709"/>
      <c r="D691" s="1709"/>
      <c r="E691" s="1710"/>
      <c r="F691" s="1710"/>
      <c r="G691" s="1710"/>
      <c r="H691" s="1710"/>
      <c r="I691" s="1710"/>
      <c r="J691" s="1710"/>
      <c r="K691" s="1710"/>
      <c r="L691" s="1710"/>
      <c r="M691" s="1711"/>
      <c r="N691" s="1711"/>
      <c r="O691" s="1711"/>
      <c r="P691" s="1711"/>
      <c r="Q691" s="1711"/>
      <c r="R691" s="1711"/>
      <c r="S691" s="1711"/>
      <c r="T691" s="1711"/>
      <c r="U691" s="1711"/>
      <c r="V691" s="1711"/>
      <c r="W691" s="1711"/>
      <c r="X691" s="1711"/>
      <c r="Y691" s="1712"/>
      <c r="Z691" s="1712"/>
      <c r="AA691" s="1712"/>
      <c r="AB691" s="1712"/>
      <c r="AC691" s="1712"/>
      <c r="AD691" s="1712"/>
      <c r="AE691" s="1712"/>
      <c r="AF691" s="1712"/>
      <c r="AG691" s="1712"/>
      <c r="AH691" s="1712"/>
      <c r="AI691" s="1712"/>
      <c r="AJ691" s="1712"/>
      <c r="AK691" s="1712"/>
      <c r="AL691" s="1712"/>
      <c r="AM691" s="1712"/>
      <c r="AN691" s="1712"/>
      <c r="AO691" s="1712"/>
      <c r="AP691" s="1712"/>
      <c r="AQ691" s="1712"/>
      <c r="AR691" s="1712"/>
      <c r="AS691" s="1712"/>
      <c r="AT691" s="1712"/>
    </row>
    <row r="692">
      <c r="A692" s="1474" t="s">
        <v>2461</v>
      </c>
      <c r="B692" s="1708"/>
      <c r="C692" s="1709"/>
      <c r="D692" s="1709"/>
      <c r="E692" s="1710"/>
      <c r="F692" s="1710"/>
      <c r="G692" s="1710"/>
      <c r="H692" s="1710"/>
      <c r="I692" s="1710"/>
      <c r="J692" s="1710"/>
      <c r="K692" s="1710"/>
      <c r="L692" s="1710"/>
      <c r="M692" s="1711"/>
      <c r="N692" s="1711"/>
      <c r="O692" s="1711"/>
      <c r="P692" s="1711"/>
      <c r="Q692" s="1711"/>
      <c r="R692" s="1711"/>
      <c r="S692" s="1711"/>
      <c r="T692" s="1711"/>
      <c r="U692" s="1711"/>
      <c r="V692" s="1711"/>
      <c r="W692" s="1711"/>
      <c r="X692" s="1711"/>
      <c r="Y692" s="1712"/>
      <c r="Z692" s="1712"/>
      <c r="AA692" s="1712"/>
      <c r="AB692" s="1712"/>
      <c r="AC692" s="1712"/>
      <c r="AD692" s="1712"/>
      <c r="AE692" s="1712"/>
      <c r="AF692" s="1712"/>
      <c r="AG692" s="1712"/>
      <c r="AH692" s="1712"/>
      <c r="AI692" s="1712"/>
      <c r="AJ692" s="1712"/>
      <c r="AK692" s="1712"/>
      <c r="AL692" s="1712"/>
      <c r="AM692" s="1712"/>
      <c r="AN692" s="1712"/>
      <c r="AO692" s="1712"/>
      <c r="AP692" s="1712"/>
      <c r="AQ692" s="1712"/>
      <c r="AR692" s="1712"/>
      <c r="AS692" s="1712"/>
      <c r="AT692" s="1712"/>
    </row>
    <row r="693">
      <c r="A693" s="1474" t="s">
        <v>2461</v>
      </c>
      <c r="B693" s="1708"/>
      <c r="C693" s="1709"/>
      <c r="D693" s="1709"/>
      <c r="E693" s="1710"/>
      <c r="F693" s="1710"/>
      <c r="G693" s="1710"/>
      <c r="H693" s="1710"/>
      <c r="I693" s="1710"/>
      <c r="J693" s="1710"/>
      <c r="K693" s="1710"/>
      <c r="L693" s="1710"/>
      <c r="M693" s="1711"/>
      <c r="N693" s="1711"/>
      <c r="O693" s="1711"/>
      <c r="P693" s="1711"/>
      <c r="Q693" s="1711"/>
      <c r="R693" s="1711"/>
      <c r="S693" s="1711"/>
      <c r="T693" s="1711"/>
      <c r="U693" s="1711"/>
      <c r="V693" s="1711"/>
      <c r="W693" s="1711"/>
      <c r="X693" s="1711"/>
      <c r="Y693" s="1712"/>
      <c r="Z693" s="1712"/>
      <c r="AA693" s="1712"/>
      <c r="AB693" s="1712"/>
      <c r="AC693" s="1712"/>
      <c r="AD693" s="1712"/>
      <c r="AE693" s="1712"/>
      <c r="AF693" s="1712"/>
      <c r="AG693" s="1712"/>
      <c r="AH693" s="1712"/>
      <c r="AI693" s="1712"/>
      <c r="AJ693" s="1712"/>
      <c r="AK693" s="1712"/>
      <c r="AL693" s="1712"/>
      <c r="AM693" s="1712"/>
      <c r="AN693" s="1712"/>
      <c r="AO693" s="1712"/>
      <c r="AP693" s="1712"/>
      <c r="AQ693" s="1712"/>
      <c r="AR693" s="1712"/>
      <c r="AS693" s="1712"/>
      <c r="AT693" s="1712"/>
    </row>
    <row r="694">
      <c r="A694" s="1474" t="s">
        <v>2461</v>
      </c>
      <c r="B694" s="1708"/>
      <c r="C694" s="1709"/>
      <c r="D694" s="1709"/>
      <c r="E694" s="1710"/>
      <c r="F694" s="1710"/>
      <c r="G694" s="1710"/>
      <c r="H694" s="1710"/>
      <c r="I694" s="1710"/>
      <c r="J694" s="1710"/>
      <c r="K694" s="1710"/>
      <c r="L694" s="1710"/>
      <c r="M694" s="1711"/>
      <c r="N694" s="1711"/>
      <c r="O694" s="1711"/>
      <c r="P694" s="1711"/>
      <c r="Q694" s="1711"/>
      <c r="R694" s="1711"/>
      <c r="S694" s="1711"/>
      <c r="T694" s="1711"/>
      <c r="U694" s="1711"/>
      <c r="V694" s="1711"/>
      <c r="W694" s="1711"/>
      <c r="X694" s="1711"/>
      <c r="Y694" s="1712"/>
      <c r="Z694" s="1712"/>
      <c r="AA694" s="1712"/>
      <c r="AB694" s="1712"/>
      <c r="AC694" s="1712"/>
      <c r="AD694" s="1712"/>
      <c r="AE694" s="1712"/>
      <c r="AF694" s="1712"/>
      <c r="AG694" s="1712"/>
      <c r="AH694" s="1712"/>
      <c r="AI694" s="1712"/>
      <c r="AJ694" s="1712"/>
      <c r="AK694" s="1712"/>
      <c r="AL694" s="1712"/>
      <c r="AM694" s="1712"/>
      <c r="AN694" s="1712"/>
      <c r="AO694" s="1712"/>
      <c r="AP694" s="1712"/>
      <c r="AQ694" s="1712"/>
      <c r="AR694" s="1712"/>
      <c r="AS694" s="1712"/>
      <c r="AT694" s="1712"/>
    </row>
    <row r="695">
      <c r="A695" s="1474" t="s">
        <v>2461</v>
      </c>
      <c r="B695" s="1708"/>
      <c r="C695" s="1709"/>
      <c r="D695" s="1709"/>
      <c r="E695" s="1710"/>
      <c r="F695" s="1710"/>
      <c r="G695" s="1710"/>
      <c r="H695" s="1710"/>
      <c r="I695" s="1710"/>
      <c r="J695" s="1710"/>
      <c r="K695" s="1710"/>
      <c r="L695" s="1710"/>
      <c r="M695" s="1711"/>
      <c r="N695" s="1711"/>
      <c r="O695" s="1711"/>
      <c r="P695" s="1711"/>
      <c r="Q695" s="1711"/>
      <c r="R695" s="1711"/>
      <c r="S695" s="1711"/>
      <c r="T695" s="1711"/>
      <c r="U695" s="1711"/>
      <c r="V695" s="1711"/>
      <c r="W695" s="1711"/>
      <c r="X695" s="1711"/>
      <c r="Y695" s="1712"/>
      <c r="Z695" s="1712"/>
      <c r="AA695" s="1712"/>
      <c r="AB695" s="1712"/>
      <c r="AC695" s="1712"/>
      <c r="AD695" s="1712"/>
      <c r="AE695" s="1712"/>
      <c r="AF695" s="1712"/>
      <c r="AG695" s="1712"/>
      <c r="AH695" s="1712"/>
      <c r="AI695" s="1712"/>
      <c r="AJ695" s="1712"/>
      <c r="AK695" s="1712"/>
      <c r="AL695" s="1712"/>
      <c r="AM695" s="1712"/>
      <c r="AN695" s="1712"/>
      <c r="AO695" s="1712"/>
      <c r="AP695" s="1712"/>
      <c r="AQ695" s="1712"/>
      <c r="AR695" s="1712"/>
      <c r="AS695" s="1712"/>
      <c r="AT695" s="1712"/>
    </row>
    <row r="696">
      <c r="A696" s="1474" t="s">
        <v>2461</v>
      </c>
      <c r="B696" s="1708"/>
      <c r="C696" s="1709"/>
      <c r="D696" s="1709"/>
      <c r="E696" s="1710"/>
      <c r="F696" s="1710"/>
      <c r="G696" s="1710"/>
      <c r="H696" s="1710"/>
      <c r="I696" s="1710"/>
      <c r="J696" s="1710"/>
      <c r="K696" s="1710"/>
      <c r="L696" s="1710"/>
      <c r="M696" s="1711"/>
      <c r="N696" s="1711"/>
      <c r="O696" s="1711"/>
      <c r="P696" s="1711"/>
      <c r="Q696" s="1711"/>
      <c r="R696" s="1711"/>
      <c r="S696" s="1711"/>
      <c r="T696" s="1711"/>
      <c r="U696" s="1711"/>
      <c r="V696" s="1711"/>
      <c r="W696" s="1711"/>
      <c r="X696" s="1711"/>
      <c r="Y696" s="1712"/>
      <c r="Z696" s="1712"/>
      <c r="AA696" s="1712"/>
      <c r="AB696" s="1712"/>
      <c r="AC696" s="1712"/>
      <c r="AD696" s="1712"/>
      <c r="AE696" s="1712"/>
      <c r="AF696" s="1712"/>
      <c r="AG696" s="1712"/>
      <c r="AH696" s="1712"/>
      <c r="AI696" s="1712"/>
      <c r="AJ696" s="1712"/>
      <c r="AK696" s="1712"/>
      <c r="AL696" s="1712"/>
      <c r="AM696" s="1712"/>
      <c r="AN696" s="1712"/>
      <c r="AO696" s="1712"/>
      <c r="AP696" s="1712"/>
      <c r="AQ696" s="1712"/>
      <c r="AR696" s="1712"/>
      <c r="AS696" s="1712"/>
      <c r="AT696" s="1712"/>
    </row>
    <row r="697">
      <c r="A697" s="1474" t="s">
        <v>2461</v>
      </c>
      <c r="B697" s="1708"/>
      <c r="C697" s="1709"/>
      <c r="D697" s="1709"/>
      <c r="E697" s="1710"/>
      <c r="F697" s="1710"/>
      <c r="G697" s="1710"/>
      <c r="H697" s="1710"/>
      <c r="I697" s="1710"/>
      <c r="J697" s="1710"/>
      <c r="K697" s="1710"/>
      <c r="L697" s="1710"/>
      <c r="M697" s="1711"/>
      <c r="N697" s="1711"/>
      <c r="O697" s="1711"/>
      <c r="P697" s="1711"/>
      <c r="Q697" s="1711"/>
      <c r="R697" s="1711"/>
      <c r="S697" s="1711"/>
      <c r="T697" s="1711"/>
      <c r="U697" s="1711"/>
      <c r="V697" s="1711"/>
      <c r="W697" s="1711"/>
      <c r="X697" s="1711"/>
      <c r="Y697" s="1712"/>
      <c r="Z697" s="1712"/>
      <c r="AA697" s="1712"/>
      <c r="AB697" s="1712"/>
      <c r="AC697" s="1712"/>
      <c r="AD697" s="1712"/>
      <c r="AE697" s="1712"/>
      <c r="AF697" s="1712"/>
      <c r="AG697" s="1712"/>
      <c r="AH697" s="1712"/>
      <c r="AI697" s="1712"/>
      <c r="AJ697" s="1712"/>
      <c r="AK697" s="1712"/>
      <c r="AL697" s="1712"/>
      <c r="AM697" s="1712"/>
      <c r="AN697" s="1712"/>
      <c r="AO697" s="1712"/>
      <c r="AP697" s="1712"/>
      <c r="AQ697" s="1712"/>
      <c r="AR697" s="1712"/>
      <c r="AS697" s="1712"/>
      <c r="AT697" s="1712"/>
    </row>
    <row r="698">
      <c r="A698" s="1474" t="s">
        <v>2461</v>
      </c>
      <c r="B698" s="1708"/>
      <c r="C698" s="1709"/>
      <c r="D698" s="1709"/>
      <c r="E698" s="1710"/>
      <c r="F698" s="1710"/>
      <c r="G698" s="1710"/>
      <c r="H698" s="1710"/>
      <c r="I698" s="1710"/>
      <c r="J698" s="1710"/>
      <c r="K698" s="1710"/>
      <c r="L698" s="1710"/>
      <c r="M698" s="1711"/>
      <c r="N698" s="1711"/>
      <c r="O698" s="1711"/>
      <c r="P698" s="1711"/>
      <c r="Q698" s="1711"/>
      <c r="R698" s="1711"/>
      <c r="S698" s="1711"/>
      <c r="T698" s="1711"/>
      <c r="U698" s="1711"/>
      <c r="V698" s="1711"/>
      <c r="W698" s="1711"/>
      <c r="X698" s="1711"/>
      <c r="Y698" s="1712"/>
      <c r="Z698" s="1712"/>
      <c r="AA698" s="1712"/>
      <c r="AB698" s="1712"/>
      <c r="AC698" s="1712"/>
      <c r="AD698" s="1712"/>
      <c r="AE698" s="1712"/>
      <c r="AF698" s="1712"/>
      <c r="AG698" s="1712"/>
      <c r="AH698" s="1712"/>
      <c r="AI698" s="1712"/>
      <c r="AJ698" s="1712"/>
      <c r="AK698" s="1712"/>
      <c r="AL698" s="1712"/>
      <c r="AM698" s="1712"/>
      <c r="AN698" s="1712"/>
      <c r="AO698" s="1712"/>
      <c r="AP698" s="1712"/>
      <c r="AQ698" s="1712"/>
      <c r="AR698" s="1712"/>
      <c r="AS698" s="1712"/>
      <c r="AT698" s="1712"/>
    </row>
    <row r="699">
      <c r="A699" s="1474" t="s">
        <v>2461</v>
      </c>
      <c r="B699" s="1708"/>
      <c r="C699" s="1709"/>
      <c r="D699" s="1709"/>
      <c r="E699" s="1710"/>
      <c r="F699" s="1710"/>
      <c r="G699" s="1710"/>
      <c r="H699" s="1710"/>
      <c r="I699" s="1710"/>
      <c r="J699" s="1710"/>
      <c r="K699" s="1710"/>
      <c r="L699" s="1710"/>
      <c r="M699" s="1711"/>
      <c r="N699" s="1711"/>
      <c r="O699" s="1711"/>
      <c r="P699" s="1711"/>
      <c r="Q699" s="1711"/>
      <c r="R699" s="1711"/>
      <c r="S699" s="1711"/>
      <c r="T699" s="1711"/>
      <c r="U699" s="1711"/>
      <c r="V699" s="1711"/>
      <c r="W699" s="1711"/>
      <c r="X699" s="1711"/>
      <c r="Y699" s="1712"/>
      <c r="Z699" s="1712"/>
      <c r="AA699" s="1712"/>
      <c r="AB699" s="1712"/>
      <c r="AC699" s="1712"/>
      <c r="AD699" s="1712"/>
      <c r="AE699" s="1712"/>
      <c r="AF699" s="1712"/>
      <c r="AG699" s="1712"/>
      <c r="AH699" s="1712"/>
      <c r="AI699" s="1712"/>
      <c r="AJ699" s="1712"/>
      <c r="AK699" s="1712"/>
      <c r="AL699" s="1712"/>
      <c r="AM699" s="1712"/>
      <c r="AN699" s="1712"/>
      <c r="AO699" s="1712"/>
      <c r="AP699" s="1712"/>
      <c r="AQ699" s="1712"/>
      <c r="AR699" s="1712"/>
      <c r="AS699" s="1712"/>
      <c r="AT699" s="1712"/>
    </row>
    <row r="700">
      <c r="A700" s="1474" t="s">
        <v>2461</v>
      </c>
      <c r="B700" s="1708"/>
      <c r="C700" s="1709"/>
      <c r="D700" s="1709"/>
      <c r="E700" s="1710"/>
      <c r="F700" s="1710"/>
      <c r="G700" s="1710"/>
      <c r="H700" s="1710"/>
      <c r="I700" s="1710"/>
      <c r="J700" s="1710"/>
      <c r="K700" s="1710"/>
      <c r="L700" s="1710"/>
      <c r="M700" s="1711"/>
      <c r="N700" s="1711"/>
      <c r="O700" s="1711"/>
      <c r="P700" s="1711"/>
      <c r="Q700" s="1711"/>
      <c r="R700" s="1711"/>
      <c r="S700" s="1711"/>
      <c r="T700" s="1711"/>
      <c r="U700" s="1711"/>
      <c r="V700" s="1711"/>
      <c r="W700" s="1711"/>
      <c r="X700" s="1711"/>
      <c r="Y700" s="1712"/>
      <c r="Z700" s="1712"/>
      <c r="AA700" s="1712"/>
      <c r="AB700" s="1712"/>
      <c r="AC700" s="1712"/>
      <c r="AD700" s="1712"/>
      <c r="AE700" s="1712"/>
      <c r="AF700" s="1712"/>
      <c r="AG700" s="1712"/>
      <c r="AH700" s="1712"/>
      <c r="AI700" s="1712"/>
      <c r="AJ700" s="1712"/>
      <c r="AK700" s="1712"/>
      <c r="AL700" s="1712"/>
      <c r="AM700" s="1712"/>
      <c r="AN700" s="1712"/>
      <c r="AO700" s="1712"/>
      <c r="AP700" s="1712"/>
      <c r="AQ700" s="1712"/>
      <c r="AR700" s="1712"/>
      <c r="AS700" s="1712"/>
      <c r="AT700" s="1712"/>
    </row>
    <row r="701">
      <c r="A701" s="1474" t="s">
        <v>2461</v>
      </c>
      <c r="B701" s="1708"/>
      <c r="C701" s="1709"/>
      <c r="D701" s="1709"/>
      <c r="E701" s="1710"/>
      <c r="F701" s="1710"/>
      <c r="G701" s="1710"/>
      <c r="H701" s="1710"/>
      <c r="I701" s="1710"/>
      <c r="J701" s="1710"/>
      <c r="K701" s="1710"/>
      <c r="L701" s="1710"/>
      <c r="M701" s="1711"/>
      <c r="N701" s="1711"/>
      <c r="O701" s="1711"/>
      <c r="P701" s="1711"/>
      <c r="Q701" s="1711"/>
      <c r="R701" s="1711"/>
      <c r="S701" s="1711"/>
      <c r="T701" s="1711"/>
      <c r="U701" s="1711"/>
      <c r="V701" s="1711"/>
      <c r="W701" s="1711"/>
      <c r="X701" s="1711"/>
      <c r="Y701" s="1712"/>
      <c r="Z701" s="1712"/>
      <c r="AA701" s="1712"/>
      <c r="AB701" s="1712"/>
      <c r="AC701" s="1712"/>
      <c r="AD701" s="1712"/>
      <c r="AE701" s="1712"/>
      <c r="AF701" s="1712"/>
      <c r="AG701" s="1712"/>
      <c r="AH701" s="1712"/>
      <c r="AI701" s="1712"/>
      <c r="AJ701" s="1712"/>
      <c r="AK701" s="1712"/>
      <c r="AL701" s="1712"/>
      <c r="AM701" s="1712"/>
      <c r="AN701" s="1712"/>
      <c r="AO701" s="1712"/>
      <c r="AP701" s="1712"/>
      <c r="AQ701" s="1712"/>
      <c r="AR701" s="1712"/>
      <c r="AS701" s="1712"/>
      <c r="AT701" s="1712"/>
    </row>
    <row r="702">
      <c r="A702" s="1474" t="s">
        <v>2461</v>
      </c>
      <c r="B702" s="1708"/>
      <c r="C702" s="1709"/>
      <c r="D702" s="1709"/>
      <c r="E702" s="1710"/>
      <c r="F702" s="1710"/>
      <c r="G702" s="1710"/>
      <c r="H702" s="1710"/>
      <c r="I702" s="1710"/>
      <c r="J702" s="1710"/>
      <c r="K702" s="1710"/>
      <c r="L702" s="1710"/>
      <c r="M702" s="1711"/>
      <c r="N702" s="1711"/>
      <c r="O702" s="1711"/>
      <c r="P702" s="1711"/>
      <c r="Q702" s="1711"/>
      <c r="R702" s="1711"/>
      <c r="S702" s="1711"/>
      <c r="T702" s="1711"/>
      <c r="U702" s="1711"/>
      <c r="V702" s="1711"/>
      <c r="W702" s="1711"/>
      <c r="X702" s="1711"/>
      <c r="Y702" s="1712"/>
      <c r="Z702" s="1712"/>
      <c r="AA702" s="1712"/>
      <c r="AB702" s="1712"/>
      <c r="AC702" s="1712"/>
      <c r="AD702" s="1712"/>
      <c r="AE702" s="1712"/>
      <c r="AF702" s="1712"/>
      <c r="AG702" s="1712"/>
      <c r="AH702" s="1712"/>
      <c r="AI702" s="1712"/>
      <c r="AJ702" s="1712"/>
      <c r="AK702" s="1712"/>
      <c r="AL702" s="1712"/>
      <c r="AM702" s="1712"/>
      <c r="AN702" s="1712"/>
      <c r="AO702" s="1712"/>
      <c r="AP702" s="1712"/>
      <c r="AQ702" s="1712"/>
      <c r="AR702" s="1712"/>
      <c r="AS702" s="1712"/>
      <c r="AT702" s="1712"/>
    </row>
    <row r="703">
      <c r="A703" s="1474" t="s">
        <v>2461</v>
      </c>
      <c r="B703" s="1708"/>
      <c r="C703" s="1709"/>
      <c r="D703" s="1709"/>
      <c r="E703" s="1710"/>
      <c r="F703" s="1710"/>
      <c r="G703" s="1710"/>
      <c r="H703" s="1710"/>
      <c r="I703" s="1710"/>
      <c r="J703" s="1710"/>
      <c r="K703" s="1710"/>
      <c r="L703" s="1710"/>
      <c r="M703" s="1711"/>
      <c r="N703" s="1711"/>
      <c r="O703" s="1711"/>
      <c r="P703" s="1711"/>
      <c r="Q703" s="1711"/>
      <c r="R703" s="1711"/>
      <c r="S703" s="1711"/>
      <c r="T703" s="1711"/>
      <c r="U703" s="1711"/>
      <c r="V703" s="1711"/>
      <c r="W703" s="1711"/>
      <c r="X703" s="1711"/>
      <c r="Y703" s="1712"/>
      <c r="Z703" s="1712"/>
      <c r="AA703" s="1712"/>
      <c r="AB703" s="1712"/>
      <c r="AC703" s="1712"/>
      <c r="AD703" s="1712"/>
      <c r="AE703" s="1712"/>
      <c r="AF703" s="1712"/>
      <c r="AG703" s="1712"/>
      <c r="AH703" s="1712"/>
      <c r="AI703" s="1712"/>
      <c r="AJ703" s="1712"/>
      <c r="AK703" s="1712"/>
      <c r="AL703" s="1712"/>
      <c r="AM703" s="1712"/>
      <c r="AN703" s="1712"/>
      <c r="AO703" s="1712"/>
      <c r="AP703" s="1712"/>
      <c r="AQ703" s="1712"/>
      <c r="AR703" s="1712"/>
      <c r="AS703" s="1712"/>
      <c r="AT703" s="1712"/>
    </row>
    <row r="704">
      <c r="A704" s="1474" t="s">
        <v>2461</v>
      </c>
      <c r="B704" s="1708"/>
      <c r="C704" s="1709"/>
      <c r="D704" s="1709"/>
      <c r="E704" s="1710"/>
      <c r="F704" s="1710"/>
      <c r="G704" s="1710"/>
      <c r="H704" s="1710"/>
      <c r="I704" s="1710"/>
      <c r="J704" s="1710"/>
      <c r="K704" s="1710"/>
      <c r="L704" s="1710"/>
      <c r="M704" s="1711"/>
      <c r="N704" s="1711"/>
      <c r="O704" s="1711"/>
      <c r="P704" s="1711"/>
      <c r="Q704" s="1711"/>
      <c r="R704" s="1711"/>
      <c r="S704" s="1711"/>
      <c r="T704" s="1711"/>
      <c r="U704" s="1711"/>
      <c r="V704" s="1711"/>
      <c r="W704" s="1711"/>
      <c r="X704" s="1711"/>
      <c r="Y704" s="1712"/>
      <c r="Z704" s="1712"/>
      <c r="AA704" s="1712"/>
      <c r="AB704" s="1712"/>
      <c r="AC704" s="1712"/>
      <c r="AD704" s="1712"/>
      <c r="AE704" s="1712"/>
      <c r="AF704" s="1712"/>
      <c r="AG704" s="1712"/>
      <c r="AH704" s="1712"/>
      <c r="AI704" s="1712"/>
      <c r="AJ704" s="1712"/>
      <c r="AK704" s="1712"/>
      <c r="AL704" s="1712"/>
      <c r="AM704" s="1712"/>
      <c r="AN704" s="1712"/>
      <c r="AO704" s="1712"/>
      <c r="AP704" s="1712"/>
      <c r="AQ704" s="1712"/>
      <c r="AR704" s="1712"/>
      <c r="AS704" s="1712"/>
      <c r="AT704" s="1712"/>
    </row>
    <row r="705">
      <c r="A705" s="1474" t="s">
        <v>2461</v>
      </c>
      <c r="B705" s="1708"/>
      <c r="C705" s="1709"/>
      <c r="D705" s="1709"/>
      <c r="E705" s="1710"/>
      <c r="F705" s="1710"/>
      <c r="G705" s="1710"/>
      <c r="H705" s="1710"/>
      <c r="I705" s="1710"/>
      <c r="J705" s="1710"/>
      <c r="K705" s="1710"/>
      <c r="L705" s="1710"/>
      <c r="M705" s="1711"/>
      <c r="N705" s="1711"/>
      <c r="O705" s="1711"/>
      <c r="P705" s="1711"/>
      <c r="Q705" s="1711"/>
      <c r="R705" s="1711"/>
      <c r="S705" s="1711"/>
      <c r="T705" s="1711"/>
      <c r="U705" s="1711"/>
      <c r="V705" s="1711"/>
      <c r="W705" s="1711"/>
      <c r="X705" s="1711"/>
      <c r="Y705" s="1712"/>
      <c r="Z705" s="1712"/>
      <c r="AA705" s="1712"/>
      <c r="AB705" s="1712"/>
      <c r="AC705" s="1712"/>
      <c r="AD705" s="1712"/>
      <c r="AE705" s="1712"/>
      <c r="AF705" s="1712"/>
      <c r="AG705" s="1712"/>
      <c r="AH705" s="1712"/>
      <c r="AI705" s="1712"/>
      <c r="AJ705" s="1712"/>
      <c r="AK705" s="1712"/>
      <c r="AL705" s="1712"/>
      <c r="AM705" s="1712"/>
      <c r="AN705" s="1712"/>
      <c r="AO705" s="1712"/>
      <c r="AP705" s="1712"/>
      <c r="AQ705" s="1712"/>
      <c r="AR705" s="1712"/>
      <c r="AS705" s="1712"/>
      <c r="AT705" s="1712"/>
    </row>
    <row r="706">
      <c r="A706" s="1474" t="s">
        <v>2461</v>
      </c>
      <c r="B706" s="1708"/>
      <c r="C706" s="1709"/>
      <c r="D706" s="1709"/>
      <c r="E706" s="1710"/>
      <c r="F706" s="1710"/>
      <c r="G706" s="1710"/>
      <c r="H706" s="1710"/>
      <c r="I706" s="1710"/>
      <c r="J706" s="1710"/>
      <c r="K706" s="1710"/>
      <c r="L706" s="1710"/>
      <c r="M706" s="1711"/>
      <c r="N706" s="1711"/>
      <c r="O706" s="1711"/>
      <c r="P706" s="1711"/>
      <c r="Q706" s="1711"/>
      <c r="R706" s="1711"/>
      <c r="S706" s="1711"/>
      <c r="T706" s="1711"/>
      <c r="U706" s="1711"/>
      <c r="V706" s="1711"/>
      <c r="W706" s="1711"/>
      <c r="X706" s="1711"/>
      <c r="Y706" s="1712"/>
      <c r="Z706" s="1712"/>
      <c r="AA706" s="1712"/>
      <c r="AB706" s="1712"/>
      <c r="AC706" s="1712"/>
      <c r="AD706" s="1712"/>
      <c r="AE706" s="1712"/>
      <c r="AF706" s="1712"/>
      <c r="AG706" s="1712"/>
      <c r="AH706" s="1712"/>
      <c r="AI706" s="1712"/>
      <c r="AJ706" s="1712"/>
      <c r="AK706" s="1712"/>
      <c r="AL706" s="1712"/>
      <c r="AM706" s="1712"/>
      <c r="AN706" s="1712"/>
      <c r="AO706" s="1712"/>
      <c r="AP706" s="1712"/>
      <c r="AQ706" s="1712"/>
      <c r="AR706" s="1712"/>
      <c r="AS706" s="1712"/>
      <c r="AT706" s="1712"/>
    </row>
    <row r="707">
      <c r="A707" s="1474" t="s">
        <v>2461</v>
      </c>
      <c r="B707" s="1708"/>
      <c r="C707" s="1709"/>
      <c r="D707" s="1709"/>
      <c r="E707" s="1710"/>
      <c r="F707" s="1710"/>
      <c r="G707" s="1710"/>
      <c r="H707" s="1710"/>
      <c r="I707" s="1710"/>
      <c r="J707" s="1710"/>
      <c r="K707" s="1710"/>
      <c r="L707" s="1710"/>
      <c r="M707" s="1711"/>
      <c r="N707" s="1711"/>
      <c r="O707" s="1711"/>
      <c r="P707" s="1711"/>
      <c r="Q707" s="1711"/>
      <c r="R707" s="1711"/>
      <c r="S707" s="1711"/>
      <c r="T707" s="1711"/>
      <c r="U707" s="1711"/>
      <c r="V707" s="1711"/>
      <c r="W707" s="1711"/>
      <c r="X707" s="1711"/>
      <c r="Y707" s="1712"/>
      <c r="Z707" s="1712"/>
      <c r="AA707" s="1712"/>
      <c r="AB707" s="1712"/>
      <c r="AC707" s="1712"/>
      <c r="AD707" s="1712"/>
      <c r="AE707" s="1712"/>
      <c r="AF707" s="1712"/>
      <c r="AG707" s="1712"/>
      <c r="AH707" s="1712"/>
      <c r="AI707" s="1712"/>
      <c r="AJ707" s="1712"/>
      <c r="AK707" s="1712"/>
      <c r="AL707" s="1712"/>
      <c r="AM707" s="1712"/>
      <c r="AN707" s="1712"/>
      <c r="AO707" s="1712"/>
      <c r="AP707" s="1712"/>
      <c r="AQ707" s="1712"/>
      <c r="AR707" s="1712"/>
      <c r="AS707" s="1712"/>
      <c r="AT707" s="1712"/>
    </row>
    <row r="708">
      <c r="A708" s="1474" t="s">
        <v>2461</v>
      </c>
      <c r="B708" s="1708"/>
      <c r="C708" s="1709"/>
      <c r="D708" s="1709"/>
      <c r="E708" s="1710"/>
      <c r="F708" s="1710"/>
      <c r="G708" s="1710"/>
      <c r="H708" s="1710"/>
      <c r="I708" s="1710"/>
      <c r="J708" s="1710"/>
      <c r="K708" s="1710"/>
      <c r="L708" s="1710"/>
      <c r="M708" s="1711"/>
      <c r="N708" s="1711"/>
      <c r="O708" s="1711"/>
      <c r="P708" s="1711"/>
      <c r="Q708" s="1711"/>
      <c r="R708" s="1711"/>
      <c r="S708" s="1711"/>
      <c r="T708" s="1711"/>
      <c r="U708" s="1711"/>
      <c r="V708" s="1711"/>
      <c r="W708" s="1711"/>
      <c r="X708" s="1711"/>
      <c r="Y708" s="1712"/>
      <c r="Z708" s="1712"/>
      <c r="AA708" s="1712"/>
      <c r="AB708" s="1712"/>
      <c r="AC708" s="1712"/>
      <c r="AD708" s="1712"/>
      <c r="AE708" s="1712"/>
      <c r="AF708" s="1712"/>
      <c r="AG708" s="1712"/>
      <c r="AH708" s="1712"/>
      <c r="AI708" s="1712"/>
      <c r="AJ708" s="1712"/>
      <c r="AK708" s="1712"/>
      <c r="AL708" s="1712"/>
      <c r="AM708" s="1712"/>
      <c r="AN708" s="1712"/>
      <c r="AO708" s="1712"/>
      <c r="AP708" s="1712"/>
      <c r="AQ708" s="1712"/>
      <c r="AR708" s="1712"/>
      <c r="AS708" s="1712"/>
      <c r="AT708" s="1712"/>
    </row>
    <row r="709">
      <c r="A709" s="1474" t="s">
        <v>2461</v>
      </c>
      <c r="B709" s="1708"/>
      <c r="C709" s="1709"/>
      <c r="D709" s="1709"/>
      <c r="E709" s="1710"/>
      <c r="F709" s="1710"/>
      <c r="G709" s="1710"/>
      <c r="H709" s="1710"/>
      <c r="I709" s="1710"/>
      <c r="J709" s="1710"/>
      <c r="K709" s="1710"/>
      <c r="L709" s="1710"/>
      <c r="M709" s="1711"/>
      <c r="N709" s="1711"/>
      <c r="O709" s="1711"/>
      <c r="P709" s="1711"/>
      <c r="Q709" s="1711"/>
      <c r="R709" s="1711"/>
      <c r="S709" s="1711"/>
      <c r="T709" s="1711"/>
      <c r="U709" s="1711"/>
      <c r="V709" s="1711"/>
      <c r="W709" s="1711"/>
      <c r="X709" s="1711"/>
      <c r="Y709" s="1712"/>
      <c r="Z709" s="1712"/>
      <c r="AA709" s="1712"/>
      <c r="AB709" s="1712"/>
      <c r="AC709" s="1712"/>
      <c r="AD709" s="1712"/>
      <c r="AE709" s="1712"/>
      <c r="AF709" s="1712"/>
      <c r="AG709" s="1712"/>
      <c r="AH709" s="1712"/>
      <c r="AI709" s="1712"/>
      <c r="AJ709" s="1712"/>
      <c r="AK709" s="1712"/>
      <c r="AL709" s="1712"/>
      <c r="AM709" s="1712"/>
      <c r="AN709" s="1712"/>
      <c r="AO709" s="1712"/>
      <c r="AP709" s="1712"/>
      <c r="AQ709" s="1712"/>
      <c r="AR709" s="1712"/>
      <c r="AS709" s="1712"/>
      <c r="AT709" s="1712"/>
    </row>
    <row r="710">
      <c r="A710" s="1474" t="s">
        <v>2461</v>
      </c>
      <c r="B710" s="1708"/>
      <c r="C710" s="1709"/>
      <c r="D710" s="1709"/>
      <c r="E710" s="1710"/>
      <c r="F710" s="1710"/>
      <c r="G710" s="1710"/>
      <c r="H710" s="1710"/>
      <c r="I710" s="1710"/>
      <c r="J710" s="1710"/>
      <c r="K710" s="1710"/>
      <c r="L710" s="1710"/>
      <c r="M710" s="1711"/>
      <c r="N710" s="1711"/>
      <c r="O710" s="1711"/>
      <c r="P710" s="1711"/>
      <c r="Q710" s="1711"/>
      <c r="R710" s="1711"/>
      <c r="S710" s="1711"/>
      <c r="T710" s="1711"/>
      <c r="U710" s="1711"/>
      <c r="V710" s="1711"/>
      <c r="W710" s="1711"/>
      <c r="X710" s="1711"/>
      <c r="Y710" s="1712"/>
      <c r="Z710" s="1712"/>
      <c r="AA710" s="1712"/>
      <c r="AB710" s="1712"/>
      <c r="AC710" s="1712"/>
      <c r="AD710" s="1712"/>
      <c r="AE710" s="1712"/>
      <c r="AF710" s="1712"/>
      <c r="AG710" s="1712"/>
      <c r="AH710" s="1712"/>
      <c r="AI710" s="1712"/>
      <c r="AJ710" s="1712"/>
      <c r="AK710" s="1712"/>
      <c r="AL710" s="1712"/>
      <c r="AM710" s="1712"/>
      <c r="AN710" s="1712"/>
      <c r="AO710" s="1712"/>
      <c r="AP710" s="1712"/>
      <c r="AQ710" s="1712"/>
      <c r="AR710" s="1712"/>
      <c r="AS710" s="1712"/>
      <c r="AT710" s="1712"/>
    </row>
    <row r="711">
      <c r="A711" s="1474" t="s">
        <v>2461</v>
      </c>
      <c r="B711" s="1708"/>
      <c r="C711" s="1709"/>
      <c r="D711" s="1709"/>
      <c r="E711" s="1710"/>
      <c r="F711" s="1710"/>
      <c r="G711" s="1710"/>
      <c r="H711" s="1710"/>
      <c r="I711" s="1710"/>
      <c r="J711" s="1710"/>
      <c r="K711" s="1710"/>
      <c r="L711" s="1710"/>
      <c r="M711" s="1711"/>
      <c r="N711" s="1711"/>
      <c r="O711" s="1711"/>
      <c r="P711" s="1711"/>
      <c r="Q711" s="1711"/>
      <c r="R711" s="1711"/>
      <c r="S711" s="1711"/>
      <c r="T711" s="1711"/>
      <c r="U711" s="1711"/>
      <c r="V711" s="1711"/>
      <c r="W711" s="1711"/>
      <c r="X711" s="1711"/>
      <c r="Y711" s="1712"/>
      <c r="Z711" s="1712"/>
      <c r="AA711" s="1712"/>
      <c r="AB711" s="1712"/>
      <c r="AC711" s="1712"/>
      <c r="AD711" s="1712"/>
      <c r="AE711" s="1712"/>
      <c r="AF711" s="1712"/>
      <c r="AG711" s="1712"/>
      <c r="AH711" s="1712"/>
      <c r="AI711" s="1712"/>
      <c r="AJ711" s="1712"/>
      <c r="AK711" s="1712"/>
      <c r="AL711" s="1712"/>
      <c r="AM711" s="1712"/>
      <c r="AN711" s="1712"/>
      <c r="AO711" s="1712"/>
      <c r="AP711" s="1712"/>
      <c r="AQ711" s="1712"/>
      <c r="AR711" s="1712"/>
      <c r="AS711" s="1712"/>
      <c r="AT711" s="1712"/>
    </row>
    <row r="712">
      <c r="A712" s="1474" t="s">
        <v>2461</v>
      </c>
      <c r="B712" s="1708"/>
      <c r="C712" s="1709"/>
      <c r="D712" s="1709"/>
      <c r="E712" s="1710"/>
      <c r="F712" s="1710"/>
      <c r="G712" s="1710"/>
      <c r="H712" s="1710"/>
      <c r="I712" s="1710"/>
      <c r="J712" s="1710"/>
      <c r="K712" s="1710"/>
      <c r="L712" s="1710"/>
      <c r="M712" s="1711"/>
      <c r="N712" s="1711"/>
      <c r="O712" s="1711"/>
      <c r="P712" s="1711"/>
      <c r="Q712" s="1711"/>
      <c r="R712" s="1711"/>
      <c r="S712" s="1711"/>
      <c r="T712" s="1711"/>
      <c r="U712" s="1711"/>
      <c r="V712" s="1711"/>
      <c r="W712" s="1711"/>
      <c r="X712" s="1711"/>
      <c r="Y712" s="1712"/>
      <c r="Z712" s="1712"/>
      <c r="AA712" s="1712"/>
      <c r="AB712" s="1712"/>
      <c r="AC712" s="1712"/>
      <c r="AD712" s="1712"/>
      <c r="AE712" s="1712"/>
      <c r="AF712" s="1712"/>
      <c r="AG712" s="1712"/>
      <c r="AH712" s="1712"/>
      <c r="AI712" s="1712"/>
      <c r="AJ712" s="1712"/>
      <c r="AK712" s="1712"/>
      <c r="AL712" s="1712"/>
      <c r="AM712" s="1712"/>
      <c r="AN712" s="1712"/>
      <c r="AO712" s="1712"/>
      <c r="AP712" s="1712"/>
      <c r="AQ712" s="1712"/>
      <c r="AR712" s="1712"/>
      <c r="AS712" s="1712"/>
      <c r="AT712" s="1712"/>
    </row>
    <row r="713">
      <c r="A713" s="1474" t="s">
        <v>2461</v>
      </c>
      <c r="B713" s="1708"/>
      <c r="C713" s="1709"/>
      <c r="D713" s="1709"/>
      <c r="E713" s="1710"/>
      <c r="F713" s="1710"/>
      <c r="G713" s="1710"/>
      <c r="H713" s="1710"/>
      <c r="I713" s="1710"/>
      <c r="J713" s="1710"/>
      <c r="K713" s="1710"/>
      <c r="L713" s="1710"/>
      <c r="M713" s="1711"/>
      <c r="N713" s="1711"/>
      <c r="O713" s="1711"/>
      <c r="P713" s="1711"/>
      <c r="Q713" s="1711"/>
      <c r="R713" s="1711"/>
      <c r="S713" s="1711"/>
      <c r="T713" s="1711"/>
      <c r="U713" s="1711"/>
      <c r="V713" s="1711"/>
      <c r="W713" s="1711"/>
      <c r="X713" s="1711"/>
      <c r="Y713" s="1712"/>
      <c r="Z713" s="1712"/>
      <c r="AA713" s="1712"/>
      <c r="AB713" s="1712"/>
      <c r="AC713" s="1712"/>
      <c r="AD713" s="1712"/>
      <c r="AE713" s="1712"/>
      <c r="AF713" s="1712"/>
      <c r="AG713" s="1712"/>
      <c r="AH713" s="1712"/>
      <c r="AI713" s="1712"/>
      <c r="AJ713" s="1712"/>
      <c r="AK713" s="1712"/>
      <c r="AL713" s="1712"/>
      <c r="AM713" s="1712"/>
      <c r="AN713" s="1712"/>
      <c r="AO713" s="1712"/>
      <c r="AP713" s="1712"/>
      <c r="AQ713" s="1712"/>
      <c r="AR713" s="1712"/>
      <c r="AS713" s="1712"/>
      <c r="AT713" s="1712"/>
    </row>
    <row r="714">
      <c r="A714" s="1474" t="s">
        <v>2461</v>
      </c>
      <c r="B714" s="1708"/>
      <c r="C714" s="1709"/>
      <c r="D714" s="1709"/>
      <c r="E714" s="1710"/>
      <c r="F714" s="1710"/>
      <c r="G714" s="1710"/>
      <c r="H714" s="1710"/>
      <c r="I714" s="1710"/>
      <c r="J714" s="1710"/>
      <c r="K714" s="1710"/>
      <c r="L714" s="1710"/>
      <c r="M714" s="1711"/>
      <c r="N714" s="1711"/>
      <c r="O714" s="1711"/>
      <c r="P714" s="1711"/>
      <c r="Q714" s="1711"/>
      <c r="R714" s="1711"/>
      <c r="S714" s="1711"/>
      <c r="T714" s="1711"/>
      <c r="U714" s="1711"/>
      <c r="V714" s="1711"/>
      <c r="W714" s="1711"/>
      <c r="X714" s="1711"/>
      <c r="Y714" s="1712"/>
      <c r="Z714" s="1712"/>
      <c r="AA714" s="1712"/>
      <c r="AB714" s="1712"/>
      <c r="AC714" s="1712"/>
      <c r="AD714" s="1712"/>
      <c r="AE714" s="1712"/>
      <c r="AF714" s="1712"/>
      <c r="AG714" s="1712"/>
      <c r="AH714" s="1712"/>
      <c r="AI714" s="1712"/>
      <c r="AJ714" s="1712"/>
      <c r="AK714" s="1712"/>
      <c r="AL714" s="1712"/>
      <c r="AM714" s="1712"/>
      <c r="AN714" s="1712"/>
      <c r="AO714" s="1712"/>
      <c r="AP714" s="1712"/>
      <c r="AQ714" s="1712"/>
      <c r="AR714" s="1712"/>
      <c r="AS714" s="1712"/>
      <c r="AT714" s="1712"/>
    </row>
    <row r="715">
      <c r="A715" s="1474" t="s">
        <v>2461</v>
      </c>
      <c r="B715" s="1708"/>
      <c r="C715" s="1709"/>
      <c r="D715" s="1709"/>
      <c r="E715" s="1710"/>
      <c r="F715" s="1710"/>
      <c r="G715" s="1710"/>
      <c r="H715" s="1710"/>
      <c r="I715" s="1710"/>
      <c r="J715" s="1710"/>
      <c r="K715" s="1710"/>
      <c r="L715" s="1710"/>
      <c r="M715" s="1711"/>
      <c r="N715" s="1711"/>
      <c r="O715" s="1711"/>
      <c r="P715" s="1711"/>
      <c r="Q715" s="1711"/>
      <c r="R715" s="1711"/>
      <c r="S715" s="1711"/>
      <c r="T715" s="1711"/>
      <c r="U715" s="1711"/>
      <c r="V715" s="1711"/>
      <c r="W715" s="1711"/>
      <c r="X715" s="1711"/>
      <c r="Y715" s="1712"/>
      <c r="Z715" s="1712"/>
      <c r="AA715" s="1712"/>
      <c r="AB715" s="1712"/>
      <c r="AC715" s="1712"/>
      <c r="AD715" s="1712"/>
      <c r="AE715" s="1712"/>
      <c r="AF715" s="1712"/>
      <c r="AG715" s="1712"/>
      <c r="AH715" s="1712"/>
      <c r="AI715" s="1712"/>
      <c r="AJ715" s="1712"/>
      <c r="AK715" s="1712"/>
      <c r="AL715" s="1712"/>
      <c r="AM715" s="1712"/>
      <c r="AN715" s="1712"/>
      <c r="AO715" s="1712"/>
      <c r="AP715" s="1712"/>
      <c r="AQ715" s="1712"/>
      <c r="AR715" s="1712"/>
      <c r="AS715" s="1712"/>
      <c r="AT715" s="1712"/>
    </row>
    <row r="716">
      <c r="A716" s="1474" t="s">
        <v>2461</v>
      </c>
      <c r="B716" s="1708"/>
      <c r="C716" s="1709"/>
      <c r="D716" s="1709"/>
      <c r="E716" s="1710"/>
      <c r="F716" s="1710"/>
      <c r="G716" s="1710"/>
      <c r="H716" s="1710"/>
      <c r="I716" s="1710"/>
      <c r="J716" s="1710"/>
      <c r="K716" s="1710"/>
      <c r="L716" s="1710"/>
      <c r="M716" s="1711"/>
      <c r="N716" s="1711"/>
      <c r="O716" s="1711"/>
      <c r="P716" s="1711"/>
      <c r="Q716" s="1711"/>
      <c r="R716" s="1711"/>
      <c r="S716" s="1711"/>
      <c r="T716" s="1711"/>
      <c r="U716" s="1711"/>
      <c r="V716" s="1711"/>
      <c r="W716" s="1711"/>
      <c r="X716" s="1711"/>
      <c r="Y716" s="1712"/>
      <c r="Z716" s="1712"/>
      <c r="AA716" s="1712"/>
      <c r="AB716" s="1712"/>
      <c r="AC716" s="1712"/>
      <c r="AD716" s="1712"/>
      <c r="AE716" s="1712"/>
      <c r="AF716" s="1712"/>
      <c r="AG716" s="1712"/>
      <c r="AH716" s="1712"/>
      <c r="AI716" s="1712"/>
      <c r="AJ716" s="1712"/>
      <c r="AK716" s="1712"/>
      <c r="AL716" s="1712"/>
      <c r="AM716" s="1712"/>
      <c r="AN716" s="1712"/>
      <c r="AO716" s="1712"/>
      <c r="AP716" s="1712"/>
      <c r="AQ716" s="1712"/>
      <c r="AR716" s="1712"/>
      <c r="AS716" s="1712"/>
      <c r="AT716" s="1712"/>
    </row>
    <row r="717">
      <c r="A717" s="1474" t="s">
        <v>2461</v>
      </c>
      <c r="B717" s="1708"/>
      <c r="C717" s="1709"/>
      <c r="D717" s="1709"/>
      <c r="E717" s="1710"/>
      <c r="F717" s="1710"/>
      <c r="G717" s="1710"/>
      <c r="H717" s="1710"/>
      <c r="I717" s="1710"/>
      <c r="J717" s="1710"/>
      <c r="K717" s="1710"/>
      <c r="L717" s="1710"/>
      <c r="M717" s="1711"/>
      <c r="N717" s="1711"/>
      <c r="O717" s="1711"/>
      <c r="P717" s="1711"/>
      <c r="Q717" s="1711"/>
      <c r="R717" s="1711"/>
      <c r="S717" s="1711"/>
      <c r="T717" s="1711"/>
      <c r="U717" s="1711"/>
      <c r="V717" s="1711"/>
      <c r="W717" s="1711"/>
      <c r="X717" s="1711"/>
      <c r="Y717" s="1712"/>
      <c r="Z717" s="1712"/>
      <c r="AA717" s="1712"/>
      <c r="AB717" s="1712"/>
      <c r="AC717" s="1712"/>
      <c r="AD717" s="1712"/>
      <c r="AE717" s="1712"/>
      <c r="AF717" s="1712"/>
      <c r="AG717" s="1712"/>
      <c r="AH717" s="1712"/>
      <c r="AI717" s="1712"/>
      <c r="AJ717" s="1712"/>
      <c r="AK717" s="1712"/>
      <c r="AL717" s="1712"/>
      <c r="AM717" s="1712"/>
      <c r="AN717" s="1712"/>
      <c r="AO717" s="1712"/>
      <c r="AP717" s="1712"/>
      <c r="AQ717" s="1712"/>
      <c r="AR717" s="1712"/>
      <c r="AS717" s="1712"/>
      <c r="AT717" s="1712"/>
    </row>
    <row r="718">
      <c r="A718" s="1474" t="s">
        <v>2461</v>
      </c>
      <c r="B718" s="1708"/>
      <c r="C718" s="1709"/>
      <c r="D718" s="1709"/>
      <c r="E718" s="1710"/>
      <c r="F718" s="1710"/>
      <c r="G718" s="1710"/>
      <c r="H718" s="1710"/>
      <c r="I718" s="1710"/>
      <c r="J718" s="1710"/>
      <c r="K718" s="1710"/>
      <c r="L718" s="1710"/>
      <c r="M718" s="1711"/>
      <c r="N718" s="1711"/>
      <c r="O718" s="1711"/>
      <c r="P718" s="1711"/>
      <c r="Q718" s="1711"/>
      <c r="R718" s="1711"/>
      <c r="S718" s="1711"/>
      <c r="T718" s="1711"/>
      <c r="U718" s="1711"/>
      <c r="V718" s="1711"/>
      <c r="W718" s="1711"/>
      <c r="X718" s="1711"/>
      <c r="Y718" s="1712"/>
      <c r="Z718" s="1712"/>
      <c r="AA718" s="1712"/>
      <c r="AB718" s="1712"/>
      <c r="AC718" s="1712"/>
      <c r="AD718" s="1712"/>
      <c r="AE718" s="1712"/>
      <c r="AF718" s="1712"/>
      <c r="AG718" s="1712"/>
      <c r="AH718" s="1712"/>
      <c r="AI718" s="1712"/>
      <c r="AJ718" s="1712"/>
      <c r="AK718" s="1712"/>
      <c r="AL718" s="1712"/>
      <c r="AM718" s="1712"/>
      <c r="AN718" s="1712"/>
      <c r="AO718" s="1712"/>
      <c r="AP718" s="1712"/>
      <c r="AQ718" s="1712"/>
      <c r="AR718" s="1712"/>
      <c r="AS718" s="1712"/>
      <c r="AT718" s="1712"/>
    </row>
    <row r="719">
      <c r="A719" s="1474" t="s">
        <v>2461</v>
      </c>
      <c r="B719" s="1708"/>
      <c r="C719" s="1709"/>
      <c r="D719" s="1709"/>
      <c r="E719" s="1710"/>
      <c r="F719" s="1710"/>
      <c r="G719" s="1710"/>
      <c r="H719" s="1710"/>
      <c r="I719" s="1710"/>
      <c r="J719" s="1710"/>
      <c r="K719" s="1710"/>
      <c r="L719" s="1710"/>
      <c r="M719" s="1711"/>
      <c r="N719" s="1711"/>
      <c r="O719" s="1711"/>
      <c r="P719" s="1711"/>
      <c r="Q719" s="1711"/>
      <c r="R719" s="1711"/>
      <c r="S719" s="1711"/>
      <c r="T719" s="1711"/>
      <c r="U719" s="1711"/>
      <c r="V719" s="1711"/>
      <c r="W719" s="1711"/>
      <c r="X719" s="1711"/>
      <c r="Y719" s="1712"/>
      <c r="Z719" s="1712"/>
      <c r="AA719" s="1712"/>
      <c r="AB719" s="1712"/>
      <c r="AC719" s="1712"/>
      <c r="AD719" s="1712"/>
      <c r="AE719" s="1712"/>
      <c r="AF719" s="1712"/>
      <c r="AG719" s="1712"/>
      <c r="AH719" s="1712"/>
      <c r="AI719" s="1712"/>
      <c r="AJ719" s="1712"/>
      <c r="AK719" s="1712"/>
      <c r="AL719" s="1712"/>
      <c r="AM719" s="1712"/>
      <c r="AN719" s="1712"/>
      <c r="AO719" s="1712"/>
      <c r="AP719" s="1712"/>
      <c r="AQ719" s="1712"/>
      <c r="AR719" s="1712"/>
      <c r="AS719" s="1712"/>
      <c r="AT719" s="1712"/>
    </row>
    <row r="720">
      <c r="A720" s="1474" t="s">
        <v>2461</v>
      </c>
      <c r="B720" s="1708"/>
      <c r="C720" s="1709"/>
      <c r="D720" s="1709"/>
      <c r="E720" s="1710"/>
      <c r="F720" s="1710"/>
      <c r="G720" s="1710"/>
      <c r="H720" s="1710"/>
      <c r="I720" s="1710"/>
      <c r="J720" s="1710"/>
      <c r="K720" s="1710"/>
      <c r="L720" s="1710"/>
      <c r="M720" s="1711"/>
      <c r="N720" s="1711"/>
      <c r="O720" s="1711"/>
      <c r="P720" s="1711"/>
      <c r="Q720" s="1711"/>
      <c r="R720" s="1711"/>
      <c r="S720" s="1711"/>
      <c r="T720" s="1711"/>
      <c r="U720" s="1711"/>
      <c r="V720" s="1711"/>
      <c r="W720" s="1711"/>
      <c r="X720" s="1711"/>
      <c r="Y720" s="1712"/>
      <c r="Z720" s="1712"/>
      <c r="AA720" s="1712"/>
      <c r="AB720" s="1712"/>
      <c r="AC720" s="1712"/>
      <c r="AD720" s="1712"/>
      <c r="AE720" s="1712"/>
      <c r="AF720" s="1712"/>
      <c r="AG720" s="1712"/>
      <c r="AH720" s="1712"/>
      <c r="AI720" s="1712"/>
      <c r="AJ720" s="1712"/>
      <c r="AK720" s="1712"/>
      <c r="AL720" s="1712"/>
      <c r="AM720" s="1712"/>
      <c r="AN720" s="1712"/>
      <c r="AO720" s="1712"/>
      <c r="AP720" s="1712"/>
      <c r="AQ720" s="1712"/>
      <c r="AR720" s="1712"/>
      <c r="AS720" s="1712"/>
      <c r="AT720" s="1712"/>
    </row>
    <row r="721">
      <c r="A721" s="1474" t="s">
        <v>2461</v>
      </c>
      <c r="B721" s="1708"/>
      <c r="C721" s="1709"/>
      <c r="D721" s="1709"/>
      <c r="E721" s="1710"/>
      <c r="F721" s="1710"/>
      <c r="G721" s="1710"/>
      <c r="H721" s="1710"/>
      <c r="I721" s="1710"/>
      <c r="J721" s="1710"/>
      <c r="K721" s="1710"/>
      <c r="L721" s="1710"/>
      <c r="M721" s="1711"/>
      <c r="N721" s="1711"/>
      <c r="O721" s="1711"/>
      <c r="P721" s="1711"/>
      <c r="Q721" s="1711"/>
      <c r="R721" s="1711"/>
      <c r="S721" s="1711"/>
      <c r="T721" s="1711"/>
      <c r="U721" s="1711"/>
      <c r="V721" s="1711"/>
      <c r="W721" s="1711"/>
      <c r="X721" s="1711"/>
      <c r="Y721" s="1712"/>
      <c r="Z721" s="1712"/>
      <c r="AA721" s="1712"/>
      <c r="AB721" s="1712"/>
      <c r="AC721" s="1712"/>
      <c r="AD721" s="1712"/>
      <c r="AE721" s="1712"/>
      <c r="AF721" s="1712"/>
      <c r="AG721" s="1712"/>
      <c r="AH721" s="1712"/>
      <c r="AI721" s="1712"/>
      <c r="AJ721" s="1712"/>
      <c r="AK721" s="1712"/>
      <c r="AL721" s="1712"/>
      <c r="AM721" s="1712"/>
      <c r="AN721" s="1712"/>
      <c r="AO721" s="1712"/>
      <c r="AP721" s="1712"/>
      <c r="AQ721" s="1712"/>
      <c r="AR721" s="1712"/>
      <c r="AS721" s="1712"/>
      <c r="AT721" s="1712"/>
    </row>
    <row r="722">
      <c r="A722" s="1474" t="s">
        <v>2461</v>
      </c>
      <c r="B722" s="1708"/>
      <c r="C722" s="1709"/>
      <c r="D722" s="1709"/>
      <c r="E722" s="1710"/>
      <c r="F722" s="1710"/>
      <c r="G722" s="1710"/>
      <c r="H722" s="1710"/>
      <c r="I722" s="1710"/>
      <c r="J722" s="1710"/>
      <c r="K722" s="1710"/>
      <c r="L722" s="1710"/>
      <c r="M722" s="1711"/>
      <c r="N722" s="1711"/>
      <c r="O722" s="1711"/>
      <c r="P722" s="1711"/>
      <c r="Q722" s="1711"/>
      <c r="R722" s="1711"/>
      <c r="S722" s="1711"/>
      <c r="T722" s="1711"/>
      <c r="U722" s="1711"/>
      <c r="V722" s="1711"/>
      <c r="W722" s="1711"/>
      <c r="X722" s="1711"/>
      <c r="Y722" s="1712"/>
      <c r="Z722" s="1712"/>
      <c r="AA722" s="1712"/>
      <c r="AB722" s="1712"/>
      <c r="AC722" s="1712"/>
      <c r="AD722" s="1712"/>
      <c r="AE722" s="1712"/>
      <c r="AF722" s="1712"/>
      <c r="AG722" s="1712"/>
      <c r="AH722" s="1712"/>
      <c r="AI722" s="1712"/>
      <c r="AJ722" s="1712"/>
      <c r="AK722" s="1712"/>
      <c r="AL722" s="1712"/>
      <c r="AM722" s="1712"/>
      <c r="AN722" s="1712"/>
      <c r="AO722" s="1712"/>
      <c r="AP722" s="1712"/>
      <c r="AQ722" s="1712"/>
      <c r="AR722" s="1712"/>
      <c r="AS722" s="1712"/>
      <c r="AT722" s="1712"/>
    </row>
    <row r="723">
      <c r="A723" s="1474" t="s">
        <v>2461</v>
      </c>
      <c r="B723" s="1708"/>
      <c r="C723" s="1709"/>
      <c r="D723" s="1709"/>
      <c r="E723" s="1710"/>
      <c r="F723" s="1710"/>
      <c r="G723" s="1710"/>
      <c r="H723" s="1710"/>
      <c r="I723" s="1710"/>
      <c r="J723" s="1710"/>
      <c r="K723" s="1710"/>
      <c r="L723" s="1710"/>
      <c r="M723" s="1711"/>
      <c r="N723" s="1711"/>
      <c r="O723" s="1711"/>
      <c r="P723" s="1711"/>
      <c r="Q723" s="1711"/>
      <c r="R723" s="1711"/>
      <c r="S723" s="1711"/>
      <c r="T723" s="1711"/>
      <c r="U723" s="1711"/>
      <c r="V723" s="1711"/>
      <c r="W723" s="1711"/>
      <c r="X723" s="1711"/>
      <c r="Y723" s="1712"/>
      <c r="Z723" s="1712"/>
      <c r="AA723" s="1712"/>
      <c r="AB723" s="1712"/>
      <c r="AC723" s="1712"/>
      <c r="AD723" s="1712"/>
      <c r="AE723" s="1712"/>
      <c r="AF723" s="1712"/>
      <c r="AG723" s="1712"/>
      <c r="AH723" s="1712"/>
      <c r="AI723" s="1712"/>
      <c r="AJ723" s="1712"/>
      <c r="AK723" s="1712"/>
      <c r="AL723" s="1712"/>
      <c r="AM723" s="1712"/>
      <c r="AN723" s="1712"/>
      <c r="AO723" s="1712"/>
      <c r="AP723" s="1712"/>
      <c r="AQ723" s="1712"/>
      <c r="AR723" s="1712"/>
      <c r="AS723" s="1712"/>
      <c r="AT723" s="1712"/>
    </row>
    <row r="724">
      <c r="A724" s="1474" t="s">
        <v>2461</v>
      </c>
      <c r="B724" s="1708"/>
      <c r="C724" s="1709"/>
      <c r="D724" s="1709"/>
      <c r="E724" s="1710"/>
      <c r="F724" s="1710"/>
      <c r="G724" s="1710"/>
      <c r="H724" s="1710"/>
      <c r="I724" s="1710"/>
      <c r="J724" s="1710"/>
      <c r="K724" s="1710"/>
      <c r="L724" s="1710"/>
      <c r="M724" s="1711"/>
      <c r="N724" s="1711"/>
      <c r="O724" s="1711"/>
      <c r="P724" s="1711"/>
      <c r="Q724" s="1711"/>
      <c r="R724" s="1711"/>
      <c r="S724" s="1711"/>
      <c r="T724" s="1711"/>
      <c r="U724" s="1711"/>
      <c r="V724" s="1711"/>
      <c r="W724" s="1711"/>
      <c r="X724" s="1711"/>
      <c r="Y724" s="1712"/>
      <c r="Z724" s="1712"/>
      <c r="AA724" s="1712"/>
      <c r="AB724" s="1712"/>
      <c r="AC724" s="1712"/>
      <c r="AD724" s="1712"/>
      <c r="AE724" s="1712"/>
      <c r="AF724" s="1712"/>
      <c r="AG724" s="1712"/>
      <c r="AH724" s="1712"/>
      <c r="AI724" s="1712"/>
      <c r="AJ724" s="1712"/>
      <c r="AK724" s="1712"/>
      <c r="AL724" s="1712"/>
      <c r="AM724" s="1712"/>
      <c r="AN724" s="1712"/>
      <c r="AO724" s="1712"/>
      <c r="AP724" s="1712"/>
      <c r="AQ724" s="1712"/>
      <c r="AR724" s="1712"/>
      <c r="AS724" s="1712"/>
      <c r="AT724" s="1712"/>
    </row>
    <row r="725">
      <c r="A725" s="1474" t="s">
        <v>2461</v>
      </c>
      <c r="B725" s="1708"/>
      <c r="C725" s="1709"/>
      <c r="D725" s="1709"/>
      <c r="E725" s="1710"/>
      <c r="F725" s="1710"/>
      <c r="G725" s="1710"/>
      <c r="H725" s="1710"/>
      <c r="I725" s="1710"/>
      <c r="J725" s="1710"/>
      <c r="K725" s="1710"/>
      <c r="L725" s="1710"/>
      <c r="M725" s="1711"/>
      <c r="N725" s="1711"/>
      <c r="O725" s="1711"/>
      <c r="P725" s="1711"/>
      <c r="Q725" s="1711"/>
      <c r="R725" s="1711"/>
      <c r="S725" s="1711"/>
      <c r="T725" s="1711"/>
      <c r="U725" s="1711"/>
      <c r="V725" s="1711"/>
      <c r="W725" s="1711"/>
      <c r="X725" s="1711"/>
      <c r="Y725" s="1712"/>
      <c r="Z725" s="1712"/>
      <c r="AA725" s="1712"/>
      <c r="AB725" s="1712"/>
      <c r="AC725" s="1712"/>
      <c r="AD725" s="1712"/>
      <c r="AE725" s="1712"/>
      <c r="AF725" s="1712"/>
      <c r="AG725" s="1712"/>
      <c r="AH725" s="1712"/>
      <c r="AI725" s="1712"/>
      <c r="AJ725" s="1712"/>
      <c r="AK725" s="1712"/>
      <c r="AL725" s="1712"/>
      <c r="AM725" s="1712"/>
      <c r="AN725" s="1712"/>
      <c r="AO725" s="1712"/>
      <c r="AP725" s="1712"/>
      <c r="AQ725" s="1712"/>
      <c r="AR725" s="1712"/>
      <c r="AS725" s="1712"/>
      <c r="AT725" s="1712"/>
    </row>
    <row r="726">
      <c r="A726" s="1474" t="s">
        <v>2461</v>
      </c>
      <c r="B726" s="1708"/>
      <c r="C726" s="1709"/>
      <c r="D726" s="1709"/>
      <c r="E726" s="1710"/>
      <c r="F726" s="1710"/>
      <c r="G726" s="1710"/>
      <c r="H726" s="1710"/>
      <c r="I726" s="1710"/>
      <c r="J726" s="1710"/>
      <c r="K726" s="1710"/>
      <c r="L726" s="1710"/>
      <c r="M726" s="1711"/>
      <c r="N726" s="1711"/>
      <c r="O726" s="1711"/>
      <c r="P726" s="1711"/>
      <c r="Q726" s="1711"/>
      <c r="R726" s="1711"/>
      <c r="S726" s="1711"/>
      <c r="T726" s="1711"/>
      <c r="U726" s="1711"/>
      <c r="V726" s="1711"/>
      <c r="W726" s="1711"/>
      <c r="X726" s="1711"/>
      <c r="Y726" s="1712"/>
      <c r="Z726" s="1712"/>
      <c r="AA726" s="1712"/>
      <c r="AB726" s="1712"/>
      <c r="AC726" s="1712"/>
      <c r="AD726" s="1712"/>
      <c r="AE726" s="1712"/>
      <c r="AF726" s="1712"/>
      <c r="AG726" s="1712"/>
      <c r="AH726" s="1712"/>
      <c r="AI726" s="1712"/>
      <c r="AJ726" s="1712"/>
      <c r="AK726" s="1712"/>
      <c r="AL726" s="1712"/>
      <c r="AM726" s="1712"/>
      <c r="AN726" s="1712"/>
      <c r="AO726" s="1712"/>
      <c r="AP726" s="1712"/>
      <c r="AQ726" s="1712"/>
      <c r="AR726" s="1712"/>
      <c r="AS726" s="1712"/>
      <c r="AT726" s="1712"/>
    </row>
    <row r="727">
      <c r="A727" s="1474" t="s">
        <v>2461</v>
      </c>
      <c r="B727" s="1708"/>
      <c r="C727" s="1709"/>
      <c r="D727" s="1709"/>
      <c r="E727" s="1710"/>
      <c r="F727" s="1710"/>
      <c r="G727" s="1710"/>
      <c r="H727" s="1710"/>
      <c r="I727" s="1710"/>
      <c r="J727" s="1710"/>
      <c r="K727" s="1710"/>
      <c r="L727" s="1710"/>
      <c r="M727" s="1711"/>
      <c r="N727" s="1711"/>
      <c r="O727" s="1711"/>
      <c r="P727" s="1711"/>
      <c r="Q727" s="1711"/>
      <c r="R727" s="1711"/>
      <c r="S727" s="1711"/>
      <c r="T727" s="1711"/>
      <c r="U727" s="1711"/>
      <c r="V727" s="1711"/>
      <c r="W727" s="1711"/>
      <c r="X727" s="1711"/>
      <c r="Y727" s="1712"/>
      <c r="Z727" s="1712"/>
      <c r="AA727" s="1712"/>
      <c r="AB727" s="1712"/>
      <c r="AC727" s="1712"/>
      <c r="AD727" s="1712"/>
      <c r="AE727" s="1712"/>
      <c r="AF727" s="1712"/>
      <c r="AG727" s="1712"/>
      <c r="AH727" s="1712"/>
      <c r="AI727" s="1712"/>
      <c r="AJ727" s="1712"/>
      <c r="AK727" s="1712"/>
      <c r="AL727" s="1712"/>
      <c r="AM727" s="1712"/>
      <c r="AN727" s="1712"/>
      <c r="AO727" s="1712"/>
      <c r="AP727" s="1712"/>
      <c r="AQ727" s="1712"/>
      <c r="AR727" s="1712"/>
      <c r="AS727" s="1712"/>
      <c r="AT727" s="1712"/>
    </row>
    <row r="728">
      <c r="A728" s="1474" t="s">
        <v>2461</v>
      </c>
      <c r="B728" s="1708"/>
      <c r="C728" s="1709"/>
      <c r="D728" s="1709"/>
      <c r="E728" s="1710"/>
      <c r="F728" s="1710"/>
      <c r="G728" s="1710"/>
      <c r="H728" s="1710"/>
      <c r="I728" s="1710"/>
      <c r="J728" s="1710"/>
      <c r="K728" s="1710"/>
      <c r="L728" s="1710"/>
      <c r="M728" s="1711"/>
      <c r="N728" s="1711"/>
      <c r="O728" s="1711"/>
      <c r="P728" s="1711"/>
      <c r="Q728" s="1711"/>
      <c r="R728" s="1711"/>
      <c r="S728" s="1711"/>
      <c r="T728" s="1711"/>
      <c r="U728" s="1711"/>
      <c r="V728" s="1711"/>
      <c r="W728" s="1711"/>
      <c r="X728" s="1711"/>
      <c r="Y728" s="1712"/>
      <c r="Z728" s="1712"/>
      <c r="AA728" s="1712"/>
      <c r="AB728" s="1712"/>
      <c r="AC728" s="1712"/>
      <c r="AD728" s="1712"/>
      <c r="AE728" s="1712"/>
      <c r="AF728" s="1712"/>
      <c r="AG728" s="1712"/>
      <c r="AH728" s="1712"/>
      <c r="AI728" s="1712"/>
      <c r="AJ728" s="1712"/>
      <c r="AK728" s="1712"/>
      <c r="AL728" s="1712"/>
      <c r="AM728" s="1712"/>
      <c r="AN728" s="1712"/>
      <c r="AO728" s="1712"/>
      <c r="AP728" s="1712"/>
      <c r="AQ728" s="1712"/>
      <c r="AR728" s="1712"/>
      <c r="AS728" s="1712"/>
      <c r="AT728" s="1712"/>
    </row>
    <row r="729">
      <c r="A729" s="1474" t="s">
        <v>2461</v>
      </c>
      <c r="B729" s="1708"/>
      <c r="C729" s="1709"/>
      <c r="D729" s="1709"/>
      <c r="E729" s="1710"/>
      <c r="F729" s="1710"/>
      <c r="G729" s="1710"/>
      <c r="H729" s="1710"/>
      <c r="I729" s="1710"/>
      <c r="J729" s="1710"/>
      <c r="K729" s="1710"/>
      <c r="L729" s="1710"/>
      <c r="M729" s="1711"/>
      <c r="N729" s="1711"/>
      <c r="O729" s="1711"/>
      <c r="P729" s="1711"/>
      <c r="Q729" s="1711"/>
      <c r="R729" s="1711"/>
      <c r="S729" s="1711"/>
      <c r="T729" s="1711"/>
      <c r="U729" s="1711"/>
      <c r="V729" s="1711"/>
      <c r="W729" s="1711"/>
      <c r="X729" s="1711"/>
      <c r="Y729" s="1712"/>
      <c r="Z729" s="1712"/>
      <c r="AA729" s="1712"/>
      <c r="AB729" s="1712"/>
      <c r="AC729" s="1712"/>
      <c r="AD729" s="1712"/>
      <c r="AE729" s="1712"/>
      <c r="AF729" s="1712"/>
      <c r="AG729" s="1712"/>
      <c r="AH729" s="1712"/>
      <c r="AI729" s="1712"/>
      <c r="AJ729" s="1712"/>
      <c r="AK729" s="1712"/>
      <c r="AL729" s="1712"/>
      <c r="AM729" s="1712"/>
      <c r="AN729" s="1712"/>
      <c r="AO729" s="1712"/>
      <c r="AP729" s="1712"/>
      <c r="AQ729" s="1712"/>
      <c r="AR729" s="1712"/>
      <c r="AS729" s="1712"/>
      <c r="AT729" s="1712"/>
    </row>
    <row r="730">
      <c r="A730" s="1474" t="s">
        <v>2461</v>
      </c>
      <c r="B730" s="1708"/>
      <c r="C730" s="1709"/>
      <c r="D730" s="1709"/>
      <c r="E730" s="1710"/>
      <c r="F730" s="1710"/>
      <c r="G730" s="1710"/>
      <c r="H730" s="1710"/>
      <c r="I730" s="1710"/>
      <c r="J730" s="1710"/>
      <c r="K730" s="1710"/>
      <c r="L730" s="1710"/>
      <c r="M730" s="1711"/>
      <c r="N730" s="1711"/>
      <c r="O730" s="1711"/>
      <c r="P730" s="1711"/>
      <c r="Q730" s="1711"/>
      <c r="R730" s="1711"/>
      <c r="S730" s="1711"/>
      <c r="T730" s="1711"/>
      <c r="U730" s="1711"/>
      <c r="V730" s="1711"/>
      <c r="W730" s="1711"/>
      <c r="X730" s="1711"/>
      <c r="Y730" s="1712"/>
      <c r="Z730" s="1712"/>
      <c r="AA730" s="1712"/>
      <c r="AB730" s="1712"/>
      <c r="AC730" s="1712"/>
      <c r="AD730" s="1712"/>
      <c r="AE730" s="1712"/>
      <c r="AF730" s="1712"/>
      <c r="AG730" s="1712"/>
      <c r="AH730" s="1712"/>
      <c r="AI730" s="1712"/>
      <c r="AJ730" s="1712"/>
      <c r="AK730" s="1712"/>
      <c r="AL730" s="1712"/>
      <c r="AM730" s="1712"/>
      <c r="AN730" s="1712"/>
      <c r="AO730" s="1712"/>
      <c r="AP730" s="1712"/>
      <c r="AQ730" s="1712"/>
      <c r="AR730" s="1712"/>
      <c r="AS730" s="1712"/>
      <c r="AT730" s="1712"/>
    </row>
    <row r="731">
      <c r="A731" s="1474" t="s">
        <v>2461</v>
      </c>
      <c r="B731" s="1708"/>
      <c r="C731" s="1709"/>
      <c r="D731" s="1709"/>
      <c r="E731" s="1710"/>
      <c r="F731" s="1710"/>
      <c r="G731" s="1710"/>
      <c r="H731" s="1710"/>
      <c r="I731" s="1710"/>
      <c r="J731" s="1710"/>
      <c r="K731" s="1710"/>
      <c r="L731" s="1710"/>
      <c r="M731" s="1711"/>
      <c r="N731" s="1711"/>
      <c r="O731" s="1711"/>
      <c r="P731" s="1711"/>
      <c r="Q731" s="1711"/>
      <c r="R731" s="1711"/>
      <c r="S731" s="1711"/>
      <c r="T731" s="1711"/>
      <c r="U731" s="1711"/>
      <c r="V731" s="1711"/>
      <c r="W731" s="1711"/>
      <c r="X731" s="1711"/>
      <c r="Y731" s="1712"/>
      <c r="Z731" s="1712"/>
      <c r="AA731" s="1712"/>
      <c r="AB731" s="1712"/>
      <c r="AC731" s="1712"/>
      <c r="AD731" s="1712"/>
      <c r="AE731" s="1712"/>
      <c r="AF731" s="1712"/>
      <c r="AG731" s="1712"/>
      <c r="AH731" s="1712"/>
      <c r="AI731" s="1712"/>
      <c r="AJ731" s="1712"/>
      <c r="AK731" s="1712"/>
      <c r="AL731" s="1712"/>
      <c r="AM731" s="1712"/>
      <c r="AN731" s="1712"/>
      <c r="AO731" s="1712"/>
      <c r="AP731" s="1712"/>
      <c r="AQ731" s="1712"/>
      <c r="AR731" s="1712"/>
      <c r="AS731" s="1712"/>
      <c r="AT731" s="1712"/>
    </row>
    <row r="732">
      <c r="A732" s="1474" t="s">
        <v>2461</v>
      </c>
      <c r="B732" s="1708"/>
      <c r="C732" s="1709"/>
      <c r="D732" s="1709"/>
      <c r="E732" s="1710"/>
      <c r="F732" s="1710"/>
      <c r="G732" s="1710"/>
      <c r="H732" s="1710"/>
      <c r="I732" s="1710"/>
      <c r="J732" s="1710"/>
      <c r="K732" s="1710"/>
      <c r="L732" s="1710"/>
      <c r="M732" s="1711"/>
      <c r="N732" s="1711"/>
      <c r="O732" s="1711"/>
      <c r="P732" s="1711"/>
      <c r="Q732" s="1711"/>
      <c r="R732" s="1711"/>
      <c r="S732" s="1711"/>
      <c r="T732" s="1711"/>
      <c r="U732" s="1711"/>
      <c r="V732" s="1711"/>
      <c r="W732" s="1711"/>
      <c r="X732" s="1711"/>
      <c r="Y732" s="1712"/>
      <c r="Z732" s="1712"/>
      <c r="AA732" s="1712"/>
      <c r="AB732" s="1712"/>
      <c r="AC732" s="1712"/>
      <c r="AD732" s="1712"/>
      <c r="AE732" s="1712"/>
      <c r="AF732" s="1712"/>
      <c r="AG732" s="1712"/>
      <c r="AH732" s="1712"/>
      <c r="AI732" s="1712"/>
      <c r="AJ732" s="1712"/>
      <c r="AK732" s="1712"/>
      <c r="AL732" s="1712"/>
      <c r="AM732" s="1712"/>
      <c r="AN732" s="1712"/>
      <c r="AO732" s="1712"/>
      <c r="AP732" s="1712"/>
      <c r="AQ732" s="1712"/>
      <c r="AR732" s="1712"/>
      <c r="AS732" s="1712"/>
      <c r="AT732" s="1712"/>
    </row>
    <row r="733">
      <c r="A733" s="1474" t="s">
        <v>2461</v>
      </c>
      <c r="B733" s="1708"/>
      <c r="C733" s="1709"/>
      <c r="D733" s="1709"/>
      <c r="E733" s="1710"/>
      <c r="F733" s="1710"/>
      <c r="G733" s="1710"/>
      <c r="H733" s="1710"/>
      <c r="I733" s="1710"/>
      <c r="J733" s="1710"/>
      <c r="K733" s="1710"/>
      <c r="L733" s="1710"/>
      <c r="M733" s="1711"/>
      <c r="N733" s="1711"/>
      <c r="O733" s="1711"/>
      <c r="P733" s="1711"/>
      <c r="Q733" s="1711"/>
      <c r="R733" s="1711"/>
      <c r="S733" s="1711"/>
      <c r="T733" s="1711"/>
      <c r="U733" s="1711"/>
      <c r="V733" s="1711"/>
      <c r="W733" s="1711"/>
      <c r="X733" s="1711"/>
      <c r="Y733" s="1712"/>
      <c r="Z733" s="1712"/>
      <c r="AA733" s="1712"/>
      <c r="AB733" s="1712"/>
      <c r="AC733" s="1712"/>
      <c r="AD733" s="1712"/>
      <c r="AE733" s="1712"/>
      <c r="AF733" s="1712"/>
      <c r="AG733" s="1712"/>
      <c r="AH733" s="1712"/>
      <c r="AI733" s="1712"/>
      <c r="AJ733" s="1712"/>
      <c r="AK733" s="1712"/>
      <c r="AL733" s="1712"/>
      <c r="AM733" s="1712"/>
      <c r="AN733" s="1712"/>
      <c r="AO733" s="1712"/>
      <c r="AP733" s="1712"/>
      <c r="AQ733" s="1712"/>
      <c r="AR733" s="1712"/>
      <c r="AS733" s="1712"/>
      <c r="AT733" s="1712"/>
    </row>
    <row r="734">
      <c r="A734" s="1474" t="s">
        <v>2461</v>
      </c>
      <c r="B734" s="1708"/>
      <c r="C734" s="1709"/>
      <c r="D734" s="1709"/>
      <c r="E734" s="1710"/>
      <c r="F734" s="1710"/>
      <c r="G734" s="1710"/>
      <c r="H734" s="1710"/>
      <c r="I734" s="1710"/>
      <c r="J734" s="1710"/>
      <c r="K734" s="1710"/>
      <c r="L734" s="1710"/>
      <c r="M734" s="1711"/>
      <c r="N734" s="1711"/>
      <c r="O734" s="1711"/>
      <c r="P734" s="1711"/>
      <c r="Q734" s="1711"/>
      <c r="R734" s="1711"/>
      <c r="S734" s="1711"/>
      <c r="T734" s="1711"/>
      <c r="U734" s="1711"/>
      <c r="V734" s="1711"/>
      <c r="W734" s="1711"/>
      <c r="X734" s="1711"/>
      <c r="Y734" s="1712"/>
      <c r="Z734" s="1712"/>
      <c r="AA734" s="1712"/>
      <c r="AB734" s="1712"/>
      <c r="AC734" s="1712"/>
      <c r="AD734" s="1712"/>
      <c r="AE734" s="1712"/>
      <c r="AF734" s="1712"/>
      <c r="AG734" s="1712"/>
      <c r="AH734" s="1712"/>
      <c r="AI734" s="1712"/>
      <c r="AJ734" s="1712"/>
      <c r="AK734" s="1712"/>
      <c r="AL734" s="1712"/>
      <c r="AM734" s="1712"/>
      <c r="AN734" s="1712"/>
      <c r="AO734" s="1712"/>
      <c r="AP734" s="1712"/>
      <c r="AQ734" s="1712"/>
      <c r="AR734" s="1712"/>
      <c r="AS734" s="1712"/>
      <c r="AT734" s="1712"/>
    </row>
    <row r="735">
      <c r="A735" s="1474" t="s">
        <v>2461</v>
      </c>
      <c r="B735" s="1708"/>
      <c r="C735" s="1709"/>
      <c r="D735" s="1709"/>
      <c r="E735" s="1710"/>
      <c r="F735" s="1710"/>
      <c r="G735" s="1710"/>
      <c r="H735" s="1710"/>
      <c r="I735" s="1710"/>
      <c r="J735" s="1710"/>
      <c r="K735" s="1710"/>
      <c r="L735" s="1710"/>
      <c r="M735" s="1711"/>
      <c r="N735" s="1711"/>
      <c r="O735" s="1711"/>
      <c r="P735" s="1711"/>
      <c r="Q735" s="1711"/>
      <c r="R735" s="1711"/>
      <c r="S735" s="1711"/>
      <c r="T735" s="1711"/>
      <c r="U735" s="1711"/>
      <c r="V735" s="1711"/>
      <c r="W735" s="1711"/>
      <c r="X735" s="1711"/>
      <c r="Y735" s="1712"/>
      <c r="Z735" s="1712"/>
      <c r="AA735" s="1712"/>
      <c r="AB735" s="1712"/>
      <c r="AC735" s="1712"/>
      <c r="AD735" s="1712"/>
      <c r="AE735" s="1712"/>
      <c r="AF735" s="1712"/>
      <c r="AG735" s="1712"/>
      <c r="AH735" s="1712"/>
      <c r="AI735" s="1712"/>
      <c r="AJ735" s="1712"/>
      <c r="AK735" s="1712"/>
      <c r="AL735" s="1712"/>
      <c r="AM735" s="1712"/>
      <c r="AN735" s="1712"/>
      <c r="AO735" s="1712"/>
      <c r="AP735" s="1712"/>
      <c r="AQ735" s="1712"/>
      <c r="AR735" s="1712"/>
      <c r="AS735" s="1712"/>
      <c r="AT735" s="1712"/>
    </row>
    <row r="736">
      <c r="A736" s="1474" t="s">
        <v>2461</v>
      </c>
      <c r="B736" s="1708"/>
      <c r="C736" s="1709"/>
      <c r="D736" s="1709"/>
      <c r="E736" s="1710"/>
      <c r="F736" s="1710"/>
      <c r="G736" s="1710"/>
      <c r="H736" s="1710"/>
      <c r="I736" s="1710"/>
      <c r="J736" s="1710"/>
      <c r="K736" s="1710"/>
      <c r="L736" s="1710"/>
      <c r="M736" s="1711"/>
      <c r="N736" s="1711"/>
      <c r="O736" s="1711"/>
      <c r="P736" s="1711"/>
      <c r="Q736" s="1711"/>
      <c r="R736" s="1711"/>
      <c r="S736" s="1711"/>
      <c r="T736" s="1711"/>
      <c r="U736" s="1711"/>
      <c r="V736" s="1711"/>
      <c r="W736" s="1711"/>
      <c r="X736" s="1711"/>
      <c r="Y736" s="1712"/>
      <c r="Z736" s="1712"/>
      <c r="AA736" s="1712"/>
      <c r="AB736" s="1712"/>
      <c r="AC736" s="1712"/>
      <c r="AD736" s="1712"/>
      <c r="AE736" s="1712"/>
      <c r="AF736" s="1712"/>
      <c r="AG736" s="1712"/>
      <c r="AH736" s="1712"/>
      <c r="AI736" s="1712"/>
      <c r="AJ736" s="1712"/>
      <c r="AK736" s="1712"/>
      <c r="AL736" s="1712"/>
      <c r="AM736" s="1712"/>
      <c r="AN736" s="1712"/>
      <c r="AO736" s="1712"/>
      <c r="AP736" s="1712"/>
      <c r="AQ736" s="1712"/>
      <c r="AR736" s="1712"/>
      <c r="AS736" s="1712"/>
      <c r="AT736" s="1712"/>
    </row>
    <row r="737">
      <c r="A737" s="1474" t="s">
        <v>2461</v>
      </c>
      <c r="B737" s="1708"/>
      <c r="C737" s="1709"/>
      <c r="D737" s="1709"/>
      <c r="E737" s="1710"/>
      <c r="F737" s="1710"/>
      <c r="G737" s="1710"/>
      <c r="H737" s="1710"/>
      <c r="I737" s="1710"/>
      <c r="J737" s="1710"/>
      <c r="K737" s="1710"/>
      <c r="L737" s="1710"/>
      <c r="M737" s="1711"/>
      <c r="N737" s="1711"/>
      <c r="O737" s="1711"/>
      <c r="P737" s="1711"/>
      <c r="Q737" s="1711"/>
      <c r="R737" s="1711"/>
      <c r="S737" s="1711"/>
      <c r="T737" s="1711"/>
      <c r="U737" s="1711"/>
      <c r="V737" s="1711"/>
      <c r="W737" s="1711"/>
      <c r="X737" s="1711"/>
      <c r="Y737" s="1712"/>
      <c r="Z737" s="1712"/>
      <c r="AA737" s="1712"/>
      <c r="AB737" s="1712"/>
      <c r="AC737" s="1712"/>
      <c r="AD737" s="1712"/>
      <c r="AE737" s="1712"/>
      <c r="AF737" s="1712"/>
      <c r="AG737" s="1712"/>
      <c r="AH737" s="1712"/>
      <c r="AI737" s="1712"/>
      <c r="AJ737" s="1712"/>
      <c r="AK737" s="1712"/>
      <c r="AL737" s="1712"/>
      <c r="AM737" s="1712"/>
      <c r="AN737" s="1712"/>
      <c r="AO737" s="1712"/>
      <c r="AP737" s="1712"/>
      <c r="AQ737" s="1712"/>
      <c r="AR737" s="1712"/>
      <c r="AS737" s="1712"/>
      <c r="AT737" s="1712"/>
    </row>
    <row r="738">
      <c r="A738" s="1474" t="s">
        <v>2461</v>
      </c>
      <c r="B738" s="1708"/>
      <c r="C738" s="1709"/>
      <c r="D738" s="1709"/>
      <c r="E738" s="1710"/>
      <c r="F738" s="1710"/>
      <c r="G738" s="1710"/>
      <c r="H738" s="1710"/>
      <c r="I738" s="1710"/>
      <c r="J738" s="1710"/>
      <c r="K738" s="1710"/>
      <c r="L738" s="1710"/>
      <c r="M738" s="1711"/>
      <c r="N738" s="1711"/>
      <c r="O738" s="1711"/>
      <c r="P738" s="1711"/>
      <c r="Q738" s="1711"/>
      <c r="R738" s="1711"/>
      <c r="S738" s="1711"/>
      <c r="T738" s="1711"/>
      <c r="U738" s="1711"/>
      <c r="V738" s="1711"/>
      <c r="W738" s="1711"/>
      <c r="X738" s="1711"/>
      <c r="Y738" s="1712"/>
      <c r="Z738" s="1712"/>
      <c r="AA738" s="1712"/>
      <c r="AB738" s="1712"/>
      <c r="AC738" s="1712"/>
      <c r="AD738" s="1712"/>
      <c r="AE738" s="1712"/>
      <c r="AF738" s="1712"/>
      <c r="AG738" s="1712"/>
      <c r="AH738" s="1712"/>
      <c r="AI738" s="1712"/>
      <c r="AJ738" s="1712"/>
      <c r="AK738" s="1712"/>
      <c r="AL738" s="1712"/>
      <c r="AM738" s="1712"/>
      <c r="AN738" s="1712"/>
      <c r="AO738" s="1712"/>
      <c r="AP738" s="1712"/>
      <c r="AQ738" s="1712"/>
      <c r="AR738" s="1712"/>
      <c r="AS738" s="1712"/>
      <c r="AT738" s="1712"/>
    </row>
    <row r="739">
      <c r="A739" s="1474" t="s">
        <v>2461</v>
      </c>
      <c r="B739" s="1708"/>
      <c r="C739" s="1709"/>
      <c r="D739" s="1709"/>
      <c r="E739" s="1710"/>
      <c r="F739" s="1710"/>
      <c r="G739" s="1710"/>
      <c r="H739" s="1710"/>
      <c r="I739" s="1710"/>
      <c r="J739" s="1710"/>
      <c r="K739" s="1710"/>
      <c r="L739" s="1710"/>
      <c r="M739" s="1711"/>
      <c r="N739" s="1711"/>
      <c r="O739" s="1711"/>
      <c r="P739" s="1711"/>
      <c r="Q739" s="1711"/>
      <c r="R739" s="1711"/>
      <c r="S739" s="1711"/>
      <c r="T739" s="1711"/>
      <c r="U739" s="1711"/>
      <c r="V739" s="1711"/>
      <c r="W739" s="1711"/>
      <c r="X739" s="1711"/>
      <c r="Y739" s="1712"/>
      <c r="Z739" s="1712"/>
      <c r="AA739" s="1712"/>
      <c r="AB739" s="1712"/>
      <c r="AC739" s="1712"/>
      <c r="AD739" s="1712"/>
      <c r="AE739" s="1712"/>
      <c r="AF739" s="1712"/>
      <c r="AG739" s="1712"/>
      <c r="AH739" s="1712"/>
      <c r="AI739" s="1712"/>
      <c r="AJ739" s="1712"/>
      <c r="AK739" s="1712"/>
      <c r="AL739" s="1712"/>
      <c r="AM739" s="1712"/>
      <c r="AN739" s="1712"/>
      <c r="AO739" s="1712"/>
      <c r="AP739" s="1712"/>
      <c r="AQ739" s="1712"/>
      <c r="AR739" s="1712"/>
      <c r="AS739" s="1712"/>
      <c r="AT739" s="1712"/>
    </row>
    <row r="740">
      <c r="A740" s="1474" t="s">
        <v>2461</v>
      </c>
      <c r="B740" s="1708"/>
      <c r="C740" s="1709"/>
      <c r="D740" s="1709"/>
      <c r="E740" s="1710"/>
      <c r="F740" s="1710"/>
      <c r="G740" s="1710"/>
      <c r="H740" s="1710"/>
      <c r="I740" s="1710"/>
      <c r="J740" s="1710"/>
      <c r="K740" s="1710"/>
      <c r="L740" s="1710"/>
      <c r="M740" s="1711"/>
      <c r="N740" s="1711"/>
      <c r="O740" s="1711"/>
      <c r="P740" s="1711"/>
      <c r="Q740" s="1711"/>
      <c r="R740" s="1711"/>
      <c r="S740" s="1711"/>
      <c r="T740" s="1711"/>
      <c r="U740" s="1711"/>
      <c r="V740" s="1711"/>
      <c r="W740" s="1711"/>
      <c r="X740" s="1711"/>
      <c r="Y740" s="1712"/>
      <c r="Z740" s="1712"/>
      <c r="AA740" s="1712"/>
      <c r="AB740" s="1712"/>
      <c r="AC740" s="1712"/>
      <c r="AD740" s="1712"/>
      <c r="AE740" s="1712"/>
      <c r="AF740" s="1712"/>
      <c r="AG740" s="1712"/>
      <c r="AH740" s="1712"/>
      <c r="AI740" s="1712"/>
      <c r="AJ740" s="1712"/>
      <c r="AK740" s="1712"/>
      <c r="AL740" s="1712"/>
      <c r="AM740" s="1712"/>
      <c r="AN740" s="1712"/>
      <c r="AO740" s="1712"/>
      <c r="AP740" s="1712"/>
      <c r="AQ740" s="1712"/>
      <c r="AR740" s="1712"/>
      <c r="AS740" s="1712"/>
      <c r="AT740" s="1712"/>
    </row>
    <row r="741">
      <c r="A741" s="1474" t="s">
        <v>2461</v>
      </c>
      <c r="B741" s="1708"/>
      <c r="C741" s="1709"/>
      <c r="D741" s="1709"/>
      <c r="E741" s="1710"/>
      <c r="F741" s="1710"/>
      <c r="G741" s="1710"/>
      <c r="H741" s="1710"/>
      <c r="I741" s="1710"/>
      <c r="J741" s="1710"/>
      <c r="K741" s="1710"/>
      <c r="L741" s="1710"/>
      <c r="M741" s="1711"/>
      <c r="N741" s="1711"/>
      <c r="O741" s="1711"/>
      <c r="P741" s="1711"/>
      <c r="Q741" s="1711"/>
      <c r="R741" s="1711"/>
      <c r="S741" s="1711"/>
      <c r="T741" s="1711"/>
      <c r="U741" s="1711"/>
      <c r="V741" s="1711"/>
      <c r="W741" s="1711"/>
      <c r="X741" s="1711"/>
      <c r="Y741" s="1712"/>
      <c r="Z741" s="1712"/>
      <c r="AA741" s="1712"/>
      <c r="AB741" s="1712"/>
      <c r="AC741" s="1712"/>
      <c r="AD741" s="1712"/>
      <c r="AE741" s="1712"/>
      <c r="AF741" s="1712"/>
      <c r="AG741" s="1712"/>
      <c r="AH741" s="1712"/>
      <c r="AI741" s="1712"/>
      <c r="AJ741" s="1712"/>
      <c r="AK741" s="1712"/>
      <c r="AL741" s="1712"/>
      <c r="AM741" s="1712"/>
      <c r="AN741" s="1712"/>
      <c r="AO741" s="1712"/>
      <c r="AP741" s="1712"/>
      <c r="AQ741" s="1712"/>
      <c r="AR741" s="1712"/>
      <c r="AS741" s="1712"/>
      <c r="AT741" s="1712"/>
    </row>
    <row r="742">
      <c r="A742" s="1474" t="s">
        <v>2461</v>
      </c>
      <c r="B742" s="1708"/>
      <c r="C742" s="1709"/>
      <c r="D742" s="1709"/>
      <c r="E742" s="1710"/>
      <c r="F742" s="1710"/>
      <c r="G742" s="1710"/>
      <c r="H742" s="1710"/>
      <c r="I742" s="1710"/>
      <c r="J742" s="1710"/>
      <c r="K742" s="1710"/>
      <c r="L742" s="1710"/>
      <c r="M742" s="1711"/>
      <c r="N742" s="1711"/>
      <c r="O742" s="1711"/>
      <c r="P742" s="1711"/>
      <c r="Q742" s="1711"/>
      <c r="R742" s="1711"/>
      <c r="S742" s="1711"/>
      <c r="T742" s="1711"/>
      <c r="U742" s="1711"/>
      <c r="V742" s="1711"/>
      <c r="W742" s="1711"/>
      <c r="X742" s="1711"/>
      <c r="Y742" s="1712"/>
      <c r="Z742" s="1712"/>
      <c r="AA742" s="1712"/>
      <c r="AB742" s="1712"/>
      <c r="AC742" s="1712"/>
      <c r="AD742" s="1712"/>
      <c r="AE742" s="1712"/>
      <c r="AF742" s="1712"/>
      <c r="AG742" s="1712"/>
      <c r="AH742" s="1712"/>
      <c r="AI742" s="1712"/>
      <c r="AJ742" s="1712"/>
      <c r="AK742" s="1712"/>
      <c r="AL742" s="1712"/>
      <c r="AM742" s="1712"/>
      <c r="AN742" s="1712"/>
      <c r="AO742" s="1712"/>
      <c r="AP742" s="1712"/>
      <c r="AQ742" s="1712"/>
      <c r="AR742" s="1712"/>
      <c r="AS742" s="1712"/>
      <c r="AT742" s="1712"/>
    </row>
    <row r="743">
      <c r="A743" s="1474" t="s">
        <v>2461</v>
      </c>
      <c r="B743" s="1708"/>
      <c r="C743" s="1709"/>
      <c r="D743" s="1709"/>
      <c r="E743" s="1710"/>
      <c r="F743" s="1710"/>
      <c r="G743" s="1710"/>
      <c r="H743" s="1710"/>
      <c r="I743" s="1710"/>
      <c r="J743" s="1710"/>
      <c r="K743" s="1710"/>
      <c r="L743" s="1710"/>
      <c r="M743" s="1711"/>
      <c r="N743" s="1711"/>
      <c r="O743" s="1711"/>
      <c r="P743" s="1711"/>
      <c r="Q743" s="1711"/>
      <c r="R743" s="1711"/>
      <c r="S743" s="1711"/>
      <c r="T743" s="1711"/>
      <c r="U743" s="1711"/>
      <c r="V743" s="1711"/>
      <c r="W743" s="1711"/>
      <c r="X743" s="1711"/>
      <c r="Y743" s="1712"/>
      <c r="Z743" s="1712"/>
      <c r="AA743" s="1712"/>
      <c r="AB743" s="1712"/>
      <c r="AC743" s="1712"/>
      <c r="AD743" s="1712"/>
      <c r="AE743" s="1712"/>
      <c r="AF743" s="1712"/>
      <c r="AG743" s="1712"/>
      <c r="AH743" s="1712"/>
      <c r="AI743" s="1712"/>
      <c r="AJ743" s="1712"/>
      <c r="AK743" s="1712"/>
      <c r="AL743" s="1712"/>
      <c r="AM743" s="1712"/>
      <c r="AN743" s="1712"/>
      <c r="AO743" s="1712"/>
      <c r="AP743" s="1712"/>
      <c r="AQ743" s="1712"/>
      <c r="AR743" s="1712"/>
      <c r="AS743" s="1712"/>
      <c r="AT743" s="1712"/>
    </row>
    <row r="744">
      <c r="A744" s="1474" t="s">
        <v>2461</v>
      </c>
      <c r="B744" s="1708"/>
      <c r="C744" s="1709"/>
      <c r="D744" s="1709"/>
      <c r="E744" s="1710"/>
      <c r="F744" s="1710"/>
      <c r="G744" s="1710"/>
      <c r="H744" s="1710"/>
      <c r="I744" s="1710"/>
      <c r="J744" s="1710"/>
      <c r="K744" s="1710"/>
      <c r="L744" s="1710"/>
      <c r="M744" s="1711"/>
      <c r="N744" s="1711"/>
      <c r="O744" s="1711"/>
      <c r="P744" s="1711"/>
      <c r="Q744" s="1711"/>
      <c r="R744" s="1711"/>
      <c r="S744" s="1711"/>
      <c r="T744" s="1711"/>
      <c r="U744" s="1711"/>
      <c r="V744" s="1711"/>
      <c r="W744" s="1711"/>
      <c r="X744" s="1711"/>
      <c r="Y744" s="1712"/>
      <c r="Z744" s="1712"/>
      <c r="AA744" s="1712"/>
      <c r="AB744" s="1712"/>
      <c r="AC744" s="1712"/>
      <c r="AD744" s="1712"/>
      <c r="AE744" s="1712"/>
      <c r="AF744" s="1712"/>
      <c r="AG744" s="1712"/>
      <c r="AH744" s="1712"/>
      <c r="AI744" s="1712"/>
      <c r="AJ744" s="1712"/>
      <c r="AK744" s="1712"/>
      <c r="AL744" s="1712"/>
      <c r="AM744" s="1712"/>
      <c r="AN744" s="1712"/>
      <c r="AO744" s="1712"/>
      <c r="AP744" s="1712"/>
      <c r="AQ744" s="1712"/>
      <c r="AR744" s="1712"/>
      <c r="AS744" s="1712"/>
      <c r="AT744" s="1712"/>
    </row>
    <row r="745">
      <c r="A745" s="1474" t="s">
        <v>2461</v>
      </c>
      <c r="B745" s="1708"/>
      <c r="C745" s="1709"/>
      <c r="D745" s="1709"/>
      <c r="E745" s="1710"/>
      <c r="F745" s="1710"/>
      <c r="G745" s="1710"/>
      <c r="H745" s="1710"/>
      <c r="I745" s="1710"/>
      <c r="J745" s="1710"/>
      <c r="K745" s="1710"/>
      <c r="L745" s="1710"/>
      <c r="M745" s="1711"/>
      <c r="N745" s="1711"/>
      <c r="O745" s="1711"/>
      <c r="P745" s="1711"/>
      <c r="Q745" s="1711"/>
      <c r="R745" s="1711"/>
      <c r="S745" s="1711"/>
      <c r="T745" s="1711"/>
      <c r="U745" s="1711"/>
      <c r="V745" s="1711"/>
      <c r="W745" s="1711"/>
      <c r="X745" s="1711"/>
      <c r="Y745" s="1712"/>
      <c r="Z745" s="1712"/>
      <c r="AA745" s="1712"/>
      <c r="AB745" s="1712"/>
      <c r="AC745" s="1712"/>
      <c r="AD745" s="1712"/>
      <c r="AE745" s="1712"/>
      <c r="AF745" s="1712"/>
      <c r="AG745" s="1712"/>
      <c r="AH745" s="1712"/>
      <c r="AI745" s="1712"/>
      <c r="AJ745" s="1712"/>
      <c r="AK745" s="1712"/>
      <c r="AL745" s="1712"/>
      <c r="AM745" s="1712"/>
      <c r="AN745" s="1712"/>
      <c r="AO745" s="1712"/>
      <c r="AP745" s="1712"/>
      <c r="AQ745" s="1712"/>
      <c r="AR745" s="1712"/>
      <c r="AS745" s="1712"/>
      <c r="AT745" s="1712"/>
    </row>
    <row r="746">
      <c r="A746" s="1474" t="s">
        <v>2461</v>
      </c>
      <c r="B746" s="1708"/>
      <c r="C746" s="1709"/>
      <c r="D746" s="1709"/>
      <c r="E746" s="1710"/>
      <c r="F746" s="1710"/>
      <c r="G746" s="1710"/>
      <c r="H746" s="1710"/>
      <c r="I746" s="1710"/>
      <c r="J746" s="1710"/>
      <c r="K746" s="1710"/>
      <c r="L746" s="1710"/>
      <c r="M746" s="1711"/>
      <c r="N746" s="1711"/>
      <c r="O746" s="1711"/>
      <c r="P746" s="1711"/>
      <c r="Q746" s="1711"/>
      <c r="R746" s="1711"/>
      <c r="S746" s="1711"/>
      <c r="T746" s="1711"/>
      <c r="U746" s="1711"/>
      <c r="V746" s="1711"/>
      <c r="W746" s="1711"/>
      <c r="X746" s="1711"/>
      <c r="Y746" s="1712"/>
      <c r="Z746" s="1712"/>
      <c r="AA746" s="1712"/>
      <c r="AB746" s="1712"/>
      <c r="AC746" s="1712"/>
      <c r="AD746" s="1712"/>
      <c r="AE746" s="1712"/>
      <c r="AF746" s="1712"/>
      <c r="AG746" s="1712"/>
      <c r="AH746" s="1712"/>
      <c r="AI746" s="1712"/>
      <c r="AJ746" s="1712"/>
      <c r="AK746" s="1712"/>
      <c r="AL746" s="1712"/>
      <c r="AM746" s="1712"/>
      <c r="AN746" s="1712"/>
      <c r="AO746" s="1712"/>
      <c r="AP746" s="1712"/>
      <c r="AQ746" s="1712"/>
      <c r="AR746" s="1712"/>
      <c r="AS746" s="1712"/>
      <c r="AT746" s="1712"/>
    </row>
    <row r="747">
      <c r="A747" s="1474" t="s">
        <v>2461</v>
      </c>
      <c r="B747" s="1708"/>
      <c r="C747" s="1709"/>
      <c r="D747" s="1709"/>
      <c r="E747" s="1710"/>
      <c r="F747" s="1710"/>
      <c r="G747" s="1710"/>
      <c r="H747" s="1710"/>
      <c r="I747" s="1710"/>
      <c r="J747" s="1710"/>
      <c r="K747" s="1710"/>
      <c r="L747" s="1710"/>
      <c r="M747" s="1711"/>
      <c r="N747" s="1711"/>
      <c r="O747" s="1711"/>
      <c r="P747" s="1711"/>
      <c r="Q747" s="1711"/>
      <c r="R747" s="1711"/>
      <c r="S747" s="1711"/>
      <c r="T747" s="1711"/>
      <c r="U747" s="1711"/>
      <c r="V747" s="1711"/>
      <c r="W747" s="1711"/>
      <c r="X747" s="1711"/>
      <c r="Y747" s="1712"/>
      <c r="Z747" s="1712"/>
      <c r="AA747" s="1712"/>
      <c r="AB747" s="1712"/>
      <c r="AC747" s="1712"/>
      <c r="AD747" s="1712"/>
      <c r="AE747" s="1712"/>
      <c r="AF747" s="1712"/>
      <c r="AG747" s="1712"/>
      <c r="AH747" s="1712"/>
      <c r="AI747" s="1712"/>
      <c r="AJ747" s="1712"/>
      <c r="AK747" s="1712"/>
      <c r="AL747" s="1712"/>
      <c r="AM747" s="1712"/>
      <c r="AN747" s="1712"/>
      <c r="AO747" s="1712"/>
      <c r="AP747" s="1712"/>
      <c r="AQ747" s="1712"/>
      <c r="AR747" s="1712"/>
      <c r="AS747" s="1712"/>
      <c r="AT747" s="1712"/>
    </row>
    <row r="748">
      <c r="A748" s="1474" t="s">
        <v>2461</v>
      </c>
      <c r="B748" s="1708"/>
      <c r="C748" s="1709"/>
      <c r="D748" s="1709"/>
      <c r="E748" s="1710"/>
      <c r="F748" s="1710"/>
      <c r="G748" s="1710"/>
      <c r="H748" s="1710"/>
      <c r="I748" s="1710"/>
      <c r="J748" s="1710"/>
      <c r="K748" s="1710"/>
      <c r="L748" s="1710"/>
      <c r="M748" s="1711"/>
      <c r="N748" s="1711"/>
      <c r="O748" s="1711"/>
      <c r="P748" s="1711"/>
      <c r="Q748" s="1711"/>
      <c r="R748" s="1711"/>
      <c r="S748" s="1711"/>
      <c r="T748" s="1711"/>
      <c r="U748" s="1711"/>
      <c r="V748" s="1711"/>
      <c r="W748" s="1711"/>
      <c r="X748" s="1711"/>
      <c r="Y748" s="1712"/>
      <c r="Z748" s="1712"/>
      <c r="AA748" s="1712"/>
      <c r="AB748" s="1712"/>
      <c r="AC748" s="1712"/>
      <c r="AD748" s="1712"/>
      <c r="AE748" s="1712"/>
      <c r="AF748" s="1712"/>
      <c r="AG748" s="1712"/>
      <c r="AH748" s="1712"/>
      <c r="AI748" s="1712"/>
      <c r="AJ748" s="1712"/>
      <c r="AK748" s="1712"/>
      <c r="AL748" s="1712"/>
      <c r="AM748" s="1712"/>
      <c r="AN748" s="1712"/>
      <c r="AO748" s="1712"/>
      <c r="AP748" s="1712"/>
      <c r="AQ748" s="1712"/>
      <c r="AR748" s="1712"/>
      <c r="AS748" s="1712"/>
      <c r="AT748" s="1712"/>
    </row>
    <row r="749">
      <c r="A749" s="1474" t="s">
        <v>2461</v>
      </c>
      <c r="B749" s="1708"/>
      <c r="C749" s="1709"/>
      <c r="D749" s="1709"/>
      <c r="E749" s="1710"/>
      <c r="F749" s="1710"/>
      <c r="G749" s="1710"/>
      <c r="H749" s="1710"/>
      <c r="I749" s="1710"/>
      <c r="J749" s="1710"/>
      <c r="K749" s="1710"/>
      <c r="L749" s="1710"/>
      <c r="M749" s="1711"/>
      <c r="N749" s="1711"/>
      <c r="O749" s="1711"/>
      <c r="P749" s="1711"/>
      <c r="Q749" s="1711"/>
      <c r="R749" s="1711"/>
      <c r="S749" s="1711"/>
      <c r="T749" s="1711"/>
      <c r="U749" s="1711"/>
      <c r="V749" s="1711"/>
      <c r="W749" s="1711"/>
      <c r="X749" s="1711"/>
      <c r="Y749" s="1712"/>
      <c r="Z749" s="1712"/>
      <c r="AA749" s="1712"/>
      <c r="AB749" s="1712"/>
      <c r="AC749" s="1712"/>
      <c r="AD749" s="1712"/>
      <c r="AE749" s="1712"/>
      <c r="AF749" s="1712"/>
      <c r="AG749" s="1712"/>
      <c r="AH749" s="1712"/>
      <c r="AI749" s="1712"/>
      <c r="AJ749" s="1712"/>
      <c r="AK749" s="1712"/>
      <c r="AL749" s="1712"/>
      <c r="AM749" s="1712"/>
      <c r="AN749" s="1712"/>
      <c r="AO749" s="1712"/>
      <c r="AP749" s="1712"/>
      <c r="AQ749" s="1712"/>
      <c r="AR749" s="1712"/>
      <c r="AS749" s="1712"/>
      <c r="AT749" s="1712"/>
    </row>
    <row r="750">
      <c r="A750" s="1474" t="s">
        <v>2461</v>
      </c>
      <c r="B750" s="1708"/>
      <c r="C750" s="1709"/>
      <c r="D750" s="1709"/>
      <c r="E750" s="1710"/>
      <c r="F750" s="1710"/>
      <c r="G750" s="1710"/>
      <c r="H750" s="1710"/>
      <c r="I750" s="1710"/>
      <c r="J750" s="1710"/>
      <c r="K750" s="1710"/>
      <c r="L750" s="1710"/>
      <c r="M750" s="1711"/>
      <c r="N750" s="1711"/>
      <c r="O750" s="1711"/>
      <c r="P750" s="1711"/>
      <c r="Q750" s="1711"/>
      <c r="R750" s="1711"/>
      <c r="S750" s="1711"/>
      <c r="T750" s="1711"/>
      <c r="U750" s="1711"/>
      <c r="V750" s="1711"/>
      <c r="W750" s="1711"/>
      <c r="X750" s="1711"/>
      <c r="Y750" s="1712"/>
      <c r="Z750" s="1712"/>
      <c r="AA750" s="1712"/>
      <c r="AB750" s="1712"/>
      <c r="AC750" s="1712"/>
      <c r="AD750" s="1712"/>
      <c r="AE750" s="1712"/>
      <c r="AF750" s="1712"/>
      <c r="AG750" s="1712"/>
      <c r="AH750" s="1712"/>
      <c r="AI750" s="1712"/>
      <c r="AJ750" s="1712"/>
      <c r="AK750" s="1712"/>
      <c r="AL750" s="1712"/>
      <c r="AM750" s="1712"/>
      <c r="AN750" s="1712"/>
      <c r="AO750" s="1712"/>
      <c r="AP750" s="1712"/>
      <c r="AQ750" s="1712"/>
      <c r="AR750" s="1712"/>
      <c r="AS750" s="1712"/>
      <c r="AT750" s="1712"/>
    </row>
    <row r="751">
      <c r="A751" s="1474" t="s">
        <v>2461</v>
      </c>
      <c r="B751" s="1708"/>
      <c r="C751" s="1709"/>
      <c r="D751" s="1709"/>
      <c r="E751" s="1710"/>
      <c r="F751" s="1710"/>
      <c r="G751" s="1710"/>
      <c r="H751" s="1710"/>
      <c r="I751" s="1710"/>
      <c r="J751" s="1710"/>
      <c r="K751" s="1710"/>
      <c r="L751" s="1710"/>
      <c r="M751" s="1711"/>
      <c r="N751" s="1711"/>
      <c r="O751" s="1711"/>
      <c r="P751" s="1711"/>
      <c r="Q751" s="1711"/>
      <c r="R751" s="1711"/>
      <c r="S751" s="1711"/>
      <c r="T751" s="1711"/>
      <c r="U751" s="1711"/>
      <c r="V751" s="1711"/>
      <c r="W751" s="1711"/>
      <c r="X751" s="1711"/>
      <c r="Y751" s="1712"/>
      <c r="Z751" s="1712"/>
      <c r="AA751" s="1712"/>
      <c r="AB751" s="1712"/>
      <c r="AC751" s="1712"/>
      <c r="AD751" s="1712"/>
      <c r="AE751" s="1712"/>
      <c r="AF751" s="1712"/>
      <c r="AG751" s="1712"/>
      <c r="AH751" s="1712"/>
      <c r="AI751" s="1712"/>
      <c r="AJ751" s="1712"/>
      <c r="AK751" s="1712"/>
      <c r="AL751" s="1712"/>
      <c r="AM751" s="1712"/>
      <c r="AN751" s="1712"/>
      <c r="AO751" s="1712"/>
      <c r="AP751" s="1712"/>
      <c r="AQ751" s="1712"/>
      <c r="AR751" s="1712"/>
      <c r="AS751" s="1712"/>
      <c r="AT751" s="1712"/>
    </row>
    <row r="752">
      <c r="A752" s="1474" t="s">
        <v>2461</v>
      </c>
      <c r="B752" s="1708"/>
      <c r="C752" s="1709"/>
      <c r="D752" s="1709"/>
      <c r="E752" s="1710"/>
      <c r="F752" s="1710"/>
      <c r="G752" s="1710"/>
      <c r="H752" s="1710"/>
      <c r="I752" s="1710"/>
      <c r="J752" s="1710"/>
      <c r="K752" s="1710"/>
      <c r="L752" s="1710"/>
      <c r="M752" s="1711"/>
      <c r="N752" s="1711"/>
      <c r="O752" s="1711"/>
      <c r="P752" s="1711"/>
      <c r="Q752" s="1711"/>
      <c r="R752" s="1711"/>
      <c r="S752" s="1711"/>
      <c r="T752" s="1711"/>
      <c r="U752" s="1711"/>
      <c r="V752" s="1711"/>
      <c r="W752" s="1711"/>
      <c r="X752" s="1711"/>
      <c r="Y752" s="1712"/>
      <c r="Z752" s="1712"/>
      <c r="AA752" s="1712"/>
      <c r="AB752" s="1712"/>
      <c r="AC752" s="1712"/>
      <c r="AD752" s="1712"/>
      <c r="AE752" s="1712"/>
      <c r="AF752" s="1712"/>
      <c r="AG752" s="1712"/>
      <c r="AH752" s="1712"/>
      <c r="AI752" s="1712"/>
      <c r="AJ752" s="1712"/>
      <c r="AK752" s="1712"/>
      <c r="AL752" s="1712"/>
      <c r="AM752" s="1712"/>
      <c r="AN752" s="1712"/>
      <c r="AO752" s="1712"/>
      <c r="AP752" s="1712"/>
      <c r="AQ752" s="1712"/>
      <c r="AR752" s="1712"/>
      <c r="AS752" s="1712"/>
      <c r="AT752" s="1712"/>
    </row>
    <row r="753">
      <c r="A753" s="1474" t="s">
        <v>2461</v>
      </c>
      <c r="B753" s="1708"/>
      <c r="C753" s="1709"/>
      <c r="D753" s="1709"/>
      <c r="E753" s="1710"/>
      <c r="F753" s="1710"/>
      <c r="G753" s="1710"/>
      <c r="H753" s="1710"/>
      <c r="I753" s="1710"/>
      <c r="J753" s="1710"/>
      <c r="K753" s="1710"/>
      <c r="L753" s="1710"/>
      <c r="M753" s="1711"/>
      <c r="N753" s="1711"/>
      <c r="O753" s="1711"/>
      <c r="P753" s="1711"/>
      <c r="Q753" s="1711"/>
      <c r="R753" s="1711"/>
      <c r="S753" s="1711"/>
      <c r="T753" s="1711"/>
      <c r="U753" s="1711"/>
      <c r="V753" s="1711"/>
      <c r="W753" s="1711"/>
      <c r="X753" s="1711"/>
      <c r="Y753" s="1712"/>
      <c r="Z753" s="1712"/>
      <c r="AA753" s="1712"/>
      <c r="AB753" s="1712"/>
      <c r="AC753" s="1712"/>
      <c r="AD753" s="1712"/>
      <c r="AE753" s="1712"/>
      <c r="AF753" s="1712"/>
      <c r="AG753" s="1712"/>
      <c r="AH753" s="1712"/>
      <c r="AI753" s="1712"/>
      <c r="AJ753" s="1712"/>
      <c r="AK753" s="1712"/>
      <c r="AL753" s="1712"/>
      <c r="AM753" s="1712"/>
      <c r="AN753" s="1712"/>
      <c r="AO753" s="1712"/>
      <c r="AP753" s="1712"/>
      <c r="AQ753" s="1712"/>
      <c r="AR753" s="1712"/>
      <c r="AS753" s="1712"/>
      <c r="AT753" s="1712"/>
    </row>
    <row r="754">
      <c r="A754" s="1474" t="s">
        <v>2461</v>
      </c>
      <c r="B754" s="1708"/>
      <c r="C754" s="1709"/>
      <c r="D754" s="1709"/>
      <c r="E754" s="1710"/>
      <c r="F754" s="1710"/>
      <c r="G754" s="1710"/>
      <c r="H754" s="1710"/>
      <c r="I754" s="1710"/>
      <c r="J754" s="1710"/>
      <c r="K754" s="1710"/>
      <c r="L754" s="1710"/>
      <c r="M754" s="1711"/>
      <c r="N754" s="1711"/>
      <c r="O754" s="1711"/>
      <c r="P754" s="1711"/>
      <c r="Q754" s="1711"/>
      <c r="R754" s="1711"/>
      <c r="S754" s="1711"/>
      <c r="T754" s="1711"/>
      <c r="U754" s="1711"/>
      <c r="V754" s="1711"/>
      <c r="W754" s="1711"/>
      <c r="X754" s="1711"/>
      <c r="Y754" s="1712"/>
      <c r="Z754" s="1712"/>
      <c r="AA754" s="1712"/>
      <c r="AB754" s="1712"/>
      <c r="AC754" s="1712"/>
      <c r="AD754" s="1712"/>
      <c r="AE754" s="1712"/>
      <c r="AF754" s="1712"/>
      <c r="AG754" s="1712"/>
      <c r="AH754" s="1712"/>
      <c r="AI754" s="1712"/>
      <c r="AJ754" s="1712"/>
      <c r="AK754" s="1712"/>
      <c r="AL754" s="1712"/>
      <c r="AM754" s="1712"/>
      <c r="AN754" s="1712"/>
      <c r="AO754" s="1712"/>
      <c r="AP754" s="1712"/>
      <c r="AQ754" s="1712"/>
      <c r="AR754" s="1712"/>
      <c r="AS754" s="1712"/>
      <c r="AT754" s="1712"/>
    </row>
    <row r="755">
      <c r="A755" s="1474" t="s">
        <v>2461</v>
      </c>
      <c r="B755" s="1708"/>
      <c r="C755" s="1709"/>
      <c r="D755" s="1709"/>
      <c r="E755" s="1710"/>
      <c r="F755" s="1710"/>
      <c r="G755" s="1710"/>
      <c r="H755" s="1710"/>
      <c r="I755" s="1710"/>
      <c r="J755" s="1710"/>
      <c r="K755" s="1710"/>
      <c r="L755" s="1710"/>
      <c r="M755" s="1711"/>
      <c r="N755" s="1711"/>
      <c r="O755" s="1711"/>
      <c r="P755" s="1711"/>
      <c r="Q755" s="1711"/>
      <c r="R755" s="1711"/>
      <c r="S755" s="1711"/>
      <c r="T755" s="1711"/>
      <c r="U755" s="1711"/>
      <c r="V755" s="1711"/>
      <c r="W755" s="1711"/>
      <c r="X755" s="1711"/>
      <c r="Y755" s="1712"/>
      <c r="Z755" s="1712"/>
      <c r="AA755" s="1712"/>
      <c r="AB755" s="1712"/>
      <c r="AC755" s="1712"/>
      <c r="AD755" s="1712"/>
      <c r="AE755" s="1712"/>
      <c r="AF755" s="1712"/>
      <c r="AG755" s="1712"/>
      <c r="AH755" s="1712"/>
      <c r="AI755" s="1712"/>
      <c r="AJ755" s="1712"/>
      <c r="AK755" s="1712"/>
      <c r="AL755" s="1712"/>
      <c r="AM755" s="1712"/>
      <c r="AN755" s="1712"/>
      <c r="AO755" s="1712"/>
      <c r="AP755" s="1712"/>
      <c r="AQ755" s="1712"/>
      <c r="AR755" s="1712"/>
      <c r="AS755" s="1712"/>
      <c r="AT755" s="1712"/>
    </row>
    <row r="756">
      <c r="A756" s="1474" t="s">
        <v>2461</v>
      </c>
      <c r="B756" s="1708"/>
      <c r="C756" s="1709"/>
      <c r="D756" s="1709"/>
      <c r="E756" s="1710"/>
      <c r="F756" s="1710"/>
      <c r="G756" s="1710"/>
      <c r="H756" s="1710"/>
      <c r="I756" s="1710"/>
      <c r="J756" s="1710"/>
      <c r="K756" s="1710"/>
      <c r="L756" s="1710"/>
      <c r="M756" s="1711"/>
      <c r="N756" s="1711"/>
      <c r="O756" s="1711"/>
      <c r="P756" s="1711"/>
      <c r="Q756" s="1711"/>
      <c r="R756" s="1711"/>
      <c r="S756" s="1711"/>
      <c r="T756" s="1711"/>
      <c r="U756" s="1711"/>
      <c r="V756" s="1711"/>
      <c r="W756" s="1711"/>
      <c r="X756" s="1711"/>
      <c r="Y756" s="1712"/>
      <c r="Z756" s="1712"/>
      <c r="AA756" s="1712"/>
      <c r="AB756" s="1712"/>
      <c r="AC756" s="1712"/>
      <c r="AD756" s="1712"/>
      <c r="AE756" s="1712"/>
      <c r="AF756" s="1712"/>
      <c r="AG756" s="1712"/>
      <c r="AH756" s="1712"/>
      <c r="AI756" s="1712"/>
      <c r="AJ756" s="1712"/>
      <c r="AK756" s="1712"/>
      <c r="AL756" s="1712"/>
      <c r="AM756" s="1712"/>
      <c r="AN756" s="1712"/>
      <c r="AO756" s="1712"/>
      <c r="AP756" s="1712"/>
      <c r="AQ756" s="1712"/>
      <c r="AR756" s="1712"/>
      <c r="AS756" s="1712"/>
      <c r="AT756" s="1712"/>
    </row>
    <row r="757">
      <c r="A757" s="1474" t="s">
        <v>2461</v>
      </c>
      <c r="B757" s="1708"/>
      <c r="C757" s="1709"/>
      <c r="D757" s="1709"/>
      <c r="E757" s="1710"/>
      <c r="F757" s="1710"/>
      <c r="G757" s="1710"/>
      <c r="H757" s="1710"/>
      <c r="I757" s="1710"/>
      <c r="J757" s="1710"/>
      <c r="K757" s="1710"/>
      <c r="L757" s="1710"/>
      <c r="M757" s="1711"/>
      <c r="N757" s="1711"/>
      <c r="O757" s="1711"/>
      <c r="P757" s="1711"/>
      <c r="Q757" s="1711"/>
      <c r="R757" s="1711"/>
      <c r="S757" s="1711"/>
      <c r="T757" s="1711"/>
      <c r="U757" s="1711"/>
      <c r="V757" s="1711"/>
      <c r="W757" s="1711"/>
      <c r="X757" s="1711"/>
      <c r="Y757" s="1712"/>
      <c r="Z757" s="1712"/>
      <c r="AA757" s="1712"/>
      <c r="AB757" s="1712"/>
      <c r="AC757" s="1712"/>
      <c r="AD757" s="1712"/>
      <c r="AE757" s="1712"/>
      <c r="AF757" s="1712"/>
      <c r="AG757" s="1712"/>
      <c r="AH757" s="1712"/>
      <c r="AI757" s="1712"/>
      <c r="AJ757" s="1712"/>
      <c r="AK757" s="1712"/>
      <c r="AL757" s="1712"/>
      <c r="AM757" s="1712"/>
      <c r="AN757" s="1712"/>
      <c r="AO757" s="1712"/>
      <c r="AP757" s="1712"/>
      <c r="AQ757" s="1712"/>
      <c r="AR757" s="1712"/>
      <c r="AS757" s="1712"/>
      <c r="AT757" s="1712"/>
    </row>
    <row r="758">
      <c r="A758" s="1474" t="s">
        <v>2461</v>
      </c>
      <c r="B758" s="1708"/>
      <c r="C758" s="1709"/>
      <c r="D758" s="1709"/>
      <c r="E758" s="1710"/>
      <c r="F758" s="1710"/>
      <c r="G758" s="1710"/>
      <c r="H758" s="1710"/>
      <c r="I758" s="1710"/>
      <c r="J758" s="1710"/>
      <c r="K758" s="1710"/>
      <c r="L758" s="1710"/>
      <c r="M758" s="1711"/>
      <c r="N758" s="1711"/>
      <c r="O758" s="1711"/>
      <c r="P758" s="1711"/>
      <c r="Q758" s="1711"/>
      <c r="R758" s="1711"/>
      <c r="S758" s="1711"/>
      <c r="T758" s="1711"/>
      <c r="U758" s="1711"/>
      <c r="V758" s="1711"/>
      <c r="W758" s="1711"/>
      <c r="X758" s="1711"/>
      <c r="Y758" s="1712"/>
      <c r="Z758" s="1712"/>
      <c r="AA758" s="1712"/>
      <c r="AB758" s="1712"/>
      <c r="AC758" s="1712"/>
      <c r="AD758" s="1712"/>
      <c r="AE758" s="1712"/>
      <c r="AF758" s="1712"/>
      <c r="AG758" s="1712"/>
      <c r="AH758" s="1712"/>
      <c r="AI758" s="1712"/>
      <c r="AJ758" s="1712"/>
      <c r="AK758" s="1712"/>
      <c r="AL758" s="1712"/>
      <c r="AM758" s="1712"/>
      <c r="AN758" s="1712"/>
      <c r="AO758" s="1712"/>
      <c r="AP758" s="1712"/>
      <c r="AQ758" s="1712"/>
      <c r="AR758" s="1712"/>
      <c r="AS758" s="1712"/>
      <c r="AT758" s="1712"/>
    </row>
    <row r="759">
      <c r="A759" s="1474" t="s">
        <v>2461</v>
      </c>
      <c r="B759" s="1708"/>
      <c r="C759" s="1709"/>
      <c r="D759" s="1709"/>
      <c r="E759" s="1710"/>
      <c r="F759" s="1710"/>
      <c r="G759" s="1710"/>
      <c r="H759" s="1710"/>
      <c r="I759" s="1710"/>
      <c r="J759" s="1710"/>
      <c r="K759" s="1710"/>
      <c r="L759" s="1710"/>
      <c r="M759" s="1711"/>
      <c r="N759" s="1711"/>
      <c r="O759" s="1711"/>
      <c r="P759" s="1711"/>
      <c r="Q759" s="1711"/>
      <c r="R759" s="1711"/>
      <c r="S759" s="1711"/>
      <c r="T759" s="1711"/>
      <c r="U759" s="1711"/>
      <c r="V759" s="1711"/>
      <c r="W759" s="1711"/>
      <c r="X759" s="1711"/>
      <c r="Y759" s="1712"/>
      <c r="Z759" s="1712"/>
      <c r="AA759" s="1712"/>
      <c r="AB759" s="1712"/>
      <c r="AC759" s="1712"/>
      <c r="AD759" s="1712"/>
      <c r="AE759" s="1712"/>
      <c r="AF759" s="1712"/>
      <c r="AG759" s="1712"/>
      <c r="AH759" s="1712"/>
      <c r="AI759" s="1712"/>
      <c r="AJ759" s="1712"/>
      <c r="AK759" s="1712"/>
      <c r="AL759" s="1712"/>
      <c r="AM759" s="1712"/>
      <c r="AN759" s="1712"/>
      <c r="AO759" s="1712"/>
      <c r="AP759" s="1712"/>
      <c r="AQ759" s="1712"/>
      <c r="AR759" s="1712"/>
      <c r="AS759" s="1712"/>
      <c r="AT759" s="1712"/>
    </row>
    <row r="760">
      <c r="A760" s="1474" t="s">
        <v>2461</v>
      </c>
      <c r="B760" s="1708"/>
      <c r="C760" s="1709"/>
      <c r="D760" s="1709"/>
      <c r="E760" s="1710"/>
      <c r="F760" s="1710"/>
      <c r="G760" s="1710"/>
      <c r="H760" s="1710"/>
      <c r="I760" s="1710"/>
      <c r="J760" s="1710"/>
      <c r="K760" s="1710"/>
      <c r="L760" s="1710"/>
      <c r="M760" s="1711"/>
      <c r="N760" s="1711"/>
      <c r="O760" s="1711"/>
      <c r="P760" s="1711"/>
      <c r="Q760" s="1711"/>
      <c r="R760" s="1711"/>
      <c r="S760" s="1711"/>
      <c r="T760" s="1711"/>
      <c r="U760" s="1711"/>
      <c r="V760" s="1711"/>
      <c r="W760" s="1711"/>
      <c r="X760" s="1711"/>
      <c r="Y760" s="1712"/>
      <c r="Z760" s="1712"/>
      <c r="AA760" s="1712"/>
      <c r="AB760" s="1712"/>
      <c r="AC760" s="1712"/>
      <c r="AD760" s="1712"/>
      <c r="AE760" s="1712"/>
      <c r="AF760" s="1712"/>
      <c r="AG760" s="1712"/>
      <c r="AH760" s="1712"/>
      <c r="AI760" s="1712"/>
      <c r="AJ760" s="1712"/>
      <c r="AK760" s="1712"/>
      <c r="AL760" s="1712"/>
      <c r="AM760" s="1712"/>
      <c r="AN760" s="1712"/>
      <c r="AO760" s="1712"/>
      <c r="AP760" s="1712"/>
      <c r="AQ760" s="1712"/>
      <c r="AR760" s="1712"/>
      <c r="AS760" s="1712"/>
      <c r="AT760" s="1712"/>
    </row>
    <row r="761">
      <c r="A761" s="1474" t="s">
        <v>2461</v>
      </c>
      <c r="B761" s="1708"/>
      <c r="C761" s="1709"/>
      <c r="D761" s="1709"/>
      <c r="E761" s="1710"/>
      <c r="F761" s="1710"/>
      <c r="G761" s="1710"/>
      <c r="H761" s="1710"/>
      <c r="I761" s="1710"/>
      <c r="J761" s="1710"/>
      <c r="K761" s="1710"/>
      <c r="L761" s="1710"/>
      <c r="M761" s="1711"/>
      <c r="N761" s="1711"/>
      <c r="O761" s="1711"/>
      <c r="P761" s="1711"/>
      <c r="Q761" s="1711"/>
      <c r="R761" s="1711"/>
      <c r="S761" s="1711"/>
      <c r="T761" s="1711"/>
      <c r="U761" s="1711"/>
      <c r="V761" s="1711"/>
      <c r="W761" s="1711"/>
      <c r="X761" s="1711"/>
      <c r="Y761" s="1712"/>
      <c r="Z761" s="1712"/>
      <c r="AA761" s="1712"/>
      <c r="AB761" s="1712"/>
      <c r="AC761" s="1712"/>
      <c r="AD761" s="1712"/>
      <c r="AE761" s="1712"/>
      <c r="AF761" s="1712"/>
      <c r="AG761" s="1712"/>
      <c r="AH761" s="1712"/>
      <c r="AI761" s="1712"/>
      <c r="AJ761" s="1712"/>
      <c r="AK761" s="1712"/>
      <c r="AL761" s="1712"/>
      <c r="AM761" s="1712"/>
      <c r="AN761" s="1712"/>
      <c r="AO761" s="1712"/>
      <c r="AP761" s="1712"/>
      <c r="AQ761" s="1712"/>
      <c r="AR761" s="1712"/>
      <c r="AS761" s="1712"/>
      <c r="AT761" s="1712"/>
    </row>
    <row r="762">
      <c r="A762" s="1474" t="s">
        <v>2461</v>
      </c>
      <c r="B762" s="1708"/>
      <c r="C762" s="1709"/>
      <c r="D762" s="1709"/>
      <c r="E762" s="1710"/>
      <c r="F762" s="1710"/>
      <c r="G762" s="1710"/>
      <c r="H762" s="1710"/>
      <c r="I762" s="1710"/>
      <c r="J762" s="1710"/>
      <c r="K762" s="1710"/>
      <c r="L762" s="1710"/>
      <c r="M762" s="1711"/>
      <c r="N762" s="1711"/>
      <c r="O762" s="1711"/>
      <c r="P762" s="1711"/>
      <c r="Q762" s="1711"/>
      <c r="R762" s="1711"/>
      <c r="S762" s="1711"/>
      <c r="T762" s="1711"/>
      <c r="U762" s="1711"/>
      <c r="V762" s="1711"/>
      <c r="W762" s="1711"/>
      <c r="X762" s="1711"/>
      <c r="Y762" s="1712"/>
      <c r="Z762" s="1712"/>
      <c r="AA762" s="1712"/>
      <c r="AB762" s="1712"/>
      <c r="AC762" s="1712"/>
      <c r="AD762" s="1712"/>
      <c r="AE762" s="1712"/>
      <c r="AF762" s="1712"/>
      <c r="AG762" s="1712"/>
      <c r="AH762" s="1712"/>
      <c r="AI762" s="1712"/>
      <c r="AJ762" s="1712"/>
      <c r="AK762" s="1712"/>
      <c r="AL762" s="1712"/>
      <c r="AM762" s="1712"/>
      <c r="AN762" s="1712"/>
      <c r="AO762" s="1712"/>
      <c r="AP762" s="1712"/>
      <c r="AQ762" s="1712"/>
      <c r="AR762" s="1712"/>
      <c r="AS762" s="1712"/>
      <c r="AT762" s="1712"/>
    </row>
    <row r="763">
      <c r="A763" s="1474" t="s">
        <v>2461</v>
      </c>
      <c r="B763" s="1708"/>
      <c r="C763" s="1709"/>
      <c r="D763" s="1709"/>
      <c r="E763" s="1710"/>
      <c r="F763" s="1710"/>
      <c r="G763" s="1710"/>
      <c r="H763" s="1710"/>
      <c r="I763" s="1710"/>
      <c r="J763" s="1710"/>
      <c r="K763" s="1710"/>
      <c r="L763" s="1710"/>
      <c r="M763" s="1711"/>
      <c r="N763" s="1711"/>
      <c r="O763" s="1711"/>
      <c r="P763" s="1711"/>
      <c r="Q763" s="1711"/>
      <c r="R763" s="1711"/>
      <c r="S763" s="1711"/>
      <c r="T763" s="1711"/>
      <c r="U763" s="1711"/>
      <c r="V763" s="1711"/>
      <c r="W763" s="1711"/>
      <c r="X763" s="1711"/>
      <c r="Y763" s="1712"/>
      <c r="Z763" s="1712"/>
      <c r="AA763" s="1712"/>
      <c r="AB763" s="1712"/>
      <c r="AC763" s="1712"/>
      <c r="AD763" s="1712"/>
      <c r="AE763" s="1712"/>
      <c r="AF763" s="1712"/>
      <c r="AG763" s="1712"/>
      <c r="AH763" s="1712"/>
      <c r="AI763" s="1712"/>
      <c r="AJ763" s="1712"/>
      <c r="AK763" s="1712"/>
      <c r="AL763" s="1712"/>
      <c r="AM763" s="1712"/>
      <c r="AN763" s="1712"/>
      <c r="AO763" s="1712"/>
      <c r="AP763" s="1712"/>
      <c r="AQ763" s="1712"/>
      <c r="AR763" s="1712"/>
      <c r="AS763" s="1712"/>
      <c r="AT763" s="1712"/>
    </row>
    <row r="764">
      <c r="A764" s="1474" t="s">
        <v>2461</v>
      </c>
      <c r="B764" s="1708"/>
      <c r="C764" s="1709"/>
      <c r="D764" s="1709"/>
      <c r="E764" s="1710"/>
      <c r="F764" s="1710"/>
      <c r="G764" s="1710"/>
      <c r="H764" s="1710"/>
      <c r="I764" s="1710"/>
      <c r="J764" s="1710"/>
      <c r="K764" s="1710"/>
      <c r="L764" s="1710"/>
      <c r="M764" s="1711"/>
      <c r="N764" s="1711"/>
      <c r="O764" s="1711"/>
      <c r="P764" s="1711"/>
      <c r="Q764" s="1711"/>
      <c r="R764" s="1711"/>
      <c r="S764" s="1711"/>
      <c r="T764" s="1711"/>
      <c r="U764" s="1711"/>
      <c r="V764" s="1711"/>
      <c r="W764" s="1711"/>
      <c r="X764" s="1711"/>
      <c r="Y764" s="1712"/>
      <c r="Z764" s="1712"/>
      <c r="AA764" s="1712"/>
      <c r="AB764" s="1712"/>
      <c r="AC764" s="1712"/>
      <c r="AD764" s="1712"/>
      <c r="AE764" s="1712"/>
      <c r="AF764" s="1712"/>
      <c r="AG764" s="1712"/>
      <c r="AH764" s="1712"/>
      <c r="AI764" s="1712"/>
      <c r="AJ764" s="1712"/>
      <c r="AK764" s="1712"/>
      <c r="AL764" s="1712"/>
      <c r="AM764" s="1712"/>
      <c r="AN764" s="1712"/>
      <c r="AO764" s="1712"/>
      <c r="AP764" s="1712"/>
      <c r="AQ764" s="1712"/>
      <c r="AR764" s="1712"/>
      <c r="AS764" s="1712"/>
      <c r="AT764" s="1712"/>
    </row>
    <row r="765">
      <c r="A765" s="1474" t="s">
        <v>2461</v>
      </c>
      <c r="B765" s="1708"/>
      <c r="C765" s="1709"/>
      <c r="D765" s="1709"/>
      <c r="E765" s="1710"/>
      <c r="F765" s="1710"/>
      <c r="G765" s="1710"/>
      <c r="H765" s="1710"/>
      <c r="I765" s="1710"/>
      <c r="J765" s="1710"/>
      <c r="K765" s="1710"/>
      <c r="L765" s="1710"/>
      <c r="M765" s="1711"/>
      <c r="N765" s="1711"/>
      <c r="O765" s="1711"/>
      <c r="P765" s="1711"/>
      <c r="Q765" s="1711"/>
      <c r="R765" s="1711"/>
      <c r="S765" s="1711"/>
      <c r="T765" s="1711"/>
      <c r="U765" s="1711"/>
      <c r="V765" s="1711"/>
      <c r="W765" s="1711"/>
      <c r="X765" s="1711"/>
      <c r="Y765" s="1712"/>
      <c r="Z765" s="1712"/>
      <c r="AA765" s="1712"/>
      <c r="AB765" s="1712"/>
      <c r="AC765" s="1712"/>
      <c r="AD765" s="1712"/>
      <c r="AE765" s="1712"/>
      <c r="AF765" s="1712"/>
      <c r="AG765" s="1712"/>
      <c r="AH765" s="1712"/>
      <c r="AI765" s="1712"/>
      <c r="AJ765" s="1712"/>
      <c r="AK765" s="1712"/>
      <c r="AL765" s="1712"/>
      <c r="AM765" s="1712"/>
      <c r="AN765" s="1712"/>
      <c r="AO765" s="1712"/>
      <c r="AP765" s="1712"/>
      <c r="AQ765" s="1712"/>
      <c r="AR765" s="1712"/>
      <c r="AS765" s="1712"/>
      <c r="AT765" s="1712"/>
    </row>
    <row r="766">
      <c r="A766" s="1474" t="s">
        <v>2461</v>
      </c>
      <c r="B766" s="1708"/>
      <c r="C766" s="1709"/>
      <c r="D766" s="1709"/>
      <c r="E766" s="1710"/>
      <c r="F766" s="1710"/>
      <c r="G766" s="1710"/>
      <c r="H766" s="1710"/>
      <c r="I766" s="1710"/>
      <c r="J766" s="1710"/>
      <c r="K766" s="1710"/>
      <c r="L766" s="1710"/>
      <c r="M766" s="1711"/>
      <c r="N766" s="1711"/>
      <c r="O766" s="1711"/>
      <c r="P766" s="1711"/>
      <c r="Q766" s="1711"/>
      <c r="R766" s="1711"/>
      <c r="S766" s="1711"/>
      <c r="T766" s="1711"/>
      <c r="U766" s="1711"/>
      <c r="V766" s="1711"/>
      <c r="W766" s="1711"/>
      <c r="X766" s="1711"/>
      <c r="Y766" s="1712"/>
      <c r="Z766" s="1712"/>
      <c r="AA766" s="1712"/>
      <c r="AB766" s="1712"/>
      <c r="AC766" s="1712"/>
      <c r="AD766" s="1712"/>
      <c r="AE766" s="1712"/>
      <c r="AF766" s="1712"/>
      <c r="AG766" s="1712"/>
      <c r="AH766" s="1712"/>
      <c r="AI766" s="1712"/>
      <c r="AJ766" s="1712"/>
      <c r="AK766" s="1712"/>
      <c r="AL766" s="1712"/>
      <c r="AM766" s="1712"/>
      <c r="AN766" s="1712"/>
      <c r="AO766" s="1712"/>
      <c r="AP766" s="1712"/>
      <c r="AQ766" s="1712"/>
      <c r="AR766" s="1712"/>
      <c r="AS766" s="1712"/>
      <c r="AT766" s="1712"/>
    </row>
    <row r="767">
      <c r="A767" s="1474" t="s">
        <v>2461</v>
      </c>
      <c r="B767" s="1708"/>
      <c r="C767" s="1709"/>
      <c r="D767" s="1709"/>
      <c r="E767" s="1710"/>
      <c r="F767" s="1710"/>
      <c r="G767" s="1710"/>
      <c r="H767" s="1710"/>
      <c r="I767" s="1710"/>
      <c r="J767" s="1710"/>
      <c r="K767" s="1710"/>
      <c r="L767" s="1710"/>
      <c r="M767" s="1711"/>
      <c r="N767" s="1711"/>
      <c r="O767" s="1711"/>
      <c r="P767" s="1711"/>
      <c r="Q767" s="1711"/>
      <c r="R767" s="1711"/>
      <c r="S767" s="1711"/>
      <c r="T767" s="1711"/>
      <c r="U767" s="1711"/>
      <c r="V767" s="1711"/>
      <c r="W767" s="1711"/>
      <c r="X767" s="1711"/>
      <c r="Y767" s="1712"/>
      <c r="Z767" s="1712"/>
      <c r="AA767" s="1712"/>
      <c r="AB767" s="1712"/>
      <c r="AC767" s="1712"/>
      <c r="AD767" s="1712"/>
      <c r="AE767" s="1712"/>
      <c r="AF767" s="1712"/>
      <c r="AG767" s="1712"/>
      <c r="AH767" s="1712"/>
      <c r="AI767" s="1712"/>
      <c r="AJ767" s="1712"/>
      <c r="AK767" s="1712"/>
      <c r="AL767" s="1712"/>
      <c r="AM767" s="1712"/>
      <c r="AN767" s="1712"/>
      <c r="AO767" s="1712"/>
      <c r="AP767" s="1712"/>
      <c r="AQ767" s="1712"/>
      <c r="AR767" s="1712"/>
      <c r="AS767" s="1712"/>
      <c r="AT767" s="1712"/>
    </row>
    <row r="768">
      <c r="A768" s="1474" t="s">
        <v>2461</v>
      </c>
      <c r="B768" s="1708"/>
      <c r="C768" s="1709"/>
      <c r="D768" s="1709"/>
      <c r="E768" s="1710"/>
      <c r="F768" s="1710"/>
      <c r="G768" s="1710"/>
      <c r="H768" s="1710"/>
      <c r="I768" s="1710"/>
      <c r="J768" s="1710"/>
      <c r="K768" s="1710"/>
      <c r="L768" s="1710"/>
      <c r="M768" s="1711"/>
      <c r="N768" s="1711"/>
      <c r="O768" s="1711"/>
      <c r="P768" s="1711"/>
      <c r="Q768" s="1711"/>
      <c r="R768" s="1711"/>
      <c r="S768" s="1711"/>
      <c r="T768" s="1711"/>
      <c r="U768" s="1711"/>
      <c r="V768" s="1711"/>
      <c r="W768" s="1711"/>
      <c r="X768" s="1711"/>
      <c r="Y768" s="1712"/>
      <c r="Z768" s="1712"/>
      <c r="AA768" s="1712"/>
      <c r="AB768" s="1712"/>
      <c r="AC768" s="1712"/>
      <c r="AD768" s="1712"/>
      <c r="AE768" s="1712"/>
      <c r="AF768" s="1712"/>
      <c r="AG768" s="1712"/>
      <c r="AH768" s="1712"/>
      <c r="AI768" s="1712"/>
      <c r="AJ768" s="1712"/>
      <c r="AK768" s="1712"/>
      <c r="AL768" s="1712"/>
      <c r="AM768" s="1712"/>
      <c r="AN768" s="1712"/>
      <c r="AO768" s="1712"/>
      <c r="AP768" s="1712"/>
      <c r="AQ768" s="1712"/>
      <c r="AR768" s="1712"/>
      <c r="AS768" s="1712"/>
      <c r="AT768" s="1712"/>
    </row>
    <row r="769">
      <c r="A769" s="1474" t="s">
        <v>2461</v>
      </c>
      <c r="B769" s="1708"/>
      <c r="C769" s="1709"/>
      <c r="D769" s="1709"/>
      <c r="E769" s="1710"/>
      <c r="F769" s="1710"/>
      <c r="G769" s="1710"/>
      <c r="H769" s="1710"/>
      <c r="I769" s="1710"/>
      <c r="J769" s="1710"/>
      <c r="K769" s="1710"/>
      <c r="L769" s="1710"/>
      <c r="M769" s="1711"/>
      <c r="N769" s="1711"/>
      <c r="O769" s="1711"/>
      <c r="P769" s="1711"/>
      <c r="Q769" s="1711"/>
      <c r="R769" s="1711"/>
      <c r="S769" s="1711"/>
      <c r="T769" s="1711"/>
      <c r="U769" s="1711"/>
      <c r="V769" s="1711"/>
      <c r="W769" s="1711"/>
      <c r="X769" s="1711"/>
      <c r="Y769" s="1712"/>
      <c r="Z769" s="1712"/>
      <c r="AA769" s="1712"/>
      <c r="AB769" s="1712"/>
      <c r="AC769" s="1712"/>
      <c r="AD769" s="1712"/>
      <c r="AE769" s="1712"/>
      <c r="AF769" s="1712"/>
      <c r="AG769" s="1712"/>
      <c r="AH769" s="1712"/>
      <c r="AI769" s="1712"/>
      <c r="AJ769" s="1712"/>
      <c r="AK769" s="1712"/>
      <c r="AL769" s="1712"/>
      <c r="AM769" s="1712"/>
      <c r="AN769" s="1712"/>
      <c r="AO769" s="1712"/>
      <c r="AP769" s="1712"/>
      <c r="AQ769" s="1712"/>
      <c r="AR769" s="1712"/>
      <c r="AS769" s="1712"/>
      <c r="AT769" s="1712"/>
    </row>
    <row r="770">
      <c r="A770" s="1474" t="s">
        <v>2461</v>
      </c>
      <c r="B770" s="1708"/>
      <c r="C770" s="1709"/>
      <c r="D770" s="1709"/>
      <c r="E770" s="1710"/>
      <c r="F770" s="1710"/>
      <c r="G770" s="1710"/>
      <c r="H770" s="1710"/>
      <c r="I770" s="1710"/>
      <c r="J770" s="1710"/>
      <c r="K770" s="1710"/>
      <c r="L770" s="1710"/>
      <c r="M770" s="1711"/>
      <c r="N770" s="1711"/>
      <c r="O770" s="1711"/>
      <c r="P770" s="1711"/>
      <c r="Q770" s="1711"/>
      <c r="R770" s="1711"/>
      <c r="S770" s="1711"/>
      <c r="T770" s="1711"/>
      <c r="U770" s="1711"/>
      <c r="V770" s="1711"/>
      <c r="W770" s="1711"/>
      <c r="X770" s="1711"/>
      <c r="Y770" s="1712"/>
      <c r="Z770" s="1712"/>
      <c r="AA770" s="1712"/>
      <c r="AB770" s="1712"/>
      <c r="AC770" s="1712"/>
      <c r="AD770" s="1712"/>
      <c r="AE770" s="1712"/>
      <c r="AF770" s="1712"/>
      <c r="AG770" s="1712"/>
      <c r="AH770" s="1712"/>
      <c r="AI770" s="1712"/>
      <c r="AJ770" s="1712"/>
      <c r="AK770" s="1712"/>
      <c r="AL770" s="1712"/>
      <c r="AM770" s="1712"/>
      <c r="AN770" s="1712"/>
      <c r="AO770" s="1712"/>
      <c r="AP770" s="1712"/>
      <c r="AQ770" s="1712"/>
      <c r="AR770" s="1712"/>
      <c r="AS770" s="1712"/>
      <c r="AT770" s="1712"/>
    </row>
    <row r="771">
      <c r="A771" s="1474" t="s">
        <v>2461</v>
      </c>
      <c r="B771" s="1708"/>
      <c r="C771" s="1709"/>
      <c r="D771" s="1709"/>
      <c r="E771" s="1710"/>
      <c r="F771" s="1710"/>
      <c r="G771" s="1710"/>
      <c r="H771" s="1710"/>
      <c r="I771" s="1710"/>
      <c r="J771" s="1710"/>
      <c r="K771" s="1710"/>
      <c r="L771" s="1710"/>
      <c r="M771" s="1711"/>
      <c r="N771" s="1711"/>
      <c r="O771" s="1711"/>
      <c r="P771" s="1711"/>
      <c r="Q771" s="1711"/>
      <c r="R771" s="1711"/>
      <c r="S771" s="1711"/>
      <c r="T771" s="1711"/>
      <c r="U771" s="1711"/>
      <c r="V771" s="1711"/>
      <c r="W771" s="1711"/>
      <c r="X771" s="1711"/>
      <c r="Y771" s="1712"/>
      <c r="Z771" s="1712"/>
      <c r="AA771" s="1712"/>
      <c r="AB771" s="1712"/>
      <c r="AC771" s="1712"/>
      <c r="AD771" s="1712"/>
      <c r="AE771" s="1712"/>
      <c r="AF771" s="1712"/>
      <c r="AG771" s="1712"/>
      <c r="AH771" s="1712"/>
      <c r="AI771" s="1712"/>
      <c r="AJ771" s="1712"/>
      <c r="AK771" s="1712"/>
      <c r="AL771" s="1712"/>
      <c r="AM771" s="1712"/>
      <c r="AN771" s="1712"/>
      <c r="AO771" s="1712"/>
      <c r="AP771" s="1712"/>
      <c r="AQ771" s="1712"/>
      <c r="AR771" s="1712"/>
      <c r="AS771" s="1712"/>
      <c r="AT771" s="1712"/>
    </row>
    <row r="772">
      <c r="A772" s="1474" t="s">
        <v>2461</v>
      </c>
      <c r="B772" s="1708"/>
      <c r="C772" s="1709"/>
      <c r="D772" s="1709"/>
      <c r="E772" s="1710"/>
      <c r="F772" s="1710"/>
      <c r="G772" s="1710"/>
      <c r="H772" s="1710"/>
      <c r="I772" s="1710"/>
      <c r="J772" s="1710"/>
      <c r="K772" s="1710"/>
      <c r="L772" s="1710"/>
      <c r="M772" s="1711"/>
      <c r="N772" s="1711"/>
      <c r="O772" s="1711"/>
      <c r="P772" s="1711"/>
      <c r="Q772" s="1711"/>
      <c r="R772" s="1711"/>
      <c r="S772" s="1711"/>
      <c r="T772" s="1711"/>
      <c r="U772" s="1711"/>
      <c r="V772" s="1711"/>
      <c r="W772" s="1711"/>
      <c r="X772" s="1711"/>
      <c r="Y772" s="1712"/>
      <c r="Z772" s="1712"/>
      <c r="AA772" s="1712"/>
      <c r="AB772" s="1712"/>
      <c r="AC772" s="1712"/>
      <c r="AD772" s="1712"/>
      <c r="AE772" s="1712"/>
      <c r="AF772" s="1712"/>
      <c r="AG772" s="1712"/>
      <c r="AH772" s="1712"/>
      <c r="AI772" s="1712"/>
      <c r="AJ772" s="1712"/>
      <c r="AK772" s="1712"/>
      <c r="AL772" s="1712"/>
      <c r="AM772" s="1712"/>
      <c r="AN772" s="1712"/>
      <c r="AO772" s="1712"/>
      <c r="AP772" s="1712"/>
      <c r="AQ772" s="1712"/>
      <c r="AR772" s="1712"/>
      <c r="AS772" s="1712"/>
      <c r="AT772" s="1712"/>
    </row>
    <row r="773">
      <c r="A773" s="1474" t="s">
        <v>2461</v>
      </c>
      <c r="B773" s="1708"/>
      <c r="C773" s="1709"/>
      <c r="D773" s="1709"/>
      <c r="E773" s="1710"/>
      <c r="F773" s="1710"/>
      <c r="G773" s="1710"/>
      <c r="H773" s="1710"/>
      <c r="I773" s="1710"/>
      <c r="J773" s="1710"/>
      <c r="K773" s="1710"/>
      <c r="L773" s="1710"/>
      <c r="M773" s="1711"/>
      <c r="N773" s="1711"/>
      <c r="O773" s="1711"/>
      <c r="P773" s="1711"/>
      <c r="Q773" s="1711"/>
      <c r="R773" s="1711"/>
      <c r="S773" s="1711"/>
      <c r="T773" s="1711"/>
      <c r="U773" s="1711"/>
      <c r="V773" s="1711"/>
      <c r="W773" s="1711"/>
      <c r="X773" s="1711"/>
      <c r="Y773" s="1712"/>
      <c r="Z773" s="1712"/>
      <c r="AA773" s="1712"/>
      <c r="AB773" s="1712"/>
      <c r="AC773" s="1712"/>
      <c r="AD773" s="1712"/>
      <c r="AE773" s="1712"/>
      <c r="AF773" s="1712"/>
      <c r="AG773" s="1712"/>
      <c r="AH773" s="1712"/>
      <c r="AI773" s="1712"/>
      <c r="AJ773" s="1712"/>
      <c r="AK773" s="1712"/>
      <c r="AL773" s="1712"/>
      <c r="AM773" s="1712"/>
      <c r="AN773" s="1712"/>
      <c r="AO773" s="1712"/>
      <c r="AP773" s="1712"/>
      <c r="AQ773" s="1712"/>
      <c r="AR773" s="1712"/>
      <c r="AS773" s="1712"/>
      <c r="AT773" s="1712"/>
    </row>
    <row r="774">
      <c r="A774" s="1474" t="s">
        <v>2461</v>
      </c>
      <c r="B774" s="1708"/>
      <c r="C774" s="1709"/>
      <c r="D774" s="1709"/>
      <c r="E774" s="1710"/>
      <c r="F774" s="1710"/>
      <c r="G774" s="1710"/>
      <c r="H774" s="1710"/>
      <c r="I774" s="1710"/>
      <c r="J774" s="1710"/>
      <c r="K774" s="1710"/>
      <c r="L774" s="1710"/>
      <c r="M774" s="1711"/>
      <c r="N774" s="1711"/>
      <c r="O774" s="1711"/>
      <c r="P774" s="1711"/>
      <c r="Q774" s="1711"/>
      <c r="R774" s="1711"/>
      <c r="S774" s="1711"/>
      <c r="T774" s="1711"/>
      <c r="U774" s="1711"/>
      <c r="V774" s="1711"/>
      <c r="W774" s="1711"/>
      <c r="X774" s="1711"/>
      <c r="Y774" s="1712"/>
      <c r="Z774" s="1712"/>
      <c r="AA774" s="1712"/>
      <c r="AB774" s="1712"/>
      <c r="AC774" s="1712"/>
      <c r="AD774" s="1712"/>
      <c r="AE774" s="1712"/>
      <c r="AF774" s="1712"/>
      <c r="AG774" s="1712"/>
      <c r="AH774" s="1712"/>
      <c r="AI774" s="1712"/>
      <c r="AJ774" s="1712"/>
      <c r="AK774" s="1712"/>
      <c r="AL774" s="1712"/>
      <c r="AM774" s="1712"/>
      <c r="AN774" s="1712"/>
      <c r="AO774" s="1712"/>
      <c r="AP774" s="1712"/>
      <c r="AQ774" s="1712"/>
      <c r="AR774" s="1712"/>
      <c r="AS774" s="1712"/>
      <c r="AT774" s="1712"/>
    </row>
    <row r="775">
      <c r="A775" s="1474" t="s">
        <v>2461</v>
      </c>
      <c r="B775" s="1708"/>
      <c r="C775" s="1709"/>
      <c r="D775" s="1709"/>
      <c r="E775" s="1710"/>
      <c r="F775" s="1710"/>
      <c r="G775" s="1710"/>
      <c r="H775" s="1710"/>
      <c r="I775" s="1710"/>
      <c r="J775" s="1710"/>
      <c r="K775" s="1710"/>
      <c r="L775" s="1710"/>
      <c r="M775" s="1711"/>
      <c r="N775" s="1711"/>
      <c r="O775" s="1711"/>
      <c r="P775" s="1711"/>
      <c r="Q775" s="1711"/>
      <c r="R775" s="1711"/>
      <c r="S775" s="1711"/>
      <c r="T775" s="1711"/>
      <c r="U775" s="1711"/>
      <c r="V775" s="1711"/>
      <c r="W775" s="1711"/>
      <c r="X775" s="1711"/>
      <c r="Y775" s="1712"/>
      <c r="Z775" s="1712"/>
      <c r="AA775" s="1712"/>
      <c r="AB775" s="1712"/>
      <c r="AC775" s="1712"/>
      <c r="AD775" s="1712"/>
      <c r="AE775" s="1712"/>
      <c r="AF775" s="1712"/>
      <c r="AG775" s="1712"/>
      <c r="AH775" s="1712"/>
      <c r="AI775" s="1712"/>
      <c r="AJ775" s="1712"/>
      <c r="AK775" s="1712"/>
      <c r="AL775" s="1712"/>
      <c r="AM775" s="1712"/>
      <c r="AN775" s="1712"/>
      <c r="AO775" s="1712"/>
      <c r="AP775" s="1712"/>
      <c r="AQ775" s="1712"/>
      <c r="AR775" s="1712"/>
      <c r="AS775" s="1712"/>
      <c r="AT775" s="1712"/>
    </row>
    <row r="776">
      <c r="A776" s="1474" t="s">
        <v>2461</v>
      </c>
      <c r="B776" s="1708"/>
      <c r="C776" s="1709"/>
      <c r="D776" s="1709"/>
      <c r="E776" s="1710"/>
      <c r="F776" s="1710"/>
      <c r="G776" s="1710"/>
      <c r="H776" s="1710"/>
      <c r="I776" s="1710"/>
      <c r="J776" s="1710"/>
      <c r="K776" s="1710"/>
      <c r="L776" s="1710"/>
      <c r="M776" s="1711"/>
      <c r="N776" s="1711"/>
      <c r="O776" s="1711"/>
      <c r="P776" s="1711"/>
      <c r="Q776" s="1711"/>
      <c r="R776" s="1711"/>
      <c r="S776" s="1711"/>
      <c r="T776" s="1711"/>
      <c r="U776" s="1711"/>
      <c r="V776" s="1711"/>
      <c r="W776" s="1711"/>
      <c r="X776" s="1711"/>
      <c r="Y776" s="1712"/>
      <c r="Z776" s="1712"/>
      <c r="AA776" s="1712"/>
      <c r="AB776" s="1712"/>
      <c r="AC776" s="1712"/>
      <c r="AD776" s="1712"/>
      <c r="AE776" s="1712"/>
      <c r="AF776" s="1712"/>
      <c r="AG776" s="1712"/>
      <c r="AH776" s="1712"/>
      <c r="AI776" s="1712"/>
      <c r="AJ776" s="1712"/>
      <c r="AK776" s="1712"/>
      <c r="AL776" s="1712"/>
      <c r="AM776" s="1712"/>
      <c r="AN776" s="1712"/>
      <c r="AO776" s="1712"/>
      <c r="AP776" s="1712"/>
      <c r="AQ776" s="1712"/>
      <c r="AR776" s="1712"/>
      <c r="AS776" s="1712"/>
      <c r="AT776" s="1712"/>
    </row>
    <row r="777">
      <c r="A777" s="1474" t="s">
        <v>2461</v>
      </c>
      <c r="B777" s="1708"/>
      <c r="C777" s="1709"/>
      <c r="D777" s="1709"/>
      <c r="E777" s="1710"/>
      <c r="F777" s="1710"/>
      <c r="G777" s="1710"/>
      <c r="H777" s="1710"/>
      <c r="I777" s="1710"/>
      <c r="J777" s="1710"/>
      <c r="K777" s="1710"/>
      <c r="L777" s="1710"/>
      <c r="M777" s="1711"/>
      <c r="N777" s="1711"/>
      <c r="O777" s="1711"/>
      <c r="P777" s="1711"/>
      <c r="Q777" s="1711"/>
      <c r="R777" s="1711"/>
      <c r="S777" s="1711"/>
      <c r="T777" s="1711"/>
      <c r="U777" s="1711"/>
      <c r="V777" s="1711"/>
      <c r="W777" s="1711"/>
      <c r="X777" s="1711"/>
      <c r="Y777" s="1712"/>
      <c r="Z777" s="1712"/>
      <c r="AA777" s="1712"/>
      <c r="AB777" s="1712"/>
      <c r="AC777" s="1712"/>
      <c r="AD777" s="1712"/>
      <c r="AE777" s="1712"/>
      <c r="AF777" s="1712"/>
      <c r="AG777" s="1712"/>
      <c r="AH777" s="1712"/>
      <c r="AI777" s="1712"/>
      <c r="AJ777" s="1712"/>
      <c r="AK777" s="1712"/>
      <c r="AL777" s="1712"/>
      <c r="AM777" s="1712"/>
      <c r="AN777" s="1712"/>
      <c r="AO777" s="1712"/>
      <c r="AP777" s="1712"/>
      <c r="AQ777" s="1712"/>
      <c r="AR777" s="1712"/>
      <c r="AS777" s="1712"/>
      <c r="AT777" s="1712"/>
    </row>
    <row r="778">
      <c r="A778" s="1474" t="s">
        <v>2461</v>
      </c>
      <c r="B778" s="1708"/>
      <c r="C778" s="1709"/>
      <c r="D778" s="1709"/>
      <c r="E778" s="1710"/>
      <c r="F778" s="1710"/>
      <c r="G778" s="1710"/>
      <c r="H778" s="1710"/>
      <c r="I778" s="1710"/>
      <c r="J778" s="1710"/>
      <c r="K778" s="1710"/>
      <c r="L778" s="1710"/>
      <c r="M778" s="1711"/>
      <c r="N778" s="1711"/>
      <c r="O778" s="1711"/>
      <c r="P778" s="1711"/>
      <c r="Q778" s="1711"/>
      <c r="R778" s="1711"/>
      <c r="S778" s="1711"/>
      <c r="T778" s="1711"/>
      <c r="U778" s="1711"/>
      <c r="V778" s="1711"/>
      <c r="W778" s="1711"/>
      <c r="X778" s="1711"/>
      <c r="Y778" s="1712"/>
      <c r="Z778" s="1712"/>
      <c r="AA778" s="1712"/>
      <c r="AB778" s="1712"/>
      <c r="AC778" s="1712"/>
      <c r="AD778" s="1712"/>
      <c r="AE778" s="1712"/>
      <c r="AF778" s="1712"/>
      <c r="AG778" s="1712"/>
      <c r="AH778" s="1712"/>
      <c r="AI778" s="1712"/>
      <c r="AJ778" s="1712"/>
      <c r="AK778" s="1712"/>
      <c r="AL778" s="1712"/>
      <c r="AM778" s="1712"/>
      <c r="AN778" s="1712"/>
      <c r="AO778" s="1712"/>
      <c r="AP778" s="1712"/>
      <c r="AQ778" s="1712"/>
      <c r="AR778" s="1712"/>
      <c r="AS778" s="1712"/>
      <c r="AT778" s="1712"/>
    </row>
    <row r="779">
      <c r="A779" s="1474" t="s">
        <v>2461</v>
      </c>
      <c r="B779" s="1708"/>
      <c r="C779" s="1709"/>
      <c r="D779" s="1709"/>
      <c r="E779" s="1710"/>
      <c r="F779" s="1710"/>
      <c r="G779" s="1710"/>
      <c r="H779" s="1710"/>
      <c r="I779" s="1710"/>
      <c r="J779" s="1710"/>
      <c r="K779" s="1710"/>
      <c r="L779" s="1710"/>
      <c r="M779" s="1711"/>
      <c r="N779" s="1711"/>
      <c r="O779" s="1711"/>
      <c r="P779" s="1711"/>
      <c r="Q779" s="1711"/>
      <c r="R779" s="1711"/>
      <c r="S779" s="1711"/>
      <c r="T779" s="1711"/>
      <c r="U779" s="1711"/>
      <c r="V779" s="1711"/>
      <c r="W779" s="1711"/>
      <c r="X779" s="1711"/>
      <c r="Y779" s="1712"/>
      <c r="Z779" s="1712"/>
      <c r="AA779" s="1712"/>
      <c r="AB779" s="1712"/>
      <c r="AC779" s="1712"/>
      <c r="AD779" s="1712"/>
      <c r="AE779" s="1712"/>
      <c r="AF779" s="1712"/>
      <c r="AG779" s="1712"/>
      <c r="AH779" s="1712"/>
      <c r="AI779" s="1712"/>
      <c r="AJ779" s="1712"/>
      <c r="AK779" s="1712"/>
      <c r="AL779" s="1712"/>
      <c r="AM779" s="1712"/>
      <c r="AN779" s="1712"/>
      <c r="AO779" s="1712"/>
      <c r="AP779" s="1712"/>
      <c r="AQ779" s="1712"/>
      <c r="AR779" s="1712"/>
      <c r="AS779" s="1712"/>
      <c r="AT779" s="1712"/>
    </row>
    <row r="780">
      <c r="A780" s="1474" t="s">
        <v>2461</v>
      </c>
      <c r="B780" s="1708"/>
      <c r="C780" s="1709"/>
      <c r="D780" s="1709"/>
      <c r="E780" s="1710"/>
      <c r="F780" s="1710"/>
      <c r="G780" s="1710"/>
      <c r="H780" s="1710"/>
      <c r="I780" s="1710"/>
      <c r="J780" s="1710"/>
      <c r="K780" s="1710"/>
      <c r="L780" s="1710"/>
      <c r="M780" s="1711"/>
      <c r="N780" s="1711"/>
      <c r="O780" s="1711"/>
      <c r="P780" s="1711"/>
      <c r="Q780" s="1711"/>
      <c r="R780" s="1711"/>
      <c r="S780" s="1711"/>
      <c r="T780" s="1711"/>
      <c r="U780" s="1711"/>
      <c r="V780" s="1711"/>
      <c r="W780" s="1711"/>
      <c r="X780" s="1711"/>
      <c r="Y780" s="1712"/>
      <c r="Z780" s="1712"/>
      <c r="AA780" s="1712"/>
      <c r="AB780" s="1712"/>
      <c r="AC780" s="1712"/>
      <c r="AD780" s="1712"/>
      <c r="AE780" s="1712"/>
      <c r="AF780" s="1712"/>
      <c r="AG780" s="1712"/>
      <c r="AH780" s="1712"/>
      <c r="AI780" s="1712"/>
      <c r="AJ780" s="1712"/>
      <c r="AK780" s="1712"/>
      <c r="AL780" s="1712"/>
      <c r="AM780" s="1712"/>
      <c r="AN780" s="1712"/>
      <c r="AO780" s="1712"/>
      <c r="AP780" s="1712"/>
      <c r="AQ780" s="1712"/>
      <c r="AR780" s="1712"/>
      <c r="AS780" s="1712"/>
      <c r="AT780" s="1712"/>
    </row>
    <row r="781">
      <c r="A781" s="1474" t="s">
        <v>2461</v>
      </c>
      <c r="B781" s="1708"/>
      <c r="C781" s="1709"/>
      <c r="D781" s="1709"/>
      <c r="E781" s="1710"/>
      <c r="F781" s="1710"/>
      <c r="G781" s="1710"/>
      <c r="H781" s="1710"/>
      <c r="I781" s="1710"/>
      <c r="J781" s="1710"/>
      <c r="K781" s="1710"/>
      <c r="L781" s="1710"/>
      <c r="M781" s="1711"/>
      <c r="N781" s="1711"/>
      <c r="O781" s="1711"/>
      <c r="P781" s="1711"/>
      <c r="Q781" s="1711"/>
      <c r="R781" s="1711"/>
      <c r="S781" s="1711"/>
      <c r="T781" s="1711"/>
      <c r="U781" s="1711"/>
      <c r="V781" s="1711"/>
      <c r="W781" s="1711"/>
      <c r="X781" s="1711"/>
      <c r="Y781" s="1712"/>
      <c r="Z781" s="1712"/>
      <c r="AA781" s="1712"/>
      <c r="AB781" s="1712"/>
      <c r="AC781" s="1712"/>
      <c r="AD781" s="1712"/>
      <c r="AE781" s="1712"/>
      <c r="AF781" s="1712"/>
      <c r="AG781" s="1712"/>
      <c r="AH781" s="1712"/>
      <c r="AI781" s="1712"/>
      <c r="AJ781" s="1712"/>
      <c r="AK781" s="1712"/>
      <c r="AL781" s="1712"/>
      <c r="AM781" s="1712"/>
      <c r="AN781" s="1712"/>
      <c r="AO781" s="1712"/>
      <c r="AP781" s="1712"/>
      <c r="AQ781" s="1712"/>
      <c r="AR781" s="1712"/>
      <c r="AS781" s="1712"/>
      <c r="AT781" s="1712"/>
    </row>
    <row r="782">
      <c r="A782" s="1474" t="s">
        <v>2461</v>
      </c>
      <c r="B782" s="1708"/>
      <c r="C782" s="1709"/>
      <c r="D782" s="1709"/>
      <c r="E782" s="1710"/>
      <c r="F782" s="1710"/>
      <c r="G782" s="1710"/>
      <c r="H782" s="1710"/>
      <c r="I782" s="1710"/>
      <c r="J782" s="1710"/>
      <c r="K782" s="1710"/>
      <c r="L782" s="1710"/>
      <c r="M782" s="1711"/>
      <c r="N782" s="1711"/>
      <c r="O782" s="1711"/>
      <c r="P782" s="1711"/>
      <c r="Q782" s="1711"/>
      <c r="R782" s="1711"/>
      <c r="S782" s="1711"/>
      <c r="T782" s="1711"/>
      <c r="U782" s="1711"/>
      <c r="V782" s="1711"/>
      <c r="W782" s="1711"/>
      <c r="X782" s="1711"/>
      <c r="Y782" s="1712"/>
      <c r="Z782" s="1712"/>
      <c r="AA782" s="1712"/>
      <c r="AB782" s="1712"/>
      <c r="AC782" s="1712"/>
      <c r="AD782" s="1712"/>
      <c r="AE782" s="1712"/>
      <c r="AF782" s="1712"/>
      <c r="AG782" s="1712"/>
      <c r="AH782" s="1712"/>
      <c r="AI782" s="1712"/>
      <c r="AJ782" s="1712"/>
      <c r="AK782" s="1712"/>
      <c r="AL782" s="1712"/>
      <c r="AM782" s="1712"/>
      <c r="AN782" s="1712"/>
      <c r="AO782" s="1712"/>
      <c r="AP782" s="1712"/>
      <c r="AQ782" s="1712"/>
      <c r="AR782" s="1712"/>
      <c r="AS782" s="1712"/>
      <c r="AT782" s="1712"/>
    </row>
    <row r="783">
      <c r="A783" s="1474" t="s">
        <v>2461</v>
      </c>
      <c r="B783" s="1708"/>
      <c r="C783" s="1709"/>
      <c r="D783" s="1709"/>
      <c r="E783" s="1710"/>
      <c r="F783" s="1710"/>
      <c r="G783" s="1710"/>
      <c r="H783" s="1710"/>
      <c r="I783" s="1710"/>
      <c r="J783" s="1710"/>
      <c r="K783" s="1710"/>
      <c r="L783" s="1710"/>
      <c r="M783" s="1711"/>
      <c r="N783" s="1711"/>
      <c r="O783" s="1711"/>
      <c r="P783" s="1711"/>
      <c r="Q783" s="1711"/>
      <c r="R783" s="1711"/>
      <c r="S783" s="1711"/>
      <c r="T783" s="1711"/>
      <c r="U783" s="1711"/>
      <c r="V783" s="1711"/>
      <c r="W783" s="1711"/>
      <c r="X783" s="1711"/>
      <c r="Y783" s="1712"/>
      <c r="Z783" s="1712"/>
      <c r="AA783" s="1712"/>
      <c r="AB783" s="1712"/>
      <c r="AC783" s="1712"/>
      <c r="AD783" s="1712"/>
      <c r="AE783" s="1712"/>
      <c r="AF783" s="1712"/>
      <c r="AG783" s="1712"/>
      <c r="AH783" s="1712"/>
      <c r="AI783" s="1712"/>
      <c r="AJ783" s="1712"/>
      <c r="AK783" s="1712"/>
      <c r="AL783" s="1712"/>
      <c r="AM783" s="1712"/>
      <c r="AN783" s="1712"/>
      <c r="AO783" s="1712"/>
      <c r="AP783" s="1712"/>
      <c r="AQ783" s="1712"/>
      <c r="AR783" s="1712"/>
      <c r="AS783" s="1712"/>
      <c r="AT783" s="1712"/>
    </row>
    <row r="784">
      <c r="A784" s="1474" t="s">
        <v>2461</v>
      </c>
      <c r="B784" s="1708"/>
      <c r="C784" s="1709"/>
      <c r="D784" s="1709"/>
      <c r="E784" s="1710"/>
      <c r="F784" s="1710"/>
      <c r="G784" s="1710"/>
      <c r="H784" s="1710"/>
      <c r="I784" s="1710"/>
      <c r="J784" s="1710"/>
      <c r="K784" s="1710"/>
      <c r="L784" s="1710"/>
      <c r="M784" s="1711"/>
      <c r="N784" s="1711"/>
      <c r="O784" s="1711"/>
      <c r="P784" s="1711"/>
      <c r="Q784" s="1711"/>
      <c r="R784" s="1711"/>
      <c r="S784" s="1711"/>
      <c r="T784" s="1711"/>
      <c r="U784" s="1711"/>
      <c r="V784" s="1711"/>
      <c r="W784" s="1711"/>
      <c r="X784" s="1711"/>
      <c r="Y784" s="1712"/>
      <c r="Z784" s="1712"/>
      <c r="AA784" s="1712"/>
      <c r="AB784" s="1712"/>
      <c r="AC784" s="1712"/>
      <c r="AD784" s="1712"/>
      <c r="AE784" s="1712"/>
      <c r="AF784" s="1712"/>
      <c r="AG784" s="1712"/>
      <c r="AH784" s="1712"/>
      <c r="AI784" s="1712"/>
      <c r="AJ784" s="1712"/>
      <c r="AK784" s="1712"/>
      <c r="AL784" s="1712"/>
      <c r="AM784" s="1712"/>
      <c r="AN784" s="1712"/>
      <c r="AO784" s="1712"/>
      <c r="AP784" s="1712"/>
      <c r="AQ784" s="1712"/>
      <c r="AR784" s="1712"/>
      <c r="AS784" s="1712"/>
      <c r="AT784" s="1712"/>
    </row>
    <row r="785">
      <c r="A785" s="1474" t="s">
        <v>2461</v>
      </c>
      <c r="B785" s="1708"/>
      <c r="C785" s="1709"/>
      <c r="D785" s="1709"/>
      <c r="E785" s="1710"/>
      <c r="F785" s="1710"/>
      <c r="G785" s="1710"/>
      <c r="H785" s="1710"/>
      <c r="I785" s="1710"/>
      <c r="J785" s="1710"/>
      <c r="K785" s="1710"/>
      <c r="L785" s="1710"/>
      <c r="M785" s="1711"/>
      <c r="N785" s="1711"/>
      <c r="O785" s="1711"/>
      <c r="P785" s="1711"/>
      <c r="Q785" s="1711"/>
      <c r="R785" s="1711"/>
      <c r="S785" s="1711"/>
      <c r="T785" s="1711"/>
      <c r="U785" s="1711"/>
      <c r="V785" s="1711"/>
      <c r="W785" s="1711"/>
      <c r="X785" s="1711"/>
      <c r="Y785" s="1712"/>
      <c r="Z785" s="1712"/>
      <c r="AA785" s="1712"/>
      <c r="AB785" s="1712"/>
      <c r="AC785" s="1712"/>
      <c r="AD785" s="1712"/>
      <c r="AE785" s="1712"/>
      <c r="AF785" s="1712"/>
      <c r="AG785" s="1712"/>
      <c r="AH785" s="1712"/>
      <c r="AI785" s="1712"/>
      <c r="AJ785" s="1712"/>
      <c r="AK785" s="1712"/>
      <c r="AL785" s="1712"/>
      <c r="AM785" s="1712"/>
      <c r="AN785" s="1712"/>
      <c r="AO785" s="1712"/>
      <c r="AP785" s="1712"/>
      <c r="AQ785" s="1712"/>
      <c r="AR785" s="1712"/>
      <c r="AS785" s="1712"/>
      <c r="AT785" s="1712"/>
    </row>
    <row r="786">
      <c r="A786" s="1474" t="s">
        <v>2461</v>
      </c>
      <c r="B786" s="1708"/>
      <c r="C786" s="1709"/>
      <c r="D786" s="1709"/>
      <c r="E786" s="1710"/>
      <c r="F786" s="1710"/>
      <c r="G786" s="1710"/>
      <c r="H786" s="1710"/>
      <c r="I786" s="1710"/>
      <c r="J786" s="1710"/>
      <c r="K786" s="1710"/>
      <c r="L786" s="1710"/>
      <c r="M786" s="1711"/>
      <c r="N786" s="1711"/>
      <c r="O786" s="1711"/>
      <c r="P786" s="1711"/>
      <c r="Q786" s="1711"/>
      <c r="R786" s="1711"/>
      <c r="S786" s="1711"/>
      <c r="T786" s="1711"/>
      <c r="U786" s="1711"/>
      <c r="V786" s="1711"/>
      <c r="W786" s="1711"/>
      <c r="X786" s="1711"/>
      <c r="Y786" s="1712"/>
      <c r="Z786" s="1712"/>
      <c r="AA786" s="1712"/>
      <c r="AB786" s="1712"/>
      <c r="AC786" s="1712"/>
      <c r="AD786" s="1712"/>
      <c r="AE786" s="1712"/>
      <c r="AF786" s="1712"/>
      <c r="AG786" s="1712"/>
      <c r="AH786" s="1712"/>
      <c r="AI786" s="1712"/>
      <c r="AJ786" s="1712"/>
      <c r="AK786" s="1712"/>
      <c r="AL786" s="1712"/>
      <c r="AM786" s="1712"/>
      <c r="AN786" s="1712"/>
      <c r="AO786" s="1712"/>
      <c r="AP786" s="1712"/>
      <c r="AQ786" s="1712"/>
      <c r="AR786" s="1712"/>
      <c r="AS786" s="1712"/>
      <c r="AT786" s="1712"/>
    </row>
    <row r="787">
      <c r="A787" s="1474" t="s">
        <v>2461</v>
      </c>
      <c r="B787" s="1708"/>
      <c r="C787" s="1709"/>
      <c r="D787" s="1709"/>
      <c r="E787" s="1710"/>
      <c r="F787" s="1710"/>
      <c r="G787" s="1710"/>
      <c r="H787" s="1710"/>
      <c r="I787" s="1710"/>
      <c r="J787" s="1710"/>
      <c r="K787" s="1710"/>
      <c r="L787" s="1710"/>
      <c r="M787" s="1711"/>
      <c r="N787" s="1711"/>
      <c r="O787" s="1711"/>
      <c r="P787" s="1711"/>
      <c r="Q787" s="1711"/>
      <c r="R787" s="1711"/>
      <c r="S787" s="1711"/>
      <c r="T787" s="1711"/>
      <c r="U787" s="1711"/>
      <c r="V787" s="1711"/>
      <c r="W787" s="1711"/>
      <c r="X787" s="1711"/>
      <c r="Y787" s="1712"/>
      <c r="Z787" s="1712"/>
      <c r="AA787" s="1712"/>
      <c r="AB787" s="1712"/>
      <c r="AC787" s="1712"/>
      <c r="AD787" s="1712"/>
      <c r="AE787" s="1712"/>
      <c r="AF787" s="1712"/>
      <c r="AG787" s="1712"/>
      <c r="AH787" s="1712"/>
      <c r="AI787" s="1712"/>
      <c r="AJ787" s="1712"/>
      <c r="AK787" s="1712"/>
      <c r="AL787" s="1712"/>
      <c r="AM787" s="1712"/>
      <c r="AN787" s="1712"/>
      <c r="AO787" s="1712"/>
      <c r="AP787" s="1712"/>
      <c r="AQ787" s="1712"/>
      <c r="AR787" s="1712"/>
      <c r="AS787" s="1712"/>
      <c r="AT787" s="1712"/>
    </row>
    <row r="788">
      <c r="A788" s="1474" t="s">
        <v>2461</v>
      </c>
      <c r="B788" s="1708"/>
      <c r="C788" s="1709"/>
      <c r="D788" s="1709"/>
      <c r="E788" s="1710"/>
      <c r="F788" s="1710"/>
      <c r="G788" s="1710"/>
      <c r="H788" s="1710"/>
      <c r="I788" s="1710"/>
      <c r="J788" s="1710"/>
      <c r="K788" s="1710"/>
      <c r="L788" s="1710"/>
      <c r="M788" s="1711"/>
      <c r="N788" s="1711"/>
      <c r="O788" s="1711"/>
      <c r="P788" s="1711"/>
      <c r="Q788" s="1711"/>
      <c r="R788" s="1711"/>
      <c r="S788" s="1711"/>
      <c r="T788" s="1711"/>
      <c r="U788" s="1711"/>
      <c r="V788" s="1711"/>
      <c r="W788" s="1711"/>
      <c r="X788" s="1711"/>
      <c r="Y788" s="1712"/>
      <c r="Z788" s="1712"/>
      <c r="AA788" s="1712"/>
      <c r="AB788" s="1712"/>
      <c r="AC788" s="1712"/>
      <c r="AD788" s="1712"/>
      <c r="AE788" s="1712"/>
      <c r="AF788" s="1712"/>
      <c r="AG788" s="1712"/>
      <c r="AH788" s="1712"/>
      <c r="AI788" s="1712"/>
      <c r="AJ788" s="1712"/>
      <c r="AK788" s="1712"/>
      <c r="AL788" s="1712"/>
      <c r="AM788" s="1712"/>
      <c r="AN788" s="1712"/>
      <c r="AO788" s="1712"/>
      <c r="AP788" s="1712"/>
      <c r="AQ788" s="1712"/>
      <c r="AR788" s="1712"/>
      <c r="AS788" s="1712"/>
      <c r="AT788" s="1712"/>
    </row>
    <row r="789">
      <c r="A789" s="1474" t="s">
        <v>2461</v>
      </c>
      <c r="B789" s="1708"/>
      <c r="C789" s="1709"/>
      <c r="D789" s="1709"/>
      <c r="E789" s="1710"/>
      <c r="F789" s="1710"/>
      <c r="G789" s="1710"/>
      <c r="H789" s="1710"/>
      <c r="I789" s="1710"/>
      <c r="J789" s="1710"/>
      <c r="K789" s="1710"/>
      <c r="L789" s="1710"/>
      <c r="M789" s="1711"/>
      <c r="N789" s="1711"/>
      <c r="O789" s="1711"/>
      <c r="P789" s="1711"/>
      <c r="Q789" s="1711"/>
      <c r="R789" s="1711"/>
      <c r="S789" s="1711"/>
      <c r="T789" s="1711"/>
      <c r="U789" s="1711"/>
      <c r="V789" s="1711"/>
      <c r="W789" s="1711"/>
      <c r="X789" s="1711"/>
      <c r="Y789" s="1712"/>
      <c r="Z789" s="1712"/>
      <c r="AA789" s="1712"/>
      <c r="AB789" s="1712"/>
      <c r="AC789" s="1712"/>
      <c r="AD789" s="1712"/>
      <c r="AE789" s="1712"/>
      <c r="AF789" s="1712"/>
      <c r="AG789" s="1712"/>
      <c r="AH789" s="1712"/>
      <c r="AI789" s="1712"/>
      <c r="AJ789" s="1712"/>
      <c r="AK789" s="1712"/>
      <c r="AL789" s="1712"/>
      <c r="AM789" s="1712"/>
      <c r="AN789" s="1712"/>
      <c r="AO789" s="1712"/>
      <c r="AP789" s="1712"/>
      <c r="AQ789" s="1712"/>
      <c r="AR789" s="1712"/>
      <c r="AS789" s="1712"/>
      <c r="AT789" s="1712"/>
    </row>
    <row r="790">
      <c r="A790" s="1474" t="s">
        <v>2461</v>
      </c>
      <c r="B790" s="1708"/>
      <c r="C790" s="1709"/>
      <c r="D790" s="1709"/>
      <c r="E790" s="1710"/>
      <c r="F790" s="1710"/>
      <c r="G790" s="1710"/>
      <c r="H790" s="1710"/>
      <c r="I790" s="1710"/>
      <c r="J790" s="1710"/>
      <c r="K790" s="1710"/>
      <c r="L790" s="1710"/>
      <c r="M790" s="1711"/>
      <c r="N790" s="1711"/>
      <c r="O790" s="1711"/>
      <c r="P790" s="1711"/>
      <c r="Q790" s="1711"/>
      <c r="R790" s="1711"/>
      <c r="S790" s="1711"/>
      <c r="T790" s="1711"/>
      <c r="U790" s="1711"/>
      <c r="V790" s="1711"/>
      <c r="W790" s="1711"/>
      <c r="X790" s="1711"/>
      <c r="Y790" s="1712"/>
      <c r="Z790" s="1712"/>
      <c r="AA790" s="1712"/>
      <c r="AB790" s="1712"/>
      <c r="AC790" s="1712"/>
      <c r="AD790" s="1712"/>
      <c r="AE790" s="1712"/>
      <c r="AF790" s="1712"/>
      <c r="AG790" s="1712"/>
      <c r="AH790" s="1712"/>
      <c r="AI790" s="1712"/>
      <c r="AJ790" s="1712"/>
      <c r="AK790" s="1712"/>
      <c r="AL790" s="1712"/>
      <c r="AM790" s="1712"/>
      <c r="AN790" s="1712"/>
      <c r="AO790" s="1712"/>
      <c r="AP790" s="1712"/>
      <c r="AQ790" s="1712"/>
      <c r="AR790" s="1712"/>
      <c r="AS790" s="1712"/>
      <c r="AT790" s="1712"/>
    </row>
    <row r="791">
      <c r="A791" s="1474" t="s">
        <v>2461</v>
      </c>
      <c r="B791" s="1708"/>
      <c r="C791" s="1709"/>
      <c r="D791" s="1709"/>
      <c r="E791" s="1710"/>
      <c r="F791" s="1710"/>
      <c r="G791" s="1710"/>
      <c r="H791" s="1710"/>
      <c r="I791" s="1710"/>
      <c r="J791" s="1710"/>
      <c r="K791" s="1710"/>
      <c r="L791" s="1710"/>
      <c r="M791" s="1711"/>
      <c r="N791" s="1711"/>
      <c r="O791" s="1711"/>
      <c r="P791" s="1711"/>
      <c r="Q791" s="1711"/>
      <c r="R791" s="1711"/>
      <c r="S791" s="1711"/>
      <c r="T791" s="1711"/>
      <c r="U791" s="1711"/>
      <c r="V791" s="1711"/>
      <c r="W791" s="1711"/>
      <c r="X791" s="1711"/>
      <c r="Y791" s="1712"/>
      <c r="Z791" s="1712"/>
      <c r="AA791" s="1712"/>
      <c r="AB791" s="1712"/>
      <c r="AC791" s="1712"/>
      <c r="AD791" s="1712"/>
      <c r="AE791" s="1712"/>
      <c r="AF791" s="1712"/>
      <c r="AG791" s="1712"/>
      <c r="AH791" s="1712"/>
      <c r="AI791" s="1712"/>
      <c r="AJ791" s="1712"/>
      <c r="AK791" s="1712"/>
      <c r="AL791" s="1712"/>
      <c r="AM791" s="1712"/>
      <c r="AN791" s="1712"/>
      <c r="AO791" s="1712"/>
      <c r="AP791" s="1712"/>
      <c r="AQ791" s="1712"/>
      <c r="AR791" s="1712"/>
      <c r="AS791" s="1712"/>
      <c r="AT791" s="1712"/>
    </row>
    <row r="792">
      <c r="A792" s="1474" t="s">
        <v>2461</v>
      </c>
      <c r="B792" s="1708"/>
      <c r="C792" s="1709"/>
      <c r="D792" s="1709"/>
      <c r="E792" s="1710"/>
      <c r="F792" s="1710"/>
      <c r="G792" s="1710"/>
      <c r="H792" s="1710"/>
      <c r="I792" s="1710"/>
      <c r="J792" s="1710"/>
      <c r="K792" s="1710"/>
      <c r="L792" s="1710"/>
      <c r="M792" s="1711"/>
      <c r="N792" s="1711"/>
      <c r="O792" s="1711"/>
      <c r="P792" s="1711"/>
      <c r="Q792" s="1711"/>
      <c r="R792" s="1711"/>
      <c r="S792" s="1711"/>
      <c r="T792" s="1711"/>
      <c r="U792" s="1711"/>
      <c r="V792" s="1711"/>
      <c r="W792" s="1711"/>
      <c r="X792" s="1711"/>
      <c r="Y792" s="1712"/>
      <c r="Z792" s="1712"/>
      <c r="AA792" s="1712"/>
      <c r="AB792" s="1712"/>
      <c r="AC792" s="1712"/>
      <c r="AD792" s="1712"/>
      <c r="AE792" s="1712"/>
      <c r="AF792" s="1712"/>
      <c r="AG792" s="1712"/>
      <c r="AH792" s="1712"/>
      <c r="AI792" s="1712"/>
      <c r="AJ792" s="1712"/>
      <c r="AK792" s="1712"/>
      <c r="AL792" s="1712"/>
      <c r="AM792" s="1712"/>
      <c r="AN792" s="1712"/>
      <c r="AO792" s="1712"/>
      <c r="AP792" s="1712"/>
      <c r="AQ792" s="1712"/>
      <c r="AR792" s="1712"/>
      <c r="AS792" s="1712"/>
      <c r="AT792" s="1712"/>
    </row>
    <row r="793">
      <c r="A793" s="1474" t="s">
        <v>2461</v>
      </c>
      <c r="B793" s="1708"/>
      <c r="C793" s="1709"/>
      <c r="D793" s="1709"/>
      <c r="E793" s="1710"/>
      <c r="F793" s="1710"/>
      <c r="G793" s="1710"/>
      <c r="H793" s="1710"/>
      <c r="I793" s="1710"/>
      <c r="J793" s="1710"/>
      <c r="K793" s="1710"/>
      <c r="L793" s="1710"/>
      <c r="M793" s="1711"/>
      <c r="N793" s="1711"/>
      <c r="O793" s="1711"/>
      <c r="P793" s="1711"/>
      <c r="Q793" s="1711"/>
      <c r="R793" s="1711"/>
      <c r="S793" s="1711"/>
      <c r="T793" s="1711"/>
      <c r="U793" s="1711"/>
      <c r="V793" s="1711"/>
      <c r="W793" s="1711"/>
      <c r="X793" s="1711"/>
      <c r="Y793" s="1712"/>
      <c r="Z793" s="1712"/>
      <c r="AA793" s="1712"/>
      <c r="AB793" s="1712"/>
      <c r="AC793" s="1712"/>
      <c r="AD793" s="1712"/>
      <c r="AE793" s="1712"/>
      <c r="AF793" s="1712"/>
      <c r="AG793" s="1712"/>
      <c r="AH793" s="1712"/>
      <c r="AI793" s="1712"/>
      <c r="AJ793" s="1712"/>
      <c r="AK793" s="1712"/>
      <c r="AL793" s="1712"/>
      <c r="AM793" s="1712"/>
      <c r="AN793" s="1712"/>
      <c r="AO793" s="1712"/>
      <c r="AP793" s="1712"/>
      <c r="AQ793" s="1712"/>
      <c r="AR793" s="1712"/>
      <c r="AS793" s="1712"/>
      <c r="AT793" s="1712"/>
    </row>
    <row r="794">
      <c r="A794" s="1474" t="s">
        <v>2461</v>
      </c>
      <c r="B794" s="1708"/>
      <c r="C794" s="1709"/>
      <c r="D794" s="1709"/>
      <c r="E794" s="1710"/>
      <c r="F794" s="1710"/>
      <c r="G794" s="1710"/>
      <c r="H794" s="1710"/>
      <c r="I794" s="1710"/>
      <c r="J794" s="1710"/>
      <c r="K794" s="1710"/>
      <c r="L794" s="1710"/>
      <c r="M794" s="1711"/>
      <c r="N794" s="1711"/>
      <c r="O794" s="1711"/>
      <c r="P794" s="1711"/>
      <c r="Q794" s="1711"/>
      <c r="R794" s="1711"/>
      <c r="S794" s="1711"/>
      <c r="T794" s="1711"/>
      <c r="U794" s="1711"/>
      <c r="V794" s="1711"/>
      <c r="W794" s="1711"/>
      <c r="X794" s="1711"/>
      <c r="Y794" s="1712"/>
      <c r="Z794" s="1712"/>
      <c r="AA794" s="1712"/>
      <c r="AB794" s="1712"/>
      <c r="AC794" s="1712"/>
      <c r="AD794" s="1712"/>
      <c r="AE794" s="1712"/>
      <c r="AF794" s="1712"/>
      <c r="AG794" s="1712"/>
      <c r="AH794" s="1712"/>
      <c r="AI794" s="1712"/>
      <c r="AJ794" s="1712"/>
      <c r="AK794" s="1712"/>
      <c r="AL794" s="1712"/>
      <c r="AM794" s="1712"/>
      <c r="AN794" s="1712"/>
      <c r="AO794" s="1712"/>
      <c r="AP794" s="1712"/>
      <c r="AQ794" s="1712"/>
      <c r="AR794" s="1712"/>
      <c r="AS794" s="1712"/>
      <c r="AT794" s="1712"/>
    </row>
    <row r="795">
      <c r="A795" s="1474" t="s">
        <v>2461</v>
      </c>
      <c r="B795" s="1708"/>
      <c r="C795" s="1709"/>
      <c r="D795" s="1709"/>
      <c r="E795" s="1710"/>
      <c r="F795" s="1710"/>
      <c r="G795" s="1710"/>
      <c r="H795" s="1710"/>
      <c r="I795" s="1710"/>
      <c r="J795" s="1710"/>
      <c r="K795" s="1710"/>
      <c r="L795" s="1710"/>
      <c r="M795" s="1711"/>
      <c r="N795" s="1711"/>
      <c r="O795" s="1711"/>
      <c r="P795" s="1711"/>
      <c r="Q795" s="1711"/>
      <c r="R795" s="1711"/>
      <c r="S795" s="1711"/>
      <c r="T795" s="1711"/>
      <c r="U795" s="1711"/>
      <c r="V795" s="1711"/>
      <c r="W795" s="1711"/>
      <c r="X795" s="1711"/>
      <c r="Y795" s="1712"/>
      <c r="Z795" s="1712"/>
      <c r="AA795" s="1712"/>
      <c r="AB795" s="1712"/>
      <c r="AC795" s="1712"/>
      <c r="AD795" s="1712"/>
      <c r="AE795" s="1712"/>
      <c r="AF795" s="1712"/>
      <c r="AG795" s="1712"/>
      <c r="AH795" s="1712"/>
      <c r="AI795" s="1712"/>
      <c r="AJ795" s="1712"/>
      <c r="AK795" s="1712"/>
      <c r="AL795" s="1712"/>
      <c r="AM795" s="1712"/>
      <c r="AN795" s="1712"/>
      <c r="AO795" s="1712"/>
      <c r="AP795" s="1712"/>
      <c r="AQ795" s="1712"/>
      <c r="AR795" s="1712"/>
      <c r="AS795" s="1712"/>
      <c r="AT795" s="1712"/>
    </row>
    <row r="796">
      <c r="A796" s="1474" t="s">
        <v>2461</v>
      </c>
      <c r="B796" s="1708"/>
      <c r="C796" s="1709"/>
      <c r="D796" s="1709"/>
      <c r="E796" s="1710"/>
      <c r="F796" s="1710"/>
      <c r="G796" s="1710"/>
      <c r="H796" s="1710"/>
      <c r="I796" s="1710"/>
      <c r="J796" s="1710"/>
      <c r="K796" s="1710"/>
      <c r="L796" s="1710"/>
      <c r="M796" s="1711"/>
      <c r="N796" s="1711"/>
      <c r="O796" s="1711"/>
      <c r="P796" s="1711"/>
      <c r="Q796" s="1711"/>
      <c r="R796" s="1711"/>
      <c r="S796" s="1711"/>
      <c r="T796" s="1711"/>
      <c r="U796" s="1711"/>
      <c r="V796" s="1711"/>
      <c r="W796" s="1711"/>
      <c r="X796" s="1711"/>
      <c r="Y796" s="1712"/>
      <c r="Z796" s="1712"/>
      <c r="AA796" s="1712"/>
      <c r="AB796" s="1712"/>
      <c r="AC796" s="1712"/>
      <c r="AD796" s="1712"/>
      <c r="AE796" s="1712"/>
      <c r="AF796" s="1712"/>
      <c r="AG796" s="1712"/>
      <c r="AH796" s="1712"/>
      <c r="AI796" s="1712"/>
      <c r="AJ796" s="1712"/>
      <c r="AK796" s="1712"/>
      <c r="AL796" s="1712"/>
      <c r="AM796" s="1712"/>
      <c r="AN796" s="1712"/>
      <c r="AO796" s="1712"/>
      <c r="AP796" s="1712"/>
      <c r="AQ796" s="1712"/>
      <c r="AR796" s="1712"/>
      <c r="AS796" s="1712"/>
      <c r="AT796" s="1712"/>
    </row>
    <row r="797">
      <c r="A797" s="1474" t="s">
        <v>2461</v>
      </c>
      <c r="B797" s="1708"/>
      <c r="C797" s="1709"/>
      <c r="D797" s="1709"/>
      <c r="E797" s="1710"/>
      <c r="F797" s="1710"/>
      <c r="G797" s="1710"/>
      <c r="H797" s="1710"/>
      <c r="I797" s="1710"/>
      <c r="J797" s="1710"/>
      <c r="K797" s="1710"/>
      <c r="L797" s="1710"/>
      <c r="M797" s="1711"/>
      <c r="N797" s="1711"/>
      <c r="O797" s="1711"/>
      <c r="P797" s="1711"/>
      <c r="Q797" s="1711"/>
      <c r="R797" s="1711"/>
      <c r="S797" s="1711"/>
      <c r="T797" s="1711"/>
      <c r="U797" s="1711"/>
      <c r="V797" s="1711"/>
      <c r="W797" s="1711"/>
      <c r="X797" s="1711"/>
      <c r="Y797" s="1712"/>
      <c r="Z797" s="1712"/>
      <c r="AA797" s="1712"/>
      <c r="AB797" s="1712"/>
      <c r="AC797" s="1712"/>
      <c r="AD797" s="1712"/>
      <c r="AE797" s="1712"/>
      <c r="AF797" s="1712"/>
      <c r="AG797" s="1712"/>
      <c r="AH797" s="1712"/>
      <c r="AI797" s="1712"/>
      <c r="AJ797" s="1712"/>
      <c r="AK797" s="1712"/>
      <c r="AL797" s="1712"/>
      <c r="AM797" s="1712"/>
      <c r="AN797" s="1712"/>
      <c r="AO797" s="1712"/>
      <c r="AP797" s="1712"/>
      <c r="AQ797" s="1712"/>
      <c r="AR797" s="1712"/>
      <c r="AS797" s="1712"/>
      <c r="AT797" s="1712"/>
    </row>
    <row r="798">
      <c r="A798" s="1474" t="s">
        <v>2461</v>
      </c>
      <c r="B798" s="1708"/>
      <c r="C798" s="1709"/>
      <c r="D798" s="1709"/>
      <c r="E798" s="1710"/>
      <c r="F798" s="1710"/>
      <c r="G798" s="1710"/>
      <c r="H798" s="1710"/>
      <c r="I798" s="1710"/>
      <c r="J798" s="1710"/>
      <c r="K798" s="1710"/>
      <c r="L798" s="1710"/>
      <c r="M798" s="1711"/>
      <c r="N798" s="1711"/>
      <c r="O798" s="1711"/>
      <c r="P798" s="1711"/>
      <c r="Q798" s="1711"/>
      <c r="R798" s="1711"/>
      <c r="S798" s="1711"/>
      <c r="T798" s="1711"/>
      <c r="U798" s="1711"/>
      <c r="V798" s="1711"/>
      <c r="W798" s="1711"/>
      <c r="X798" s="1711"/>
      <c r="Y798" s="1712"/>
      <c r="Z798" s="1712"/>
      <c r="AA798" s="1712"/>
      <c r="AB798" s="1712"/>
      <c r="AC798" s="1712"/>
      <c r="AD798" s="1712"/>
      <c r="AE798" s="1712"/>
      <c r="AF798" s="1712"/>
      <c r="AG798" s="1712"/>
      <c r="AH798" s="1712"/>
      <c r="AI798" s="1712"/>
      <c r="AJ798" s="1712"/>
      <c r="AK798" s="1712"/>
      <c r="AL798" s="1712"/>
      <c r="AM798" s="1712"/>
      <c r="AN798" s="1712"/>
      <c r="AO798" s="1712"/>
      <c r="AP798" s="1712"/>
      <c r="AQ798" s="1712"/>
      <c r="AR798" s="1712"/>
      <c r="AS798" s="1712"/>
      <c r="AT798" s="1712"/>
    </row>
    <row r="799">
      <c r="A799" s="1474" t="s">
        <v>2461</v>
      </c>
      <c r="B799" s="1708"/>
      <c r="C799" s="1709"/>
      <c r="D799" s="1709"/>
      <c r="E799" s="1710"/>
      <c r="F799" s="1710"/>
      <c r="G799" s="1710"/>
      <c r="H799" s="1710"/>
      <c r="I799" s="1710"/>
      <c r="J799" s="1710"/>
      <c r="K799" s="1710"/>
      <c r="L799" s="1710"/>
      <c r="M799" s="1711"/>
      <c r="N799" s="1711"/>
      <c r="O799" s="1711"/>
      <c r="P799" s="1711"/>
      <c r="Q799" s="1711"/>
      <c r="R799" s="1711"/>
      <c r="S799" s="1711"/>
      <c r="T799" s="1711"/>
      <c r="U799" s="1711"/>
      <c r="V799" s="1711"/>
      <c r="W799" s="1711"/>
      <c r="X799" s="1711"/>
      <c r="Y799" s="1712"/>
      <c r="Z799" s="1712"/>
      <c r="AA799" s="1712"/>
      <c r="AB799" s="1712"/>
      <c r="AC799" s="1712"/>
      <c r="AD799" s="1712"/>
      <c r="AE799" s="1712"/>
      <c r="AF799" s="1712"/>
      <c r="AG799" s="1712"/>
      <c r="AH799" s="1712"/>
      <c r="AI799" s="1712"/>
      <c r="AJ799" s="1712"/>
      <c r="AK799" s="1712"/>
      <c r="AL799" s="1712"/>
      <c r="AM799" s="1712"/>
      <c r="AN799" s="1712"/>
      <c r="AO799" s="1712"/>
      <c r="AP799" s="1712"/>
      <c r="AQ799" s="1712"/>
      <c r="AR799" s="1712"/>
      <c r="AS799" s="1712"/>
      <c r="AT799" s="1712"/>
    </row>
    <row r="800">
      <c r="A800" s="1474" t="s">
        <v>2461</v>
      </c>
      <c r="B800" s="1708"/>
      <c r="C800" s="1709"/>
      <c r="D800" s="1709"/>
      <c r="E800" s="1710"/>
      <c r="F800" s="1710"/>
      <c r="G800" s="1710"/>
      <c r="H800" s="1710"/>
      <c r="I800" s="1710"/>
      <c r="J800" s="1710"/>
      <c r="K800" s="1710"/>
      <c r="L800" s="1710"/>
      <c r="M800" s="1711"/>
      <c r="N800" s="1711"/>
      <c r="O800" s="1711"/>
      <c r="P800" s="1711"/>
      <c r="Q800" s="1711"/>
      <c r="R800" s="1711"/>
      <c r="S800" s="1711"/>
      <c r="T800" s="1711"/>
      <c r="U800" s="1711"/>
      <c r="V800" s="1711"/>
      <c r="W800" s="1711"/>
      <c r="X800" s="1711"/>
      <c r="Y800" s="1712"/>
      <c r="Z800" s="1712"/>
      <c r="AA800" s="1712"/>
      <c r="AB800" s="1712"/>
      <c r="AC800" s="1712"/>
      <c r="AD800" s="1712"/>
      <c r="AE800" s="1712"/>
      <c r="AF800" s="1712"/>
      <c r="AG800" s="1712"/>
      <c r="AH800" s="1712"/>
      <c r="AI800" s="1712"/>
      <c r="AJ800" s="1712"/>
      <c r="AK800" s="1712"/>
      <c r="AL800" s="1712"/>
      <c r="AM800" s="1712"/>
      <c r="AN800" s="1712"/>
      <c r="AO800" s="1712"/>
      <c r="AP800" s="1712"/>
      <c r="AQ800" s="1712"/>
      <c r="AR800" s="1712"/>
      <c r="AS800" s="1712"/>
      <c r="AT800" s="1712"/>
    </row>
    <row r="801">
      <c r="A801" s="1474" t="s">
        <v>2461</v>
      </c>
      <c r="B801" s="1708"/>
      <c r="C801" s="1709"/>
      <c r="D801" s="1709"/>
      <c r="E801" s="1710"/>
      <c r="F801" s="1710"/>
      <c r="G801" s="1710"/>
      <c r="H801" s="1710"/>
      <c r="I801" s="1710"/>
      <c r="J801" s="1710"/>
      <c r="K801" s="1710"/>
      <c r="L801" s="1710"/>
      <c r="M801" s="1711"/>
      <c r="N801" s="1711"/>
      <c r="O801" s="1711"/>
      <c r="P801" s="1711"/>
      <c r="Q801" s="1711"/>
      <c r="R801" s="1711"/>
      <c r="S801" s="1711"/>
      <c r="T801" s="1711"/>
      <c r="U801" s="1711"/>
      <c r="V801" s="1711"/>
      <c r="W801" s="1711"/>
      <c r="X801" s="1711"/>
      <c r="Y801" s="1712"/>
      <c r="Z801" s="1712"/>
      <c r="AA801" s="1712"/>
      <c r="AB801" s="1712"/>
      <c r="AC801" s="1712"/>
      <c r="AD801" s="1712"/>
      <c r="AE801" s="1712"/>
      <c r="AF801" s="1712"/>
      <c r="AG801" s="1712"/>
      <c r="AH801" s="1712"/>
      <c r="AI801" s="1712"/>
      <c r="AJ801" s="1712"/>
      <c r="AK801" s="1712"/>
      <c r="AL801" s="1712"/>
      <c r="AM801" s="1712"/>
      <c r="AN801" s="1712"/>
      <c r="AO801" s="1712"/>
      <c r="AP801" s="1712"/>
      <c r="AQ801" s="1712"/>
      <c r="AR801" s="1712"/>
      <c r="AS801" s="1712"/>
      <c r="AT801" s="1712"/>
    </row>
    <row r="802">
      <c r="A802" s="1474" t="s">
        <v>2461</v>
      </c>
      <c r="B802" s="1708"/>
      <c r="C802" s="1709"/>
      <c r="D802" s="1709"/>
      <c r="E802" s="1710"/>
      <c r="F802" s="1710"/>
      <c r="G802" s="1710"/>
      <c r="H802" s="1710"/>
      <c r="I802" s="1710"/>
      <c r="J802" s="1710"/>
      <c r="K802" s="1710"/>
      <c r="L802" s="1710"/>
      <c r="M802" s="1711"/>
      <c r="N802" s="1711"/>
      <c r="O802" s="1711"/>
      <c r="P802" s="1711"/>
      <c r="Q802" s="1711"/>
      <c r="R802" s="1711"/>
      <c r="S802" s="1711"/>
      <c r="T802" s="1711"/>
      <c r="U802" s="1711"/>
      <c r="V802" s="1711"/>
      <c r="W802" s="1711"/>
      <c r="X802" s="1711"/>
      <c r="Y802" s="1712"/>
      <c r="Z802" s="1712"/>
      <c r="AA802" s="1712"/>
      <c r="AB802" s="1712"/>
      <c r="AC802" s="1712"/>
      <c r="AD802" s="1712"/>
      <c r="AE802" s="1712"/>
      <c r="AF802" s="1712"/>
      <c r="AG802" s="1712"/>
      <c r="AH802" s="1712"/>
      <c r="AI802" s="1712"/>
      <c r="AJ802" s="1712"/>
      <c r="AK802" s="1712"/>
      <c r="AL802" s="1712"/>
      <c r="AM802" s="1712"/>
      <c r="AN802" s="1712"/>
      <c r="AO802" s="1712"/>
      <c r="AP802" s="1712"/>
      <c r="AQ802" s="1712"/>
      <c r="AR802" s="1712"/>
      <c r="AS802" s="1712"/>
      <c r="AT802" s="1712"/>
    </row>
    <row r="803">
      <c r="A803" s="1474" t="s">
        <v>2461</v>
      </c>
      <c r="B803" s="1708"/>
      <c r="C803" s="1709"/>
      <c r="D803" s="1709"/>
      <c r="E803" s="1710"/>
      <c r="F803" s="1710"/>
      <c r="G803" s="1710"/>
      <c r="H803" s="1710"/>
      <c r="I803" s="1710"/>
      <c r="J803" s="1710"/>
      <c r="K803" s="1710"/>
      <c r="L803" s="1710"/>
      <c r="M803" s="1711"/>
      <c r="N803" s="1711"/>
      <c r="O803" s="1711"/>
      <c r="P803" s="1711"/>
      <c r="Q803" s="1711"/>
      <c r="R803" s="1711"/>
      <c r="S803" s="1711"/>
      <c r="T803" s="1711"/>
      <c r="U803" s="1711"/>
      <c r="V803" s="1711"/>
      <c r="W803" s="1711"/>
      <c r="X803" s="1711"/>
      <c r="Y803" s="1712"/>
      <c r="Z803" s="1712"/>
      <c r="AA803" s="1712"/>
      <c r="AB803" s="1712"/>
      <c r="AC803" s="1712"/>
      <c r="AD803" s="1712"/>
      <c r="AE803" s="1712"/>
      <c r="AF803" s="1712"/>
      <c r="AG803" s="1712"/>
      <c r="AH803" s="1712"/>
      <c r="AI803" s="1712"/>
      <c r="AJ803" s="1712"/>
      <c r="AK803" s="1712"/>
      <c r="AL803" s="1712"/>
      <c r="AM803" s="1712"/>
      <c r="AN803" s="1712"/>
      <c r="AO803" s="1712"/>
      <c r="AP803" s="1712"/>
      <c r="AQ803" s="1712"/>
      <c r="AR803" s="1712"/>
      <c r="AS803" s="1712"/>
      <c r="AT803" s="1712"/>
    </row>
    <row r="804">
      <c r="A804" s="1474" t="s">
        <v>2461</v>
      </c>
      <c r="B804" s="1708"/>
      <c r="C804" s="1709"/>
      <c r="D804" s="1709"/>
      <c r="E804" s="1710"/>
      <c r="F804" s="1710"/>
      <c r="G804" s="1710"/>
      <c r="H804" s="1710"/>
      <c r="I804" s="1710"/>
      <c r="J804" s="1710"/>
      <c r="K804" s="1710"/>
      <c r="L804" s="1710"/>
      <c r="M804" s="1711"/>
      <c r="N804" s="1711"/>
      <c r="O804" s="1711"/>
      <c r="P804" s="1711"/>
      <c r="Q804" s="1711"/>
      <c r="R804" s="1711"/>
      <c r="S804" s="1711"/>
      <c r="T804" s="1711"/>
      <c r="U804" s="1711"/>
      <c r="V804" s="1711"/>
      <c r="W804" s="1711"/>
      <c r="X804" s="1711"/>
      <c r="Y804" s="1712"/>
      <c r="Z804" s="1712"/>
      <c r="AA804" s="1712"/>
      <c r="AB804" s="1712"/>
      <c r="AC804" s="1712"/>
      <c r="AD804" s="1712"/>
      <c r="AE804" s="1712"/>
      <c r="AF804" s="1712"/>
      <c r="AG804" s="1712"/>
      <c r="AH804" s="1712"/>
      <c r="AI804" s="1712"/>
      <c r="AJ804" s="1712"/>
      <c r="AK804" s="1712"/>
      <c r="AL804" s="1712"/>
      <c r="AM804" s="1712"/>
      <c r="AN804" s="1712"/>
      <c r="AO804" s="1712"/>
      <c r="AP804" s="1712"/>
      <c r="AQ804" s="1712"/>
      <c r="AR804" s="1712"/>
      <c r="AS804" s="1712"/>
      <c r="AT804" s="1712"/>
    </row>
    <row r="805">
      <c r="A805" s="1474" t="s">
        <v>2461</v>
      </c>
      <c r="B805" s="1708"/>
      <c r="C805" s="1709"/>
      <c r="D805" s="1709"/>
      <c r="E805" s="1710"/>
      <c r="F805" s="1710"/>
      <c r="G805" s="1710"/>
      <c r="H805" s="1710"/>
      <c r="I805" s="1710"/>
      <c r="J805" s="1710"/>
      <c r="K805" s="1710"/>
      <c r="L805" s="1710"/>
      <c r="M805" s="1711"/>
      <c r="N805" s="1711"/>
      <c r="O805" s="1711"/>
      <c r="P805" s="1711"/>
      <c r="Q805" s="1711"/>
      <c r="R805" s="1711"/>
      <c r="S805" s="1711"/>
      <c r="T805" s="1711"/>
      <c r="U805" s="1711"/>
      <c r="V805" s="1711"/>
      <c r="W805" s="1711"/>
      <c r="X805" s="1711"/>
      <c r="Y805" s="1712"/>
      <c r="Z805" s="1712"/>
      <c r="AA805" s="1712"/>
      <c r="AB805" s="1712"/>
      <c r="AC805" s="1712"/>
      <c r="AD805" s="1712"/>
      <c r="AE805" s="1712"/>
      <c r="AF805" s="1712"/>
      <c r="AG805" s="1712"/>
      <c r="AH805" s="1712"/>
      <c r="AI805" s="1712"/>
      <c r="AJ805" s="1712"/>
      <c r="AK805" s="1712"/>
      <c r="AL805" s="1712"/>
      <c r="AM805" s="1712"/>
      <c r="AN805" s="1712"/>
      <c r="AO805" s="1712"/>
      <c r="AP805" s="1712"/>
      <c r="AQ805" s="1712"/>
      <c r="AR805" s="1712"/>
      <c r="AS805" s="1712"/>
      <c r="AT805" s="1712"/>
    </row>
    <row r="806">
      <c r="A806" s="1474" t="s">
        <v>2461</v>
      </c>
      <c r="B806" s="1708"/>
      <c r="C806" s="1709"/>
      <c r="D806" s="1709"/>
      <c r="E806" s="1710"/>
      <c r="F806" s="1710"/>
      <c r="G806" s="1710"/>
      <c r="H806" s="1710"/>
      <c r="I806" s="1710"/>
      <c r="J806" s="1710"/>
      <c r="K806" s="1710"/>
      <c r="L806" s="1710"/>
      <c r="M806" s="1711"/>
      <c r="N806" s="1711"/>
      <c r="O806" s="1711"/>
      <c r="P806" s="1711"/>
      <c r="Q806" s="1711"/>
      <c r="R806" s="1711"/>
      <c r="S806" s="1711"/>
      <c r="T806" s="1711"/>
      <c r="U806" s="1711"/>
      <c r="V806" s="1711"/>
      <c r="W806" s="1711"/>
      <c r="X806" s="1711"/>
      <c r="Y806" s="1712"/>
      <c r="Z806" s="1712"/>
      <c r="AA806" s="1712"/>
      <c r="AB806" s="1712"/>
      <c r="AC806" s="1712"/>
      <c r="AD806" s="1712"/>
      <c r="AE806" s="1712"/>
      <c r="AF806" s="1712"/>
      <c r="AG806" s="1712"/>
      <c r="AH806" s="1712"/>
      <c r="AI806" s="1712"/>
      <c r="AJ806" s="1712"/>
      <c r="AK806" s="1712"/>
      <c r="AL806" s="1712"/>
      <c r="AM806" s="1712"/>
      <c r="AN806" s="1712"/>
      <c r="AO806" s="1712"/>
      <c r="AP806" s="1712"/>
      <c r="AQ806" s="1712"/>
      <c r="AR806" s="1712"/>
      <c r="AS806" s="1712"/>
      <c r="AT806" s="1712"/>
    </row>
    <row r="807">
      <c r="A807" s="1474" t="s">
        <v>2461</v>
      </c>
      <c r="B807" s="1708"/>
      <c r="C807" s="1709"/>
      <c r="D807" s="1709"/>
      <c r="E807" s="1710"/>
      <c r="F807" s="1710"/>
      <c r="G807" s="1710"/>
      <c r="H807" s="1710"/>
      <c r="I807" s="1710"/>
      <c r="J807" s="1710"/>
      <c r="K807" s="1710"/>
      <c r="L807" s="1710"/>
      <c r="M807" s="1711"/>
      <c r="N807" s="1711"/>
      <c r="O807" s="1711"/>
      <c r="P807" s="1711"/>
      <c r="Q807" s="1711"/>
      <c r="R807" s="1711"/>
      <c r="S807" s="1711"/>
      <c r="T807" s="1711"/>
      <c r="U807" s="1711"/>
      <c r="V807" s="1711"/>
      <c r="W807" s="1711"/>
      <c r="X807" s="1711"/>
      <c r="Y807" s="1712"/>
      <c r="Z807" s="1712"/>
      <c r="AA807" s="1712"/>
      <c r="AB807" s="1712"/>
      <c r="AC807" s="1712"/>
      <c r="AD807" s="1712"/>
      <c r="AE807" s="1712"/>
      <c r="AF807" s="1712"/>
      <c r="AG807" s="1712"/>
      <c r="AH807" s="1712"/>
      <c r="AI807" s="1712"/>
      <c r="AJ807" s="1712"/>
      <c r="AK807" s="1712"/>
      <c r="AL807" s="1712"/>
      <c r="AM807" s="1712"/>
      <c r="AN807" s="1712"/>
      <c r="AO807" s="1712"/>
      <c r="AP807" s="1712"/>
      <c r="AQ807" s="1712"/>
      <c r="AR807" s="1712"/>
      <c r="AS807" s="1712"/>
      <c r="AT807" s="1712"/>
    </row>
    <row r="808">
      <c r="A808" s="1474" t="s">
        <v>2461</v>
      </c>
      <c r="B808" s="1708"/>
      <c r="C808" s="1709"/>
      <c r="D808" s="1709"/>
      <c r="E808" s="1710"/>
      <c r="F808" s="1710"/>
      <c r="G808" s="1710"/>
      <c r="H808" s="1710"/>
      <c r="I808" s="1710"/>
      <c r="J808" s="1710"/>
      <c r="K808" s="1710"/>
      <c r="L808" s="1710"/>
      <c r="M808" s="1711"/>
      <c r="N808" s="1711"/>
      <c r="O808" s="1711"/>
      <c r="P808" s="1711"/>
      <c r="Q808" s="1711"/>
      <c r="R808" s="1711"/>
      <c r="S808" s="1711"/>
      <c r="T808" s="1711"/>
      <c r="U808" s="1711"/>
      <c r="V808" s="1711"/>
      <c r="W808" s="1711"/>
      <c r="X808" s="1711"/>
      <c r="Y808" s="1712"/>
      <c r="Z808" s="1712"/>
      <c r="AA808" s="1712"/>
      <c r="AB808" s="1712"/>
      <c r="AC808" s="1712"/>
      <c r="AD808" s="1712"/>
      <c r="AE808" s="1712"/>
      <c r="AF808" s="1712"/>
      <c r="AG808" s="1712"/>
      <c r="AH808" s="1712"/>
      <c r="AI808" s="1712"/>
      <c r="AJ808" s="1712"/>
      <c r="AK808" s="1712"/>
      <c r="AL808" s="1712"/>
      <c r="AM808" s="1712"/>
      <c r="AN808" s="1712"/>
      <c r="AO808" s="1712"/>
      <c r="AP808" s="1712"/>
      <c r="AQ808" s="1712"/>
      <c r="AR808" s="1712"/>
      <c r="AS808" s="1712"/>
      <c r="AT808" s="1712"/>
    </row>
    <row r="809">
      <c r="A809" s="1474" t="s">
        <v>2461</v>
      </c>
      <c r="B809" s="1708"/>
      <c r="C809" s="1709"/>
      <c r="D809" s="1709"/>
      <c r="E809" s="1710"/>
      <c r="F809" s="1710"/>
      <c r="G809" s="1710"/>
      <c r="H809" s="1710"/>
      <c r="I809" s="1710"/>
      <c r="J809" s="1710"/>
      <c r="K809" s="1710"/>
      <c r="L809" s="1710"/>
      <c r="M809" s="1711"/>
      <c r="N809" s="1711"/>
      <c r="O809" s="1711"/>
      <c r="P809" s="1711"/>
      <c r="Q809" s="1711"/>
      <c r="R809" s="1711"/>
      <c r="S809" s="1711"/>
      <c r="T809" s="1711"/>
      <c r="U809" s="1711"/>
      <c r="V809" s="1711"/>
      <c r="W809" s="1711"/>
      <c r="X809" s="1711"/>
      <c r="Y809" s="1712"/>
      <c r="Z809" s="1712"/>
      <c r="AA809" s="1712"/>
      <c r="AB809" s="1712"/>
      <c r="AC809" s="1712"/>
      <c r="AD809" s="1712"/>
      <c r="AE809" s="1712"/>
      <c r="AF809" s="1712"/>
      <c r="AG809" s="1712"/>
      <c r="AH809" s="1712"/>
      <c r="AI809" s="1712"/>
      <c r="AJ809" s="1712"/>
      <c r="AK809" s="1712"/>
      <c r="AL809" s="1712"/>
      <c r="AM809" s="1712"/>
      <c r="AN809" s="1712"/>
      <c r="AO809" s="1712"/>
      <c r="AP809" s="1712"/>
      <c r="AQ809" s="1712"/>
      <c r="AR809" s="1712"/>
      <c r="AS809" s="1712"/>
      <c r="AT809" s="1712"/>
    </row>
    <row r="810">
      <c r="A810" s="1474" t="s">
        <v>2461</v>
      </c>
      <c r="B810" s="1708"/>
      <c r="C810" s="1709"/>
      <c r="D810" s="1709"/>
      <c r="E810" s="1710"/>
      <c r="F810" s="1710"/>
      <c r="G810" s="1710"/>
      <c r="H810" s="1710"/>
      <c r="I810" s="1710"/>
      <c r="J810" s="1710"/>
      <c r="K810" s="1710"/>
      <c r="L810" s="1710"/>
      <c r="M810" s="1711"/>
      <c r="N810" s="1711"/>
      <c r="O810" s="1711"/>
      <c r="P810" s="1711"/>
      <c r="Q810" s="1711"/>
      <c r="R810" s="1711"/>
      <c r="S810" s="1711"/>
      <c r="T810" s="1711"/>
      <c r="U810" s="1711"/>
      <c r="V810" s="1711"/>
      <c r="W810" s="1711"/>
      <c r="X810" s="1711"/>
      <c r="Y810" s="1712"/>
      <c r="Z810" s="1712"/>
      <c r="AA810" s="1712"/>
      <c r="AB810" s="1712"/>
      <c r="AC810" s="1712"/>
      <c r="AD810" s="1712"/>
      <c r="AE810" s="1712"/>
      <c r="AF810" s="1712"/>
      <c r="AG810" s="1712"/>
      <c r="AH810" s="1712"/>
      <c r="AI810" s="1712"/>
      <c r="AJ810" s="1712"/>
      <c r="AK810" s="1712"/>
      <c r="AL810" s="1712"/>
      <c r="AM810" s="1712"/>
      <c r="AN810" s="1712"/>
      <c r="AO810" s="1712"/>
      <c r="AP810" s="1712"/>
      <c r="AQ810" s="1712"/>
      <c r="AR810" s="1712"/>
      <c r="AS810" s="1712"/>
      <c r="AT810" s="1712"/>
    </row>
    <row r="811">
      <c r="A811" s="1474" t="s">
        <v>2461</v>
      </c>
      <c r="B811" s="1708"/>
      <c r="C811" s="1709"/>
      <c r="D811" s="1709"/>
      <c r="E811" s="1710"/>
      <c r="F811" s="1710"/>
      <c r="G811" s="1710"/>
      <c r="H811" s="1710"/>
      <c r="I811" s="1710"/>
      <c r="J811" s="1710"/>
      <c r="K811" s="1710"/>
      <c r="L811" s="1710"/>
      <c r="M811" s="1711"/>
      <c r="N811" s="1711"/>
      <c r="O811" s="1711"/>
      <c r="P811" s="1711"/>
      <c r="Q811" s="1711"/>
      <c r="R811" s="1711"/>
      <c r="S811" s="1711"/>
      <c r="T811" s="1711"/>
      <c r="U811" s="1711"/>
      <c r="V811" s="1711"/>
      <c r="W811" s="1711"/>
      <c r="X811" s="1711"/>
      <c r="Y811" s="1712"/>
      <c r="Z811" s="1712"/>
      <c r="AA811" s="1712"/>
      <c r="AB811" s="1712"/>
      <c r="AC811" s="1712"/>
      <c r="AD811" s="1712"/>
      <c r="AE811" s="1712"/>
      <c r="AF811" s="1712"/>
      <c r="AG811" s="1712"/>
      <c r="AH811" s="1712"/>
      <c r="AI811" s="1712"/>
      <c r="AJ811" s="1712"/>
      <c r="AK811" s="1712"/>
      <c r="AL811" s="1712"/>
      <c r="AM811" s="1712"/>
      <c r="AN811" s="1712"/>
      <c r="AO811" s="1712"/>
      <c r="AP811" s="1712"/>
      <c r="AQ811" s="1712"/>
      <c r="AR811" s="1712"/>
      <c r="AS811" s="1712"/>
      <c r="AT811" s="1712"/>
    </row>
    <row r="812">
      <c r="A812" s="1474" t="s">
        <v>2461</v>
      </c>
      <c r="B812" s="1708"/>
      <c r="C812" s="1709"/>
      <c r="D812" s="1709"/>
      <c r="E812" s="1710"/>
      <c r="F812" s="1710"/>
      <c r="G812" s="1710"/>
      <c r="H812" s="1710"/>
      <c r="I812" s="1710"/>
      <c r="J812" s="1710"/>
      <c r="K812" s="1710"/>
      <c r="L812" s="1710"/>
      <c r="M812" s="1711"/>
      <c r="N812" s="1711"/>
      <c r="O812" s="1711"/>
      <c r="P812" s="1711"/>
      <c r="Q812" s="1711"/>
      <c r="R812" s="1711"/>
      <c r="S812" s="1711"/>
      <c r="T812" s="1711"/>
      <c r="U812" s="1711"/>
      <c r="V812" s="1711"/>
      <c r="W812" s="1711"/>
      <c r="X812" s="1711"/>
      <c r="Y812" s="1712"/>
      <c r="Z812" s="1712"/>
      <c r="AA812" s="1712"/>
      <c r="AB812" s="1712"/>
      <c r="AC812" s="1712"/>
      <c r="AD812" s="1712"/>
      <c r="AE812" s="1712"/>
      <c r="AF812" s="1712"/>
      <c r="AG812" s="1712"/>
      <c r="AH812" s="1712"/>
      <c r="AI812" s="1712"/>
      <c r="AJ812" s="1712"/>
      <c r="AK812" s="1712"/>
      <c r="AL812" s="1712"/>
      <c r="AM812" s="1712"/>
      <c r="AN812" s="1712"/>
      <c r="AO812" s="1712"/>
      <c r="AP812" s="1712"/>
      <c r="AQ812" s="1712"/>
      <c r="AR812" s="1712"/>
      <c r="AS812" s="1712"/>
      <c r="AT812" s="1712"/>
    </row>
    <row r="813">
      <c r="A813" s="1474" t="s">
        <v>2461</v>
      </c>
      <c r="B813" s="1708"/>
      <c r="C813" s="1709"/>
      <c r="D813" s="1709"/>
      <c r="E813" s="1710"/>
      <c r="F813" s="1710"/>
      <c r="G813" s="1710"/>
      <c r="H813" s="1710"/>
      <c r="I813" s="1710"/>
      <c r="J813" s="1710"/>
      <c r="K813" s="1710"/>
      <c r="L813" s="1710"/>
      <c r="M813" s="1711"/>
      <c r="N813" s="1711"/>
      <c r="O813" s="1711"/>
      <c r="P813" s="1711"/>
      <c r="Q813" s="1711"/>
      <c r="R813" s="1711"/>
      <c r="S813" s="1711"/>
      <c r="T813" s="1711"/>
      <c r="U813" s="1711"/>
      <c r="V813" s="1711"/>
      <c r="W813" s="1711"/>
      <c r="X813" s="1711"/>
      <c r="Y813" s="1712"/>
      <c r="Z813" s="1712"/>
      <c r="AA813" s="1712"/>
      <c r="AB813" s="1712"/>
      <c r="AC813" s="1712"/>
      <c r="AD813" s="1712"/>
      <c r="AE813" s="1712"/>
      <c r="AF813" s="1712"/>
      <c r="AG813" s="1712"/>
      <c r="AH813" s="1712"/>
      <c r="AI813" s="1712"/>
      <c r="AJ813" s="1712"/>
      <c r="AK813" s="1712"/>
      <c r="AL813" s="1712"/>
      <c r="AM813" s="1712"/>
      <c r="AN813" s="1712"/>
      <c r="AO813" s="1712"/>
      <c r="AP813" s="1712"/>
      <c r="AQ813" s="1712"/>
      <c r="AR813" s="1712"/>
      <c r="AS813" s="1712"/>
      <c r="AT813" s="1712"/>
    </row>
    <row r="814">
      <c r="A814" s="1474" t="s">
        <v>2461</v>
      </c>
      <c r="B814" s="1708"/>
      <c r="C814" s="1709"/>
      <c r="D814" s="1709"/>
      <c r="E814" s="1710"/>
      <c r="F814" s="1710"/>
      <c r="G814" s="1710"/>
      <c r="H814" s="1710"/>
      <c r="I814" s="1710"/>
      <c r="J814" s="1710"/>
      <c r="K814" s="1710"/>
      <c r="L814" s="1710"/>
      <c r="M814" s="1711"/>
      <c r="N814" s="1711"/>
      <c r="O814" s="1711"/>
      <c r="P814" s="1711"/>
      <c r="Q814" s="1711"/>
      <c r="R814" s="1711"/>
      <c r="S814" s="1711"/>
      <c r="T814" s="1711"/>
      <c r="U814" s="1711"/>
      <c r="V814" s="1711"/>
      <c r="W814" s="1711"/>
      <c r="X814" s="1711"/>
      <c r="Y814" s="1712"/>
      <c r="Z814" s="1712"/>
      <c r="AA814" s="1712"/>
      <c r="AB814" s="1712"/>
      <c r="AC814" s="1712"/>
      <c r="AD814" s="1712"/>
      <c r="AE814" s="1712"/>
      <c r="AF814" s="1712"/>
      <c r="AG814" s="1712"/>
      <c r="AH814" s="1712"/>
      <c r="AI814" s="1712"/>
      <c r="AJ814" s="1712"/>
      <c r="AK814" s="1712"/>
      <c r="AL814" s="1712"/>
      <c r="AM814" s="1712"/>
      <c r="AN814" s="1712"/>
      <c r="AO814" s="1712"/>
      <c r="AP814" s="1712"/>
      <c r="AQ814" s="1712"/>
      <c r="AR814" s="1712"/>
      <c r="AS814" s="1712"/>
      <c r="AT814" s="1712"/>
    </row>
    <row r="815">
      <c r="A815" s="1474" t="s">
        <v>2461</v>
      </c>
      <c r="B815" s="1708"/>
      <c r="C815" s="1709"/>
      <c r="D815" s="1709"/>
      <c r="E815" s="1710"/>
      <c r="F815" s="1710"/>
      <c r="G815" s="1710"/>
      <c r="H815" s="1710"/>
      <c r="I815" s="1710"/>
      <c r="J815" s="1710"/>
      <c r="K815" s="1710"/>
      <c r="L815" s="1710"/>
      <c r="M815" s="1711"/>
      <c r="N815" s="1711"/>
      <c r="O815" s="1711"/>
      <c r="P815" s="1711"/>
      <c r="Q815" s="1711"/>
      <c r="R815" s="1711"/>
      <c r="S815" s="1711"/>
      <c r="T815" s="1711"/>
      <c r="U815" s="1711"/>
      <c r="V815" s="1711"/>
      <c r="W815" s="1711"/>
      <c r="X815" s="1711"/>
      <c r="Y815" s="1712"/>
      <c r="Z815" s="1712"/>
      <c r="AA815" s="1712"/>
      <c r="AB815" s="1712"/>
      <c r="AC815" s="1712"/>
      <c r="AD815" s="1712"/>
      <c r="AE815" s="1712"/>
      <c r="AF815" s="1712"/>
      <c r="AG815" s="1712"/>
      <c r="AH815" s="1712"/>
      <c r="AI815" s="1712"/>
      <c r="AJ815" s="1712"/>
      <c r="AK815" s="1712"/>
      <c r="AL815" s="1712"/>
      <c r="AM815" s="1712"/>
      <c r="AN815" s="1712"/>
      <c r="AO815" s="1712"/>
      <c r="AP815" s="1712"/>
      <c r="AQ815" s="1712"/>
      <c r="AR815" s="1712"/>
      <c r="AS815" s="1712"/>
      <c r="AT815" s="1712"/>
    </row>
    <row r="816">
      <c r="A816" s="1474" t="s">
        <v>2461</v>
      </c>
      <c r="B816" s="1708"/>
      <c r="C816" s="1709"/>
      <c r="D816" s="1709"/>
      <c r="E816" s="1710"/>
      <c r="F816" s="1710"/>
      <c r="G816" s="1710"/>
      <c r="H816" s="1710"/>
      <c r="I816" s="1710"/>
      <c r="J816" s="1710"/>
      <c r="K816" s="1710"/>
      <c r="L816" s="1710"/>
      <c r="M816" s="1711"/>
      <c r="N816" s="1711"/>
      <c r="O816" s="1711"/>
      <c r="P816" s="1711"/>
      <c r="Q816" s="1711"/>
      <c r="R816" s="1711"/>
      <c r="S816" s="1711"/>
      <c r="T816" s="1711"/>
      <c r="U816" s="1711"/>
      <c r="V816" s="1711"/>
      <c r="W816" s="1711"/>
      <c r="X816" s="1711"/>
      <c r="Y816" s="1712"/>
      <c r="Z816" s="1712"/>
      <c r="AA816" s="1712"/>
      <c r="AB816" s="1712"/>
      <c r="AC816" s="1712"/>
      <c r="AD816" s="1712"/>
      <c r="AE816" s="1712"/>
      <c r="AF816" s="1712"/>
      <c r="AG816" s="1712"/>
      <c r="AH816" s="1712"/>
      <c r="AI816" s="1712"/>
      <c r="AJ816" s="1712"/>
      <c r="AK816" s="1712"/>
      <c r="AL816" s="1712"/>
      <c r="AM816" s="1712"/>
      <c r="AN816" s="1712"/>
      <c r="AO816" s="1712"/>
      <c r="AP816" s="1712"/>
      <c r="AQ816" s="1712"/>
      <c r="AR816" s="1712"/>
      <c r="AS816" s="1712"/>
      <c r="AT816" s="1712"/>
    </row>
    <row r="817">
      <c r="A817" s="1474" t="s">
        <v>2461</v>
      </c>
      <c r="B817" s="1708"/>
      <c r="C817" s="1709"/>
      <c r="D817" s="1709"/>
      <c r="E817" s="1710"/>
      <c r="F817" s="1710"/>
      <c r="G817" s="1710"/>
      <c r="H817" s="1710"/>
      <c r="I817" s="1710"/>
      <c r="J817" s="1710"/>
      <c r="K817" s="1710"/>
      <c r="L817" s="1710"/>
      <c r="M817" s="1711"/>
      <c r="N817" s="1711"/>
      <c r="O817" s="1711"/>
      <c r="P817" s="1711"/>
      <c r="Q817" s="1711"/>
      <c r="R817" s="1711"/>
      <c r="S817" s="1711"/>
      <c r="T817" s="1711"/>
      <c r="U817" s="1711"/>
      <c r="V817" s="1711"/>
      <c r="W817" s="1711"/>
      <c r="X817" s="1711"/>
      <c r="Y817" s="1712"/>
      <c r="Z817" s="1712"/>
      <c r="AA817" s="1712"/>
      <c r="AB817" s="1712"/>
      <c r="AC817" s="1712"/>
      <c r="AD817" s="1712"/>
      <c r="AE817" s="1712"/>
      <c r="AF817" s="1712"/>
      <c r="AG817" s="1712"/>
      <c r="AH817" s="1712"/>
      <c r="AI817" s="1712"/>
      <c r="AJ817" s="1712"/>
      <c r="AK817" s="1712"/>
      <c r="AL817" s="1712"/>
      <c r="AM817" s="1712"/>
      <c r="AN817" s="1712"/>
      <c r="AO817" s="1712"/>
      <c r="AP817" s="1712"/>
      <c r="AQ817" s="1712"/>
      <c r="AR817" s="1712"/>
      <c r="AS817" s="1712"/>
      <c r="AT817" s="1712"/>
    </row>
    <row r="818">
      <c r="A818" s="1474" t="s">
        <v>2461</v>
      </c>
      <c r="B818" s="1708"/>
      <c r="C818" s="1709"/>
      <c r="D818" s="1709"/>
      <c r="E818" s="1710"/>
      <c r="F818" s="1710"/>
      <c r="G818" s="1710"/>
      <c r="H818" s="1710"/>
      <c r="I818" s="1710"/>
      <c r="J818" s="1710"/>
      <c r="K818" s="1710"/>
      <c r="L818" s="1710"/>
      <c r="M818" s="1711"/>
      <c r="N818" s="1711"/>
      <c r="O818" s="1711"/>
      <c r="P818" s="1711"/>
      <c r="Q818" s="1711"/>
      <c r="R818" s="1711"/>
      <c r="S818" s="1711"/>
      <c r="T818" s="1711"/>
      <c r="U818" s="1711"/>
      <c r="V818" s="1711"/>
      <c r="W818" s="1711"/>
      <c r="X818" s="1711"/>
      <c r="Y818" s="1712"/>
      <c r="Z818" s="1712"/>
      <c r="AA818" s="1712"/>
      <c r="AB818" s="1712"/>
      <c r="AC818" s="1712"/>
      <c r="AD818" s="1712"/>
      <c r="AE818" s="1712"/>
      <c r="AF818" s="1712"/>
      <c r="AG818" s="1712"/>
      <c r="AH818" s="1712"/>
      <c r="AI818" s="1712"/>
      <c r="AJ818" s="1712"/>
      <c r="AK818" s="1712"/>
      <c r="AL818" s="1712"/>
      <c r="AM818" s="1712"/>
      <c r="AN818" s="1712"/>
      <c r="AO818" s="1712"/>
      <c r="AP818" s="1712"/>
      <c r="AQ818" s="1712"/>
      <c r="AR818" s="1712"/>
      <c r="AS818" s="1712"/>
      <c r="AT818" s="1712"/>
    </row>
    <row r="819">
      <c r="A819" s="1474" t="s">
        <v>2461</v>
      </c>
      <c r="B819" s="1708"/>
      <c r="C819" s="1709"/>
      <c r="D819" s="1709"/>
      <c r="E819" s="1710"/>
      <c r="F819" s="1710"/>
      <c r="G819" s="1710"/>
      <c r="H819" s="1710"/>
      <c r="I819" s="1710"/>
      <c r="J819" s="1710"/>
      <c r="K819" s="1710"/>
      <c r="L819" s="1710"/>
      <c r="M819" s="1711"/>
      <c r="N819" s="1711"/>
      <c r="O819" s="1711"/>
      <c r="P819" s="1711"/>
      <c r="Q819" s="1711"/>
      <c r="R819" s="1711"/>
      <c r="S819" s="1711"/>
      <c r="T819" s="1711"/>
      <c r="U819" s="1711"/>
      <c r="V819" s="1711"/>
      <c r="W819" s="1711"/>
      <c r="X819" s="1711"/>
      <c r="Y819" s="1712"/>
      <c r="Z819" s="1712"/>
      <c r="AA819" s="1712"/>
      <c r="AB819" s="1712"/>
      <c r="AC819" s="1712"/>
      <c r="AD819" s="1712"/>
      <c r="AE819" s="1712"/>
      <c r="AF819" s="1712"/>
      <c r="AG819" s="1712"/>
      <c r="AH819" s="1712"/>
      <c r="AI819" s="1712"/>
      <c r="AJ819" s="1712"/>
      <c r="AK819" s="1712"/>
      <c r="AL819" s="1712"/>
      <c r="AM819" s="1712"/>
      <c r="AN819" s="1712"/>
      <c r="AO819" s="1712"/>
      <c r="AP819" s="1712"/>
      <c r="AQ819" s="1712"/>
      <c r="AR819" s="1712"/>
      <c r="AS819" s="1712"/>
      <c r="AT819" s="1712"/>
    </row>
    <row r="820">
      <c r="A820" s="1474" t="s">
        <v>2461</v>
      </c>
      <c r="B820" s="1708"/>
      <c r="C820" s="1709"/>
      <c r="D820" s="1709"/>
      <c r="E820" s="1710"/>
      <c r="F820" s="1710"/>
      <c r="G820" s="1710"/>
      <c r="H820" s="1710"/>
      <c r="I820" s="1710"/>
      <c r="J820" s="1710"/>
      <c r="K820" s="1710"/>
      <c r="L820" s="1710"/>
      <c r="M820" s="1711"/>
      <c r="N820" s="1711"/>
      <c r="O820" s="1711"/>
      <c r="P820" s="1711"/>
      <c r="Q820" s="1711"/>
      <c r="R820" s="1711"/>
      <c r="S820" s="1711"/>
      <c r="T820" s="1711"/>
      <c r="U820" s="1711"/>
      <c r="V820" s="1711"/>
      <c r="W820" s="1711"/>
      <c r="X820" s="1711"/>
      <c r="Y820" s="1712"/>
      <c r="Z820" s="1712"/>
      <c r="AA820" s="1712"/>
      <c r="AB820" s="1712"/>
      <c r="AC820" s="1712"/>
      <c r="AD820" s="1712"/>
      <c r="AE820" s="1712"/>
      <c r="AF820" s="1712"/>
      <c r="AG820" s="1712"/>
      <c r="AH820" s="1712"/>
      <c r="AI820" s="1712"/>
      <c r="AJ820" s="1712"/>
      <c r="AK820" s="1712"/>
      <c r="AL820" s="1712"/>
      <c r="AM820" s="1712"/>
      <c r="AN820" s="1712"/>
      <c r="AO820" s="1712"/>
      <c r="AP820" s="1712"/>
      <c r="AQ820" s="1712"/>
      <c r="AR820" s="1712"/>
      <c r="AS820" s="1712"/>
      <c r="AT820" s="1712"/>
    </row>
    <row r="821">
      <c r="A821" s="1474" t="s">
        <v>2461</v>
      </c>
      <c r="B821" s="1708"/>
      <c r="C821" s="1709"/>
      <c r="D821" s="1709"/>
      <c r="E821" s="1710"/>
      <c r="F821" s="1710"/>
      <c r="G821" s="1710"/>
      <c r="H821" s="1710"/>
      <c r="I821" s="1710"/>
      <c r="J821" s="1710"/>
      <c r="K821" s="1710"/>
      <c r="L821" s="1710"/>
      <c r="M821" s="1711"/>
      <c r="N821" s="1711"/>
      <c r="O821" s="1711"/>
      <c r="P821" s="1711"/>
      <c r="Q821" s="1711"/>
      <c r="R821" s="1711"/>
      <c r="S821" s="1711"/>
      <c r="T821" s="1711"/>
      <c r="U821" s="1711"/>
      <c r="V821" s="1711"/>
      <c r="W821" s="1711"/>
      <c r="X821" s="1711"/>
      <c r="Y821" s="1712"/>
      <c r="Z821" s="1712"/>
      <c r="AA821" s="1712"/>
      <c r="AB821" s="1712"/>
      <c r="AC821" s="1712"/>
      <c r="AD821" s="1712"/>
      <c r="AE821" s="1712"/>
      <c r="AF821" s="1712"/>
      <c r="AG821" s="1712"/>
      <c r="AH821" s="1712"/>
      <c r="AI821" s="1712"/>
      <c r="AJ821" s="1712"/>
      <c r="AK821" s="1712"/>
      <c r="AL821" s="1712"/>
      <c r="AM821" s="1712"/>
      <c r="AN821" s="1712"/>
      <c r="AO821" s="1712"/>
      <c r="AP821" s="1712"/>
      <c r="AQ821" s="1712"/>
      <c r="AR821" s="1712"/>
      <c r="AS821" s="1712"/>
      <c r="AT821" s="1712"/>
    </row>
    <row r="822">
      <c r="A822" s="1474" t="s">
        <v>2461</v>
      </c>
      <c r="B822" s="1708"/>
      <c r="C822" s="1709"/>
      <c r="D822" s="1709"/>
      <c r="E822" s="1710"/>
      <c r="F822" s="1710"/>
      <c r="G822" s="1710"/>
      <c r="H822" s="1710"/>
      <c r="I822" s="1710"/>
      <c r="J822" s="1710"/>
      <c r="K822" s="1710"/>
      <c r="L822" s="1710"/>
      <c r="M822" s="1711"/>
      <c r="N822" s="1711"/>
      <c r="O822" s="1711"/>
      <c r="P822" s="1711"/>
      <c r="Q822" s="1711"/>
      <c r="R822" s="1711"/>
      <c r="S822" s="1711"/>
      <c r="T822" s="1711"/>
      <c r="U822" s="1711"/>
      <c r="V822" s="1711"/>
      <c r="W822" s="1711"/>
      <c r="X822" s="1711"/>
      <c r="Y822" s="1712"/>
      <c r="Z822" s="1712"/>
      <c r="AA822" s="1712"/>
      <c r="AB822" s="1712"/>
      <c r="AC822" s="1712"/>
      <c r="AD822" s="1712"/>
      <c r="AE822" s="1712"/>
      <c r="AF822" s="1712"/>
      <c r="AG822" s="1712"/>
      <c r="AH822" s="1712"/>
      <c r="AI822" s="1712"/>
      <c r="AJ822" s="1712"/>
      <c r="AK822" s="1712"/>
      <c r="AL822" s="1712"/>
      <c r="AM822" s="1712"/>
      <c r="AN822" s="1712"/>
      <c r="AO822" s="1712"/>
      <c r="AP822" s="1712"/>
      <c r="AQ822" s="1712"/>
      <c r="AR822" s="1712"/>
      <c r="AS822" s="1712"/>
      <c r="AT822" s="1712"/>
    </row>
    <row r="823">
      <c r="A823" s="1474" t="s">
        <v>2461</v>
      </c>
      <c r="B823" s="1708"/>
      <c r="C823" s="1709"/>
      <c r="D823" s="1709"/>
      <c r="E823" s="1710"/>
      <c r="F823" s="1710"/>
      <c r="G823" s="1710"/>
      <c r="H823" s="1710"/>
      <c r="I823" s="1710"/>
      <c r="J823" s="1710"/>
      <c r="K823" s="1710"/>
      <c r="L823" s="1710"/>
      <c r="M823" s="1711"/>
      <c r="N823" s="1711"/>
      <c r="O823" s="1711"/>
      <c r="P823" s="1711"/>
      <c r="Q823" s="1711"/>
      <c r="R823" s="1711"/>
      <c r="S823" s="1711"/>
      <c r="T823" s="1711"/>
      <c r="U823" s="1711"/>
      <c r="V823" s="1711"/>
      <c r="W823" s="1711"/>
      <c r="X823" s="1711"/>
      <c r="Y823" s="1712"/>
      <c r="Z823" s="1712"/>
      <c r="AA823" s="1712"/>
      <c r="AB823" s="1712"/>
      <c r="AC823" s="1712"/>
      <c r="AD823" s="1712"/>
      <c r="AE823" s="1712"/>
      <c r="AF823" s="1712"/>
      <c r="AG823" s="1712"/>
      <c r="AH823" s="1712"/>
      <c r="AI823" s="1712"/>
      <c r="AJ823" s="1712"/>
      <c r="AK823" s="1712"/>
      <c r="AL823" s="1712"/>
      <c r="AM823" s="1712"/>
      <c r="AN823" s="1712"/>
      <c r="AO823" s="1712"/>
      <c r="AP823" s="1712"/>
      <c r="AQ823" s="1712"/>
      <c r="AR823" s="1712"/>
      <c r="AS823" s="1712"/>
      <c r="AT823" s="1712"/>
    </row>
    <row r="824">
      <c r="A824" s="1474" t="s">
        <v>2461</v>
      </c>
      <c r="B824" s="1708"/>
      <c r="C824" s="1709"/>
      <c r="D824" s="1709"/>
      <c r="E824" s="1710"/>
      <c r="F824" s="1710"/>
      <c r="G824" s="1710"/>
      <c r="H824" s="1710"/>
      <c r="I824" s="1710"/>
      <c r="J824" s="1710"/>
      <c r="K824" s="1710"/>
      <c r="L824" s="1710"/>
      <c r="M824" s="1711"/>
      <c r="N824" s="1711"/>
      <c r="O824" s="1711"/>
      <c r="P824" s="1711"/>
      <c r="Q824" s="1711"/>
      <c r="R824" s="1711"/>
      <c r="S824" s="1711"/>
      <c r="T824" s="1711"/>
      <c r="U824" s="1711"/>
      <c r="V824" s="1711"/>
      <c r="W824" s="1711"/>
      <c r="X824" s="1711"/>
      <c r="Y824" s="1712"/>
      <c r="Z824" s="1712"/>
      <c r="AA824" s="1712"/>
      <c r="AB824" s="1712"/>
      <c r="AC824" s="1712"/>
      <c r="AD824" s="1712"/>
      <c r="AE824" s="1712"/>
      <c r="AF824" s="1712"/>
      <c r="AG824" s="1712"/>
      <c r="AH824" s="1712"/>
      <c r="AI824" s="1712"/>
      <c r="AJ824" s="1712"/>
      <c r="AK824" s="1712"/>
      <c r="AL824" s="1712"/>
      <c r="AM824" s="1712"/>
      <c r="AN824" s="1712"/>
      <c r="AO824" s="1712"/>
      <c r="AP824" s="1712"/>
      <c r="AQ824" s="1712"/>
      <c r="AR824" s="1712"/>
      <c r="AS824" s="1712"/>
      <c r="AT824" s="1712"/>
    </row>
    <row r="825">
      <c r="A825" s="1474" t="s">
        <v>2461</v>
      </c>
      <c r="B825" s="1708"/>
      <c r="C825" s="1709"/>
      <c r="D825" s="1709"/>
      <c r="E825" s="1710"/>
      <c r="F825" s="1710"/>
      <c r="G825" s="1710"/>
      <c r="H825" s="1710"/>
      <c r="I825" s="1710"/>
      <c r="J825" s="1710"/>
      <c r="K825" s="1710"/>
      <c r="L825" s="1710"/>
      <c r="M825" s="1711"/>
      <c r="N825" s="1711"/>
      <c r="O825" s="1711"/>
      <c r="P825" s="1711"/>
      <c r="Q825" s="1711"/>
      <c r="R825" s="1711"/>
      <c r="S825" s="1711"/>
      <c r="T825" s="1711"/>
      <c r="U825" s="1711"/>
      <c r="V825" s="1711"/>
      <c r="W825" s="1711"/>
      <c r="X825" s="1711"/>
      <c r="Y825" s="1712"/>
      <c r="Z825" s="1712"/>
      <c r="AA825" s="1712"/>
      <c r="AB825" s="1712"/>
      <c r="AC825" s="1712"/>
      <c r="AD825" s="1712"/>
      <c r="AE825" s="1712"/>
      <c r="AF825" s="1712"/>
      <c r="AG825" s="1712"/>
      <c r="AH825" s="1712"/>
      <c r="AI825" s="1712"/>
      <c r="AJ825" s="1712"/>
      <c r="AK825" s="1712"/>
      <c r="AL825" s="1712"/>
      <c r="AM825" s="1712"/>
      <c r="AN825" s="1712"/>
      <c r="AO825" s="1712"/>
      <c r="AP825" s="1712"/>
      <c r="AQ825" s="1712"/>
      <c r="AR825" s="1712"/>
      <c r="AS825" s="1712"/>
      <c r="AT825" s="1712"/>
    </row>
    <row r="826">
      <c r="A826" s="1474" t="s">
        <v>2461</v>
      </c>
      <c r="B826" s="1708"/>
      <c r="C826" s="1709"/>
      <c r="D826" s="1709"/>
      <c r="E826" s="1710"/>
      <c r="F826" s="1710"/>
      <c r="G826" s="1710"/>
      <c r="H826" s="1710"/>
      <c r="I826" s="1710"/>
      <c r="J826" s="1710"/>
      <c r="K826" s="1710"/>
      <c r="L826" s="1710"/>
      <c r="M826" s="1711"/>
      <c r="N826" s="1711"/>
      <c r="O826" s="1711"/>
      <c r="P826" s="1711"/>
      <c r="Q826" s="1711"/>
      <c r="R826" s="1711"/>
      <c r="S826" s="1711"/>
      <c r="T826" s="1711"/>
      <c r="U826" s="1711"/>
      <c r="V826" s="1711"/>
      <c r="W826" s="1711"/>
      <c r="X826" s="1711"/>
      <c r="Y826" s="1712"/>
      <c r="Z826" s="1712"/>
      <c r="AA826" s="1712"/>
      <c r="AB826" s="1712"/>
      <c r="AC826" s="1712"/>
      <c r="AD826" s="1712"/>
      <c r="AE826" s="1712"/>
      <c r="AF826" s="1712"/>
      <c r="AG826" s="1712"/>
      <c r="AH826" s="1712"/>
      <c r="AI826" s="1712"/>
      <c r="AJ826" s="1712"/>
      <c r="AK826" s="1712"/>
      <c r="AL826" s="1712"/>
      <c r="AM826" s="1712"/>
      <c r="AN826" s="1712"/>
      <c r="AO826" s="1712"/>
      <c r="AP826" s="1712"/>
      <c r="AQ826" s="1712"/>
      <c r="AR826" s="1712"/>
      <c r="AS826" s="1712"/>
      <c r="AT826" s="1712"/>
    </row>
    <row r="827">
      <c r="A827" s="1474" t="s">
        <v>2461</v>
      </c>
      <c r="B827" s="1708"/>
      <c r="C827" s="1709"/>
      <c r="D827" s="1709"/>
      <c r="E827" s="1710"/>
      <c r="F827" s="1710"/>
      <c r="G827" s="1710"/>
      <c r="H827" s="1710"/>
      <c r="I827" s="1710"/>
      <c r="J827" s="1710"/>
      <c r="K827" s="1710"/>
      <c r="L827" s="1710"/>
      <c r="M827" s="1711"/>
      <c r="N827" s="1711"/>
      <c r="O827" s="1711"/>
      <c r="P827" s="1711"/>
      <c r="Q827" s="1711"/>
      <c r="R827" s="1711"/>
      <c r="S827" s="1711"/>
      <c r="T827" s="1711"/>
      <c r="U827" s="1711"/>
      <c r="V827" s="1711"/>
      <c r="W827" s="1711"/>
      <c r="X827" s="1711"/>
      <c r="Y827" s="1712"/>
      <c r="Z827" s="1712"/>
      <c r="AA827" s="1712"/>
      <c r="AB827" s="1712"/>
      <c r="AC827" s="1712"/>
      <c r="AD827" s="1712"/>
      <c r="AE827" s="1712"/>
      <c r="AF827" s="1712"/>
      <c r="AG827" s="1712"/>
      <c r="AH827" s="1712"/>
      <c r="AI827" s="1712"/>
      <c r="AJ827" s="1712"/>
      <c r="AK827" s="1712"/>
      <c r="AL827" s="1712"/>
      <c r="AM827" s="1712"/>
      <c r="AN827" s="1712"/>
      <c r="AO827" s="1712"/>
      <c r="AP827" s="1712"/>
      <c r="AQ827" s="1712"/>
      <c r="AR827" s="1712"/>
      <c r="AS827" s="1712"/>
      <c r="AT827" s="1712"/>
    </row>
    <row r="828">
      <c r="A828" s="1474" t="s">
        <v>2461</v>
      </c>
      <c r="B828" s="1708"/>
      <c r="C828" s="1709"/>
      <c r="D828" s="1709"/>
      <c r="E828" s="1710"/>
      <c r="F828" s="1710"/>
      <c r="G828" s="1710"/>
      <c r="H828" s="1710"/>
      <c r="I828" s="1710"/>
      <c r="J828" s="1710"/>
      <c r="K828" s="1710"/>
      <c r="L828" s="1710"/>
      <c r="M828" s="1711"/>
      <c r="N828" s="1711"/>
      <c r="O828" s="1711"/>
      <c r="P828" s="1711"/>
      <c r="Q828" s="1711"/>
      <c r="R828" s="1711"/>
      <c r="S828" s="1711"/>
      <c r="T828" s="1711"/>
      <c r="U828" s="1711"/>
      <c r="V828" s="1711"/>
      <c r="W828" s="1711"/>
      <c r="X828" s="1711"/>
      <c r="Y828" s="1712"/>
      <c r="Z828" s="1712"/>
      <c r="AA828" s="1712"/>
      <c r="AB828" s="1712"/>
      <c r="AC828" s="1712"/>
      <c r="AD828" s="1712"/>
      <c r="AE828" s="1712"/>
      <c r="AF828" s="1712"/>
      <c r="AG828" s="1712"/>
      <c r="AH828" s="1712"/>
      <c r="AI828" s="1712"/>
      <c r="AJ828" s="1712"/>
      <c r="AK828" s="1712"/>
      <c r="AL828" s="1712"/>
      <c r="AM828" s="1712"/>
      <c r="AN828" s="1712"/>
      <c r="AO828" s="1712"/>
      <c r="AP828" s="1712"/>
      <c r="AQ828" s="1712"/>
      <c r="AR828" s="1712"/>
      <c r="AS828" s="1712"/>
      <c r="AT828" s="1712"/>
    </row>
    <row r="829">
      <c r="A829" s="1474" t="s">
        <v>2461</v>
      </c>
      <c r="B829" s="1708"/>
      <c r="C829" s="1709"/>
      <c r="D829" s="1709"/>
      <c r="E829" s="1710"/>
      <c r="F829" s="1710"/>
      <c r="G829" s="1710"/>
      <c r="H829" s="1710"/>
      <c r="I829" s="1710"/>
      <c r="J829" s="1710"/>
      <c r="K829" s="1710"/>
      <c r="L829" s="1710"/>
      <c r="M829" s="1711"/>
      <c r="N829" s="1711"/>
      <c r="O829" s="1711"/>
      <c r="P829" s="1711"/>
      <c r="Q829" s="1711"/>
      <c r="R829" s="1711"/>
      <c r="S829" s="1711"/>
      <c r="T829" s="1711"/>
      <c r="U829" s="1711"/>
      <c r="V829" s="1711"/>
      <c r="W829" s="1711"/>
      <c r="X829" s="1711"/>
      <c r="Y829" s="1712"/>
      <c r="Z829" s="1712"/>
      <c r="AA829" s="1712"/>
      <c r="AB829" s="1712"/>
      <c r="AC829" s="1712"/>
      <c r="AD829" s="1712"/>
      <c r="AE829" s="1712"/>
      <c r="AF829" s="1712"/>
      <c r="AG829" s="1712"/>
      <c r="AH829" s="1712"/>
      <c r="AI829" s="1712"/>
      <c r="AJ829" s="1712"/>
      <c r="AK829" s="1712"/>
      <c r="AL829" s="1712"/>
      <c r="AM829" s="1712"/>
      <c r="AN829" s="1712"/>
      <c r="AO829" s="1712"/>
      <c r="AP829" s="1712"/>
      <c r="AQ829" s="1712"/>
      <c r="AR829" s="1712"/>
      <c r="AS829" s="1712"/>
      <c r="AT829" s="1712"/>
    </row>
    <row r="830">
      <c r="A830" s="1474" t="s">
        <v>2461</v>
      </c>
      <c r="B830" s="1708"/>
      <c r="C830" s="1709"/>
      <c r="D830" s="1709"/>
      <c r="E830" s="1710"/>
      <c r="F830" s="1710"/>
      <c r="G830" s="1710"/>
      <c r="H830" s="1710"/>
      <c r="I830" s="1710"/>
      <c r="J830" s="1710"/>
      <c r="K830" s="1710"/>
      <c r="L830" s="1710"/>
      <c r="M830" s="1711"/>
      <c r="N830" s="1711"/>
      <c r="O830" s="1711"/>
      <c r="P830" s="1711"/>
      <c r="Q830" s="1711"/>
      <c r="R830" s="1711"/>
      <c r="S830" s="1711"/>
      <c r="T830" s="1711"/>
      <c r="U830" s="1711"/>
      <c r="V830" s="1711"/>
      <c r="W830" s="1711"/>
      <c r="X830" s="1711"/>
      <c r="Y830" s="1712"/>
      <c r="Z830" s="1712"/>
      <c r="AA830" s="1712"/>
      <c r="AB830" s="1712"/>
      <c r="AC830" s="1712"/>
      <c r="AD830" s="1712"/>
      <c r="AE830" s="1712"/>
      <c r="AF830" s="1712"/>
      <c r="AG830" s="1712"/>
      <c r="AH830" s="1712"/>
      <c r="AI830" s="1712"/>
      <c r="AJ830" s="1712"/>
      <c r="AK830" s="1712"/>
      <c r="AL830" s="1712"/>
      <c r="AM830" s="1712"/>
      <c r="AN830" s="1712"/>
      <c r="AO830" s="1712"/>
      <c r="AP830" s="1712"/>
      <c r="AQ830" s="1712"/>
      <c r="AR830" s="1712"/>
      <c r="AS830" s="1712"/>
      <c r="AT830" s="1712"/>
    </row>
    <row r="831">
      <c r="A831" s="1474" t="s">
        <v>2461</v>
      </c>
      <c r="B831" s="1708"/>
      <c r="C831" s="1709"/>
      <c r="D831" s="1709"/>
      <c r="E831" s="1710"/>
      <c r="F831" s="1710"/>
      <c r="G831" s="1710"/>
      <c r="H831" s="1710"/>
      <c r="I831" s="1710"/>
      <c r="J831" s="1710"/>
      <c r="K831" s="1710"/>
      <c r="L831" s="1710"/>
      <c r="M831" s="1711"/>
      <c r="N831" s="1711"/>
      <c r="O831" s="1711"/>
      <c r="P831" s="1711"/>
      <c r="Q831" s="1711"/>
      <c r="R831" s="1711"/>
      <c r="S831" s="1711"/>
      <c r="T831" s="1711"/>
      <c r="U831" s="1711"/>
      <c r="V831" s="1711"/>
      <c r="W831" s="1711"/>
      <c r="X831" s="1711"/>
      <c r="Y831" s="1712"/>
      <c r="Z831" s="1712"/>
      <c r="AA831" s="1712"/>
      <c r="AB831" s="1712"/>
      <c r="AC831" s="1712"/>
      <c r="AD831" s="1712"/>
      <c r="AE831" s="1712"/>
      <c r="AF831" s="1712"/>
      <c r="AG831" s="1712"/>
      <c r="AH831" s="1712"/>
      <c r="AI831" s="1712"/>
      <c r="AJ831" s="1712"/>
      <c r="AK831" s="1712"/>
      <c r="AL831" s="1712"/>
      <c r="AM831" s="1712"/>
      <c r="AN831" s="1712"/>
      <c r="AO831" s="1712"/>
      <c r="AP831" s="1712"/>
      <c r="AQ831" s="1712"/>
      <c r="AR831" s="1712"/>
      <c r="AS831" s="1712"/>
      <c r="AT831" s="1712"/>
    </row>
    <row r="832">
      <c r="A832" s="1474" t="s">
        <v>2461</v>
      </c>
      <c r="B832" s="1708"/>
      <c r="C832" s="1709"/>
      <c r="D832" s="1709"/>
      <c r="E832" s="1710"/>
      <c r="F832" s="1710"/>
      <c r="G832" s="1710"/>
      <c r="H832" s="1710"/>
      <c r="I832" s="1710"/>
      <c r="J832" s="1710"/>
      <c r="K832" s="1710"/>
      <c r="L832" s="1710"/>
      <c r="M832" s="1711"/>
      <c r="N832" s="1711"/>
      <c r="O832" s="1711"/>
      <c r="P832" s="1711"/>
      <c r="Q832" s="1711"/>
      <c r="R832" s="1711"/>
      <c r="S832" s="1711"/>
      <c r="T832" s="1711"/>
      <c r="U832" s="1711"/>
      <c r="V832" s="1711"/>
      <c r="W832" s="1711"/>
      <c r="X832" s="1711"/>
      <c r="Y832" s="1712"/>
      <c r="Z832" s="1712"/>
      <c r="AA832" s="1712"/>
      <c r="AB832" s="1712"/>
      <c r="AC832" s="1712"/>
      <c r="AD832" s="1712"/>
      <c r="AE832" s="1712"/>
      <c r="AF832" s="1712"/>
      <c r="AG832" s="1712"/>
      <c r="AH832" s="1712"/>
      <c r="AI832" s="1712"/>
      <c r="AJ832" s="1712"/>
      <c r="AK832" s="1712"/>
      <c r="AL832" s="1712"/>
      <c r="AM832" s="1712"/>
      <c r="AN832" s="1712"/>
      <c r="AO832" s="1712"/>
      <c r="AP832" s="1712"/>
      <c r="AQ832" s="1712"/>
      <c r="AR832" s="1712"/>
      <c r="AS832" s="1712"/>
      <c r="AT832" s="1712"/>
    </row>
    <row r="833">
      <c r="A833" s="1474" t="s">
        <v>2461</v>
      </c>
      <c r="B833" s="1708"/>
      <c r="C833" s="1709"/>
      <c r="D833" s="1709"/>
      <c r="E833" s="1710"/>
      <c r="F833" s="1710"/>
      <c r="G833" s="1710"/>
      <c r="H833" s="1710"/>
      <c r="I833" s="1710"/>
      <c r="J833" s="1710"/>
      <c r="K833" s="1710"/>
      <c r="L833" s="1710"/>
      <c r="M833" s="1711"/>
      <c r="N833" s="1711"/>
      <c r="O833" s="1711"/>
      <c r="P833" s="1711"/>
      <c r="Q833" s="1711"/>
      <c r="R833" s="1711"/>
      <c r="S833" s="1711"/>
      <c r="T833" s="1711"/>
      <c r="U833" s="1711"/>
      <c r="V833" s="1711"/>
      <c r="W833" s="1711"/>
      <c r="X833" s="1711"/>
      <c r="Y833" s="1712"/>
      <c r="Z833" s="1712"/>
      <c r="AA833" s="1712"/>
      <c r="AB833" s="1712"/>
      <c r="AC833" s="1712"/>
      <c r="AD833" s="1712"/>
      <c r="AE833" s="1712"/>
      <c r="AF833" s="1712"/>
      <c r="AG833" s="1712"/>
      <c r="AH833" s="1712"/>
      <c r="AI833" s="1712"/>
      <c r="AJ833" s="1712"/>
      <c r="AK833" s="1712"/>
      <c r="AL833" s="1712"/>
      <c r="AM833" s="1712"/>
      <c r="AN833" s="1712"/>
      <c r="AO833" s="1712"/>
      <c r="AP833" s="1712"/>
      <c r="AQ833" s="1712"/>
      <c r="AR833" s="1712"/>
      <c r="AS833" s="1712"/>
      <c r="AT833" s="1712"/>
    </row>
    <row r="834">
      <c r="A834" s="1474" t="s">
        <v>2461</v>
      </c>
      <c r="B834" s="1708"/>
      <c r="C834" s="1709"/>
      <c r="D834" s="1709"/>
      <c r="E834" s="1710"/>
      <c r="F834" s="1710"/>
      <c r="G834" s="1710"/>
      <c r="H834" s="1710"/>
      <c r="I834" s="1710"/>
      <c r="J834" s="1710"/>
      <c r="K834" s="1710"/>
      <c r="L834" s="1710"/>
      <c r="M834" s="1711"/>
      <c r="N834" s="1711"/>
      <c r="O834" s="1711"/>
      <c r="P834" s="1711"/>
      <c r="Q834" s="1711"/>
      <c r="R834" s="1711"/>
      <c r="S834" s="1711"/>
      <c r="T834" s="1711"/>
      <c r="U834" s="1711"/>
      <c r="V834" s="1711"/>
      <c r="W834" s="1711"/>
      <c r="X834" s="1711"/>
      <c r="Y834" s="1712"/>
      <c r="Z834" s="1712"/>
      <c r="AA834" s="1712"/>
      <c r="AB834" s="1712"/>
      <c r="AC834" s="1712"/>
      <c r="AD834" s="1712"/>
      <c r="AE834" s="1712"/>
      <c r="AF834" s="1712"/>
      <c r="AG834" s="1712"/>
      <c r="AH834" s="1712"/>
      <c r="AI834" s="1712"/>
      <c r="AJ834" s="1712"/>
      <c r="AK834" s="1712"/>
      <c r="AL834" s="1712"/>
      <c r="AM834" s="1712"/>
      <c r="AN834" s="1712"/>
      <c r="AO834" s="1712"/>
      <c r="AP834" s="1712"/>
      <c r="AQ834" s="1712"/>
      <c r="AR834" s="1712"/>
      <c r="AS834" s="1712"/>
      <c r="AT834" s="1712"/>
    </row>
    <row r="835">
      <c r="A835" s="1474" t="s">
        <v>2461</v>
      </c>
      <c r="B835" s="1708"/>
      <c r="C835" s="1709"/>
      <c r="D835" s="1709"/>
      <c r="E835" s="1710"/>
      <c r="F835" s="1710"/>
      <c r="G835" s="1710"/>
      <c r="H835" s="1710"/>
      <c r="I835" s="1710"/>
      <c r="J835" s="1710"/>
      <c r="K835" s="1710"/>
      <c r="L835" s="1710"/>
      <c r="M835" s="1711"/>
      <c r="N835" s="1711"/>
      <c r="O835" s="1711"/>
      <c r="P835" s="1711"/>
      <c r="Q835" s="1711"/>
      <c r="R835" s="1711"/>
      <c r="S835" s="1711"/>
      <c r="T835" s="1711"/>
      <c r="U835" s="1711"/>
      <c r="V835" s="1711"/>
      <c r="W835" s="1711"/>
      <c r="X835" s="1711"/>
      <c r="Y835" s="1712"/>
      <c r="Z835" s="1712"/>
      <c r="AA835" s="1712"/>
      <c r="AB835" s="1712"/>
      <c r="AC835" s="1712"/>
      <c r="AD835" s="1712"/>
      <c r="AE835" s="1712"/>
      <c r="AF835" s="1712"/>
      <c r="AG835" s="1712"/>
      <c r="AH835" s="1712"/>
      <c r="AI835" s="1712"/>
      <c r="AJ835" s="1712"/>
      <c r="AK835" s="1712"/>
      <c r="AL835" s="1712"/>
      <c r="AM835" s="1712"/>
      <c r="AN835" s="1712"/>
      <c r="AO835" s="1712"/>
      <c r="AP835" s="1712"/>
      <c r="AQ835" s="1712"/>
      <c r="AR835" s="1712"/>
      <c r="AS835" s="1712"/>
      <c r="AT835" s="1712"/>
    </row>
    <row r="836">
      <c r="A836" s="1474" t="s">
        <v>2461</v>
      </c>
      <c r="B836" s="1708"/>
      <c r="C836" s="1709"/>
      <c r="D836" s="1709"/>
      <c r="E836" s="1710"/>
      <c r="F836" s="1710"/>
      <c r="G836" s="1710"/>
      <c r="H836" s="1710"/>
      <c r="I836" s="1710"/>
      <c r="J836" s="1710"/>
      <c r="K836" s="1710"/>
      <c r="L836" s="1710"/>
      <c r="M836" s="1711"/>
      <c r="N836" s="1711"/>
      <c r="O836" s="1711"/>
      <c r="P836" s="1711"/>
      <c r="Q836" s="1711"/>
      <c r="R836" s="1711"/>
      <c r="S836" s="1711"/>
      <c r="T836" s="1711"/>
      <c r="U836" s="1711"/>
      <c r="V836" s="1711"/>
      <c r="W836" s="1711"/>
      <c r="X836" s="1711"/>
      <c r="Y836" s="1712"/>
      <c r="Z836" s="1712"/>
      <c r="AA836" s="1712"/>
      <c r="AB836" s="1712"/>
      <c r="AC836" s="1712"/>
      <c r="AD836" s="1712"/>
      <c r="AE836" s="1712"/>
      <c r="AF836" s="1712"/>
      <c r="AG836" s="1712"/>
      <c r="AH836" s="1712"/>
      <c r="AI836" s="1712"/>
      <c r="AJ836" s="1712"/>
      <c r="AK836" s="1712"/>
      <c r="AL836" s="1712"/>
      <c r="AM836" s="1712"/>
      <c r="AN836" s="1712"/>
      <c r="AO836" s="1712"/>
      <c r="AP836" s="1712"/>
      <c r="AQ836" s="1712"/>
      <c r="AR836" s="1712"/>
      <c r="AS836" s="1712"/>
      <c r="AT836" s="1712"/>
    </row>
    <row r="837">
      <c r="A837" s="1474" t="s">
        <v>2461</v>
      </c>
      <c r="B837" s="1708"/>
      <c r="C837" s="1709"/>
      <c r="D837" s="1709"/>
      <c r="E837" s="1710"/>
      <c r="F837" s="1710"/>
      <c r="G837" s="1710"/>
      <c r="H837" s="1710"/>
      <c r="I837" s="1710"/>
      <c r="J837" s="1710"/>
      <c r="K837" s="1710"/>
      <c r="L837" s="1710"/>
      <c r="M837" s="1711"/>
      <c r="N837" s="1711"/>
      <c r="O837" s="1711"/>
      <c r="P837" s="1711"/>
      <c r="Q837" s="1711"/>
      <c r="R837" s="1711"/>
      <c r="S837" s="1711"/>
      <c r="T837" s="1711"/>
      <c r="U837" s="1711"/>
      <c r="V837" s="1711"/>
      <c r="W837" s="1711"/>
      <c r="X837" s="1711"/>
      <c r="Y837" s="1712"/>
      <c r="Z837" s="1712"/>
      <c r="AA837" s="1712"/>
      <c r="AB837" s="1712"/>
      <c r="AC837" s="1712"/>
      <c r="AD837" s="1712"/>
      <c r="AE837" s="1712"/>
      <c r="AF837" s="1712"/>
      <c r="AG837" s="1712"/>
      <c r="AH837" s="1712"/>
      <c r="AI837" s="1712"/>
      <c r="AJ837" s="1712"/>
      <c r="AK837" s="1712"/>
      <c r="AL837" s="1712"/>
      <c r="AM837" s="1712"/>
      <c r="AN837" s="1712"/>
      <c r="AO837" s="1712"/>
      <c r="AP837" s="1712"/>
      <c r="AQ837" s="1712"/>
      <c r="AR837" s="1712"/>
      <c r="AS837" s="1712"/>
      <c r="AT837" s="1712"/>
    </row>
    <row r="838">
      <c r="A838" s="1474" t="s">
        <v>2461</v>
      </c>
      <c r="B838" s="1708"/>
      <c r="C838" s="1709"/>
      <c r="D838" s="1709"/>
      <c r="E838" s="1710"/>
      <c r="F838" s="1710"/>
      <c r="G838" s="1710"/>
      <c r="H838" s="1710"/>
      <c r="I838" s="1710"/>
      <c r="J838" s="1710"/>
      <c r="K838" s="1710"/>
      <c r="L838" s="1710"/>
      <c r="M838" s="1711"/>
      <c r="N838" s="1711"/>
      <c r="O838" s="1711"/>
      <c r="P838" s="1711"/>
      <c r="Q838" s="1711"/>
      <c r="R838" s="1711"/>
      <c r="S838" s="1711"/>
      <c r="T838" s="1711"/>
      <c r="U838" s="1711"/>
      <c r="V838" s="1711"/>
      <c r="W838" s="1711"/>
      <c r="X838" s="1711"/>
      <c r="Y838" s="1712"/>
      <c r="Z838" s="1712"/>
      <c r="AA838" s="1712"/>
      <c r="AB838" s="1712"/>
      <c r="AC838" s="1712"/>
      <c r="AD838" s="1712"/>
      <c r="AE838" s="1712"/>
      <c r="AF838" s="1712"/>
      <c r="AG838" s="1712"/>
      <c r="AH838" s="1712"/>
      <c r="AI838" s="1712"/>
      <c r="AJ838" s="1712"/>
      <c r="AK838" s="1712"/>
      <c r="AL838" s="1712"/>
      <c r="AM838" s="1712"/>
      <c r="AN838" s="1712"/>
      <c r="AO838" s="1712"/>
      <c r="AP838" s="1712"/>
      <c r="AQ838" s="1712"/>
      <c r="AR838" s="1712"/>
      <c r="AS838" s="1712"/>
      <c r="AT838" s="1712"/>
    </row>
    <row r="839">
      <c r="A839" s="1474" t="s">
        <v>2461</v>
      </c>
      <c r="B839" s="1708"/>
      <c r="C839" s="1709"/>
      <c r="D839" s="1709"/>
      <c r="E839" s="1710"/>
      <c r="F839" s="1710"/>
      <c r="G839" s="1710"/>
      <c r="H839" s="1710"/>
      <c r="I839" s="1710"/>
      <c r="J839" s="1710"/>
      <c r="K839" s="1710"/>
      <c r="L839" s="1710"/>
      <c r="M839" s="1711"/>
      <c r="N839" s="1711"/>
      <c r="O839" s="1711"/>
      <c r="P839" s="1711"/>
      <c r="Q839" s="1711"/>
      <c r="R839" s="1711"/>
      <c r="S839" s="1711"/>
      <c r="T839" s="1711"/>
      <c r="U839" s="1711"/>
      <c r="V839" s="1711"/>
      <c r="W839" s="1711"/>
      <c r="X839" s="1711"/>
      <c r="Y839" s="1712"/>
      <c r="Z839" s="1712"/>
      <c r="AA839" s="1712"/>
      <c r="AB839" s="1712"/>
      <c r="AC839" s="1712"/>
      <c r="AD839" s="1712"/>
      <c r="AE839" s="1712"/>
      <c r="AF839" s="1712"/>
      <c r="AG839" s="1712"/>
      <c r="AH839" s="1712"/>
      <c r="AI839" s="1712"/>
      <c r="AJ839" s="1712"/>
      <c r="AK839" s="1712"/>
      <c r="AL839" s="1712"/>
      <c r="AM839" s="1712"/>
      <c r="AN839" s="1712"/>
      <c r="AO839" s="1712"/>
      <c r="AP839" s="1712"/>
      <c r="AQ839" s="1712"/>
      <c r="AR839" s="1712"/>
      <c r="AS839" s="1712"/>
      <c r="AT839" s="1712"/>
    </row>
    <row r="840">
      <c r="A840" s="1474" t="s">
        <v>2461</v>
      </c>
      <c r="B840" s="1708"/>
      <c r="C840" s="1709"/>
      <c r="D840" s="1709"/>
      <c r="E840" s="1710"/>
      <c r="F840" s="1710"/>
      <c r="G840" s="1710"/>
      <c r="H840" s="1710"/>
      <c r="I840" s="1710"/>
      <c r="J840" s="1710"/>
      <c r="K840" s="1710"/>
      <c r="L840" s="1710"/>
      <c r="M840" s="1711"/>
      <c r="N840" s="1711"/>
      <c r="O840" s="1711"/>
      <c r="P840" s="1711"/>
      <c r="Q840" s="1711"/>
      <c r="R840" s="1711"/>
      <c r="S840" s="1711"/>
      <c r="T840" s="1711"/>
      <c r="U840" s="1711"/>
      <c r="V840" s="1711"/>
      <c r="W840" s="1711"/>
      <c r="X840" s="1711"/>
      <c r="Y840" s="1712"/>
      <c r="Z840" s="1712"/>
      <c r="AA840" s="1712"/>
      <c r="AB840" s="1712"/>
      <c r="AC840" s="1712"/>
      <c r="AD840" s="1712"/>
      <c r="AE840" s="1712"/>
      <c r="AF840" s="1712"/>
      <c r="AG840" s="1712"/>
      <c r="AH840" s="1712"/>
      <c r="AI840" s="1712"/>
      <c r="AJ840" s="1712"/>
      <c r="AK840" s="1712"/>
      <c r="AL840" s="1712"/>
      <c r="AM840" s="1712"/>
      <c r="AN840" s="1712"/>
      <c r="AO840" s="1712"/>
      <c r="AP840" s="1712"/>
      <c r="AQ840" s="1712"/>
      <c r="AR840" s="1712"/>
      <c r="AS840" s="1712"/>
      <c r="AT840" s="1712"/>
    </row>
    <row r="841">
      <c r="A841" s="1474" t="s">
        <v>2461</v>
      </c>
      <c r="B841" s="1708"/>
      <c r="C841" s="1709"/>
      <c r="D841" s="1709"/>
      <c r="E841" s="1710"/>
      <c r="F841" s="1710"/>
      <c r="G841" s="1710"/>
      <c r="H841" s="1710"/>
      <c r="I841" s="1710"/>
      <c r="J841" s="1710"/>
      <c r="K841" s="1710"/>
      <c r="L841" s="1710"/>
      <c r="M841" s="1711"/>
      <c r="N841" s="1711"/>
      <c r="O841" s="1711"/>
      <c r="P841" s="1711"/>
      <c r="Q841" s="1711"/>
      <c r="R841" s="1711"/>
      <c r="S841" s="1711"/>
      <c r="T841" s="1711"/>
      <c r="U841" s="1711"/>
      <c r="V841" s="1711"/>
      <c r="W841" s="1711"/>
      <c r="X841" s="1711"/>
      <c r="Y841" s="1712"/>
      <c r="Z841" s="1712"/>
      <c r="AA841" s="1712"/>
      <c r="AB841" s="1712"/>
      <c r="AC841" s="1712"/>
      <c r="AD841" s="1712"/>
      <c r="AE841" s="1712"/>
      <c r="AF841" s="1712"/>
      <c r="AG841" s="1712"/>
      <c r="AH841" s="1712"/>
      <c r="AI841" s="1712"/>
      <c r="AJ841" s="1712"/>
      <c r="AK841" s="1712"/>
      <c r="AL841" s="1712"/>
      <c r="AM841" s="1712"/>
      <c r="AN841" s="1712"/>
      <c r="AO841" s="1712"/>
      <c r="AP841" s="1712"/>
      <c r="AQ841" s="1712"/>
      <c r="AR841" s="1712"/>
      <c r="AS841" s="1712"/>
      <c r="AT841" s="1712"/>
    </row>
    <row r="842">
      <c r="A842" s="1474" t="s">
        <v>2461</v>
      </c>
      <c r="B842" s="1708"/>
      <c r="C842" s="1709"/>
      <c r="D842" s="1709"/>
      <c r="E842" s="1710"/>
      <c r="F842" s="1710"/>
      <c r="G842" s="1710"/>
      <c r="H842" s="1710"/>
      <c r="I842" s="1710"/>
      <c r="J842" s="1710"/>
      <c r="K842" s="1710"/>
      <c r="L842" s="1710"/>
      <c r="M842" s="1711"/>
      <c r="N842" s="1711"/>
      <c r="O842" s="1711"/>
      <c r="P842" s="1711"/>
      <c r="Q842" s="1711"/>
      <c r="R842" s="1711"/>
      <c r="S842" s="1711"/>
      <c r="T842" s="1711"/>
      <c r="U842" s="1711"/>
      <c r="V842" s="1711"/>
      <c r="W842" s="1711"/>
      <c r="X842" s="1711"/>
      <c r="Y842" s="1712"/>
      <c r="Z842" s="1712"/>
      <c r="AA842" s="1712"/>
      <c r="AB842" s="1712"/>
      <c r="AC842" s="1712"/>
      <c r="AD842" s="1712"/>
      <c r="AE842" s="1712"/>
      <c r="AF842" s="1712"/>
      <c r="AG842" s="1712"/>
      <c r="AH842" s="1712"/>
      <c r="AI842" s="1712"/>
      <c r="AJ842" s="1712"/>
      <c r="AK842" s="1712"/>
      <c r="AL842" s="1712"/>
      <c r="AM842" s="1712"/>
      <c r="AN842" s="1712"/>
      <c r="AO842" s="1712"/>
      <c r="AP842" s="1712"/>
      <c r="AQ842" s="1712"/>
      <c r="AR842" s="1712"/>
      <c r="AS842" s="1712"/>
      <c r="AT842" s="1712"/>
    </row>
    <row r="843">
      <c r="A843" s="1474" t="s">
        <v>2461</v>
      </c>
      <c r="B843" s="1708"/>
      <c r="C843" s="1709"/>
      <c r="D843" s="1709"/>
      <c r="E843" s="1710"/>
      <c r="F843" s="1710"/>
      <c r="G843" s="1710"/>
      <c r="H843" s="1710"/>
      <c r="I843" s="1710"/>
      <c r="J843" s="1710"/>
      <c r="K843" s="1710"/>
      <c r="L843" s="1710"/>
      <c r="M843" s="1711"/>
      <c r="N843" s="1711"/>
      <c r="O843" s="1711"/>
      <c r="P843" s="1711"/>
      <c r="Q843" s="1711"/>
      <c r="R843" s="1711"/>
      <c r="S843" s="1711"/>
      <c r="T843" s="1711"/>
      <c r="U843" s="1711"/>
      <c r="V843" s="1711"/>
      <c r="W843" s="1711"/>
      <c r="X843" s="1711"/>
      <c r="Y843" s="1712"/>
      <c r="Z843" s="1712"/>
      <c r="AA843" s="1712"/>
      <c r="AB843" s="1712"/>
      <c r="AC843" s="1712"/>
      <c r="AD843" s="1712"/>
      <c r="AE843" s="1712"/>
      <c r="AF843" s="1712"/>
      <c r="AG843" s="1712"/>
      <c r="AH843" s="1712"/>
      <c r="AI843" s="1712"/>
      <c r="AJ843" s="1712"/>
      <c r="AK843" s="1712"/>
      <c r="AL843" s="1712"/>
      <c r="AM843" s="1712"/>
      <c r="AN843" s="1712"/>
      <c r="AO843" s="1712"/>
      <c r="AP843" s="1712"/>
      <c r="AQ843" s="1712"/>
      <c r="AR843" s="1712"/>
      <c r="AS843" s="1712"/>
      <c r="AT843" s="1712"/>
    </row>
    <row r="844">
      <c r="A844" s="1474" t="s">
        <v>2461</v>
      </c>
      <c r="B844" s="1708"/>
      <c r="C844" s="1709"/>
      <c r="D844" s="1709"/>
      <c r="E844" s="1710"/>
      <c r="F844" s="1710"/>
      <c r="G844" s="1710"/>
      <c r="H844" s="1710"/>
      <c r="I844" s="1710"/>
      <c r="J844" s="1710"/>
      <c r="K844" s="1710"/>
      <c r="L844" s="1710"/>
      <c r="M844" s="1711"/>
      <c r="N844" s="1711"/>
      <c r="O844" s="1711"/>
      <c r="P844" s="1711"/>
      <c r="Q844" s="1711"/>
      <c r="R844" s="1711"/>
      <c r="S844" s="1711"/>
      <c r="T844" s="1711"/>
      <c r="U844" s="1711"/>
      <c r="V844" s="1711"/>
      <c r="W844" s="1711"/>
      <c r="X844" s="1711"/>
      <c r="Y844" s="1712"/>
      <c r="Z844" s="1712"/>
      <c r="AA844" s="1712"/>
      <c r="AB844" s="1712"/>
      <c r="AC844" s="1712"/>
      <c r="AD844" s="1712"/>
      <c r="AE844" s="1712"/>
      <c r="AF844" s="1712"/>
      <c r="AG844" s="1712"/>
      <c r="AH844" s="1712"/>
      <c r="AI844" s="1712"/>
      <c r="AJ844" s="1712"/>
      <c r="AK844" s="1712"/>
      <c r="AL844" s="1712"/>
      <c r="AM844" s="1712"/>
      <c r="AN844" s="1712"/>
      <c r="AO844" s="1712"/>
      <c r="AP844" s="1712"/>
      <c r="AQ844" s="1712"/>
      <c r="AR844" s="1712"/>
      <c r="AS844" s="1712"/>
      <c r="AT844" s="1712"/>
    </row>
    <row r="845">
      <c r="A845" s="1474" t="s">
        <v>2461</v>
      </c>
      <c r="B845" s="1708"/>
      <c r="C845" s="1709"/>
      <c r="D845" s="1709"/>
      <c r="E845" s="1710"/>
      <c r="F845" s="1710"/>
      <c r="G845" s="1710"/>
      <c r="H845" s="1710"/>
      <c r="I845" s="1710"/>
      <c r="J845" s="1710"/>
      <c r="K845" s="1710"/>
      <c r="L845" s="1710"/>
      <c r="M845" s="1711"/>
      <c r="N845" s="1711"/>
      <c r="O845" s="1711"/>
      <c r="P845" s="1711"/>
      <c r="Q845" s="1711"/>
      <c r="R845" s="1711"/>
      <c r="S845" s="1711"/>
      <c r="T845" s="1711"/>
      <c r="U845" s="1711"/>
      <c r="V845" s="1711"/>
      <c r="W845" s="1711"/>
      <c r="X845" s="1711"/>
      <c r="Y845" s="1712"/>
      <c r="Z845" s="1712"/>
      <c r="AA845" s="1712"/>
      <c r="AB845" s="1712"/>
      <c r="AC845" s="1712"/>
      <c r="AD845" s="1712"/>
      <c r="AE845" s="1712"/>
      <c r="AF845" s="1712"/>
      <c r="AG845" s="1712"/>
      <c r="AH845" s="1712"/>
      <c r="AI845" s="1712"/>
      <c r="AJ845" s="1712"/>
      <c r="AK845" s="1712"/>
      <c r="AL845" s="1712"/>
      <c r="AM845" s="1712"/>
      <c r="AN845" s="1712"/>
      <c r="AO845" s="1712"/>
      <c r="AP845" s="1712"/>
      <c r="AQ845" s="1712"/>
      <c r="AR845" s="1712"/>
      <c r="AS845" s="1712"/>
      <c r="AT845" s="1712"/>
    </row>
    <row r="846">
      <c r="A846" s="1474" t="s">
        <v>2461</v>
      </c>
      <c r="B846" s="1708"/>
      <c r="C846" s="1709"/>
      <c r="D846" s="1709"/>
      <c r="E846" s="1710"/>
      <c r="F846" s="1710"/>
      <c r="G846" s="1710"/>
      <c r="H846" s="1710"/>
      <c r="I846" s="1710"/>
      <c r="J846" s="1710"/>
      <c r="K846" s="1710"/>
      <c r="L846" s="1710"/>
      <c r="M846" s="1711"/>
      <c r="N846" s="1711"/>
      <c r="O846" s="1711"/>
      <c r="P846" s="1711"/>
      <c r="Q846" s="1711"/>
      <c r="R846" s="1711"/>
      <c r="S846" s="1711"/>
      <c r="T846" s="1711"/>
      <c r="U846" s="1711"/>
      <c r="V846" s="1711"/>
      <c r="W846" s="1711"/>
      <c r="X846" s="1711"/>
      <c r="Y846" s="1712"/>
      <c r="Z846" s="1712"/>
      <c r="AA846" s="1712"/>
      <c r="AB846" s="1712"/>
      <c r="AC846" s="1712"/>
      <c r="AD846" s="1712"/>
      <c r="AE846" s="1712"/>
      <c r="AF846" s="1712"/>
      <c r="AG846" s="1712"/>
      <c r="AH846" s="1712"/>
      <c r="AI846" s="1712"/>
      <c r="AJ846" s="1712"/>
      <c r="AK846" s="1712"/>
      <c r="AL846" s="1712"/>
      <c r="AM846" s="1712"/>
      <c r="AN846" s="1712"/>
      <c r="AO846" s="1712"/>
      <c r="AP846" s="1712"/>
      <c r="AQ846" s="1712"/>
      <c r="AR846" s="1712"/>
      <c r="AS846" s="1712"/>
      <c r="AT846" s="1712"/>
    </row>
    <row r="847">
      <c r="A847" s="1474" t="s">
        <v>2461</v>
      </c>
      <c r="B847" s="1708"/>
      <c r="C847" s="1709"/>
      <c r="D847" s="1709"/>
      <c r="E847" s="1710"/>
      <c r="F847" s="1710"/>
      <c r="G847" s="1710"/>
      <c r="H847" s="1710"/>
      <c r="I847" s="1710"/>
      <c r="J847" s="1710"/>
      <c r="K847" s="1710"/>
      <c r="L847" s="1710"/>
      <c r="M847" s="1711"/>
      <c r="N847" s="1711"/>
      <c r="O847" s="1711"/>
      <c r="P847" s="1711"/>
      <c r="Q847" s="1711"/>
      <c r="R847" s="1711"/>
      <c r="S847" s="1711"/>
      <c r="T847" s="1711"/>
      <c r="U847" s="1711"/>
      <c r="V847" s="1711"/>
      <c r="W847" s="1711"/>
      <c r="X847" s="1711"/>
      <c r="Y847" s="1712"/>
      <c r="Z847" s="1712"/>
      <c r="AA847" s="1712"/>
      <c r="AB847" s="1712"/>
      <c r="AC847" s="1712"/>
      <c r="AD847" s="1712"/>
      <c r="AE847" s="1712"/>
      <c r="AF847" s="1712"/>
      <c r="AG847" s="1712"/>
      <c r="AH847" s="1712"/>
      <c r="AI847" s="1712"/>
      <c r="AJ847" s="1712"/>
      <c r="AK847" s="1712"/>
      <c r="AL847" s="1712"/>
      <c r="AM847" s="1712"/>
      <c r="AN847" s="1712"/>
      <c r="AO847" s="1712"/>
      <c r="AP847" s="1712"/>
      <c r="AQ847" s="1712"/>
      <c r="AR847" s="1712"/>
      <c r="AS847" s="1712"/>
      <c r="AT847" s="1712"/>
    </row>
    <row r="848">
      <c r="A848" s="1474" t="s">
        <v>2461</v>
      </c>
      <c r="B848" s="1708"/>
      <c r="C848" s="1709"/>
      <c r="D848" s="1709"/>
      <c r="E848" s="1710"/>
      <c r="F848" s="1710"/>
      <c r="G848" s="1710"/>
      <c r="H848" s="1710"/>
      <c r="I848" s="1710"/>
      <c r="J848" s="1710"/>
      <c r="K848" s="1710"/>
      <c r="L848" s="1710"/>
      <c r="M848" s="1711"/>
      <c r="N848" s="1711"/>
      <c r="O848" s="1711"/>
      <c r="P848" s="1711"/>
      <c r="Q848" s="1711"/>
      <c r="R848" s="1711"/>
      <c r="S848" s="1711"/>
      <c r="T848" s="1711"/>
      <c r="U848" s="1711"/>
      <c r="V848" s="1711"/>
      <c r="W848" s="1711"/>
      <c r="X848" s="1711"/>
      <c r="Y848" s="1712"/>
      <c r="Z848" s="1712"/>
      <c r="AA848" s="1712"/>
      <c r="AB848" s="1712"/>
      <c r="AC848" s="1712"/>
      <c r="AD848" s="1712"/>
      <c r="AE848" s="1712"/>
      <c r="AF848" s="1712"/>
      <c r="AG848" s="1712"/>
      <c r="AH848" s="1712"/>
      <c r="AI848" s="1712"/>
      <c r="AJ848" s="1712"/>
      <c r="AK848" s="1712"/>
      <c r="AL848" s="1712"/>
      <c r="AM848" s="1712"/>
      <c r="AN848" s="1712"/>
      <c r="AO848" s="1712"/>
      <c r="AP848" s="1712"/>
      <c r="AQ848" s="1712"/>
      <c r="AR848" s="1712"/>
      <c r="AS848" s="1712"/>
      <c r="AT848" s="1712"/>
    </row>
    <row r="849">
      <c r="A849" s="1474" t="s">
        <v>2461</v>
      </c>
      <c r="B849" s="1708"/>
      <c r="C849" s="1709"/>
      <c r="D849" s="1709"/>
      <c r="E849" s="1710"/>
      <c r="F849" s="1710"/>
      <c r="G849" s="1710"/>
      <c r="H849" s="1710"/>
      <c r="I849" s="1710"/>
      <c r="J849" s="1710"/>
      <c r="K849" s="1710"/>
      <c r="L849" s="1710"/>
      <c r="M849" s="1711"/>
      <c r="N849" s="1711"/>
      <c r="O849" s="1711"/>
      <c r="P849" s="1711"/>
      <c r="Q849" s="1711"/>
      <c r="R849" s="1711"/>
      <c r="S849" s="1711"/>
      <c r="T849" s="1711"/>
      <c r="U849" s="1711"/>
      <c r="V849" s="1711"/>
      <c r="W849" s="1711"/>
      <c r="X849" s="1711"/>
      <c r="Y849" s="1712"/>
      <c r="Z849" s="1712"/>
      <c r="AA849" s="1712"/>
      <c r="AB849" s="1712"/>
      <c r="AC849" s="1712"/>
      <c r="AD849" s="1712"/>
      <c r="AE849" s="1712"/>
      <c r="AF849" s="1712"/>
      <c r="AG849" s="1712"/>
      <c r="AH849" s="1712"/>
      <c r="AI849" s="1712"/>
      <c r="AJ849" s="1712"/>
      <c r="AK849" s="1712"/>
      <c r="AL849" s="1712"/>
      <c r="AM849" s="1712"/>
      <c r="AN849" s="1712"/>
      <c r="AO849" s="1712"/>
      <c r="AP849" s="1712"/>
      <c r="AQ849" s="1712"/>
      <c r="AR849" s="1712"/>
      <c r="AS849" s="1712"/>
      <c r="AT849" s="1712"/>
    </row>
    <row r="850">
      <c r="A850" s="1474" t="s">
        <v>2461</v>
      </c>
      <c r="B850" s="1708"/>
      <c r="C850" s="1709"/>
      <c r="D850" s="1709"/>
      <c r="E850" s="1710"/>
      <c r="F850" s="1710"/>
      <c r="G850" s="1710"/>
      <c r="H850" s="1710"/>
      <c r="I850" s="1710"/>
      <c r="J850" s="1710"/>
      <c r="K850" s="1710"/>
      <c r="L850" s="1710"/>
      <c r="M850" s="1711"/>
      <c r="N850" s="1711"/>
      <c r="O850" s="1711"/>
      <c r="P850" s="1711"/>
      <c r="Q850" s="1711"/>
      <c r="R850" s="1711"/>
      <c r="S850" s="1711"/>
      <c r="T850" s="1711"/>
      <c r="U850" s="1711"/>
      <c r="V850" s="1711"/>
      <c r="W850" s="1711"/>
      <c r="X850" s="1711"/>
      <c r="Y850" s="1712"/>
      <c r="Z850" s="1712"/>
      <c r="AA850" s="1712"/>
      <c r="AB850" s="1712"/>
      <c r="AC850" s="1712"/>
      <c r="AD850" s="1712"/>
      <c r="AE850" s="1712"/>
      <c r="AF850" s="1712"/>
      <c r="AG850" s="1712"/>
      <c r="AH850" s="1712"/>
      <c r="AI850" s="1712"/>
      <c r="AJ850" s="1712"/>
      <c r="AK850" s="1712"/>
      <c r="AL850" s="1712"/>
      <c r="AM850" s="1712"/>
      <c r="AN850" s="1712"/>
      <c r="AO850" s="1712"/>
      <c r="AP850" s="1712"/>
      <c r="AQ850" s="1712"/>
      <c r="AR850" s="1712"/>
      <c r="AS850" s="1712"/>
      <c r="AT850" s="1712"/>
    </row>
    <row r="851">
      <c r="A851" s="1474" t="s">
        <v>2461</v>
      </c>
      <c r="B851" s="1708"/>
      <c r="C851" s="1709"/>
      <c r="D851" s="1709"/>
      <c r="E851" s="1710"/>
      <c r="F851" s="1710"/>
      <c r="G851" s="1710"/>
      <c r="H851" s="1710"/>
      <c r="I851" s="1710"/>
      <c r="J851" s="1710"/>
      <c r="K851" s="1710"/>
      <c r="L851" s="1710"/>
      <c r="M851" s="1711"/>
      <c r="N851" s="1711"/>
      <c r="O851" s="1711"/>
      <c r="P851" s="1711"/>
      <c r="Q851" s="1711"/>
      <c r="R851" s="1711"/>
      <c r="S851" s="1711"/>
      <c r="T851" s="1711"/>
      <c r="U851" s="1711"/>
      <c r="V851" s="1711"/>
      <c r="W851" s="1711"/>
      <c r="X851" s="1711"/>
      <c r="Y851" s="1712"/>
      <c r="Z851" s="1712"/>
      <c r="AA851" s="1712"/>
      <c r="AB851" s="1712"/>
      <c r="AC851" s="1712"/>
      <c r="AD851" s="1712"/>
      <c r="AE851" s="1712"/>
      <c r="AF851" s="1712"/>
      <c r="AG851" s="1712"/>
      <c r="AH851" s="1712"/>
      <c r="AI851" s="1712"/>
      <c r="AJ851" s="1712"/>
      <c r="AK851" s="1712"/>
      <c r="AL851" s="1712"/>
      <c r="AM851" s="1712"/>
      <c r="AN851" s="1712"/>
      <c r="AO851" s="1712"/>
      <c r="AP851" s="1712"/>
      <c r="AQ851" s="1712"/>
      <c r="AR851" s="1712"/>
      <c r="AS851" s="1712"/>
      <c r="AT851" s="1712"/>
    </row>
    <row r="852">
      <c r="A852" s="1474" t="s">
        <v>2461</v>
      </c>
      <c r="B852" s="1708"/>
      <c r="C852" s="1709"/>
      <c r="D852" s="1709"/>
      <c r="E852" s="1710"/>
      <c r="F852" s="1710"/>
      <c r="G852" s="1710"/>
      <c r="H852" s="1710"/>
      <c r="I852" s="1710"/>
      <c r="J852" s="1710"/>
      <c r="K852" s="1710"/>
      <c r="L852" s="1710"/>
      <c r="M852" s="1711"/>
      <c r="N852" s="1711"/>
      <c r="O852" s="1711"/>
      <c r="P852" s="1711"/>
      <c r="Q852" s="1711"/>
      <c r="R852" s="1711"/>
      <c r="S852" s="1711"/>
      <c r="T852" s="1711"/>
      <c r="U852" s="1711"/>
      <c r="V852" s="1711"/>
      <c r="W852" s="1711"/>
      <c r="X852" s="1711"/>
      <c r="Y852" s="1712"/>
      <c r="Z852" s="1712"/>
      <c r="AA852" s="1712"/>
      <c r="AB852" s="1712"/>
      <c r="AC852" s="1712"/>
      <c r="AD852" s="1712"/>
      <c r="AE852" s="1712"/>
      <c r="AF852" s="1712"/>
      <c r="AG852" s="1712"/>
      <c r="AH852" s="1712"/>
      <c r="AI852" s="1712"/>
      <c r="AJ852" s="1712"/>
      <c r="AK852" s="1712"/>
      <c r="AL852" s="1712"/>
      <c r="AM852" s="1712"/>
      <c r="AN852" s="1712"/>
      <c r="AO852" s="1712"/>
      <c r="AP852" s="1712"/>
      <c r="AQ852" s="1712"/>
      <c r="AR852" s="1712"/>
      <c r="AS852" s="1712"/>
      <c r="AT852" s="1712"/>
    </row>
    <row r="853">
      <c r="A853" s="1474" t="s">
        <v>2461</v>
      </c>
      <c r="B853" s="1708"/>
      <c r="C853" s="1709"/>
      <c r="D853" s="1709"/>
      <c r="E853" s="1710"/>
      <c r="F853" s="1710"/>
      <c r="G853" s="1710"/>
      <c r="H853" s="1710"/>
      <c r="I853" s="1710"/>
      <c r="J853" s="1710"/>
      <c r="K853" s="1710"/>
      <c r="L853" s="1710"/>
      <c r="M853" s="1711"/>
      <c r="N853" s="1711"/>
      <c r="O853" s="1711"/>
      <c r="P853" s="1711"/>
      <c r="Q853" s="1711"/>
      <c r="R853" s="1711"/>
      <c r="S853" s="1711"/>
      <c r="T853" s="1711"/>
      <c r="U853" s="1711"/>
      <c r="V853" s="1711"/>
      <c r="W853" s="1711"/>
      <c r="X853" s="1711"/>
      <c r="Y853" s="1712"/>
      <c r="Z853" s="1712"/>
      <c r="AA853" s="1712"/>
      <c r="AB853" s="1712"/>
      <c r="AC853" s="1712"/>
      <c r="AD853" s="1712"/>
      <c r="AE853" s="1712"/>
      <c r="AF853" s="1712"/>
      <c r="AG853" s="1712"/>
      <c r="AH853" s="1712"/>
      <c r="AI853" s="1712"/>
      <c r="AJ853" s="1712"/>
      <c r="AK853" s="1712"/>
      <c r="AL853" s="1712"/>
      <c r="AM853" s="1712"/>
      <c r="AN853" s="1712"/>
      <c r="AO853" s="1712"/>
      <c r="AP853" s="1712"/>
      <c r="AQ853" s="1712"/>
      <c r="AR853" s="1712"/>
      <c r="AS853" s="1712"/>
      <c r="AT853" s="1712"/>
    </row>
    <row r="854">
      <c r="A854" s="1474" t="s">
        <v>2461</v>
      </c>
      <c r="B854" s="1708"/>
      <c r="C854" s="1709"/>
      <c r="D854" s="1709"/>
      <c r="E854" s="1710"/>
      <c r="F854" s="1710"/>
      <c r="G854" s="1710"/>
      <c r="H854" s="1710"/>
      <c r="I854" s="1710"/>
      <c r="J854" s="1710"/>
      <c r="K854" s="1710"/>
      <c r="L854" s="1710"/>
      <c r="M854" s="1711"/>
      <c r="N854" s="1711"/>
      <c r="O854" s="1711"/>
      <c r="P854" s="1711"/>
      <c r="Q854" s="1711"/>
      <c r="R854" s="1711"/>
      <c r="S854" s="1711"/>
      <c r="T854" s="1711"/>
      <c r="U854" s="1711"/>
      <c r="V854" s="1711"/>
      <c r="W854" s="1711"/>
      <c r="X854" s="1711"/>
      <c r="Y854" s="1712"/>
      <c r="Z854" s="1712"/>
      <c r="AA854" s="1712"/>
      <c r="AB854" s="1712"/>
      <c r="AC854" s="1712"/>
      <c r="AD854" s="1712"/>
      <c r="AE854" s="1712"/>
      <c r="AF854" s="1712"/>
      <c r="AG854" s="1712"/>
      <c r="AH854" s="1712"/>
      <c r="AI854" s="1712"/>
      <c r="AJ854" s="1712"/>
      <c r="AK854" s="1712"/>
      <c r="AL854" s="1712"/>
      <c r="AM854" s="1712"/>
      <c r="AN854" s="1712"/>
      <c r="AO854" s="1712"/>
      <c r="AP854" s="1712"/>
      <c r="AQ854" s="1712"/>
      <c r="AR854" s="1712"/>
      <c r="AS854" s="1712"/>
      <c r="AT854" s="1712"/>
    </row>
    <row r="855">
      <c r="A855" s="1474" t="s">
        <v>2461</v>
      </c>
      <c r="B855" s="1708"/>
      <c r="C855" s="1709"/>
      <c r="D855" s="1709"/>
      <c r="E855" s="1710"/>
      <c r="F855" s="1710"/>
      <c r="G855" s="1710"/>
      <c r="H855" s="1710"/>
      <c r="I855" s="1710"/>
      <c r="J855" s="1710"/>
      <c r="K855" s="1710"/>
      <c r="L855" s="1710"/>
      <c r="M855" s="1711"/>
      <c r="N855" s="1711"/>
      <c r="O855" s="1711"/>
      <c r="P855" s="1711"/>
      <c r="Q855" s="1711"/>
      <c r="R855" s="1711"/>
      <c r="S855" s="1711"/>
      <c r="T855" s="1711"/>
      <c r="U855" s="1711"/>
      <c r="V855" s="1711"/>
      <c r="W855" s="1711"/>
      <c r="X855" s="1711"/>
      <c r="Y855" s="1712"/>
      <c r="Z855" s="1712"/>
      <c r="AA855" s="1712"/>
      <c r="AB855" s="1712"/>
      <c r="AC855" s="1712"/>
      <c r="AD855" s="1712"/>
      <c r="AE855" s="1712"/>
      <c r="AF855" s="1712"/>
      <c r="AG855" s="1712"/>
      <c r="AH855" s="1712"/>
      <c r="AI855" s="1712"/>
      <c r="AJ855" s="1712"/>
      <c r="AK855" s="1712"/>
      <c r="AL855" s="1712"/>
      <c r="AM855" s="1712"/>
      <c r="AN855" s="1712"/>
      <c r="AO855" s="1712"/>
      <c r="AP855" s="1712"/>
      <c r="AQ855" s="1712"/>
      <c r="AR855" s="1712"/>
      <c r="AS855" s="1712"/>
      <c r="AT855" s="1712"/>
    </row>
    <row r="856">
      <c r="A856" s="1474" t="s">
        <v>2461</v>
      </c>
      <c r="B856" s="1708"/>
      <c r="C856" s="1709"/>
      <c r="D856" s="1709"/>
      <c r="E856" s="1710"/>
      <c r="F856" s="1710"/>
      <c r="G856" s="1710"/>
      <c r="H856" s="1710"/>
      <c r="I856" s="1710"/>
      <c r="J856" s="1710"/>
      <c r="K856" s="1710"/>
      <c r="L856" s="1710"/>
      <c r="M856" s="1711"/>
      <c r="N856" s="1711"/>
      <c r="O856" s="1711"/>
      <c r="P856" s="1711"/>
      <c r="Q856" s="1711"/>
      <c r="R856" s="1711"/>
      <c r="S856" s="1711"/>
      <c r="T856" s="1711"/>
      <c r="U856" s="1711"/>
      <c r="V856" s="1711"/>
      <c r="W856" s="1711"/>
      <c r="X856" s="1711"/>
      <c r="Y856" s="1712"/>
      <c r="Z856" s="1712"/>
      <c r="AA856" s="1712"/>
      <c r="AB856" s="1712"/>
      <c r="AC856" s="1712"/>
      <c r="AD856" s="1712"/>
      <c r="AE856" s="1712"/>
      <c r="AF856" s="1712"/>
      <c r="AG856" s="1712"/>
      <c r="AH856" s="1712"/>
      <c r="AI856" s="1712"/>
      <c r="AJ856" s="1712"/>
      <c r="AK856" s="1712"/>
      <c r="AL856" s="1712"/>
      <c r="AM856" s="1712"/>
      <c r="AN856" s="1712"/>
      <c r="AO856" s="1712"/>
      <c r="AP856" s="1712"/>
      <c r="AQ856" s="1712"/>
      <c r="AR856" s="1712"/>
      <c r="AS856" s="1712"/>
      <c r="AT856" s="1712"/>
    </row>
    <row r="857">
      <c r="A857" s="1474" t="s">
        <v>2461</v>
      </c>
      <c r="B857" s="1708"/>
      <c r="C857" s="1709"/>
      <c r="D857" s="1709"/>
      <c r="E857" s="1710"/>
      <c r="F857" s="1710"/>
      <c r="G857" s="1710"/>
      <c r="H857" s="1710"/>
      <c r="I857" s="1710"/>
      <c r="J857" s="1710"/>
      <c r="K857" s="1710"/>
      <c r="L857" s="1710"/>
      <c r="M857" s="1711"/>
      <c r="N857" s="1711"/>
      <c r="O857" s="1711"/>
      <c r="P857" s="1711"/>
      <c r="Q857" s="1711"/>
      <c r="R857" s="1711"/>
      <c r="S857" s="1711"/>
      <c r="T857" s="1711"/>
      <c r="U857" s="1711"/>
      <c r="V857" s="1711"/>
      <c r="W857" s="1711"/>
      <c r="X857" s="1711"/>
      <c r="Y857" s="1712"/>
      <c r="Z857" s="1712"/>
      <c r="AA857" s="1712"/>
      <c r="AB857" s="1712"/>
      <c r="AC857" s="1712"/>
      <c r="AD857" s="1712"/>
      <c r="AE857" s="1712"/>
      <c r="AF857" s="1712"/>
      <c r="AG857" s="1712"/>
      <c r="AH857" s="1712"/>
      <c r="AI857" s="1712"/>
      <c r="AJ857" s="1712"/>
      <c r="AK857" s="1712"/>
      <c r="AL857" s="1712"/>
      <c r="AM857" s="1712"/>
      <c r="AN857" s="1712"/>
      <c r="AO857" s="1712"/>
      <c r="AP857" s="1712"/>
      <c r="AQ857" s="1712"/>
      <c r="AR857" s="1712"/>
      <c r="AS857" s="1712"/>
      <c r="AT857" s="1712"/>
    </row>
    <row r="858">
      <c r="A858" s="1474" t="s">
        <v>2461</v>
      </c>
      <c r="B858" s="1708"/>
      <c r="C858" s="1709"/>
      <c r="D858" s="1709"/>
      <c r="E858" s="1710"/>
      <c r="F858" s="1710"/>
      <c r="G858" s="1710"/>
      <c r="H858" s="1710"/>
      <c r="I858" s="1710"/>
      <c r="J858" s="1710"/>
      <c r="K858" s="1710"/>
      <c r="L858" s="1710"/>
      <c r="M858" s="1711"/>
      <c r="N858" s="1711"/>
      <c r="O858" s="1711"/>
      <c r="P858" s="1711"/>
      <c r="Q858" s="1711"/>
      <c r="R858" s="1711"/>
      <c r="S858" s="1711"/>
      <c r="T858" s="1711"/>
      <c r="U858" s="1711"/>
      <c r="V858" s="1711"/>
      <c r="W858" s="1711"/>
      <c r="X858" s="1711"/>
      <c r="Y858" s="1712"/>
      <c r="Z858" s="1712"/>
      <c r="AA858" s="1712"/>
      <c r="AB858" s="1712"/>
      <c r="AC858" s="1712"/>
      <c r="AD858" s="1712"/>
      <c r="AE858" s="1712"/>
      <c r="AF858" s="1712"/>
      <c r="AG858" s="1712"/>
      <c r="AH858" s="1712"/>
      <c r="AI858" s="1712"/>
      <c r="AJ858" s="1712"/>
      <c r="AK858" s="1712"/>
      <c r="AL858" s="1712"/>
      <c r="AM858" s="1712"/>
      <c r="AN858" s="1712"/>
      <c r="AO858" s="1712"/>
      <c r="AP858" s="1712"/>
      <c r="AQ858" s="1712"/>
      <c r="AR858" s="1712"/>
      <c r="AS858" s="1712"/>
      <c r="AT858" s="1712"/>
    </row>
    <row r="859">
      <c r="A859" s="1474" t="s">
        <v>2461</v>
      </c>
      <c r="B859" s="1708"/>
      <c r="C859" s="1709"/>
      <c r="D859" s="1709"/>
      <c r="E859" s="1710"/>
      <c r="F859" s="1710"/>
      <c r="G859" s="1710"/>
      <c r="H859" s="1710"/>
      <c r="I859" s="1710"/>
      <c r="J859" s="1710"/>
      <c r="K859" s="1710"/>
      <c r="L859" s="1710"/>
      <c r="M859" s="1711"/>
      <c r="N859" s="1711"/>
      <c r="O859" s="1711"/>
      <c r="P859" s="1711"/>
      <c r="Q859" s="1711"/>
      <c r="R859" s="1711"/>
      <c r="S859" s="1711"/>
      <c r="T859" s="1711"/>
      <c r="U859" s="1711"/>
      <c r="V859" s="1711"/>
      <c r="W859" s="1711"/>
      <c r="X859" s="1711"/>
      <c r="Y859" s="1712"/>
      <c r="Z859" s="1712"/>
      <c r="AA859" s="1712"/>
      <c r="AB859" s="1712"/>
      <c r="AC859" s="1712"/>
      <c r="AD859" s="1712"/>
      <c r="AE859" s="1712"/>
      <c r="AF859" s="1712"/>
      <c r="AG859" s="1712"/>
      <c r="AH859" s="1712"/>
      <c r="AI859" s="1712"/>
      <c r="AJ859" s="1712"/>
      <c r="AK859" s="1712"/>
      <c r="AL859" s="1712"/>
      <c r="AM859" s="1712"/>
      <c r="AN859" s="1712"/>
      <c r="AO859" s="1712"/>
      <c r="AP859" s="1712"/>
      <c r="AQ859" s="1712"/>
      <c r="AR859" s="1712"/>
      <c r="AS859" s="1712"/>
      <c r="AT859" s="1712"/>
    </row>
  </sheetData>
  <dataValidations>
    <dataValidation type="list" allowBlank="1" showDropDown="1" sqref="E2:E4 E6:E108">
      <formula1>"微型,小型,中型,大型"</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3"/>
    <col customWidth="1" min="2" max="2" width="13.86"/>
    <col customWidth="1" min="3" max="4" width="14.43"/>
    <col customWidth="1" min="5" max="24" width="5.57"/>
    <col customWidth="1" min="25" max="29" width="14.43"/>
    <col customWidth="1" min="30" max="46" width="21.57"/>
  </cols>
  <sheetData>
    <row r="1" ht="27.0" customHeight="1">
      <c r="A1" s="1680"/>
      <c r="B1" s="1681" t="s">
        <v>4112</v>
      </c>
      <c r="C1" s="1682" t="s">
        <v>2247</v>
      </c>
      <c r="D1" s="1682" t="s">
        <v>230</v>
      </c>
      <c r="E1" s="1682" t="s">
        <v>171</v>
      </c>
      <c r="F1" s="1682" t="s">
        <v>4154</v>
      </c>
      <c r="G1" s="1682" t="s">
        <v>268</v>
      </c>
      <c r="H1" s="1682" t="s">
        <v>243</v>
      </c>
      <c r="I1" s="1682" t="s">
        <v>211</v>
      </c>
      <c r="J1" s="1683" t="s">
        <v>212</v>
      </c>
      <c r="K1" s="1683" t="s">
        <v>213</v>
      </c>
      <c r="L1" s="1683" t="s">
        <v>214</v>
      </c>
      <c r="M1" s="1683" t="s">
        <v>4140</v>
      </c>
      <c r="N1" s="1683" t="s">
        <v>4141</v>
      </c>
      <c r="O1" s="1682" t="s">
        <v>67</v>
      </c>
      <c r="P1" s="1682" t="s">
        <v>71</v>
      </c>
      <c r="Q1" s="1682" t="s">
        <v>76</v>
      </c>
      <c r="R1" s="1682" t="s">
        <v>80</v>
      </c>
      <c r="S1" s="1682" t="s">
        <v>83</v>
      </c>
      <c r="T1" s="1682" t="s">
        <v>88</v>
      </c>
      <c r="U1" s="1682" t="s">
        <v>2037</v>
      </c>
      <c r="V1" s="1682" t="s">
        <v>4122</v>
      </c>
      <c r="W1" s="1682" t="s">
        <v>4125</v>
      </c>
      <c r="X1" s="1682" t="s">
        <v>4130</v>
      </c>
      <c r="Y1" s="1682" t="s">
        <v>1062</v>
      </c>
      <c r="Z1" s="1682" t="s">
        <v>4116</v>
      </c>
      <c r="AA1" s="1682" t="s">
        <v>4126</v>
      </c>
      <c r="AB1" s="1682" t="s">
        <v>4137</v>
      </c>
      <c r="AC1" s="1682" t="s">
        <v>4142</v>
      </c>
      <c r="AD1" s="1682" t="s">
        <v>4155</v>
      </c>
      <c r="AE1" s="1682" t="s">
        <v>4156</v>
      </c>
      <c r="AF1" s="1682" t="s">
        <v>4157</v>
      </c>
      <c r="AG1" s="1682" t="s">
        <v>4158</v>
      </c>
      <c r="AH1" s="1682" t="s">
        <v>4159</v>
      </c>
      <c r="AI1" s="1682" t="s">
        <v>4160</v>
      </c>
      <c r="AJ1" s="1682" t="s">
        <v>4161</v>
      </c>
      <c r="AK1" s="1682" t="s">
        <v>4162</v>
      </c>
      <c r="AL1" s="1682" t="s">
        <v>4163</v>
      </c>
      <c r="AM1" s="1682" t="s">
        <v>4164</v>
      </c>
      <c r="AN1" s="1682" t="s">
        <v>4165</v>
      </c>
      <c r="AO1" s="1682" t="s">
        <v>4166</v>
      </c>
      <c r="AP1" s="1682" t="s">
        <v>4167</v>
      </c>
      <c r="AQ1" s="1682" t="s">
        <v>4168</v>
      </c>
      <c r="AR1" s="1682" t="s">
        <v>4169</v>
      </c>
      <c r="AS1" s="1682" t="s">
        <v>4170</v>
      </c>
      <c r="AT1" s="1682" t="s">
        <v>4171</v>
      </c>
    </row>
    <row r="2">
      <c r="A2" s="1419"/>
      <c r="B2" s="1684" t="s">
        <v>4388</v>
      </c>
      <c r="C2" s="1685" t="s">
        <v>4389</v>
      </c>
      <c r="D2" s="1685" t="s">
        <v>4178</v>
      </c>
      <c r="E2" s="1684" t="s">
        <v>4182</v>
      </c>
      <c r="F2" s="1685" t="s">
        <v>4217</v>
      </c>
      <c r="G2" s="1686">
        <v>10.0</v>
      </c>
      <c r="H2" s="1686">
        <v>17.0</v>
      </c>
      <c r="I2" s="1686">
        <v>50.0</v>
      </c>
      <c r="J2" s="1686"/>
      <c r="K2" s="1686"/>
      <c r="L2" s="1686"/>
      <c r="M2" s="1686"/>
      <c r="N2" s="1686"/>
      <c r="O2" s="1686">
        <v>15.0</v>
      </c>
      <c r="P2" s="1686">
        <v>8.0</v>
      </c>
      <c r="Q2" s="1686">
        <v>17.0</v>
      </c>
      <c r="R2" s="1686">
        <v>2.0</v>
      </c>
      <c r="S2" s="1686">
        <v>11.0</v>
      </c>
      <c r="T2" s="1686">
        <v>5.0</v>
      </c>
      <c r="U2" s="1686">
        <v>60.0</v>
      </c>
      <c r="V2" s="1686"/>
      <c r="W2" s="1686"/>
      <c r="X2" s="1686"/>
      <c r="Y2" s="1686"/>
      <c r="Z2" s="1686"/>
      <c r="AA2" s="1686"/>
      <c r="AB2" s="1686"/>
      <c r="AC2" s="1686"/>
      <c r="AD2" s="1686"/>
      <c r="AE2" s="1686"/>
      <c r="AF2" s="1686"/>
      <c r="AG2" s="1686"/>
      <c r="AH2" s="1684" t="s">
        <v>4390</v>
      </c>
      <c r="AI2" s="1685"/>
      <c r="AJ2" s="1686"/>
      <c r="AK2" s="1686"/>
      <c r="AL2" s="1686"/>
      <c r="AM2" s="1686"/>
      <c r="AN2" s="1686"/>
      <c r="AO2" s="1686"/>
      <c r="AP2" s="1686"/>
      <c r="AQ2" s="1686"/>
      <c r="AR2" s="1686"/>
      <c r="AS2" s="1686"/>
      <c r="AT2" s="1686"/>
    </row>
    <row r="3">
      <c r="A3" s="1419"/>
      <c r="B3" s="1687" t="s">
        <v>4391</v>
      </c>
      <c r="C3" s="1688" t="s">
        <v>4392</v>
      </c>
      <c r="D3" s="1688" t="s">
        <v>4178</v>
      </c>
      <c r="E3" s="1687" t="s">
        <v>4182</v>
      </c>
      <c r="F3" s="1688" t="s">
        <v>4217</v>
      </c>
      <c r="G3" s="1690">
        <v>10.0</v>
      </c>
      <c r="H3" s="1690">
        <v>15.0</v>
      </c>
      <c r="I3" s="1690">
        <v>40.0</v>
      </c>
      <c r="J3" s="1689"/>
      <c r="K3" s="1689"/>
      <c r="L3" s="1689"/>
      <c r="M3" s="1689"/>
      <c r="N3" s="1689"/>
      <c r="O3" s="1690">
        <v>18.0</v>
      </c>
      <c r="P3" s="1690">
        <v>10.0</v>
      </c>
      <c r="Q3" s="1690">
        <v>15.0</v>
      </c>
      <c r="R3" s="1690">
        <v>2.0</v>
      </c>
      <c r="S3" s="1690">
        <v>11.0</v>
      </c>
      <c r="T3" s="1690">
        <v>7.0</v>
      </c>
      <c r="U3" s="1689"/>
      <c r="V3" s="1689"/>
      <c r="W3" s="1689"/>
      <c r="X3" s="1689"/>
      <c r="Y3" s="1689"/>
      <c r="Z3" s="1690"/>
      <c r="AA3" s="1690"/>
      <c r="AB3" s="1690"/>
      <c r="AC3" s="1690"/>
      <c r="AD3" s="1690"/>
      <c r="AE3" s="1690"/>
      <c r="AF3" s="1690"/>
      <c r="AG3" s="1690"/>
      <c r="AH3" s="1687" t="s">
        <v>4393</v>
      </c>
      <c r="AI3" s="1688"/>
      <c r="AJ3" s="1690"/>
      <c r="AK3" s="1690"/>
      <c r="AL3" s="1690"/>
      <c r="AM3" s="1690"/>
      <c r="AN3" s="1690"/>
      <c r="AO3" s="1690"/>
      <c r="AP3" s="1690"/>
      <c r="AQ3" s="1690"/>
      <c r="AR3" s="1690"/>
      <c r="AS3" s="1690"/>
      <c r="AT3" s="1690"/>
    </row>
    <row r="4">
      <c r="A4" s="1419"/>
      <c r="B4" s="1684" t="s">
        <v>4394</v>
      </c>
      <c r="C4" s="1685" t="s">
        <v>4395</v>
      </c>
      <c r="D4" s="1685" t="s">
        <v>4178</v>
      </c>
      <c r="E4" s="1684" t="s">
        <v>644</v>
      </c>
      <c r="F4" s="1685" t="s">
        <v>4217</v>
      </c>
      <c r="G4" s="1686">
        <v>12.0</v>
      </c>
      <c r="H4" s="1686">
        <v>76.0</v>
      </c>
      <c r="I4" s="1686">
        <v>40.0</v>
      </c>
      <c r="J4" s="1691"/>
      <c r="K4" s="1691"/>
      <c r="L4" s="1691"/>
      <c r="M4" s="1691"/>
      <c r="N4" s="1691"/>
      <c r="O4" s="1686">
        <v>22.0</v>
      </c>
      <c r="P4" s="1686">
        <v>9.0</v>
      </c>
      <c r="Q4" s="1686">
        <v>17.0</v>
      </c>
      <c r="R4" s="1686">
        <v>3.0</v>
      </c>
      <c r="S4" s="1686">
        <v>11.0</v>
      </c>
      <c r="T4" s="1686">
        <v>6.0</v>
      </c>
      <c r="U4" s="1691"/>
      <c r="V4" s="1691"/>
      <c r="W4" s="1691"/>
      <c r="X4" s="1691"/>
      <c r="Y4" s="1691"/>
      <c r="Z4" s="1686"/>
      <c r="AA4" s="1686"/>
      <c r="AB4" s="1686"/>
      <c r="AC4" s="1686"/>
      <c r="AD4" s="1686"/>
      <c r="AE4" s="1686"/>
      <c r="AF4" s="1686"/>
      <c r="AG4" s="1686"/>
      <c r="AH4" s="1684" t="s">
        <v>4396</v>
      </c>
      <c r="AI4" s="1685" t="s">
        <v>4397</v>
      </c>
      <c r="AJ4" s="1686"/>
      <c r="AK4" s="1686"/>
      <c r="AL4" s="1686"/>
      <c r="AM4" s="1686" t="s">
        <v>4398</v>
      </c>
      <c r="AN4" s="1686"/>
      <c r="AO4" s="1686"/>
      <c r="AP4" s="1686"/>
      <c r="AQ4" s="1686"/>
      <c r="AR4" s="1686"/>
      <c r="AS4" s="1686"/>
      <c r="AT4" s="1686"/>
    </row>
    <row r="5">
      <c r="A5" s="1419"/>
      <c r="B5" s="1687" t="s">
        <v>4399</v>
      </c>
      <c r="C5" s="1688" t="s">
        <v>4400</v>
      </c>
      <c r="D5" s="1688" t="s">
        <v>4178</v>
      </c>
      <c r="E5" s="1687" t="s">
        <v>690</v>
      </c>
      <c r="F5" s="1688" t="s">
        <v>4217</v>
      </c>
      <c r="G5" s="1690">
        <v>12.0</v>
      </c>
      <c r="H5" s="1690">
        <v>5.0</v>
      </c>
      <c r="I5" s="1690">
        <v>40.0</v>
      </c>
      <c r="J5" s="1689"/>
      <c r="K5" s="1689"/>
      <c r="L5" s="1689"/>
      <c r="M5" s="1689"/>
      <c r="N5" s="1689"/>
      <c r="O5" s="1690">
        <v>13.0</v>
      </c>
      <c r="P5" s="1690">
        <v>14.0</v>
      </c>
      <c r="Q5" s="1690">
        <v>12.0</v>
      </c>
      <c r="R5" s="1690">
        <v>3.0</v>
      </c>
      <c r="S5" s="1690">
        <v>12.0</v>
      </c>
      <c r="T5" s="1690">
        <v>7.0</v>
      </c>
      <c r="U5" s="1690">
        <v>60.0</v>
      </c>
      <c r="V5" s="1689"/>
      <c r="W5" s="1689"/>
      <c r="X5" s="1689"/>
      <c r="Y5" s="1690" t="s">
        <v>191</v>
      </c>
      <c r="Z5" s="1690"/>
      <c r="AA5" s="1690"/>
      <c r="AB5" s="1690"/>
      <c r="AC5" s="1690"/>
      <c r="AD5" s="1690"/>
      <c r="AE5" s="1690"/>
      <c r="AF5" s="1690"/>
      <c r="AG5" s="1690"/>
      <c r="AH5" s="1687" t="s">
        <v>4401</v>
      </c>
      <c r="AI5" s="1688"/>
      <c r="AJ5" s="1690"/>
      <c r="AK5" s="1690"/>
      <c r="AL5" s="1690"/>
      <c r="AM5" s="1690"/>
      <c r="AN5" s="1690"/>
      <c r="AO5" s="1690"/>
      <c r="AP5" s="1690"/>
      <c r="AQ5" s="1690"/>
      <c r="AR5" s="1690"/>
      <c r="AS5" s="1690"/>
      <c r="AT5" s="1690"/>
    </row>
    <row r="6">
      <c r="A6" s="1419"/>
      <c r="B6" s="1684" t="s">
        <v>4402</v>
      </c>
      <c r="C6" s="1685" t="s">
        <v>4403</v>
      </c>
      <c r="D6" s="1685" t="s">
        <v>4178</v>
      </c>
      <c r="E6" s="1684" t="s">
        <v>690</v>
      </c>
      <c r="F6" s="1685" t="s">
        <v>4217</v>
      </c>
      <c r="G6" s="1686">
        <v>10.0</v>
      </c>
      <c r="H6" s="1686">
        <v>11.0</v>
      </c>
      <c r="I6" s="1686">
        <v>40.0</v>
      </c>
      <c r="J6" s="1691"/>
      <c r="K6" s="1691"/>
      <c r="L6" s="1691"/>
      <c r="M6" s="1691"/>
      <c r="N6" s="1691"/>
      <c r="O6" s="1686">
        <v>14.0</v>
      </c>
      <c r="P6" s="1686">
        <v>10.0</v>
      </c>
      <c r="Q6" s="1686">
        <v>13.0</v>
      </c>
      <c r="R6" s="1686">
        <v>2.0</v>
      </c>
      <c r="S6" s="1686">
        <v>10.0</v>
      </c>
      <c r="T6" s="1686">
        <v>5.0</v>
      </c>
      <c r="U6" s="1691"/>
      <c r="V6" s="1691"/>
      <c r="W6" s="1691"/>
      <c r="X6" s="1691"/>
      <c r="Y6" s="1691"/>
      <c r="Z6" s="1686"/>
      <c r="AA6" s="1686"/>
      <c r="AB6" s="1686"/>
      <c r="AC6" s="1686"/>
      <c r="AD6" s="1686" t="s">
        <v>4404</v>
      </c>
      <c r="AE6" s="1686"/>
      <c r="AF6" s="1686"/>
      <c r="AG6" s="1686"/>
      <c r="AH6" s="1684" t="s">
        <v>4405</v>
      </c>
      <c r="AI6" s="1685"/>
      <c r="AJ6" s="1686"/>
      <c r="AK6" s="1686"/>
      <c r="AL6" s="1686"/>
      <c r="AM6" s="1686"/>
      <c r="AN6" s="1686"/>
      <c r="AO6" s="1686"/>
      <c r="AP6" s="1686"/>
      <c r="AQ6" s="1686"/>
      <c r="AR6" s="1686"/>
      <c r="AS6" s="1686"/>
      <c r="AT6" s="1686"/>
    </row>
    <row r="7">
      <c r="A7" s="1419"/>
      <c r="B7" s="1687" t="s">
        <v>4406</v>
      </c>
      <c r="C7" s="1688" t="s">
        <v>4407</v>
      </c>
      <c r="D7" s="1688" t="s">
        <v>4178</v>
      </c>
      <c r="E7" s="1687" t="s">
        <v>690</v>
      </c>
      <c r="F7" s="1688" t="s">
        <v>4217</v>
      </c>
      <c r="G7" s="1690">
        <v>10.0</v>
      </c>
      <c r="H7" s="1690">
        <v>11.0</v>
      </c>
      <c r="I7" s="1690">
        <v>40.0</v>
      </c>
      <c r="J7" s="1689"/>
      <c r="K7" s="1689"/>
      <c r="L7" s="1689"/>
      <c r="M7" s="1689"/>
      <c r="N7" s="1689"/>
      <c r="O7" s="1690">
        <v>15.0</v>
      </c>
      <c r="P7" s="1690">
        <v>10.0</v>
      </c>
      <c r="Q7" s="1690">
        <v>13.0</v>
      </c>
      <c r="R7" s="1690">
        <v>2.0</v>
      </c>
      <c r="S7" s="1690">
        <v>11.0</v>
      </c>
      <c r="T7" s="1690">
        <v>7.0</v>
      </c>
      <c r="U7" s="1689"/>
      <c r="V7" s="1689"/>
      <c r="W7" s="1689"/>
      <c r="X7" s="1689"/>
      <c r="Y7" s="1689"/>
      <c r="Z7" s="1690"/>
      <c r="AA7" s="1690"/>
      <c r="AB7" s="1690"/>
      <c r="AC7" s="1690"/>
      <c r="AD7" s="1690"/>
      <c r="AE7" s="1690"/>
      <c r="AF7" s="1690"/>
      <c r="AG7" s="1690"/>
      <c r="AH7" s="1687" t="s">
        <v>4408</v>
      </c>
      <c r="AI7" s="1688"/>
      <c r="AJ7" s="1690"/>
      <c r="AK7" s="1690"/>
      <c r="AL7" s="1690"/>
      <c r="AM7" s="1690"/>
      <c r="AN7" s="1690"/>
      <c r="AO7" s="1690"/>
      <c r="AP7" s="1690"/>
      <c r="AQ7" s="1690"/>
      <c r="AR7" s="1690"/>
      <c r="AS7" s="1690"/>
      <c r="AT7" s="1690"/>
    </row>
    <row r="8">
      <c r="A8" s="1419"/>
      <c r="B8" s="1684" t="s">
        <v>4409</v>
      </c>
      <c r="C8" s="1685" t="s">
        <v>4410</v>
      </c>
      <c r="D8" s="1685" t="s">
        <v>4178</v>
      </c>
      <c r="E8" s="1684" t="s">
        <v>4182</v>
      </c>
      <c r="F8" s="1685" t="s">
        <v>4217</v>
      </c>
      <c r="G8" s="1686">
        <v>11.0</v>
      </c>
      <c r="H8" s="1686">
        <v>13.0</v>
      </c>
      <c r="I8" s="1686">
        <v>60.0</v>
      </c>
      <c r="J8" s="1691"/>
      <c r="K8" s="1691"/>
      <c r="L8" s="1691"/>
      <c r="M8" s="1691"/>
      <c r="N8" s="1691"/>
      <c r="O8" s="1686">
        <v>16.0</v>
      </c>
      <c r="P8" s="1686">
        <v>13.0</v>
      </c>
      <c r="Q8" s="1686">
        <v>12.0</v>
      </c>
      <c r="R8" s="1686">
        <v>2.0</v>
      </c>
      <c r="S8" s="1686">
        <v>11.0</v>
      </c>
      <c r="T8" s="1686">
        <v>7.0</v>
      </c>
      <c r="U8" s="1691"/>
      <c r="V8" s="1691"/>
      <c r="W8" s="1691"/>
      <c r="X8" s="1691"/>
      <c r="Y8" s="1691"/>
      <c r="Z8" s="1686"/>
      <c r="AA8" s="1686"/>
      <c r="AB8" s="1686"/>
      <c r="AC8" s="1686"/>
      <c r="AD8" s="1686"/>
      <c r="AE8" s="1686"/>
      <c r="AF8" s="1686"/>
      <c r="AG8" s="1686"/>
      <c r="AH8" s="1684" t="s">
        <v>4411</v>
      </c>
      <c r="AI8" s="1685"/>
      <c r="AJ8" s="1686"/>
      <c r="AK8" s="1686"/>
      <c r="AL8" s="1686"/>
      <c r="AM8" s="1686"/>
      <c r="AN8" s="1686"/>
      <c r="AO8" s="1686"/>
      <c r="AP8" s="1686"/>
      <c r="AQ8" s="1686"/>
      <c r="AR8" s="1686"/>
      <c r="AS8" s="1686"/>
      <c r="AT8" s="1686"/>
    </row>
    <row r="9">
      <c r="A9" s="1419"/>
      <c r="B9" s="1687" t="s">
        <v>4412</v>
      </c>
      <c r="C9" s="1688" t="s">
        <v>4413</v>
      </c>
      <c r="D9" s="1688" t="s">
        <v>4178</v>
      </c>
      <c r="E9" s="1687" t="s">
        <v>4182</v>
      </c>
      <c r="F9" s="1688" t="s">
        <v>4217</v>
      </c>
      <c r="G9" s="1690">
        <v>11.0</v>
      </c>
      <c r="H9" s="1690">
        <v>19.0</v>
      </c>
      <c r="I9" s="1690">
        <v>60.0</v>
      </c>
      <c r="J9" s="1690"/>
      <c r="K9" s="1690"/>
      <c r="L9" s="1690"/>
      <c r="M9" s="1690"/>
      <c r="N9" s="1690"/>
      <c r="O9" s="1690">
        <v>18.0</v>
      </c>
      <c r="P9" s="1690">
        <v>12.0</v>
      </c>
      <c r="Q9" s="1690">
        <v>13.0</v>
      </c>
      <c r="R9" s="1690">
        <v>2.0</v>
      </c>
      <c r="S9" s="1690">
        <v>12.0</v>
      </c>
      <c r="T9" s="1690">
        <v>7.0</v>
      </c>
      <c r="U9" s="1690"/>
      <c r="V9" s="1690"/>
      <c r="W9" s="1690"/>
      <c r="X9" s="1690"/>
      <c r="Y9" s="1690"/>
      <c r="Z9" s="1690"/>
      <c r="AA9" s="1690"/>
      <c r="AB9" s="1690"/>
      <c r="AC9" s="1690"/>
      <c r="AD9" s="1690"/>
      <c r="AE9" s="1690"/>
      <c r="AF9" s="1690"/>
      <c r="AG9" s="1690"/>
      <c r="AH9" s="1687" t="s">
        <v>4414</v>
      </c>
      <c r="AI9" s="1688"/>
      <c r="AJ9" s="1690"/>
      <c r="AK9" s="1690"/>
      <c r="AL9" s="1690"/>
      <c r="AM9" s="1690"/>
      <c r="AN9" s="1690"/>
      <c r="AO9" s="1690"/>
      <c r="AP9" s="1690"/>
      <c r="AQ9" s="1690"/>
      <c r="AR9" s="1690"/>
      <c r="AS9" s="1690"/>
      <c r="AT9" s="1690"/>
    </row>
    <row r="10">
      <c r="A10" s="1419"/>
      <c r="B10" s="1684"/>
      <c r="C10" s="1685"/>
      <c r="D10" s="1685"/>
      <c r="E10" s="1686"/>
      <c r="F10" s="1686"/>
      <c r="G10" s="1686"/>
      <c r="H10" s="1686"/>
      <c r="I10" s="1686"/>
      <c r="J10" s="1686"/>
      <c r="K10" s="1686"/>
      <c r="L10" s="1686"/>
      <c r="M10" s="1686"/>
      <c r="N10" s="1686"/>
      <c r="O10" s="1686"/>
      <c r="P10" s="1686"/>
      <c r="Q10" s="1686"/>
      <c r="R10" s="1686"/>
      <c r="S10" s="1686"/>
      <c r="T10" s="1686"/>
      <c r="U10" s="1686"/>
      <c r="V10" s="1686"/>
      <c r="W10" s="1686"/>
      <c r="X10" s="1686"/>
      <c r="Y10" s="1686"/>
      <c r="Z10" s="1686"/>
      <c r="AA10" s="1686"/>
      <c r="AB10" s="1686"/>
      <c r="AC10" s="1686"/>
      <c r="AD10" s="1686"/>
      <c r="AE10" s="1686"/>
      <c r="AF10" s="1686"/>
      <c r="AG10" s="1686"/>
      <c r="AH10" s="1686"/>
      <c r="AI10" s="1686"/>
      <c r="AJ10" s="1686"/>
      <c r="AK10" s="1686"/>
      <c r="AL10" s="1686"/>
      <c r="AM10" s="1686"/>
      <c r="AN10" s="1686"/>
      <c r="AO10" s="1686"/>
      <c r="AP10" s="1686"/>
      <c r="AQ10" s="1686"/>
      <c r="AR10" s="1686"/>
      <c r="AS10" s="1686"/>
      <c r="AT10" s="1686"/>
    </row>
    <row r="11">
      <c r="A11" s="1419"/>
      <c r="B11" s="1687"/>
      <c r="C11" s="1688"/>
      <c r="D11" s="1688"/>
      <c r="E11" s="1689"/>
      <c r="F11" s="1689"/>
      <c r="G11" s="1689"/>
      <c r="H11" s="1689"/>
      <c r="I11" s="1689"/>
      <c r="J11" s="1689"/>
      <c r="K11" s="1689"/>
      <c r="L11" s="1689"/>
      <c r="M11" s="1689"/>
      <c r="N11" s="1689"/>
      <c r="O11" s="1689"/>
      <c r="P11" s="1689"/>
      <c r="Q11" s="1689"/>
      <c r="R11" s="1689"/>
      <c r="S11" s="1689"/>
      <c r="T11" s="1689"/>
      <c r="U11" s="1689"/>
      <c r="V11" s="1689"/>
      <c r="W11" s="1689"/>
      <c r="X11" s="1689"/>
      <c r="Y11" s="1689"/>
      <c r="Z11" s="1690"/>
      <c r="AA11" s="1690"/>
      <c r="AB11" s="1690"/>
      <c r="AC11" s="1690"/>
      <c r="AD11" s="1690"/>
      <c r="AE11" s="1690"/>
      <c r="AF11" s="1690"/>
      <c r="AG11" s="1690"/>
      <c r="AH11" s="1690"/>
      <c r="AI11" s="1690"/>
      <c r="AJ11" s="1690"/>
      <c r="AK11" s="1690"/>
      <c r="AL11" s="1690"/>
      <c r="AM11" s="1690"/>
      <c r="AN11" s="1690"/>
      <c r="AO11" s="1690"/>
      <c r="AP11" s="1690"/>
      <c r="AQ11" s="1690"/>
      <c r="AR11" s="1690"/>
      <c r="AS11" s="1690"/>
      <c r="AT11" s="1690"/>
    </row>
    <row r="12">
      <c r="A12" s="1419"/>
      <c r="B12" s="1684"/>
      <c r="C12" s="1685"/>
      <c r="D12" s="1685"/>
      <c r="E12" s="1686"/>
      <c r="F12" s="1686"/>
      <c r="G12" s="1686"/>
      <c r="H12" s="1686"/>
      <c r="I12" s="1686"/>
      <c r="J12" s="1686"/>
      <c r="K12" s="1686"/>
      <c r="L12" s="1686"/>
      <c r="M12" s="1686"/>
      <c r="N12" s="1686"/>
      <c r="O12" s="1686"/>
      <c r="P12" s="1686"/>
      <c r="Q12" s="1686"/>
      <c r="R12" s="1686"/>
      <c r="S12" s="1686"/>
      <c r="T12" s="1686"/>
      <c r="U12" s="1686"/>
      <c r="V12" s="1686"/>
      <c r="W12" s="1686"/>
      <c r="X12" s="1686"/>
      <c r="Y12" s="1686"/>
      <c r="Z12" s="1686"/>
      <c r="AA12" s="1686"/>
      <c r="AB12" s="1686"/>
      <c r="AC12" s="1686"/>
      <c r="AD12" s="1686"/>
      <c r="AE12" s="1686"/>
      <c r="AF12" s="1686"/>
      <c r="AG12" s="1686"/>
      <c r="AH12" s="1686"/>
      <c r="AI12" s="1686"/>
      <c r="AJ12" s="1686"/>
      <c r="AK12" s="1686"/>
      <c r="AL12" s="1686"/>
      <c r="AM12" s="1686"/>
      <c r="AN12" s="1686"/>
      <c r="AO12" s="1686"/>
      <c r="AP12" s="1686"/>
      <c r="AQ12" s="1686"/>
      <c r="AR12" s="1686"/>
      <c r="AS12" s="1686"/>
      <c r="AT12" s="1686"/>
    </row>
    <row r="13">
      <c r="A13" s="1419"/>
      <c r="B13" s="1687"/>
      <c r="C13" s="1688"/>
      <c r="D13" s="1688"/>
      <c r="E13" s="1689"/>
      <c r="F13" s="1689"/>
      <c r="G13" s="1689"/>
      <c r="H13" s="1689"/>
      <c r="I13" s="1689"/>
      <c r="J13" s="1689"/>
      <c r="K13" s="1689"/>
      <c r="L13" s="1689"/>
      <c r="M13" s="1689"/>
      <c r="N13" s="1689"/>
      <c r="O13" s="1689"/>
      <c r="P13" s="1689"/>
      <c r="Q13" s="1689"/>
      <c r="R13" s="1689"/>
      <c r="S13" s="1689"/>
      <c r="T13" s="1689"/>
      <c r="U13" s="1689"/>
      <c r="V13" s="1689"/>
      <c r="W13" s="1689"/>
      <c r="X13" s="1689"/>
      <c r="Y13" s="1689"/>
      <c r="Z13" s="1690"/>
      <c r="AA13" s="1690"/>
      <c r="AB13" s="1690"/>
      <c r="AC13" s="1690"/>
      <c r="AD13" s="1690"/>
      <c r="AE13" s="1690"/>
      <c r="AF13" s="1690"/>
      <c r="AG13" s="1690"/>
      <c r="AH13" s="1690"/>
      <c r="AI13" s="1690"/>
      <c r="AJ13" s="1690"/>
      <c r="AK13" s="1690"/>
      <c r="AL13" s="1690"/>
      <c r="AM13" s="1690"/>
      <c r="AN13" s="1690"/>
      <c r="AO13" s="1690"/>
      <c r="AP13" s="1690"/>
      <c r="AQ13" s="1690"/>
      <c r="AR13" s="1690"/>
      <c r="AS13" s="1690"/>
      <c r="AT13" s="1690"/>
    </row>
    <row r="14">
      <c r="A14" s="1419"/>
      <c r="B14" s="1684"/>
      <c r="C14" s="1685"/>
      <c r="D14" s="1685"/>
      <c r="E14" s="1691"/>
      <c r="F14" s="1691"/>
      <c r="G14" s="1691"/>
      <c r="H14" s="1691"/>
      <c r="I14" s="1691"/>
      <c r="J14" s="1691"/>
      <c r="K14" s="1691"/>
      <c r="L14" s="1691"/>
      <c r="M14" s="1691"/>
      <c r="N14" s="1691"/>
      <c r="O14" s="1691"/>
      <c r="P14" s="1691"/>
      <c r="Q14" s="1691"/>
      <c r="R14" s="1691"/>
      <c r="S14" s="1691"/>
      <c r="T14" s="1686"/>
      <c r="U14" s="1691"/>
      <c r="V14" s="1691"/>
      <c r="W14" s="1691"/>
      <c r="X14" s="1691"/>
      <c r="Y14" s="1691"/>
      <c r="Z14" s="1686"/>
      <c r="AA14" s="1686"/>
      <c r="AB14" s="1686"/>
      <c r="AC14" s="1686"/>
      <c r="AD14" s="1686"/>
      <c r="AE14" s="1686"/>
      <c r="AF14" s="1686"/>
      <c r="AG14" s="1686"/>
      <c r="AH14" s="1686"/>
      <c r="AI14" s="1686"/>
      <c r="AJ14" s="1686"/>
      <c r="AK14" s="1686"/>
      <c r="AL14" s="1686"/>
      <c r="AM14" s="1686"/>
      <c r="AN14" s="1686"/>
      <c r="AO14" s="1686"/>
      <c r="AP14" s="1686"/>
      <c r="AQ14" s="1686"/>
      <c r="AR14" s="1686"/>
      <c r="AS14" s="1686"/>
      <c r="AT14" s="1686"/>
    </row>
    <row r="15">
      <c r="A15" s="1419"/>
      <c r="B15" s="1687"/>
      <c r="C15" s="1688"/>
      <c r="D15" s="1688"/>
      <c r="E15" s="1689"/>
      <c r="F15" s="1689"/>
      <c r="G15" s="1689"/>
      <c r="H15" s="1689"/>
      <c r="I15" s="1689"/>
      <c r="J15" s="1689"/>
      <c r="K15" s="1689"/>
      <c r="L15" s="1689"/>
      <c r="M15" s="1689"/>
      <c r="N15" s="1689"/>
      <c r="O15" s="1689"/>
      <c r="P15" s="1689"/>
      <c r="Q15" s="1689"/>
      <c r="R15" s="1689"/>
      <c r="S15" s="1689"/>
      <c r="T15" s="1689"/>
      <c r="U15" s="1689"/>
      <c r="V15" s="1689"/>
      <c r="W15" s="1689"/>
      <c r="X15" s="1689"/>
      <c r="Y15" s="1689"/>
      <c r="Z15" s="1690"/>
      <c r="AA15" s="1690"/>
      <c r="AB15" s="1690"/>
      <c r="AC15" s="1690"/>
      <c r="AD15" s="1690"/>
      <c r="AE15" s="1690"/>
      <c r="AF15" s="1690"/>
      <c r="AG15" s="1690"/>
      <c r="AH15" s="1690"/>
      <c r="AI15" s="1690"/>
      <c r="AJ15" s="1690"/>
      <c r="AK15" s="1690"/>
      <c r="AL15" s="1690"/>
      <c r="AM15" s="1690"/>
      <c r="AN15" s="1690"/>
      <c r="AO15" s="1690"/>
      <c r="AP15" s="1690"/>
      <c r="AQ15" s="1690"/>
      <c r="AR15" s="1690"/>
      <c r="AS15" s="1690"/>
      <c r="AT15" s="1690"/>
    </row>
    <row r="16">
      <c r="A16" s="1419"/>
      <c r="B16" s="1684"/>
      <c r="C16" s="1685"/>
      <c r="D16" s="1685"/>
      <c r="E16" s="1686"/>
      <c r="F16" s="1686"/>
      <c r="G16" s="1686"/>
      <c r="H16" s="1686"/>
      <c r="I16" s="1686"/>
      <c r="J16" s="1686"/>
      <c r="K16" s="1686"/>
      <c r="L16" s="1686"/>
      <c r="M16" s="1686"/>
      <c r="N16" s="1686"/>
      <c r="O16" s="1686"/>
      <c r="P16" s="1686"/>
      <c r="Q16" s="1686"/>
      <c r="R16" s="1686"/>
      <c r="S16" s="1686"/>
      <c r="T16" s="1686"/>
      <c r="U16" s="1686"/>
      <c r="V16" s="1686"/>
      <c r="W16" s="1686"/>
      <c r="X16" s="1686"/>
      <c r="Y16" s="1686"/>
      <c r="Z16" s="1686"/>
      <c r="AA16" s="1686"/>
      <c r="AB16" s="1686"/>
      <c r="AC16" s="1686"/>
      <c r="AD16" s="1686"/>
      <c r="AE16" s="1686"/>
      <c r="AF16" s="1686"/>
      <c r="AG16" s="1686"/>
      <c r="AH16" s="1686"/>
      <c r="AI16" s="1686"/>
      <c r="AJ16" s="1686"/>
      <c r="AK16" s="1686"/>
      <c r="AL16" s="1686"/>
      <c r="AM16" s="1686"/>
      <c r="AN16" s="1686"/>
      <c r="AO16" s="1686"/>
      <c r="AP16" s="1686"/>
      <c r="AQ16" s="1686"/>
      <c r="AR16" s="1686"/>
      <c r="AS16" s="1686"/>
      <c r="AT16" s="1686"/>
    </row>
    <row r="17">
      <c r="A17" s="1419"/>
      <c r="B17" s="1687"/>
      <c r="C17" s="1688"/>
      <c r="D17" s="1688"/>
      <c r="E17" s="1690"/>
      <c r="F17" s="1690"/>
      <c r="G17" s="1690"/>
      <c r="H17" s="1690"/>
      <c r="I17" s="1690"/>
      <c r="J17" s="1690"/>
      <c r="K17" s="1690"/>
      <c r="L17" s="1690"/>
      <c r="M17" s="1690"/>
      <c r="N17" s="1690"/>
      <c r="O17" s="1690"/>
      <c r="P17" s="1690"/>
      <c r="Q17" s="1690"/>
      <c r="R17" s="1690"/>
      <c r="S17" s="1690"/>
      <c r="T17" s="1690"/>
      <c r="U17" s="1690"/>
      <c r="V17" s="1690"/>
      <c r="W17" s="1690"/>
      <c r="X17" s="1690"/>
      <c r="Y17" s="1690"/>
      <c r="Z17" s="1690"/>
      <c r="AA17" s="1690"/>
      <c r="AB17" s="1690"/>
      <c r="AC17" s="1690"/>
      <c r="AD17" s="1690"/>
      <c r="AE17" s="1690"/>
      <c r="AF17" s="1690"/>
      <c r="AG17" s="1690"/>
      <c r="AH17" s="1690"/>
      <c r="AI17" s="1690"/>
      <c r="AJ17" s="1690"/>
      <c r="AK17" s="1690"/>
      <c r="AL17" s="1690"/>
      <c r="AM17" s="1690"/>
      <c r="AN17" s="1690"/>
      <c r="AO17" s="1690"/>
      <c r="AP17" s="1690"/>
      <c r="AQ17" s="1690"/>
      <c r="AR17" s="1690"/>
      <c r="AS17" s="1690"/>
      <c r="AT17" s="1690"/>
    </row>
    <row r="18">
      <c r="A18" s="1419"/>
      <c r="B18" s="1684"/>
      <c r="C18" s="1685"/>
      <c r="D18" s="1685"/>
      <c r="E18" s="1691"/>
      <c r="F18" s="1691"/>
      <c r="G18" s="1691"/>
      <c r="H18" s="1691"/>
      <c r="I18" s="1691"/>
      <c r="J18" s="1691"/>
      <c r="K18" s="1691"/>
      <c r="L18" s="1691"/>
      <c r="M18" s="1691"/>
      <c r="N18" s="1691"/>
      <c r="O18" s="1691"/>
      <c r="P18" s="1691"/>
      <c r="Q18" s="1691"/>
      <c r="R18" s="1691"/>
      <c r="S18" s="1691"/>
      <c r="T18" s="1691"/>
      <c r="U18" s="1691"/>
      <c r="V18" s="1691"/>
      <c r="W18" s="1691"/>
      <c r="X18" s="1691"/>
      <c r="Y18" s="1691"/>
      <c r="Z18" s="1686"/>
      <c r="AA18" s="1686"/>
      <c r="AB18" s="1686"/>
      <c r="AC18" s="1686"/>
      <c r="AD18" s="1686"/>
      <c r="AE18" s="1686"/>
      <c r="AF18" s="1686"/>
      <c r="AG18" s="1686"/>
      <c r="AH18" s="1686"/>
      <c r="AI18" s="1686"/>
      <c r="AJ18" s="1686"/>
      <c r="AK18" s="1686"/>
      <c r="AL18" s="1686"/>
      <c r="AM18" s="1686"/>
      <c r="AN18" s="1686"/>
      <c r="AO18" s="1686"/>
      <c r="AP18" s="1686"/>
      <c r="AQ18" s="1686"/>
      <c r="AR18" s="1686"/>
      <c r="AS18" s="1686"/>
      <c r="AT18" s="1686"/>
    </row>
    <row r="19">
      <c r="A19" s="1419"/>
      <c r="B19" s="1687"/>
      <c r="C19" s="1688"/>
      <c r="D19" s="1688"/>
      <c r="E19" s="1689"/>
      <c r="F19" s="1689"/>
      <c r="G19" s="1689"/>
      <c r="H19" s="1689"/>
      <c r="I19" s="1689"/>
      <c r="J19" s="1689"/>
      <c r="K19" s="1689"/>
      <c r="L19" s="1689"/>
      <c r="M19" s="1689"/>
      <c r="N19" s="1689"/>
      <c r="O19" s="1689"/>
      <c r="P19" s="1689"/>
      <c r="Q19" s="1689"/>
      <c r="R19" s="1689"/>
      <c r="S19" s="1689"/>
      <c r="T19" s="1689"/>
      <c r="U19" s="1689"/>
      <c r="V19" s="1689"/>
      <c r="W19" s="1689"/>
      <c r="X19" s="1689"/>
      <c r="Y19" s="1689"/>
      <c r="Z19" s="1690"/>
      <c r="AA19" s="1690"/>
      <c r="AB19" s="1690"/>
      <c r="AC19" s="1690"/>
      <c r="AD19" s="1690"/>
      <c r="AE19" s="1690"/>
      <c r="AF19" s="1690"/>
      <c r="AG19" s="1690"/>
      <c r="AH19" s="1690"/>
      <c r="AI19" s="1690"/>
      <c r="AJ19" s="1690"/>
      <c r="AK19" s="1690"/>
      <c r="AL19" s="1690"/>
      <c r="AM19" s="1690"/>
      <c r="AN19" s="1690"/>
      <c r="AO19" s="1690"/>
      <c r="AP19" s="1690"/>
      <c r="AQ19" s="1690"/>
      <c r="AR19" s="1690"/>
      <c r="AS19" s="1690"/>
      <c r="AT19" s="1690"/>
    </row>
    <row r="20">
      <c r="A20" s="1419"/>
      <c r="B20" s="1684"/>
      <c r="C20" s="1685"/>
      <c r="D20" s="1685"/>
      <c r="E20" s="1686"/>
      <c r="F20" s="1686"/>
      <c r="G20" s="1686"/>
      <c r="H20" s="1686"/>
      <c r="I20" s="1686"/>
      <c r="J20" s="1686"/>
      <c r="K20" s="1686"/>
      <c r="L20" s="1686"/>
      <c r="M20" s="1686"/>
      <c r="N20" s="1686"/>
      <c r="O20" s="1686"/>
      <c r="P20" s="1686"/>
      <c r="Q20" s="1686"/>
      <c r="R20" s="1686"/>
      <c r="S20" s="1686"/>
      <c r="T20" s="1686"/>
      <c r="U20" s="1686"/>
      <c r="V20" s="1686"/>
      <c r="W20" s="1686"/>
      <c r="X20" s="1686"/>
      <c r="Y20" s="1686"/>
      <c r="Z20" s="1686"/>
      <c r="AA20" s="1686"/>
      <c r="AB20" s="1686"/>
      <c r="AC20" s="1686"/>
      <c r="AD20" s="1686"/>
      <c r="AE20" s="1686"/>
      <c r="AF20" s="1686"/>
      <c r="AG20" s="1686"/>
      <c r="AH20" s="1686"/>
      <c r="AI20" s="1686"/>
      <c r="AJ20" s="1686"/>
      <c r="AK20" s="1686"/>
      <c r="AL20" s="1686"/>
      <c r="AM20" s="1686"/>
      <c r="AN20" s="1686"/>
      <c r="AO20" s="1686"/>
      <c r="AP20" s="1686"/>
      <c r="AQ20" s="1686"/>
      <c r="AR20" s="1686"/>
      <c r="AS20" s="1686"/>
      <c r="AT20" s="1686"/>
    </row>
    <row r="21">
      <c r="A21" s="1419"/>
      <c r="B21" s="1687"/>
      <c r="C21" s="1688"/>
      <c r="D21" s="1688"/>
      <c r="E21" s="1689"/>
      <c r="F21" s="1689"/>
      <c r="G21" s="1689"/>
      <c r="H21" s="1689"/>
      <c r="I21" s="1689"/>
      <c r="J21" s="1689"/>
      <c r="K21" s="1689"/>
      <c r="L21" s="1689"/>
      <c r="M21" s="1689"/>
      <c r="N21" s="1689"/>
      <c r="O21" s="1689"/>
      <c r="P21" s="1689"/>
      <c r="Q21" s="1689"/>
      <c r="R21" s="1689"/>
      <c r="S21" s="1689"/>
      <c r="T21" s="1689"/>
      <c r="U21" s="1689"/>
      <c r="V21" s="1689"/>
      <c r="W21" s="1689"/>
      <c r="X21" s="1689"/>
      <c r="Y21" s="1689"/>
      <c r="Z21" s="1690"/>
      <c r="AA21" s="1690"/>
      <c r="AB21" s="1690"/>
      <c r="AC21" s="1690"/>
      <c r="AD21" s="1690"/>
      <c r="AE21" s="1690"/>
      <c r="AF21" s="1690"/>
      <c r="AG21" s="1690"/>
      <c r="AH21" s="1690"/>
      <c r="AI21" s="1690"/>
      <c r="AJ21" s="1690"/>
      <c r="AK21" s="1690"/>
      <c r="AL21" s="1690"/>
      <c r="AM21" s="1690"/>
      <c r="AN21" s="1690"/>
      <c r="AO21" s="1690"/>
      <c r="AP21" s="1690"/>
      <c r="AQ21" s="1690"/>
      <c r="AR21" s="1690"/>
      <c r="AS21" s="1690"/>
      <c r="AT21" s="1690"/>
    </row>
    <row r="22">
      <c r="A22" s="1419"/>
      <c r="B22" s="1684"/>
      <c r="C22" s="1685"/>
      <c r="D22" s="1685"/>
      <c r="E22" s="1691"/>
      <c r="F22" s="1691"/>
      <c r="G22" s="1691"/>
      <c r="H22" s="1691"/>
      <c r="I22" s="1691"/>
      <c r="J22" s="1691"/>
      <c r="K22" s="1691"/>
      <c r="L22" s="1691"/>
      <c r="M22" s="1691"/>
      <c r="N22" s="1691"/>
      <c r="O22" s="1691"/>
      <c r="P22" s="1691"/>
      <c r="Q22" s="1691"/>
      <c r="R22" s="1691"/>
      <c r="S22" s="1691"/>
      <c r="T22" s="1691"/>
      <c r="U22" s="1691"/>
      <c r="V22" s="1691"/>
      <c r="W22" s="1691"/>
      <c r="X22" s="1691"/>
      <c r="Y22" s="1691"/>
      <c r="Z22" s="1686"/>
      <c r="AA22" s="1686"/>
      <c r="AB22" s="1686"/>
      <c r="AC22" s="1686"/>
      <c r="AD22" s="1686"/>
      <c r="AE22" s="1686"/>
      <c r="AF22" s="1686"/>
      <c r="AG22" s="1686"/>
      <c r="AH22" s="1686"/>
      <c r="AI22" s="1686"/>
      <c r="AJ22" s="1686"/>
      <c r="AK22" s="1686"/>
      <c r="AL22" s="1686"/>
      <c r="AM22" s="1686"/>
      <c r="AN22" s="1686"/>
      <c r="AO22" s="1686"/>
      <c r="AP22" s="1686"/>
      <c r="AQ22" s="1686"/>
      <c r="AR22" s="1686"/>
      <c r="AS22" s="1686"/>
      <c r="AT22" s="1686"/>
    </row>
    <row r="23">
      <c r="A23" s="1419"/>
      <c r="B23" s="1687"/>
      <c r="C23" s="1688"/>
      <c r="D23" s="1688"/>
      <c r="E23" s="1689"/>
      <c r="F23" s="1689"/>
      <c r="G23" s="1689"/>
      <c r="H23" s="1689"/>
      <c r="I23" s="1689"/>
      <c r="J23" s="1689"/>
      <c r="K23" s="1689"/>
      <c r="L23" s="1689"/>
      <c r="M23" s="1689"/>
      <c r="N23" s="1689"/>
      <c r="O23" s="1689"/>
      <c r="P23" s="1689"/>
      <c r="Q23" s="1689"/>
      <c r="R23" s="1689"/>
      <c r="S23" s="1689"/>
      <c r="T23" s="1689"/>
      <c r="U23" s="1689"/>
      <c r="V23" s="1689"/>
      <c r="W23" s="1689"/>
      <c r="X23" s="1689"/>
      <c r="Y23" s="1689"/>
      <c r="Z23" s="1690"/>
      <c r="AA23" s="1690"/>
      <c r="AB23" s="1690"/>
      <c r="AC23" s="1690"/>
      <c r="AD23" s="1690"/>
      <c r="AE23" s="1690"/>
      <c r="AF23" s="1690"/>
      <c r="AG23" s="1690"/>
      <c r="AH23" s="1690"/>
      <c r="AI23" s="1690"/>
      <c r="AJ23" s="1690"/>
      <c r="AK23" s="1690"/>
      <c r="AL23" s="1690"/>
      <c r="AM23" s="1690"/>
      <c r="AN23" s="1690"/>
      <c r="AO23" s="1690"/>
      <c r="AP23" s="1690"/>
      <c r="AQ23" s="1690"/>
      <c r="AR23" s="1690"/>
      <c r="AS23" s="1690"/>
      <c r="AT23" s="1690"/>
    </row>
    <row r="24">
      <c r="A24" s="1419"/>
      <c r="B24" s="1684"/>
      <c r="C24" s="1685"/>
      <c r="D24" s="1685"/>
      <c r="E24" s="1686"/>
      <c r="F24" s="1686"/>
      <c r="G24" s="1686"/>
      <c r="H24" s="1686"/>
      <c r="I24" s="1686"/>
      <c r="J24" s="1686"/>
      <c r="K24" s="1686"/>
      <c r="L24" s="1686"/>
      <c r="M24" s="1686"/>
      <c r="N24" s="1686"/>
      <c r="O24" s="1686"/>
      <c r="P24" s="1686"/>
      <c r="Q24" s="1686"/>
      <c r="R24" s="1686"/>
      <c r="S24" s="1686"/>
      <c r="T24" s="1686"/>
      <c r="U24" s="1686"/>
      <c r="V24" s="1686"/>
      <c r="W24" s="1686"/>
      <c r="X24" s="1686"/>
      <c r="Y24" s="1686"/>
      <c r="Z24" s="1686"/>
      <c r="AA24" s="1686"/>
      <c r="AB24" s="1686"/>
      <c r="AC24" s="1686"/>
      <c r="AD24" s="1686"/>
      <c r="AE24" s="1686"/>
      <c r="AF24" s="1686"/>
      <c r="AG24" s="1686"/>
      <c r="AH24" s="1686"/>
      <c r="AI24" s="1686"/>
      <c r="AJ24" s="1686"/>
      <c r="AK24" s="1686"/>
      <c r="AL24" s="1686"/>
      <c r="AM24" s="1686"/>
      <c r="AN24" s="1686"/>
      <c r="AO24" s="1686"/>
      <c r="AP24" s="1686"/>
      <c r="AQ24" s="1686"/>
      <c r="AR24" s="1686"/>
      <c r="AS24" s="1686"/>
      <c r="AT24" s="1686"/>
    </row>
    <row r="25">
      <c r="A25" s="1419"/>
      <c r="B25" s="1687"/>
      <c r="C25" s="1688"/>
      <c r="D25" s="1688"/>
      <c r="E25" s="1689"/>
      <c r="F25" s="1689"/>
      <c r="G25" s="1689"/>
      <c r="H25" s="1689"/>
      <c r="I25" s="1689"/>
      <c r="J25" s="1689"/>
      <c r="K25" s="1689"/>
      <c r="L25" s="1689"/>
      <c r="M25" s="1689"/>
      <c r="N25" s="1689"/>
      <c r="O25" s="1689"/>
      <c r="P25" s="1689"/>
      <c r="Q25" s="1689"/>
      <c r="R25" s="1689"/>
      <c r="S25" s="1689"/>
      <c r="T25" s="1689"/>
      <c r="U25" s="1689"/>
      <c r="V25" s="1689"/>
      <c r="W25" s="1689"/>
      <c r="X25" s="1689"/>
      <c r="Y25" s="1689"/>
      <c r="Z25" s="1690"/>
      <c r="AA25" s="1690"/>
      <c r="AB25" s="1690"/>
      <c r="AC25" s="1690"/>
      <c r="AD25" s="1690"/>
      <c r="AE25" s="1690"/>
      <c r="AF25" s="1690"/>
      <c r="AG25" s="1690"/>
      <c r="AH25" s="1690"/>
      <c r="AI25" s="1690"/>
      <c r="AJ25" s="1690"/>
      <c r="AK25" s="1690"/>
      <c r="AL25" s="1690"/>
      <c r="AM25" s="1690"/>
      <c r="AN25" s="1690"/>
      <c r="AO25" s="1690"/>
      <c r="AP25" s="1690"/>
      <c r="AQ25" s="1690"/>
      <c r="AR25" s="1690"/>
      <c r="AS25" s="1690"/>
      <c r="AT25" s="1690"/>
    </row>
    <row r="26">
      <c r="A26" s="1419"/>
      <c r="B26" s="1684"/>
      <c r="C26" s="1685"/>
      <c r="D26" s="1685"/>
      <c r="E26" s="1691"/>
      <c r="F26" s="1691"/>
      <c r="G26" s="1691"/>
      <c r="H26" s="1691"/>
      <c r="I26" s="1691"/>
      <c r="J26" s="1691"/>
      <c r="K26" s="1691"/>
      <c r="L26" s="1691"/>
      <c r="M26" s="1691"/>
      <c r="N26" s="1691"/>
      <c r="O26" s="1691"/>
      <c r="P26" s="1691"/>
      <c r="Q26" s="1691"/>
      <c r="R26" s="1691"/>
      <c r="S26" s="1691"/>
      <c r="T26" s="1691"/>
      <c r="U26" s="1691"/>
      <c r="V26" s="1691"/>
      <c r="W26" s="1691"/>
      <c r="X26" s="1691"/>
      <c r="Y26" s="1691"/>
      <c r="Z26" s="1686"/>
      <c r="AA26" s="1686"/>
      <c r="AB26" s="1686"/>
      <c r="AC26" s="1686"/>
      <c r="AD26" s="1686"/>
      <c r="AE26" s="1686"/>
      <c r="AF26" s="1686"/>
      <c r="AG26" s="1686"/>
      <c r="AH26" s="1686"/>
      <c r="AI26" s="1686"/>
      <c r="AJ26" s="1686"/>
      <c r="AK26" s="1686"/>
      <c r="AL26" s="1686"/>
      <c r="AM26" s="1686"/>
      <c r="AN26" s="1686"/>
      <c r="AO26" s="1686"/>
      <c r="AP26" s="1686"/>
      <c r="AQ26" s="1686"/>
      <c r="AR26" s="1686"/>
      <c r="AS26" s="1686"/>
      <c r="AT26" s="1686"/>
    </row>
    <row r="27">
      <c r="A27" s="1419"/>
      <c r="B27" s="1687"/>
      <c r="C27" s="1688"/>
      <c r="D27" s="1688"/>
      <c r="E27" s="1689"/>
      <c r="F27" s="1689"/>
      <c r="G27" s="1689"/>
      <c r="H27" s="1689"/>
      <c r="I27" s="1689"/>
      <c r="J27" s="1689"/>
      <c r="K27" s="1689"/>
      <c r="L27" s="1689"/>
      <c r="M27" s="1689"/>
      <c r="N27" s="1689"/>
      <c r="O27" s="1689"/>
      <c r="P27" s="1689"/>
      <c r="Q27" s="1689"/>
      <c r="R27" s="1689"/>
      <c r="S27" s="1689"/>
      <c r="T27" s="1689"/>
      <c r="U27" s="1689"/>
      <c r="V27" s="1689"/>
      <c r="W27" s="1689"/>
      <c r="X27" s="1689"/>
      <c r="Y27" s="1689"/>
      <c r="Z27" s="1690"/>
      <c r="AA27" s="1690"/>
      <c r="AB27" s="1690"/>
      <c r="AC27" s="1690"/>
      <c r="AD27" s="1690"/>
      <c r="AE27" s="1690"/>
      <c r="AF27" s="1690"/>
      <c r="AG27" s="1690"/>
      <c r="AH27" s="1690"/>
      <c r="AI27" s="1690"/>
      <c r="AJ27" s="1690"/>
      <c r="AK27" s="1690"/>
      <c r="AL27" s="1690"/>
      <c r="AM27" s="1690"/>
      <c r="AN27" s="1690"/>
      <c r="AO27" s="1690"/>
      <c r="AP27" s="1690"/>
      <c r="AQ27" s="1690"/>
      <c r="AR27" s="1690"/>
      <c r="AS27" s="1690"/>
      <c r="AT27" s="1690"/>
    </row>
    <row r="28">
      <c r="A28" s="1419"/>
      <c r="B28" s="1684"/>
      <c r="C28" s="1685"/>
      <c r="D28" s="1685"/>
      <c r="E28" s="1691"/>
      <c r="F28" s="1691"/>
      <c r="G28" s="1691"/>
      <c r="H28" s="1691"/>
      <c r="I28" s="1691"/>
      <c r="J28" s="1691"/>
      <c r="K28" s="1691"/>
      <c r="L28" s="1691"/>
      <c r="M28" s="1691"/>
      <c r="N28" s="1691"/>
      <c r="O28" s="1691"/>
      <c r="P28" s="1691"/>
      <c r="Q28" s="1691"/>
      <c r="R28" s="1691"/>
      <c r="S28" s="1691"/>
      <c r="T28" s="1691"/>
      <c r="U28" s="1691"/>
      <c r="V28" s="1691"/>
      <c r="W28" s="1691"/>
      <c r="X28" s="1691"/>
      <c r="Y28" s="1691"/>
      <c r="Z28" s="1686"/>
      <c r="AA28" s="1686"/>
      <c r="AB28" s="1686"/>
      <c r="AC28" s="1686"/>
      <c r="AD28" s="1686"/>
      <c r="AE28" s="1686"/>
      <c r="AF28" s="1686"/>
      <c r="AG28" s="1686"/>
      <c r="AH28" s="1686"/>
      <c r="AI28" s="1686"/>
      <c r="AJ28" s="1686"/>
      <c r="AK28" s="1686"/>
      <c r="AL28" s="1686"/>
      <c r="AM28" s="1686"/>
      <c r="AN28" s="1686"/>
      <c r="AO28" s="1686"/>
      <c r="AP28" s="1686"/>
      <c r="AQ28" s="1686"/>
      <c r="AR28" s="1686"/>
      <c r="AS28" s="1686"/>
      <c r="AT28" s="1686"/>
    </row>
    <row r="29">
      <c r="A29" s="1419"/>
      <c r="B29" s="1687"/>
      <c r="C29" s="1688"/>
      <c r="D29" s="1688"/>
      <c r="E29" s="1689"/>
      <c r="F29" s="1689"/>
      <c r="G29" s="1689"/>
      <c r="H29" s="1689"/>
      <c r="I29" s="1689"/>
      <c r="J29" s="1689"/>
      <c r="K29" s="1689"/>
      <c r="L29" s="1689"/>
      <c r="M29" s="1689"/>
      <c r="N29" s="1689"/>
      <c r="O29" s="1689"/>
      <c r="P29" s="1689"/>
      <c r="Q29" s="1689"/>
      <c r="R29" s="1689"/>
      <c r="S29" s="1689"/>
      <c r="T29" s="1689"/>
      <c r="U29" s="1689"/>
      <c r="V29" s="1689"/>
      <c r="W29" s="1689"/>
      <c r="X29" s="1689"/>
      <c r="Y29" s="1689"/>
      <c r="Z29" s="1690"/>
      <c r="AA29" s="1690"/>
      <c r="AB29" s="1690"/>
      <c r="AC29" s="1690"/>
      <c r="AD29" s="1690"/>
      <c r="AE29" s="1690"/>
      <c r="AF29" s="1690"/>
      <c r="AG29" s="1690"/>
      <c r="AH29" s="1690"/>
      <c r="AI29" s="1690"/>
      <c r="AJ29" s="1690"/>
      <c r="AK29" s="1690"/>
      <c r="AL29" s="1690"/>
      <c r="AM29" s="1690"/>
      <c r="AN29" s="1690"/>
      <c r="AO29" s="1690"/>
      <c r="AP29" s="1690"/>
      <c r="AQ29" s="1690"/>
      <c r="AR29" s="1690"/>
      <c r="AS29" s="1690"/>
      <c r="AT29" s="1690"/>
    </row>
    <row r="30">
      <c r="A30" s="1419"/>
      <c r="B30" s="1684"/>
      <c r="C30" s="1685"/>
      <c r="D30" s="1685"/>
      <c r="E30" s="1691"/>
      <c r="F30" s="1691"/>
      <c r="G30" s="1691"/>
      <c r="H30" s="1691"/>
      <c r="I30" s="1691"/>
      <c r="J30" s="1691"/>
      <c r="K30" s="1691"/>
      <c r="L30" s="1691"/>
      <c r="M30" s="1691"/>
      <c r="N30" s="1691"/>
      <c r="O30" s="1691"/>
      <c r="P30" s="1691"/>
      <c r="Q30" s="1691"/>
      <c r="R30" s="1691"/>
      <c r="S30" s="1691"/>
      <c r="T30" s="1691"/>
      <c r="U30" s="1691"/>
      <c r="V30" s="1691"/>
      <c r="W30" s="1691"/>
      <c r="X30" s="1691"/>
      <c r="Y30" s="1691"/>
      <c r="Z30" s="1686"/>
      <c r="AA30" s="1686"/>
      <c r="AB30" s="1686"/>
      <c r="AC30" s="1686"/>
      <c r="AD30" s="1686"/>
      <c r="AE30" s="1686"/>
      <c r="AF30" s="1686"/>
      <c r="AG30" s="1686"/>
      <c r="AH30" s="1686"/>
      <c r="AI30" s="1686"/>
      <c r="AJ30" s="1686"/>
      <c r="AK30" s="1686"/>
      <c r="AL30" s="1686"/>
      <c r="AM30" s="1686"/>
      <c r="AN30" s="1686"/>
      <c r="AO30" s="1686"/>
      <c r="AP30" s="1686"/>
      <c r="AQ30" s="1686"/>
      <c r="AR30" s="1686"/>
      <c r="AS30" s="1686"/>
      <c r="AT30" s="1686"/>
    </row>
    <row r="31">
      <c r="A31" s="1419"/>
      <c r="B31" s="1687"/>
      <c r="C31" s="1688"/>
      <c r="D31" s="1688"/>
      <c r="E31" s="1690"/>
      <c r="F31" s="1690"/>
      <c r="G31" s="1690"/>
      <c r="H31" s="1690"/>
      <c r="I31" s="1690"/>
      <c r="J31" s="1690"/>
      <c r="K31" s="1690"/>
      <c r="L31" s="1690"/>
      <c r="M31" s="1690"/>
      <c r="N31" s="1690"/>
      <c r="O31" s="1690"/>
      <c r="P31" s="1690"/>
      <c r="Q31" s="1690"/>
      <c r="R31" s="1690"/>
      <c r="S31" s="1690"/>
      <c r="T31" s="1690"/>
      <c r="U31" s="1690"/>
      <c r="V31" s="1690"/>
      <c r="W31" s="1690"/>
      <c r="X31" s="1690"/>
      <c r="Y31" s="1690"/>
      <c r="Z31" s="1690"/>
      <c r="AA31" s="1690"/>
      <c r="AB31" s="1690"/>
      <c r="AC31" s="1690"/>
      <c r="AD31" s="1690"/>
      <c r="AE31" s="1690"/>
      <c r="AF31" s="1690"/>
      <c r="AG31" s="1690"/>
      <c r="AH31" s="1690"/>
      <c r="AI31" s="1690"/>
      <c r="AJ31" s="1690"/>
      <c r="AK31" s="1690"/>
      <c r="AL31" s="1690"/>
      <c r="AM31" s="1690"/>
      <c r="AN31" s="1690"/>
      <c r="AO31" s="1690"/>
      <c r="AP31" s="1690"/>
      <c r="AQ31" s="1690"/>
      <c r="AR31" s="1690"/>
      <c r="AS31" s="1690"/>
      <c r="AT31" s="1690"/>
    </row>
    <row r="32">
      <c r="A32" s="1419"/>
      <c r="B32" s="1684"/>
      <c r="C32" s="1685"/>
      <c r="D32" s="1685"/>
      <c r="E32" s="1686"/>
      <c r="F32" s="1686"/>
      <c r="G32" s="1686"/>
      <c r="H32" s="1686"/>
      <c r="I32" s="1686"/>
      <c r="J32" s="1686"/>
      <c r="K32" s="1686"/>
      <c r="L32" s="1686"/>
      <c r="M32" s="1686"/>
      <c r="N32" s="1686"/>
      <c r="O32" s="1686"/>
      <c r="P32" s="1686"/>
      <c r="Q32" s="1686"/>
      <c r="R32" s="1686"/>
      <c r="S32" s="1686"/>
      <c r="T32" s="1686"/>
      <c r="U32" s="1686"/>
      <c r="V32" s="1686"/>
      <c r="W32" s="1686"/>
      <c r="X32" s="1686"/>
      <c r="Y32" s="1686"/>
      <c r="Z32" s="1686"/>
      <c r="AA32" s="1686"/>
      <c r="AB32" s="1686"/>
      <c r="AC32" s="1686"/>
      <c r="AD32" s="1686"/>
      <c r="AE32" s="1686"/>
      <c r="AF32" s="1686"/>
      <c r="AG32" s="1686"/>
      <c r="AH32" s="1686"/>
      <c r="AI32" s="1686"/>
      <c r="AJ32" s="1686"/>
      <c r="AK32" s="1686"/>
      <c r="AL32" s="1686"/>
      <c r="AM32" s="1686"/>
      <c r="AN32" s="1686"/>
      <c r="AO32" s="1686"/>
      <c r="AP32" s="1686"/>
      <c r="AQ32" s="1686"/>
      <c r="AR32" s="1686"/>
      <c r="AS32" s="1686"/>
      <c r="AT32" s="1686"/>
    </row>
    <row r="33">
      <c r="A33" s="1419"/>
      <c r="B33" s="1687"/>
      <c r="C33" s="1688"/>
      <c r="D33" s="1688"/>
      <c r="E33" s="1689"/>
      <c r="F33" s="1689"/>
      <c r="G33" s="1689"/>
      <c r="H33" s="1689"/>
      <c r="I33" s="1689"/>
      <c r="J33" s="1689"/>
      <c r="K33" s="1689"/>
      <c r="L33" s="1689"/>
      <c r="M33" s="1689"/>
      <c r="N33" s="1689"/>
      <c r="O33" s="1689"/>
      <c r="P33" s="1689"/>
      <c r="Q33" s="1689"/>
      <c r="R33" s="1689"/>
      <c r="S33" s="1689"/>
      <c r="T33" s="1689"/>
      <c r="U33" s="1689"/>
      <c r="V33" s="1689"/>
      <c r="W33" s="1689"/>
      <c r="X33" s="1689"/>
      <c r="Y33" s="1689"/>
      <c r="Z33" s="1690"/>
      <c r="AA33" s="1690"/>
      <c r="AB33" s="1690"/>
      <c r="AC33" s="1690"/>
      <c r="AD33" s="1690"/>
      <c r="AE33" s="1690"/>
      <c r="AF33" s="1690"/>
      <c r="AG33" s="1690"/>
      <c r="AH33" s="1690"/>
      <c r="AI33" s="1690"/>
      <c r="AJ33" s="1690"/>
      <c r="AK33" s="1690"/>
      <c r="AL33" s="1690"/>
      <c r="AM33" s="1690"/>
      <c r="AN33" s="1690"/>
      <c r="AO33" s="1690"/>
      <c r="AP33" s="1690"/>
      <c r="AQ33" s="1690"/>
      <c r="AR33" s="1690"/>
      <c r="AS33" s="1690"/>
      <c r="AT33" s="1690"/>
    </row>
    <row r="34">
      <c r="A34" s="1419"/>
      <c r="B34" s="1684"/>
      <c r="C34" s="1685"/>
      <c r="D34" s="1685"/>
      <c r="E34" s="1691"/>
      <c r="F34" s="1691"/>
      <c r="G34" s="1691"/>
      <c r="H34" s="1691"/>
      <c r="I34" s="1691"/>
      <c r="J34" s="1691"/>
      <c r="K34" s="1691"/>
      <c r="L34" s="1691"/>
      <c r="M34" s="1691"/>
      <c r="N34" s="1691"/>
      <c r="O34" s="1691"/>
      <c r="P34" s="1691"/>
      <c r="Q34" s="1691"/>
      <c r="R34" s="1691"/>
      <c r="S34" s="1691"/>
      <c r="T34" s="1691"/>
      <c r="U34" s="1691"/>
      <c r="V34" s="1691"/>
      <c r="W34" s="1691"/>
      <c r="X34" s="1691"/>
      <c r="Y34" s="1691"/>
      <c r="Z34" s="1686"/>
      <c r="AA34" s="1686"/>
      <c r="AB34" s="1686"/>
      <c r="AC34" s="1686"/>
      <c r="AD34" s="1686"/>
      <c r="AE34" s="1686"/>
      <c r="AF34" s="1686"/>
      <c r="AG34" s="1686"/>
      <c r="AH34" s="1686"/>
      <c r="AI34" s="1686"/>
      <c r="AJ34" s="1686"/>
      <c r="AK34" s="1686"/>
      <c r="AL34" s="1686"/>
      <c r="AM34" s="1686"/>
      <c r="AN34" s="1686"/>
      <c r="AO34" s="1686"/>
      <c r="AP34" s="1686"/>
      <c r="AQ34" s="1686"/>
      <c r="AR34" s="1686"/>
      <c r="AS34" s="1686"/>
      <c r="AT34" s="1686"/>
    </row>
    <row r="35">
      <c r="A35" s="1419"/>
      <c r="B35" s="1687"/>
      <c r="C35" s="1688"/>
      <c r="D35" s="1688"/>
      <c r="E35" s="1689"/>
      <c r="F35" s="1689"/>
      <c r="G35" s="1689"/>
      <c r="H35" s="1689"/>
      <c r="I35" s="1689"/>
      <c r="J35" s="1689"/>
      <c r="K35" s="1689"/>
      <c r="L35" s="1689"/>
      <c r="M35" s="1689"/>
      <c r="N35" s="1689"/>
      <c r="O35" s="1689"/>
      <c r="P35" s="1689"/>
      <c r="Q35" s="1689"/>
      <c r="R35" s="1689"/>
      <c r="S35" s="1689"/>
      <c r="T35" s="1689"/>
      <c r="U35" s="1689"/>
      <c r="V35" s="1689"/>
      <c r="W35" s="1689"/>
      <c r="X35" s="1689"/>
      <c r="Y35" s="1689"/>
      <c r="Z35" s="1690"/>
      <c r="AA35" s="1690"/>
      <c r="AB35" s="1690"/>
      <c r="AC35" s="1690"/>
      <c r="AD35" s="1690"/>
      <c r="AE35" s="1690"/>
      <c r="AF35" s="1690"/>
      <c r="AG35" s="1690"/>
      <c r="AH35" s="1690"/>
      <c r="AI35" s="1690"/>
      <c r="AJ35" s="1690"/>
      <c r="AK35" s="1690"/>
      <c r="AL35" s="1690"/>
      <c r="AM35" s="1690"/>
      <c r="AN35" s="1690"/>
      <c r="AO35" s="1690"/>
      <c r="AP35" s="1690"/>
      <c r="AQ35" s="1690"/>
      <c r="AR35" s="1690"/>
      <c r="AS35" s="1690"/>
      <c r="AT35" s="1690"/>
    </row>
    <row r="36">
      <c r="A36" s="1419"/>
      <c r="B36" s="1684"/>
      <c r="C36" s="1685"/>
      <c r="D36" s="1685"/>
      <c r="E36" s="1686"/>
      <c r="F36" s="1686"/>
      <c r="G36" s="1686"/>
      <c r="H36" s="1686"/>
      <c r="I36" s="1686"/>
      <c r="J36" s="1686"/>
      <c r="K36" s="1686"/>
      <c r="L36" s="1686"/>
      <c r="M36" s="1686"/>
      <c r="N36" s="1686"/>
      <c r="O36" s="1686"/>
      <c r="P36" s="1686"/>
      <c r="Q36" s="1686"/>
      <c r="R36" s="1686"/>
      <c r="S36" s="1686"/>
      <c r="T36" s="1686"/>
      <c r="U36" s="1686"/>
      <c r="V36" s="1686"/>
      <c r="W36" s="1686"/>
      <c r="X36" s="1686"/>
      <c r="Y36" s="1686"/>
      <c r="Z36" s="1686"/>
      <c r="AA36" s="1686"/>
      <c r="AB36" s="1686"/>
      <c r="AC36" s="1686"/>
      <c r="AD36" s="1686"/>
      <c r="AE36" s="1686"/>
      <c r="AF36" s="1686"/>
      <c r="AG36" s="1686"/>
      <c r="AH36" s="1686"/>
      <c r="AI36" s="1686"/>
      <c r="AJ36" s="1686"/>
      <c r="AK36" s="1686"/>
      <c r="AL36" s="1686"/>
      <c r="AM36" s="1686"/>
      <c r="AN36" s="1686"/>
      <c r="AO36" s="1686"/>
      <c r="AP36" s="1686"/>
      <c r="AQ36" s="1686"/>
      <c r="AR36" s="1686"/>
      <c r="AS36" s="1686"/>
      <c r="AT36" s="1686"/>
    </row>
    <row r="37">
      <c r="A37" s="1419"/>
      <c r="B37" s="1687"/>
      <c r="C37" s="1688"/>
      <c r="D37" s="1688"/>
      <c r="E37" s="1689"/>
      <c r="F37" s="1689"/>
      <c r="G37" s="1689"/>
      <c r="H37" s="1689"/>
      <c r="I37" s="1689"/>
      <c r="J37" s="1689"/>
      <c r="K37" s="1689"/>
      <c r="L37" s="1689"/>
      <c r="M37" s="1689"/>
      <c r="N37" s="1689"/>
      <c r="O37" s="1689"/>
      <c r="P37" s="1689"/>
      <c r="Q37" s="1689"/>
      <c r="R37" s="1689"/>
      <c r="S37" s="1689"/>
      <c r="T37" s="1689"/>
      <c r="U37" s="1689"/>
      <c r="V37" s="1689"/>
      <c r="W37" s="1689"/>
      <c r="X37" s="1689"/>
      <c r="Y37" s="1689"/>
      <c r="Z37" s="1690"/>
      <c r="AA37" s="1690"/>
      <c r="AB37" s="1690"/>
      <c r="AC37" s="1690"/>
      <c r="AD37" s="1690"/>
      <c r="AE37" s="1690"/>
      <c r="AF37" s="1690"/>
      <c r="AG37" s="1690"/>
      <c r="AH37" s="1690"/>
      <c r="AI37" s="1690"/>
      <c r="AJ37" s="1690"/>
      <c r="AK37" s="1690"/>
      <c r="AL37" s="1690"/>
      <c r="AM37" s="1690"/>
      <c r="AN37" s="1690"/>
      <c r="AO37" s="1690"/>
      <c r="AP37" s="1690"/>
      <c r="AQ37" s="1690"/>
      <c r="AR37" s="1690"/>
      <c r="AS37" s="1690"/>
      <c r="AT37" s="1690"/>
    </row>
    <row r="38">
      <c r="A38" s="1419"/>
      <c r="B38" s="1684"/>
      <c r="C38" s="1685"/>
      <c r="D38" s="1685"/>
      <c r="E38" s="1691"/>
      <c r="F38" s="1691"/>
      <c r="G38" s="1691"/>
      <c r="H38" s="1691"/>
      <c r="I38" s="1691"/>
      <c r="J38" s="1691"/>
      <c r="K38" s="1691"/>
      <c r="L38" s="1691"/>
      <c r="M38" s="1691"/>
      <c r="N38" s="1691"/>
      <c r="O38" s="1691"/>
      <c r="P38" s="1691"/>
      <c r="Q38" s="1691"/>
      <c r="R38" s="1691"/>
      <c r="S38" s="1691"/>
      <c r="T38" s="1691"/>
      <c r="U38" s="1691"/>
      <c r="V38" s="1691"/>
      <c r="W38" s="1691"/>
      <c r="X38" s="1691"/>
      <c r="Y38" s="1691"/>
      <c r="Z38" s="1686"/>
      <c r="AA38" s="1686"/>
      <c r="AB38" s="1686"/>
      <c r="AC38" s="1686"/>
      <c r="AD38" s="1686"/>
      <c r="AE38" s="1686"/>
      <c r="AF38" s="1686"/>
      <c r="AG38" s="1686"/>
      <c r="AH38" s="1686"/>
      <c r="AI38" s="1686"/>
      <c r="AJ38" s="1686"/>
      <c r="AK38" s="1686"/>
      <c r="AL38" s="1686"/>
      <c r="AM38" s="1686"/>
      <c r="AN38" s="1686"/>
      <c r="AO38" s="1686"/>
      <c r="AP38" s="1686"/>
      <c r="AQ38" s="1686"/>
      <c r="AR38" s="1686"/>
      <c r="AS38" s="1686"/>
      <c r="AT38" s="1686"/>
    </row>
    <row r="39">
      <c r="A39" s="1419"/>
      <c r="B39" s="1687"/>
      <c r="C39" s="1688"/>
      <c r="D39" s="1688"/>
      <c r="E39" s="1689"/>
      <c r="F39" s="1689"/>
      <c r="G39" s="1689"/>
      <c r="H39" s="1689"/>
      <c r="I39" s="1689"/>
      <c r="J39" s="1689"/>
      <c r="K39" s="1689"/>
      <c r="L39" s="1689"/>
      <c r="M39" s="1689"/>
      <c r="N39" s="1689"/>
      <c r="O39" s="1689"/>
      <c r="P39" s="1689"/>
      <c r="Q39" s="1689"/>
      <c r="R39" s="1689"/>
      <c r="S39" s="1689"/>
      <c r="T39" s="1689"/>
      <c r="U39" s="1689"/>
      <c r="V39" s="1689"/>
      <c r="W39" s="1689"/>
      <c r="X39" s="1689"/>
      <c r="Y39" s="1689"/>
      <c r="Z39" s="1690"/>
      <c r="AA39" s="1690"/>
      <c r="AB39" s="1690"/>
      <c r="AC39" s="1690"/>
      <c r="AD39" s="1690"/>
      <c r="AE39" s="1690"/>
      <c r="AF39" s="1690"/>
      <c r="AG39" s="1690"/>
      <c r="AH39" s="1690"/>
      <c r="AI39" s="1690"/>
      <c r="AJ39" s="1690"/>
      <c r="AK39" s="1690"/>
      <c r="AL39" s="1690"/>
      <c r="AM39" s="1690"/>
      <c r="AN39" s="1690"/>
      <c r="AO39" s="1690"/>
      <c r="AP39" s="1690"/>
      <c r="AQ39" s="1690"/>
      <c r="AR39" s="1690"/>
      <c r="AS39" s="1690"/>
      <c r="AT39" s="1690"/>
    </row>
    <row r="40">
      <c r="A40" s="1419"/>
      <c r="B40" s="1684"/>
      <c r="C40" s="1685"/>
      <c r="D40" s="1685"/>
      <c r="E40" s="1686"/>
      <c r="F40" s="1686"/>
      <c r="G40" s="1686"/>
      <c r="H40" s="1686"/>
      <c r="I40" s="1686"/>
      <c r="J40" s="1686"/>
      <c r="K40" s="1686"/>
      <c r="L40" s="1686"/>
      <c r="M40" s="1686"/>
      <c r="N40" s="1686"/>
      <c r="O40" s="1686"/>
      <c r="P40" s="1686"/>
      <c r="Q40" s="1686"/>
      <c r="R40" s="1686"/>
      <c r="S40" s="1686"/>
      <c r="T40" s="1686"/>
      <c r="U40" s="1686"/>
      <c r="V40" s="1686"/>
      <c r="W40" s="1686"/>
      <c r="X40" s="1686"/>
      <c r="Y40" s="1686"/>
      <c r="Z40" s="1686"/>
      <c r="AA40" s="1686"/>
      <c r="AB40" s="1686"/>
      <c r="AC40" s="1686"/>
      <c r="AD40" s="1686"/>
      <c r="AE40" s="1686"/>
      <c r="AF40" s="1686"/>
      <c r="AG40" s="1686"/>
      <c r="AH40" s="1686"/>
      <c r="AI40" s="1686"/>
      <c r="AJ40" s="1686"/>
      <c r="AK40" s="1686"/>
      <c r="AL40" s="1686"/>
      <c r="AM40" s="1686"/>
      <c r="AN40" s="1686"/>
      <c r="AO40" s="1686"/>
      <c r="AP40" s="1686"/>
      <c r="AQ40" s="1686"/>
      <c r="AR40" s="1686"/>
      <c r="AS40" s="1686"/>
      <c r="AT40" s="1686"/>
    </row>
    <row r="41">
      <c r="A41" s="1419"/>
      <c r="B41" s="1687"/>
      <c r="C41" s="1688"/>
      <c r="D41" s="1688"/>
      <c r="E41" s="1689"/>
      <c r="F41" s="1689"/>
      <c r="G41" s="1689"/>
      <c r="H41" s="1689"/>
      <c r="I41" s="1689"/>
      <c r="J41" s="1689"/>
      <c r="K41" s="1689"/>
      <c r="L41" s="1689"/>
      <c r="M41" s="1689"/>
      <c r="N41" s="1689"/>
      <c r="O41" s="1689"/>
      <c r="P41" s="1689"/>
      <c r="Q41" s="1689"/>
      <c r="R41" s="1689"/>
      <c r="S41" s="1689"/>
      <c r="T41" s="1689"/>
      <c r="U41" s="1689"/>
      <c r="V41" s="1689"/>
      <c r="W41" s="1689"/>
      <c r="X41" s="1689"/>
      <c r="Y41" s="1689"/>
      <c r="Z41" s="1690"/>
      <c r="AA41" s="1690"/>
      <c r="AB41" s="1690"/>
      <c r="AC41" s="1690"/>
      <c r="AD41" s="1690"/>
      <c r="AE41" s="1690"/>
      <c r="AF41" s="1690"/>
      <c r="AG41" s="1690"/>
      <c r="AH41" s="1690"/>
      <c r="AI41" s="1690"/>
      <c r="AJ41" s="1690"/>
      <c r="AK41" s="1690"/>
      <c r="AL41" s="1690"/>
      <c r="AM41" s="1690"/>
      <c r="AN41" s="1690"/>
      <c r="AO41" s="1690"/>
      <c r="AP41" s="1690"/>
      <c r="AQ41" s="1690"/>
      <c r="AR41" s="1690"/>
      <c r="AS41" s="1690"/>
      <c r="AT41" s="1690"/>
    </row>
    <row r="42">
      <c r="A42" s="1419"/>
      <c r="B42" s="1684"/>
      <c r="C42" s="1685"/>
      <c r="D42" s="1685"/>
      <c r="E42" s="1691"/>
      <c r="F42" s="1691"/>
      <c r="G42" s="1691"/>
      <c r="H42" s="1691"/>
      <c r="I42" s="1691"/>
      <c r="J42" s="1691"/>
      <c r="K42" s="1691"/>
      <c r="L42" s="1691"/>
      <c r="M42" s="1691"/>
      <c r="N42" s="1691"/>
      <c r="O42" s="1691"/>
      <c r="P42" s="1691"/>
      <c r="Q42" s="1691"/>
      <c r="R42" s="1691"/>
      <c r="S42" s="1691"/>
      <c r="T42" s="1691"/>
      <c r="U42" s="1691"/>
      <c r="V42" s="1691"/>
      <c r="W42" s="1691"/>
      <c r="X42" s="1691"/>
      <c r="Y42" s="1691"/>
      <c r="Z42" s="1686"/>
      <c r="AA42" s="1686"/>
      <c r="AB42" s="1686"/>
      <c r="AC42" s="1686"/>
      <c r="AD42" s="1686"/>
      <c r="AE42" s="1686"/>
      <c r="AF42" s="1686"/>
      <c r="AG42" s="1686"/>
      <c r="AH42" s="1686"/>
      <c r="AI42" s="1686"/>
      <c r="AJ42" s="1686"/>
      <c r="AK42" s="1686"/>
      <c r="AL42" s="1686"/>
      <c r="AM42" s="1686"/>
      <c r="AN42" s="1686"/>
      <c r="AO42" s="1686"/>
      <c r="AP42" s="1686"/>
      <c r="AQ42" s="1686"/>
      <c r="AR42" s="1686"/>
      <c r="AS42" s="1686"/>
      <c r="AT42" s="1686"/>
    </row>
    <row r="43">
      <c r="A43" s="1419"/>
      <c r="B43" s="1687"/>
      <c r="C43" s="1688"/>
      <c r="D43" s="1688"/>
      <c r="E43" s="1689"/>
      <c r="F43" s="1689"/>
      <c r="G43" s="1689"/>
      <c r="H43" s="1689"/>
      <c r="I43" s="1689"/>
      <c r="J43" s="1689"/>
      <c r="K43" s="1689"/>
      <c r="L43" s="1689"/>
      <c r="M43" s="1689"/>
      <c r="N43" s="1689"/>
      <c r="O43" s="1689"/>
      <c r="P43" s="1689"/>
      <c r="Q43" s="1689"/>
      <c r="R43" s="1689"/>
      <c r="S43" s="1689"/>
      <c r="T43" s="1689"/>
      <c r="U43" s="1689"/>
      <c r="V43" s="1689"/>
      <c r="W43" s="1689"/>
      <c r="X43" s="1689"/>
      <c r="Y43" s="1689"/>
      <c r="Z43" s="1690"/>
      <c r="AA43" s="1690"/>
      <c r="AB43" s="1690"/>
      <c r="AC43" s="1690"/>
      <c r="AD43" s="1690"/>
      <c r="AE43" s="1690"/>
      <c r="AF43" s="1690"/>
      <c r="AG43" s="1690"/>
      <c r="AH43" s="1690"/>
      <c r="AI43" s="1690"/>
      <c r="AJ43" s="1690"/>
      <c r="AK43" s="1690"/>
      <c r="AL43" s="1690"/>
      <c r="AM43" s="1690"/>
      <c r="AN43" s="1690"/>
      <c r="AO43" s="1690"/>
      <c r="AP43" s="1690"/>
      <c r="AQ43" s="1690"/>
      <c r="AR43" s="1690"/>
      <c r="AS43" s="1690"/>
      <c r="AT43" s="1690"/>
    </row>
    <row r="44">
      <c r="A44" s="1419"/>
      <c r="B44" s="1684"/>
      <c r="C44" s="1685"/>
      <c r="D44" s="1685"/>
      <c r="E44" s="1691"/>
      <c r="F44" s="1691"/>
      <c r="G44" s="1691"/>
      <c r="H44" s="1691"/>
      <c r="I44" s="1691"/>
      <c r="J44" s="1691"/>
      <c r="K44" s="1691"/>
      <c r="L44" s="1691"/>
      <c r="M44" s="1691"/>
      <c r="N44" s="1691"/>
      <c r="O44" s="1691"/>
      <c r="P44" s="1691"/>
      <c r="Q44" s="1691"/>
      <c r="R44" s="1691"/>
      <c r="S44" s="1691"/>
      <c r="T44" s="1691"/>
      <c r="U44" s="1691"/>
      <c r="V44" s="1691"/>
      <c r="W44" s="1691"/>
      <c r="X44" s="1691"/>
      <c r="Y44" s="1691"/>
      <c r="Z44" s="1686"/>
      <c r="AA44" s="1686"/>
      <c r="AB44" s="1686"/>
      <c r="AC44" s="1686"/>
      <c r="AD44" s="1686"/>
      <c r="AE44" s="1686"/>
      <c r="AF44" s="1686"/>
      <c r="AG44" s="1686"/>
      <c r="AH44" s="1686"/>
      <c r="AI44" s="1686"/>
      <c r="AJ44" s="1686"/>
      <c r="AK44" s="1686"/>
      <c r="AL44" s="1686"/>
      <c r="AM44" s="1686"/>
      <c r="AN44" s="1686"/>
      <c r="AO44" s="1686"/>
      <c r="AP44" s="1686"/>
      <c r="AQ44" s="1686"/>
      <c r="AR44" s="1686"/>
      <c r="AS44" s="1686"/>
      <c r="AT44" s="1686"/>
    </row>
    <row r="45">
      <c r="A45" s="1419"/>
      <c r="B45" s="1687"/>
      <c r="C45" s="1688"/>
      <c r="D45" s="1688"/>
      <c r="E45" s="1689"/>
      <c r="F45" s="1689"/>
      <c r="G45" s="1689"/>
      <c r="H45" s="1689"/>
      <c r="I45" s="1689"/>
      <c r="J45" s="1689"/>
      <c r="K45" s="1689"/>
      <c r="L45" s="1689"/>
      <c r="M45" s="1689"/>
      <c r="N45" s="1689"/>
      <c r="O45" s="1689"/>
      <c r="P45" s="1689"/>
      <c r="Q45" s="1689"/>
      <c r="R45" s="1689"/>
      <c r="S45" s="1689"/>
      <c r="T45" s="1689"/>
      <c r="U45" s="1689"/>
      <c r="V45" s="1689"/>
      <c r="W45" s="1689"/>
      <c r="X45" s="1689"/>
      <c r="Y45" s="1689"/>
      <c r="Z45" s="1690"/>
      <c r="AA45" s="1690"/>
      <c r="AB45" s="1690"/>
      <c r="AC45" s="1690"/>
      <c r="AD45" s="1690"/>
      <c r="AE45" s="1690"/>
      <c r="AF45" s="1690"/>
      <c r="AG45" s="1690"/>
      <c r="AH45" s="1690"/>
      <c r="AI45" s="1690"/>
      <c r="AJ45" s="1690"/>
      <c r="AK45" s="1690"/>
      <c r="AL45" s="1690"/>
      <c r="AM45" s="1690"/>
      <c r="AN45" s="1690"/>
      <c r="AO45" s="1690"/>
      <c r="AP45" s="1690"/>
      <c r="AQ45" s="1690"/>
      <c r="AR45" s="1690"/>
      <c r="AS45" s="1690"/>
      <c r="AT45" s="1690"/>
    </row>
    <row r="46">
      <c r="A46" s="1419"/>
      <c r="B46" s="1684"/>
      <c r="C46" s="1685"/>
      <c r="D46" s="1685"/>
      <c r="E46" s="1691"/>
      <c r="F46" s="1691"/>
      <c r="G46" s="1691"/>
      <c r="H46" s="1691"/>
      <c r="I46" s="1691"/>
      <c r="J46" s="1691"/>
      <c r="K46" s="1691"/>
      <c r="L46" s="1691"/>
      <c r="M46" s="1691"/>
      <c r="N46" s="1691"/>
      <c r="O46" s="1691"/>
      <c r="P46" s="1691"/>
      <c r="Q46" s="1691"/>
      <c r="R46" s="1691"/>
      <c r="S46" s="1691"/>
      <c r="T46" s="1691"/>
      <c r="U46" s="1691"/>
      <c r="V46" s="1691"/>
      <c r="W46" s="1691"/>
      <c r="X46" s="1691"/>
      <c r="Y46" s="1691"/>
      <c r="Z46" s="1686"/>
      <c r="AA46" s="1686"/>
      <c r="AB46" s="1686"/>
      <c r="AC46" s="1686"/>
      <c r="AD46" s="1686"/>
      <c r="AE46" s="1686"/>
      <c r="AF46" s="1686"/>
      <c r="AG46" s="1686"/>
      <c r="AH46" s="1686"/>
      <c r="AI46" s="1686"/>
      <c r="AJ46" s="1686"/>
      <c r="AK46" s="1686"/>
      <c r="AL46" s="1686"/>
      <c r="AM46" s="1686"/>
      <c r="AN46" s="1686"/>
      <c r="AO46" s="1686"/>
      <c r="AP46" s="1686"/>
      <c r="AQ46" s="1686"/>
      <c r="AR46" s="1686"/>
      <c r="AS46" s="1686"/>
      <c r="AT46" s="1686"/>
    </row>
    <row r="47">
      <c r="A47" s="1419"/>
      <c r="B47" s="1687"/>
      <c r="C47" s="1688"/>
      <c r="D47" s="1688"/>
      <c r="E47" s="1690"/>
      <c r="F47" s="1690"/>
      <c r="G47" s="1690"/>
      <c r="H47" s="1690"/>
      <c r="I47" s="1690"/>
      <c r="J47" s="1690"/>
      <c r="K47" s="1690"/>
      <c r="L47" s="1690"/>
      <c r="M47" s="1690"/>
      <c r="N47" s="1690"/>
      <c r="O47" s="1690"/>
      <c r="P47" s="1690"/>
      <c r="Q47" s="1690"/>
      <c r="R47" s="1690"/>
      <c r="S47" s="1690"/>
      <c r="T47" s="1690"/>
      <c r="U47" s="1690"/>
      <c r="V47" s="1690"/>
      <c r="W47" s="1690"/>
      <c r="X47" s="1690"/>
      <c r="Y47" s="1690"/>
      <c r="Z47" s="1690"/>
      <c r="AA47" s="1690"/>
      <c r="AB47" s="1690"/>
      <c r="AC47" s="1690"/>
      <c r="AD47" s="1690"/>
      <c r="AE47" s="1690"/>
      <c r="AF47" s="1690"/>
      <c r="AG47" s="1690"/>
      <c r="AH47" s="1690"/>
      <c r="AI47" s="1690"/>
      <c r="AJ47" s="1690"/>
      <c r="AK47" s="1690"/>
      <c r="AL47" s="1690"/>
      <c r="AM47" s="1690"/>
      <c r="AN47" s="1690"/>
      <c r="AO47" s="1690"/>
      <c r="AP47" s="1690"/>
      <c r="AQ47" s="1690"/>
      <c r="AR47" s="1690"/>
      <c r="AS47" s="1690"/>
      <c r="AT47" s="1690"/>
    </row>
    <row r="48">
      <c r="A48" s="1419"/>
      <c r="B48" s="1684"/>
      <c r="C48" s="1685"/>
      <c r="D48" s="1685"/>
      <c r="E48" s="1686"/>
      <c r="F48" s="1686"/>
      <c r="G48" s="1686"/>
      <c r="H48" s="1686"/>
      <c r="I48" s="1686"/>
      <c r="J48" s="1686"/>
      <c r="K48" s="1686"/>
      <c r="L48" s="1686"/>
      <c r="M48" s="1686"/>
      <c r="N48" s="1686"/>
      <c r="O48" s="1686"/>
      <c r="P48" s="1686"/>
      <c r="Q48" s="1686"/>
      <c r="R48" s="1686"/>
      <c r="S48" s="1686"/>
      <c r="T48" s="1686"/>
      <c r="U48" s="1686"/>
      <c r="V48" s="1686"/>
      <c r="W48" s="1686"/>
      <c r="X48" s="1686"/>
      <c r="Y48" s="1686"/>
      <c r="Z48" s="1686"/>
      <c r="AA48" s="1686"/>
      <c r="AB48" s="1686"/>
      <c r="AC48" s="1686"/>
      <c r="AD48" s="1686"/>
      <c r="AE48" s="1686"/>
      <c r="AF48" s="1686"/>
      <c r="AG48" s="1686"/>
      <c r="AH48" s="1686"/>
      <c r="AI48" s="1686"/>
      <c r="AJ48" s="1686"/>
      <c r="AK48" s="1686"/>
      <c r="AL48" s="1686"/>
      <c r="AM48" s="1686"/>
      <c r="AN48" s="1686"/>
      <c r="AO48" s="1686"/>
      <c r="AP48" s="1686"/>
      <c r="AQ48" s="1686"/>
      <c r="AR48" s="1686"/>
      <c r="AS48" s="1686"/>
      <c r="AT48" s="1686"/>
    </row>
    <row r="49">
      <c r="A49" s="1419"/>
      <c r="B49" s="1687"/>
      <c r="C49" s="1688"/>
      <c r="D49" s="1688"/>
      <c r="E49" s="1689"/>
      <c r="F49" s="1689"/>
      <c r="G49" s="1689"/>
      <c r="H49" s="1689"/>
      <c r="I49" s="1689"/>
      <c r="J49" s="1689"/>
      <c r="K49" s="1689"/>
      <c r="L49" s="1689"/>
      <c r="M49" s="1689"/>
      <c r="N49" s="1689"/>
      <c r="O49" s="1689"/>
      <c r="P49" s="1689"/>
      <c r="Q49" s="1689"/>
      <c r="R49" s="1689"/>
      <c r="S49" s="1689"/>
      <c r="T49" s="1689"/>
      <c r="U49" s="1689"/>
      <c r="V49" s="1689"/>
      <c r="W49" s="1689"/>
      <c r="X49" s="1689"/>
      <c r="Y49" s="1689"/>
      <c r="Z49" s="1690"/>
      <c r="AA49" s="1690"/>
      <c r="AB49" s="1690"/>
      <c r="AC49" s="1690"/>
      <c r="AD49" s="1690"/>
      <c r="AE49" s="1690"/>
      <c r="AF49" s="1690"/>
      <c r="AG49" s="1690"/>
      <c r="AH49" s="1690"/>
      <c r="AI49" s="1690"/>
      <c r="AJ49" s="1690"/>
      <c r="AK49" s="1690"/>
      <c r="AL49" s="1690"/>
      <c r="AM49" s="1690"/>
      <c r="AN49" s="1690"/>
      <c r="AO49" s="1690"/>
      <c r="AP49" s="1690"/>
      <c r="AQ49" s="1690"/>
      <c r="AR49" s="1690"/>
      <c r="AS49" s="1690"/>
      <c r="AT49" s="1690"/>
    </row>
    <row r="50">
      <c r="A50" s="1419"/>
      <c r="B50" s="1684"/>
      <c r="C50" s="1685"/>
      <c r="D50" s="1685"/>
      <c r="E50" s="1691"/>
      <c r="F50" s="1691"/>
      <c r="G50" s="1691"/>
      <c r="H50" s="1691"/>
      <c r="I50" s="1691"/>
      <c r="J50" s="1691"/>
      <c r="K50" s="1691"/>
      <c r="L50" s="1691"/>
      <c r="M50" s="1691"/>
      <c r="N50" s="1691"/>
      <c r="O50" s="1691"/>
      <c r="P50" s="1691"/>
      <c r="Q50" s="1691"/>
      <c r="R50" s="1691"/>
      <c r="S50" s="1691"/>
      <c r="T50" s="1691"/>
      <c r="U50" s="1691"/>
      <c r="V50" s="1691"/>
      <c r="W50" s="1691"/>
      <c r="X50" s="1691"/>
      <c r="Y50" s="1691"/>
      <c r="Z50" s="1686"/>
      <c r="AA50" s="1686"/>
      <c r="AB50" s="1686"/>
      <c r="AC50" s="1686"/>
      <c r="AD50" s="1686"/>
      <c r="AE50" s="1686"/>
      <c r="AF50" s="1686"/>
      <c r="AG50" s="1686"/>
      <c r="AH50" s="1686"/>
      <c r="AI50" s="1686"/>
      <c r="AJ50" s="1686"/>
      <c r="AK50" s="1686"/>
      <c r="AL50" s="1686"/>
      <c r="AM50" s="1686"/>
      <c r="AN50" s="1686"/>
      <c r="AO50" s="1686"/>
      <c r="AP50" s="1686"/>
      <c r="AQ50" s="1686"/>
      <c r="AR50" s="1686"/>
      <c r="AS50" s="1686"/>
      <c r="AT50" s="1686"/>
    </row>
    <row r="51">
      <c r="A51" s="1419"/>
      <c r="B51" s="1687"/>
      <c r="C51" s="1688"/>
      <c r="D51" s="1688"/>
      <c r="E51" s="1689"/>
      <c r="F51" s="1689"/>
      <c r="G51" s="1689"/>
      <c r="H51" s="1689"/>
      <c r="I51" s="1689"/>
      <c r="J51" s="1689"/>
      <c r="K51" s="1689"/>
      <c r="L51" s="1689"/>
      <c r="M51" s="1689"/>
      <c r="N51" s="1689"/>
      <c r="O51" s="1689"/>
      <c r="P51" s="1689"/>
      <c r="Q51" s="1689"/>
      <c r="R51" s="1689"/>
      <c r="S51" s="1689"/>
      <c r="T51" s="1689"/>
      <c r="U51" s="1689"/>
      <c r="V51" s="1689"/>
      <c r="W51" s="1689"/>
      <c r="X51" s="1689"/>
      <c r="Y51" s="1689"/>
      <c r="Z51" s="1690"/>
      <c r="AA51" s="1690"/>
      <c r="AB51" s="1690"/>
      <c r="AC51" s="1690"/>
      <c r="AD51" s="1690"/>
      <c r="AE51" s="1690"/>
      <c r="AF51" s="1690"/>
      <c r="AG51" s="1690"/>
      <c r="AH51" s="1690"/>
      <c r="AI51" s="1690"/>
      <c r="AJ51" s="1690"/>
      <c r="AK51" s="1690"/>
      <c r="AL51" s="1690"/>
      <c r="AM51" s="1690"/>
      <c r="AN51" s="1690"/>
      <c r="AO51" s="1690"/>
      <c r="AP51" s="1690"/>
      <c r="AQ51" s="1690"/>
      <c r="AR51" s="1690"/>
      <c r="AS51" s="1690"/>
      <c r="AT51" s="1690"/>
    </row>
    <row r="52">
      <c r="A52" s="1419"/>
      <c r="B52" s="1684"/>
      <c r="C52" s="1685"/>
      <c r="D52" s="1685"/>
      <c r="E52" s="1691"/>
      <c r="F52" s="1691"/>
      <c r="G52" s="1691"/>
      <c r="H52" s="1691"/>
      <c r="I52" s="1691"/>
      <c r="J52" s="1691"/>
      <c r="K52" s="1691"/>
      <c r="L52" s="1691"/>
      <c r="M52" s="1691"/>
      <c r="N52" s="1691"/>
      <c r="O52" s="1691"/>
      <c r="P52" s="1691"/>
      <c r="Q52" s="1691"/>
      <c r="R52" s="1691"/>
      <c r="S52" s="1691"/>
      <c r="T52" s="1691"/>
      <c r="U52" s="1691"/>
      <c r="V52" s="1691"/>
      <c r="W52" s="1691"/>
      <c r="X52" s="1691"/>
      <c r="Y52" s="1691"/>
      <c r="Z52" s="1686"/>
      <c r="AA52" s="1686"/>
      <c r="AB52" s="1686"/>
      <c r="AC52" s="1686"/>
      <c r="AD52" s="1686"/>
      <c r="AE52" s="1686"/>
      <c r="AF52" s="1686"/>
      <c r="AG52" s="1686"/>
      <c r="AH52" s="1686"/>
      <c r="AI52" s="1686"/>
      <c r="AJ52" s="1686"/>
      <c r="AK52" s="1686"/>
      <c r="AL52" s="1686"/>
      <c r="AM52" s="1686"/>
      <c r="AN52" s="1686"/>
      <c r="AO52" s="1686"/>
      <c r="AP52" s="1686"/>
      <c r="AQ52" s="1686"/>
      <c r="AR52" s="1686"/>
      <c r="AS52" s="1686"/>
      <c r="AT52" s="1686"/>
    </row>
    <row r="53">
      <c r="A53" s="1419"/>
      <c r="B53" s="1687"/>
      <c r="C53" s="1688"/>
      <c r="D53" s="1688"/>
      <c r="E53" s="1690"/>
      <c r="F53" s="1690"/>
      <c r="G53" s="1690"/>
      <c r="H53" s="1690"/>
      <c r="I53" s="1690"/>
      <c r="J53" s="1690"/>
      <c r="K53" s="1690"/>
      <c r="L53" s="1690"/>
      <c r="M53" s="1690"/>
      <c r="N53" s="1690"/>
      <c r="O53" s="1690"/>
      <c r="P53" s="1690"/>
      <c r="Q53" s="1690"/>
      <c r="R53" s="1690"/>
      <c r="S53" s="1690"/>
      <c r="T53" s="1690"/>
      <c r="U53" s="1690"/>
      <c r="V53" s="1690"/>
      <c r="W53" s="1690"/>
      <c r="X53" s="1690"/>
      <c r="Y53" s="1690"/>
      <c r="Z53" s="1690"/>
      <c r="AA53" s="1690"/>
      <c r="AB53" s="1690"/>
      <c r="AC53" s="1690"/>
      <c r="AD53" s="1690"/>
      <c r="AE53" s="1690"/>
      <c r="AF53" s="1690"/>
      <c r="AG53" s="1690"/>
      <c r="AH53" s="1690"/>
      <c r="AI53" s="1690"/>
      <c r="AJ53" s="1690"/>
      <c r="AK53" s="1690"/>
      <c r="AL53" s="1690"/>
      <c r="AM53" s="1690"/>
      <c r="AN53" s="1690"/>
      <c r="AO53" s="1690"/>
      <c r="AP53" s="1690"/>
      <c r="AQ53" s="1690"/>
      <c r="AR53" s="1690"/>
      <c r="AS53" s="1690"/>
      <c r="AT53" s="1690"/>
    </row>
    <row r="54">
      <c r="A54" s="1419"/>
      <c r="B54" s="1684"/>
      <c r="C54" s="1685"/>
      <c r="D54" s="1685"/>
      <c r="E54" s="1691"/>
      <c r="F54" s="1691"/>
      <c r="G54" s="1691"/>
      <c r="H54" s="1691"/>
      <c r="I54" s="1691"/>
      <c r="J54" s="1691"/>
      <c r="K54" s="1691"/>
      <c r="L54" s="1691"/>
      <c r="M54" s="1691"/>
      <c r="N54" s="1691"/>
      <c r="O54" s="1691"/>
      <c r="P54" s="1691"/>
      <c r="Q54" s="1691"/>
      <c r="R54" s="1691"/>
      <c r="S54" s="1691"/>
      <c r="T54" s="1691"/>
      <c r="U54" s="1691"/>
      <c r="V54" s="1691"/>
      <c r="W54" s="1691"/>
      <c r="X54" s="1691"/>
      <c r="Y54" s="1691"/>
      <c r="Z54" s="1686"/>
      <c r="AA54" s="1686"/>
      <c r="AB54" s="1686"/>
      <c r="AC54" s="1686"/>
      <c r="AD54" s="1686"/>
      <c r="AE54" s="1686"/>
      <c r="AF54" s="1686"/>
      <c r="AG54" s="1686"/>
      <c r="AH54" s="1686"/>
      <c r="AI54" s="1686"/>
      <c r="AJ54" s="1686"/>
      <c r="AK54" s="1686"/>
      <c r="AL54" s="1686"/>
      <c r="AM54" s="1686"/>
      <c r="AN54" s="1686"/>
      <c r="AO54" s="1686"/>
      <c r="AP54" s="1686"/>
      <c r="AQ54" s="1686"/>
      <c r="AR54" s="1686"/>
      <c r="AS54" s="1686"/>
      <c r="AT54" s="1686"/>
    </row>
    <row r="55">
      <c r="A55" s="1419"/>
      <c r="B55" s="1687"/>
      <c r="C55" s="1688"/>
      <c r="D55" s="1688"/>
      <c r="E55" s="1689"/>
      <c r="F55" s="1689"/>
      <c r="G55" s="1689"/>
      <c r="H55" s="1689"/>
      <c r="I55" s="1689"/>
      <c r="J55" s="1689"/>
      <c r="K55" s="1689"/>
      <c r="L55" s="1689"/>
      <c r="M55" s="1689"/>
      <c r="N55" s="1689"/>
      <c r="O55" s="1689"/>
      <c r="P55" s="1689"/>
      <c r="Q55" s="1689"/>
      <c r="R55" s="1689"/>
      <c r="S55" s="1689"/>
      <c r="T55" s="1689"/>
      <c r="U55" s="1689"/>
      <c r="V55" s="1689"/>
      <c r="W55" s="1689"/>
      <c r="X55" s="1689"/>
      <c r="Y55" s="1689"/>
      <c r="Z55" s="1690"/>
      <c r="AA55" s="1690"/>
      <c r="AB55" s="1690"/>
      <c r="AC55" s="1690"/>
      <c r="AD55" s="1690"/>
      <c r="AE55" s="1690"/>
      <c r="AF55" s="1690"/>
      <c r="AG55" s="1690"/>
      <c r="AH55" s="1690"/>
      <c r="AI55" s="1690"/>
      <c r="AJ55" s="1690"/>
      <c r="AK55" s="1690"/>
      <c r="AL55" s="1690"/>
      <c r="AM55" s="1690"/>
      <c r="AN55" s="1690"/>
      <c r="AO55" s="1690"/>
      <c r="AP55" s="1690"/>
      <c r="AQ55" s="1690"/>
      <c r="AR55" s="1690"/>
      <c r="AS55" s="1690"/>
      <c r="AT55" s="1690"/>
    </row>
    <row r="56">
      <c r="A56" s="1419"/>
      <c r="B56" s="1684"/>
      <c r="C56" s="1685"/>
      <c r="D56" s="1685"/>
      <c r="E56" s="1686"/>
      <c r="F56" s="1686"/>
      <c r="G56" s="1686"/>
      <c r="H56" s="1686"/>
      <c r="I56" s="1686"/>
      <c r="J56" s="1686"/>
      <c r="K56" s="1686"/>
      <c r="L56" s="1686"/>
      <c r="M56" s="1686"/>
      <c r="N56" s="1686"/>
      <c r="O56" s="1686"/>
      <c r="P56" s="1686"/>
      <c r="Q56" s="1686"/>
      <c r="R56" s="1686"/>
      <c r="S56" s="1686"/>
      <c r="T56" s="1686"/>
      <c r="U56" s="1686"/>
      <c r="V56" s="1686"/>
      <c r="W56" s="1686"/>
      <c r="X56" s="1686"/>
      <c r="Y56" s="1686"/>
      <c r="Z56" s="1686"/>
      <c r="AA56" s="1686"/>
      <c r="AB56" s="1686"/>
      <c r="AC56" s="1686"/>
      <c r="AD56" s="1686"/>
      <c r="AE56" s="1686"/>
      <c r="AF56" s="1686"/>
      <c r="AG56" s="1686"/>
      <c r="AH56" s="1686"/>
      <c r="AI56" s="1686"/>
      <c r="AJ56" s="1686"/>
      <c r="AK56" s="1686"/>
      <c r="AL56" s="1686"/>
      <c r="AM56" s="1686"/>
      <c r="AN56" s="1686"/>
      <c r="AO56" s="1686"/>
      <c r="AP56" s="1686"/>
      <c r="AQ56" s="1686"/>
      <c r="AR56" s="1686"/>
      <c r="AS56" s="1686"/>
      <c r="AT56" s="1686"/>
    </row>
    <row r="57">
      <c r="A57" s="1419"/>
      <c r="B57" s="1687"/>
      <c r="C57" s="1688"/>
      <c r="D57" s="1688"/>
      <c r="E57" s="1690"/>
      <c r="F57" s="1690"/>
      <c r="G57" s="1690"/>
      <c r="H57" s="1690"/>
      <c r="I57" s="1690"/>
      <c r="J57" s="1690"/>
      <c r="K57" s="1690"/>
      <c r="L57" s="1690"/>
      <c r="M57" s="1690"/>
      <c r="N57" s="1690"/>
      <c r="O57" s="1690"/>
      <c r="P57" s="1690"/>
      <c r="Q57" s="1690"/>
      <c r="R57" s="1690"/>
      <c r="S57" s="1690"/>
      <c r="T57" s="1690"/>
      <c r="U57" s="1690"/>
      <c r="V57" s="1690"/>
      <c r="W57" s="1690"/>
      <c r="X57" s="1690"/>
      <c r="Y57" s="1690"/>
      <c r="Z57" s="1690"/>
      <c r="AA57" s="1690"/>
      <c r="AB57" s="1690"/>
      <c r="AC57" s="1690"/>
      <c r="AD57" s="1690"/>
      <c r="AE57" s="1690"/>
      <c r="AF57" s="1690"/>
      <c r="AG57" s="1690"/>
      <c r="AH57" s="1690"/>
      <c r="AI57" s="1690"/>
      <c r="AJ57" s="1690"/>
      <c r="AK57" s="1690"/>
      <c r="AL57" s="1690"/>
      <c r="AM57" s="1690"/>
      <c r="AN57" s="1690"/>
      <c r="AO57" s="1690"/>
      <c r="AP57" s="1690"/>
      <c r="AQ57" s="1690"/>
      <c r="AR57" s="1690"/>
      <c r="AS57" s="1690"/>
      <c r="AT57" s="1690"/>
    </row>
    <row r="58">
      <c r="A58" s="1419"/>
      <c r="B58" s="1684"/>
      <c r="C58" s="1685"/>
      <c r="D58" s="1685"/>
      <c r="E58" s="1686"/>
      <c r="F58" s="1686"/>
      <c r="G58" s="1686"/>
      <c r="H58" s="1686"/>
      <c r="I58" s="1686"/>
      <c r="J58" s="1686"/>
      <c r="K58" s="1686"/>
      <c r="L58" s="1686"/>
      <c r="M58" s="1686"/>
      <c r="N58" s="1686"/>
      <c r="O58" s="1686"/>
      <c r="P58" s="1686"/>
      <c r="Q58" s="1686"/>
      <c r="R58" s="1686"/>
      <c r="S58" s="1686"/>
      <c r="T58" s="1686"/>
      <c r="U58" s="1686"/>
      <c r="V58" s="1686"/>
      <c r="W58" s="1686"/>
      <c r="X58" s="1686"/>
      <c r="Y58" s="1686"/>
      <c r="Z58" s="1686"/>
      <c r="AA58" s="1686"/>
      <c r="AB58" s="1686"/>
      <c r="AC58" s="1686"/>
      <c r="AD58" s="1686"/>
      <c r="AE58" s="1686"/>
      <c r="AF58" s="1686"/>
      <c r="AG58" s="1686"/>
      <c r="AH58" s="1686"/>
      <c r="AI58" s="1686"/>
      <c r="AJ58" s="1686"/>
      <c r="AK58" s="1686"/>
      <c r="AL58" s="1686"/>
      <c r="AM58" s="1686"/>
      <c r="AN58" s="1686"/>
      <c r="AO58" s="1686"/>
      <c r="AP58" s="1686"/>
      <c r="AQ58" s="1686"/>
      <c r="AR58" s="1686"/>
      <c r="AS58" s="1686"/>
      <c r="AT58" s="1686"/>
    </row>
    <row r="59">
      <c r="A59" s="1419"/>
      <c r="B59" s="1687"/>
      <c r="C59" s="1688"/>
      <c r="D59" s="1688"/>
      <c r="E59" s="1689"/>
      <c r="F59" s="1689"/>
      <c r="G59" s="1689"/>
      <c r="H59" s="1689"/>
      <c r="I59" s="1689"/>
      <c r="J59" s="1689"/>
      <c r="K59" s="1689"/>
      <c r="L59" s="1689"/>
      <c r="M59" s="1689"/>
      <c r="N59" s="1689"/>
      <c r="O59" s="1689"/>
      <c r="P59" s="1689"/>
      <c r="Q59" s="1689"/>
      <c r="R59" s="1689"/>
      <c r="S59" s="1689"/>
      <c r="T59" s="1689"/>
      <c r="U59" s="1689"/>
      <c r="V59" s="1689"/>
      <c r="W59" s="1689"/>
      <c r="X59" s="1689"/>
      <c r="Y59" s="1689"/>
      <c r="Z59" s="1690"/>
      <c r="AA59" s="1690"/>
      <c r="AB59" s="1690"/>
      <c r="AC59" s="1690"/>
      <c r="AD59" s="1690"/>
      <c r="AE59" s="1690"/>
      <c r="AF59" s="1690"/>
      <c r="AG59" s="1690"/>
      <c r="AH59" s="1690"/>
      <c r="AI59" s="1690"/>
      <c r="AJ59" s="1690"/>
      <c r="AK59" s="1690"/>
      <c r="AL59" s="1690"/>
      <c r="AM59" s="1690"/>
      <c r="AN59" s="1690"/>
      <c r="AO59" s="1690"/>
      <c r="AP59" s="1690"/>
      <c r="AQ59" s="1690"/>
      <c r="AR59" s="1690"/>
      <c r="AS59" s="1690"/>
      <c r="AT59" s="1690"/>
    </row>
    <row r="60">
      <c r="A60" s="1419"/>
      <c r="B60" s="1684"/>
      <c r="C60" s="1685"/>
      <c r="D60" s="1685"/>
      <c r="E60" s="1691"/>
      <c r="F60" s="1691"/>
      <c r="G60" s="1691"/>
      <c r="H60" s="1691"/>
      <c r="I60" s="1691"/>
      <c r="J60" s="1691"/>
      <c r="K60" s="1691"/>
      <c r="L60" s="1691"/>
      <c r="M60" s="1691"/>
      <c r="N60" s="1691"/>
      <c r="O60" s="1691"/>
      <c r="P60" s="1691"/>
      <c r="Q60" s="1691"/>
      <c r="R60" s="1691"/>
      <c r="S60" s="1691"/>
      <c r="T60" s="1691"/>
      <c r="U60" s="1691"/>
      <c r="V60" s="1691"/>
      <c r="W60" s="1691"/>
      <c r="X60" s="1691"/>
      <c r="Y60" s="1691"/>
      <c r="Z60" s="1686"/>
      <c r="AA60" s="1686"/>
      <c r="AB60" s="1686"/>
      <c r="AC60" s="1686"/>
      <c r="AD60" s="1686"/>
      <c r="AE60" s="1686"/>
      <c r="AF60" s="1686"/>
      <c r="AG60" s="1686"/>
      <c r="AH60" s="1686"/>
      <c r="AI60" s="1686"/>
      <c r="AJ60" s="1686"/>
      <c r="AK60" s="1686"/>
      <c r="AL60" s="1686"/>
      <c r="AM60" s="1686"/>
      <c r="AN60" s="1686"/>
      <c r="AO60" s="1686"/>
      <c r="AP60" s="1686"/>
      <c r="AQ60" s="1686"/>
      <c r="AR60" s="1686"/>
      <c r="AS60" s="1686"/>
      <c r="AT60" s="1686"/>
    </row>
    <row r="61">
      <c r="A61" s="1419"/>
      <c r="B61" s="1687"/>
      <c r="C61" s="1688"/>
      <c r="D61" s="1688"/>
      <c r="E61" s="1689"/>
      <c r="F61" s="1689"/>
      <c r="G61" s="1689"/>
      <c r="H61" s="1689"/>
      <c r="I61" s="1689"/>
      <c r="J61" s="1689"/>
      <c r="K61" s="1689"/>
      <c r="L61" s="1689"/>
      <c r="M61" s="1689"/>
      <c r="N61" s="1689"/>
      <c r="O61" s="1689"/>
      <c r="P61" s="1689"/>
      <c r="Q61" s="1689"/>
      <c r="R61" s="1689"/>
      <c r="S61" s="1689"/>
      <c r="T61" s="1689"/>
      <c r="U61" s="1689"/>
      <c r="V61" s="1689"/>
      <c r="W61" s="1689"/>
      <c r="X61" s="1689"/>
      <c r="Y61" s="1689"/>
      <c r="Z61" s="1690"/>
      <c r="AA61" s="1690"/>
      <c r="AB61" s="1690"/>
      <c r="AC61" s="1690"/>
      <c r="AD61" s="1690"/>
      <c r="AE61" s="1690"/>
      <c r="AF61" s="1690"/>
      <c r="AG61" s="1690"/>
      <c r="AH61" s="1690"/>
      <c r="AI61" s="1690"/>
      <c r="AJ61" s="1690"/>
      <c r="AK61" s="1690"/>
      <c r="AL61" s="1690"/>
      <c r="AM61" s="1690"/>
      <c r="AN61" s="1690"/>
      <c r="AO61" s="1690"/>
      <c r="AP61" s="1690"/>
      <c r="AQ61" s="1690"/>
      <c r="AR61" s="1690"/>
      <c r="AS61" s="1690"/>
      <c r="AT61" s="1690"/>
    </row>
    <row r="62">
      <c r="A62" s="1419"/>
      <c r="B62" s="1684"/>
      <c r="C62" s="1685"/>
      <c r="D62" s="1685"/>
      <c r="E62" s="1686"/>
      <c r="F62" s="1686"/>
      <c r="G62" s="1686"/>
      <c r="H62" s="1686"/>
      <c r="I62" s="1686"/>
      <c r="J62" s="1686"/>
      <c r="K62" s="1686"/>
      <c r="L62" s="1686"/>
      <c r="M62" s="1686"/>
      <c r="N62" s="1686"/>
      <c r="O62" s="1686"/>
      <c r="P62" s="1686"/>
      <c r="Q62" s="1686"/>
      <c r="R62" s="1686"/>
      <c r="S62" s="1686"/>
      <c r="T62" s="1686"/>
      <c r="U62" s="1686"/>
      <c r="V62" s="1686"/>
      <c r="W62" s="1686"/>
      <c r="X62" s="1686"/>
      <c r="Y62" s="1686"/>
      <c r="Z62" s="1686"/>
      <c r="AA62" s="1686"/>
      <c r="AB62" s="1686"/>
      <c r="AC62" s="1686"/>
      <c r="AD62" s="1686"/>
      <c r="AE62" s="1686"/>
      <c r="AF62" s="1686"/>
      <c r="AG62" s="1686"/>
      <c r="AH62" s="1686"/>
      <c r="AI62" s="1686"/>
      <c r="AJ62" s="1686"/>
      <c r="AK62" s="1686"/>
      <c r="AL62" s="1686"/>
      <c r="AM62" s="1686"/>
      <c r="AN62" s="1686"/>
      <c r="AO62" s="1686"/>
      <c r="AP62" s="1686"/>
      <c r="AQ62" s="1686"/>
      <c r="AR62" s="1686"/>
      <c r="AS62" s="1686"/>
      <c r="AT62" s="1686"/>
    </row>
    <row r="63">
      <c r="A63" s="1419"/>
      <c r="B63" s="1687"/>
      <c r="C63" s="1688"/>
      <c r="D63" s="1688"/>
      <c r="E63" s="1690"/>
      <c r="F63" s="1690"/>
      <c r="G63" s="1690"/>
      <c r="H63" s="1690"/>
      <c r="I63" s="1690"/>
      <c r="J63" s="1690"/>
      <c r="K63" s="1690"/>
      <c r="L63" s="1690"/>
      <c r="M63" s="1690"/>
      <c r="N63" s="1690"/>
      <c r="O63" s="1690"/>
      <c r="P63" s="1690"/>
      <c r="Q63" s="1690"/>
      <c r="R63" s="1690"/>
      <c r="S63" s="1690"/>
      <c r="T63" s="1690"/>
      <c r="U63" s="1690"/>
      <c r="V63" s="1690"/>
      <c r="W63" s="1690"/>
      <c r="X63" s="1690"/>
      <c r="Y63" s="1690"/>
      <c r="Z63" s="1690"/>
      <c r="AA63" s="1690"/>
      <c r="AB63" s="1690"/>
      <c r="AC63" s="1690"/>
      <c r="AD63" s="1690"/>
      <c r="AE63" s="1690"/>
      <c r="AF63" s="1690"/>
      <c r="AG63" s="1690"/>
      <c r="AH63" s="1690"/>
      <c r="AI63" s="1690"/>
      <c r="AJ63" s="1690"/>
      <c r="AK63" s="1690"/>
      <c r="AL63" s="1690"/>
      <c r="AM63" s="1690"/>
      <c r="AN63" s="1690"/>
      <c r="AO63" s="1690"/>
      <c r="AP63" s="1690"/>
      <c r="AQ63" s="1690"/>
      <c r="AR63" s="1690"/>
      <c r="AS63" s="1690"/>
      <c r="AT63" s="1690"/>
    </row>
    <row r="64">
      <c r="A64" s="1419"/>
      <c r="B64" s="1684"/>
      <c r="C64" s="1685"/>
      <c r="D64" s="1685"/>
      <c r="E64" s="1691"/>
      <c r="F64" s="1691"/>
      <c r="G64" s="1691"/>
      <c r="H64" s="1691"/>
      <c r="I64" s="1691"/>
      <c r="J64" s="1691"/>
      <c r="K64" s="1691"/>
      <c r="L64" s="1691"/>
      <c r="M64" s="1691"/>
      <c r="N64" s="1691"/>
      <c r="O64" s="1691"/>
      <c r="P64" s="1691"/>
      <c r="Q64" s="1691"/>
      <c r="R64" s="1691"/>
      <c r="S64" s="1691"/>
      <c r="T64" s="1691"/>
      <c r="U64" s="1691"/>
      <c r="V64" s="1691"/>
      <c r="W64" s="1691"/>
      <c r="X64" s="1691"/>
      <c r="Y64" s="1691"/>
      <c r="Z64" s="1686"/>
      <c r="AA64" s="1686"/>
      <c r="AB64" s="1686"/>
      <c r="AC64" s="1686"/>
      <c r="AD64" s="1686"/>
      <c r="AE64" s="1686"/>
      <c r="AF64" s="1686"/>
      <c r="AG64" s="1686"/>
      <c r="AH64" s="1686"/>
      <c r="AI64" s="1686"/>
      <c r="AJ64" s="1686"/>
      <c r="AK64" s="1686"/>
      <c r="AL64" s="1686"/>
      <c r="AM64" s="1686"/>
      <c r="AN64" s="1686"/>
      <c r="AO64" s="1686"/>
      <c r="AP64" s="1686"/>
      <c r="AQ64" s="1686"/>
      <c r="AR64" s="1686"/>
      <c r="AS64" s="1686"/>
      <c r="AT64" s="1686"/>
    </row>
    <row r="65">
      <c r="A65" s="1419"/>
      <c r="B65" s="1687"/>
      <c r="C65" s="1688"/>
      <c r="D65" s="1688"/>
      <c r="E65" s="1690"/>
      <c r="F65" s="1690"/>
      <c r="G65" s="1690"/>
      <c r="H65" s="1690"/>
      <c r="I65" s="1690"/>
      <c r="J65" s="1690"/>
      <c r="K65" s="1690"/>
      <c r="L65" s="1690"/>
      <c r="M65" s="1690"/>
      <c r="N65" s="1690"/>
      <c r="O65" s="1690"/>
      <c r="P65" s="1690"/>
      <c r="Q65" s="1690"/>
      <c r="R65" s="1690"/>
      <c r="S65" s="1690"/>
      <c r="T65" s="1690"/>
      <c r="U65" s="1690"/>
      <c r="V65" s="1690"/>
      <c r="W65" s="1690"/>
      <c r="X65" s="1690"/>
      <c r="Y65" s="1690"/>
      <c r="Z65" s="1690"/>
      <c r="AA65" s="1690"/>
      <c r="AB65" s="1690"/>
      <c r="AC65" s="1690"/>
      <c r="AD65" s="1690"/>
      <c r="AE65" s="1690"/>
      <c r="AF65" s="1690"/>
      <c r="AG65" s="1690"/>
      <c r="AH65" s="1690"/>
      <c r="AI65" s="1690"/>
      <c r="AJ65" s="1690"/>
      <c r="AK65" s="1690"/>
      <c r="AL65" s="1690"/>
      <c r="AM65" s="1690"/>
      <c r="AN65" s="1690"/>
      <c r="AO65" s="1690"/>
      <c r="AP65" s="1690"/>
      <c r="AQ65" s="1690"/>
      <c r="AR65" s="1690"/>
      <c r="AS65" s="1690"/>
      <c r="AT65" s="1690"/>
    </row>
    <row r="66">
      <c r="A66" s="1419"/>
      <c r="B66" s="1684"/>
      <c r="C66" s="1685"/>
      <c r="D66" s="1685"/>
      <c r="E66" s="1691"/>
      <c r="F66" s="1691"/>
      <c r="G66" s="1691"/>
      <c r="H66" s="1691"/>
      <c r="I66" s="1691"/>
      <c r="J66" s="1691"/>
      <c r="K66" s="1691"/>
      <c r="L66" s="1691"/>
      <c r="M66" s="1691"/>
      <c r="N66" s="1691"/>
      <c r="O66" s="1691"/>
      <c r="P66" s="1691"/>
      <c r="Q66" s="1691"/>
      <c r="R66" s="1691"/>
      <c r="S66" s="1691"/>
      <c r="T66" s="1691"/>
      <c r="U66" s="1691"/>
      <c r="V66" s="1691"/>
      <c r="W66" s="1691"/>
      <c r="X66" s="1691"/>
      <c r="Y66" s="1691"/>
      <c r="Z66" s="1686"/>
      <c r="AA66" s="1686"/>
      <c r="AB66" s="1686"/>
      <c r="AC66" s="1686"/>
      <c r="AD66" s="1686"/>
      <c r="AE66" s="1686"/>
      <c r="AF66" s="1686"/>
      <c r="AG66" s="1686"/>
      <c r="AH66" s="1686"/>
      <c r="AI66" s="1686"/>
      <c r="AJ66" s="1686"/>
      <c r="AK66" s="1686"/>
      <c r="AL66" s="1686"/>
      <c r="AM66" s="1686"/>
      <c r="AN66" s="1686"/>
      <c r="AO66" s="1686"/>
      <c r="AP66" s="1686"/>
      <c r="AQ66" s="1686"/>
      <c r="AR66" s="1686"/>
      <c r="AS66" s="1686"/>
      <c r="AT66" s="1686"/>
    </row>
    <row r="67">
      <c r="A67" s="1419"/>
      <c r="B67" s="1687"/>
      <c r="C67" s="1688"/>
      <c r="D67" s="1688"/>
      <c r="E67" s="1689"/>
      <c r="F67" s="1689"/>
      <c r="G67" s="1689"/>
      <c r="H67" s="1689"/>
      <c r="I67" s="1689"/>
      <c r="J67" s="1689"/>
      <c r="K67" s="1689"/>
      <c r="L67" s="1689"/>
      <c r="M67" s="1689"/>
      <c r="N67" s="1689"/>
      <c r="O67" s="1689"/>
      <c r="P67" s="1689"/>
      <c r="Q67" s="1689"/>
      <c r="R67" s="1689"/>
      <c r="S67" s="1689"/>
      <c r="T67" s="1689"/>
      <c r="U67" s="1689"/>
      <c r="V67" s="1689"/>
      <c r="W67" s="1689"/>
      <c r="X67" s="1689"/>
      <c r="Y67" s="1689"/>
      <c r="Z67" s="1690"/>
      <c r="AA67" s="1690"/>
      <c r="AB67" s="1690"/>
      <c r="AC67" s="1690"/>
      <c r="AD67" s="1690"/>
      <c r="AE67" s="1690"/>
      <c r="AF67" s="1690"/>
      <c r="AG67" s="1690"/>
      <c r="AH67" s="1690"/>
      <c r="AI67" s="1690"/>
      <c r="AJ67" s="1690"/>
      <c r="AK67" s="1690"/>
      <c r="AL67" s="1690"/>
      <c r="AM67" s="1690"/>
      <c r="AN67" s="1690"/>
      <c r="AO67" s="1690"/>
      <c r="AP67" s="1690"/>
      <c r="AQ67" s="1690"/>
      <c r="AR67" s="1690"/>
      <c r="AS67" s="1690"/>
      <c r="AT67" s="1690"/>
    </row>
    <row r="68">
      <c r="A68" s="1419"/>
      <c r="B68" s="1684"/>
      <c r="C68" s="1685"/>
      <c r="D68" s="1685"/>
      <c r="E68" s="1691"/>
      <c r="F68" s="1691"/>
      <c r="G68" s="1691"/>
      <c r="H68" s="1691"/>
      <c r="I68" s="1691"/>
      <c r="J68" s="1691"/>
      <c r="K68" s="1691"/>
      <c r="L68" s="1691"/>
      <c r="M68" s="1691"/>
      <c r="N68" s="1691"/>
      <c r="O68" s="1691"/>
      <c r="P68" s="1691"/>
      <c r="Q68" s="1691"/>
      <c r="R68" s="1691"/>
      <c r="S68" s="1691"/>
      <c r="T68" s="1691"/>
      <c r="U68" s="1691"/>
      <c r="V68" s="1691"/>
      <c r="W68" s="1691"/>
      <c r="X68" s="1691"/>
      <c r="Y68" s="1691"/>
      <c r="Z68" s="1686"/>
      <c r="AA68" s="1686"/>
      <c r="AB68" s="1686"/>
      <c r="AC68" s="1686"/>
      <c r="AD68" s="1686"/>
      <c r="AE68" s="1686"/>
      <c r="AF68" s="1686"/>
      <c r="AG68" s="1686"/>
      <c r="AH68" s="1686"/>
      <c r="AI68" s="1686"/>
      <c r="AJ68" s="1686"/>
      <c r="AK68" s="1686"/>
      <c r="AL68" s="1686"/>
      <c r="AM68" s="1686"/>
      <c r="AN68" s="1686"/>
      <c r="AO68" s="1686"/>
      <c r="AP68" s="1686"/>
      <c r="AQ68" s="1686"/>
      <c r="AR68" s="1686"/>
      <c r="AS68" s="1686"/>
      <c r="AT68" s="1686"/>
    </row>
    <row r="69">
      <c r="A69" s="1419"/>
      <c r="B69" s="1687"/>
      <c r="C69" s="1688"/>
      <c r="D69" s="1688"/>
      <c r="E69" s="1689"/>
      <c r="F69" s="1689"/>
      <c r="G69" s="1689"/>
      <c r="H69" s="1689"/>
      <c r="I69" s="1689"/>
      <c r="J69" s="1689"/>
      <c r="K69" s="1689"/>
      <c r="L69" s="1689"/>
      <c r="M69" s="1689"/>
      <c r="N69" s="1689"/>
      <c r="O69" s="1689"/>
      <c r="P69" s="1689"/>
      <c r="Q69" s="1689"/>
      <c r="R69" s="1689"/>
      <c r="S69" s="1689"/>
      <c r="T69" s="1689"/>
      <c r="U69" s="1689"/>
      <c r="V69" s="1689"/>
      <c r="W69" s="1689"/>
      <c r="X69" s="1689"/>
      <c r="Y69" s="1689"/>
      <c r="Z69" s="1690"/>
      <c r="AA69" s="1690"/>
      <c r="AB69" s="1690"/>
      <c r="AC69" s="1690"/>
      <c r="AD69" s="1690"/>
      <c r="AE69" s="1690"/>
      <c r="AF69" s="1690"/>
      <c r="AG69" s="1690"/>
      <c r="AH69" s="1690"/>
      <c r="AI69" s="1690"/>
      <c r="AJ69" s="1690"/>
      <c r="AK69" s="1690"/>
      <c r="AL69" s="1690"/>
      <c r="AM69" s="1690"/>
      <c r="AN69" s="1690"/>
      <c r="AO69" s="1690"/>
      <c r="AP69" s="1690"/>
      <c r="AQ69" s="1690"/>
      <c r="AR69" s="1690"/>
      <c r="AS69" s="1690"/>
      <c r="AT69" s="1690"/>
    </row>
    <row r="70">
      <c r="A70" s="1419"/>
      <c r="B70" s="1684"/>
      <c r="C70" s="1685"/>
      <c r="D70" s="1685"/>
      <c r="E70" s="1691"/>
      <c r="F70" s="1691"/>
      <c r="G70" s="1691"/>
      <c r="H70" s="1691"/>
      <c r="I70" s="1691"/>
      <c r="J70" s="1691"/>
      <c r="K70" s="1691"/>
      <c r="L70" s="1691"/>
      <c r="M70" s="1691"/>
      <c r="N70" s="1691"/>
      <c r="O70" s="1691"/>
      <c r="P70" s="1691"/>
      <c r="Q70" s="1691"/>
      <c r="R70" s="1691"/>
      <c r="S70" s="1691"/>
      <c r="T70" s="1691"/>
      <c r="U70" s="1691"/>
      <c r="V70" s="1691"/>
      <c r="W70" s="1691"/>
      <c r="X70" s="1691"/>
      <c r="Y70" s="1691"/>
      <c r="Z70" s="1686"/>
      <c r="AA70" s="1686"/>
      <c r="AB70" s="1686"/>
      <c r="AC70" s="1686"/>
      <c r="AD70" s="1686"/>
      <c r="AE70" s="1686"/>
      <c r="AF70" s="1686"/>
      <c r="AG70" s="1686"/>
      <c r="AH70" s="1686"/>
      <c r="AI70" s="1686"/>
      <c r="AJ70" s="1686"/>
      <c r="AK70" s="1686"/>
      <c r="AL70" s="1686"/>
      <c r="AM70" s="1686"/>
      <c r="AN70" s="1686"/>
      <c r="AO70" s="1686"/>
      <c r="AP70" s="1686"/>
      <c r="AQ70" s="1686"/>
      <c r="AR70" s="1686"/>
      <c r="AS70" s="1686"/>
      <c r="AT70" s="1686"/>
    </row>
    <row r="71">
      <c r="A71" s="1419"/>
      <c r="B71" s="1687"/>
      <c r="C71" s="1688"/>
      <c r="D71" s="1688"/>
      <c r="E71" s="1689"/>
      <c r="F71" s="1689"/>
      <c r="G71" s="1689"/>
      <c r="H71" s="1689"/>
      <c r="I71" s="1689"/>
      <c r="J71" s="1689"/>
      <c r="K71" s="1689"/>
      <c r="L71" s="1689"/>
      <c r="M71" s="1689"/>
      <c r="N71" s="1689"/>
      <c r="O71" s="1689"/>
      <c r="P71" s="1689"/>
      <c r="Q71" s="1689"/>
      <c r="R71" s="1689"/>
      <c r="S71" s="1689"/>
      <c r="T71" s="1689"/>
      <c r="U71" s="1689"/>
      <c r="V71" s="1689"/>
      <c r="W71" s="1689"/>
      <c r="X71" s="1689"/>
      <c r="Y71" s="1689"/>
      <c r="Z71" s="1690"/>
      <c r="AA71" s="1690"/>
      <c r="AB71" s="1690"/>
      <c r="AC71" s="1690"/>
      <c r="AD71" s="1690"/>
      <c r="AE71" s="1690"/>
      <c r="AF71" s="1690"/>
      <c r="AG71" s="1690"/>
      <c r="AH71" s="1690"/>
      <c r="AI71" s="1690"/>
      <c r="AJ71" s="1690"/>
      <c r="AK71" s="1690"/>
      <c r="AL71" s="1690"/>
      <c r="AM71" s="1690"/>
      <c r="AN71" s="1690"/>
      <c r="AO71" s="1690"/>
      <c r="AP71" s="1690"/>
      <c r="AQ71" s="1690"/>
      <c r="AR71" s="1690"/>
      <c r="AS71" s="1690"/>
      <c r="AT71" s="1690"/>
    </row>
    <row r="72">
      <c r="A72" s="1419"/>
      <c r="B72" s="1684"/>
      <c r="C72" s="1685"/>
      <c r="D72" s="1685"/>
      <c r="E72" s="1691"/>
      <c r="F72" s="1691"/>
      <c r="G72" s="1691"/>
      <c r="H72" s="1691"/>
      <c r="I72" s="1691"/>
      <c r="J72" s="1691"/>
      <c r="K72" s="1691"/>
      <c r="L72" s="1691"/>
      <c r="M72" s="1691"/>
      <c r="N72" s="1691"/>
      <c r="O72" s="1691"/>
      <c r="P72" s="1691"/>
      <c r="Q72" s="1691"/>
      <c r="R72" s="1691"/>
      <c r="S72" s="1691"/>
      <c r="T72" s="1691"/>
      <c r="U72" s="1691"/>
      <c r="V72" s="1691"/>
      <c r="W72" s="1691"/>
      <c r="X72" s="1691"/>
      <c r="Y72" s="1691"/>
      <c r="Z72" s="1686"/>
      <c r="AA72" s="1686"/>
      <c r="AB72" s="1686"/>
      <c r="AC72" s="1686"/>
      <c r="AD72" s="1686"/>
      <c r="AE72" s="1686"/>
      <c r="AF72" s="1686"/>
      <c r="AG72" s="1686"/>
      <c r="AH72" s="1686"/>
      <c r="AI72" s="1686"/>
      <c r="AJ72" s="1686"/>
      <c r="AK72" s="1686"/>
      <c r="AL72" s="1686"/>
      <c r="AM72" s="1686"/>
      <c r="AN72" s="1686"/>
      <c r="AO72" s="1686"/>
      <c r="AP72" s="1686"/>
      <c r="AQ72" s="1686"/>
      <c r="AR72" s="1686"/>
      <c r="AS72" s="1686"/>
      <c r="AT72" s="1686"/>
    </row>
    <row r="73">
      <c r="A73" s="1419"/>
      <c r="B73" s="1687"/>
      <c r="C73" s="1688"/>
      <c r="D73" s="1688"/>
      <c r="E73" s="1689"/>
      <c r="F73" s="1689"/>
      <c r="G73" s="1689"/>
      <c r="H73" s="1689"/>
      <c r="I73" s="1689"/>
      <c r="J73" s="1689"/>
      <c r="K73" s="1689"/>
      <c r="L73" s="1689"/>
      <c r="M73" s="1689"/>
      <c r="N73" s="1689"/>
      <c r="O73" s="1689"/>
      <c r="P73" s="1689"/>
      <c r="Q73" s="1689"/>
      <c r="R73" s="1689"/>
      <c r="S73" s="1689"/>
      <c r="T73" s="1689"/>
      <c r="U73" s="1689"/>
      <c r="V73" s="1689"/>
      <c r="W73" s="1689"/>
      <c r="X73" s="1689"/>
      <c r="Y73" s="1689"/>
      <c r="Z73" s="1690"/>
      <c r="AA73" s="1690"/>
      <c r="AB73" s="1690"/>
      <c r="AC73" s="1690"/>
      <c r="AD73" s="1690"/>
      <c r="AE73" s="1690"/>
      <c r="AF73" s="1690"/>
      <c r="AG73" s="1690"/>
      <c r="AH73" s="1690"/>
      <c r="AI73" s="1690"/>
      <c r="AJ73" s="1690"/>
      <c r="AK73" s="1690"/>
      <c r="AL73" s="1690"/>
      <c r="AM73" s="1690"/>
      <c r="AN73" s="1690"/>
      <c r="AO73" s="1690"/>
      <c r="AP73" s="1690"/>
      <c r="AQ73" s="1690"/>
      <c r="AR73" s="1690"/>
      <c r="AS73" s="1690"/>
      <c r="AT73" s="1690"/>
    </row>
    <row r="74">
      <c r="A74" s="1419"/>
      <c r="B74" s="1684"/>
      <c r="C74" s="1685"/>
      <c r="D74" s="1685"/>
      <c r="E74" s="1691"/>
      <c r="F74" s="1691"/>
      <c r="G74" s="1691"/>
      <c r="H74" s="1691"/>
      <c r="I74" s="1691"/>
      <c r="J74" s="1691"/>
      <c r="K74" s="1691"/>
      <c r="L74" s="1691"/>
      <c r="M74" s="1691"/>
      <c r="N74" s="1691"/>
      <c r="O74" s="1691"/>
      <c r="P74" s="1691"/>
      <c r="Q74" s="1691"/>
      <c r="R74" s="1691"/>
      <c r="S74" s="1691"/>
      <c r="T74" s="1691"/>
      <c r="U74" s="1691"/>
      <c r="V74" s="1691"/>
      <c r="W74" s="1691"/>
      <c r="X74" s="1691"/>
      <c r="Y74" s="1691"/>
      <c r="Z74" s="1686"/>
      <c r="AA74" s="1686"/>
      <c r="AB74" s="1686"/>
      <c r="AC74" s="1686"/>
      <c r="AD74" s="1686"/>
      <c r="AE74" s="1686"/>
      <c r="AF74" s="1686"/>
      <c r="AG74" s="1686"/>
      <c r="AH74" s="1686"/>
      <c r="AI74" s="1686"/>
      <c r="AJ74" s="1686"/>
      <c r="AK74" s="1686"/>
      <c r="AL74" s="1686"/>
      <c r="AM74" s="1686"/>
      <c r="AN74" s="1686"/>
      <c r="AO74" s="1686"/>
      <c r="AP74" s="1686"/>
      <c r="AQ74" s="1686"/>
      <c r="AR74" s="1686"/>
      <c r="AS74" s="1686"/>
      <c r="AT74" s="1686"/>
    </row>
    <row r="75">
      <c r="A75" s="1419"/>
      <c r="B75" s="1687"/>
      <c r="C75" s="1688"/>
      <c r="D75" s="1688"/>
      <c r="E75" s="1689"/>
      <c r="F75" s="1689"/>
      <c r="G75" s="1689"/>
      <c r="H75" s="1689"/>
      <c r="I75" s="1689"/>
      <c r="J75" s="1689"/>
      <c r="K75" s="1689"/>
      <c r="L75" s="1689"/>
      <c r="M75" s="1689"/>
      <c r="N75" s="1689"/>
      <c r="O75" s="1689"/>
      <c r="P75" s="1689"/>
      <c r="Q75" s="1689"/>
      <c r="R75" s="1689"/>
      <c r="S75" s="1689"/>
      <c r="T75" s="1689"/>
      <c r="U75" s="1689"/>
      <c r="V75" s="1689"/>
      <c r="W75" s="1689"/>
      <c r="X75" s="1689"/>
      <c r="Y75" s="1689"/>
      <c r="Z75" s="1690"/>
      <c r="AA75" s="1690"/>
      <c r="AB75" s="1690"/>
      <c r="AC75" s="1690"/>
      <c r="AD75" s="1690"/>
      <c r="AE75" s="1690"/>
      <c r="AF75" s="1690"/>
      <c r="AG75" s="1690"/>
      <c r="AH75" s="1690"/>
      <c r="AI75" s="1690"/>
      <c r="AJ75" s="1690"/>
      <c r="AK75" s="1690"/>
      <c r="AL75" s="1690"/>
      <c r="AM75" s="1690"/>
      <c r="AN75" s="1690"/>
      <c r="AO75" s="1690"/>
      <c r="AP75" s="1690"/>
      <c r="AQ75" s="1690"/>
      <c r="AR75" s="1690"/>
      <c r="AS75" s="1690"/>
      <c r="AT75" s="1690"/>
    </row>
    <row r="76">
      <c r="A76" s="1419"/>
      <c r="B76" s="1684"/>
      <c r="C76" s="1685"/>
      <c r="D76" s="1685"/>
      <c r="E76" s="1691"/>
      <c r="F76" s="1691"/>
      <c r="G76" s="1691"/>
      <c r="H76" s="1691"/>
      <c r="I76" s="1691"/>
      <c r="J76" s="1691"/>
      <c r="K76" s="1691"/>
      <c r="L76" s="1691"/>
      <c r="M76" s="1691"/>
      <c r="N76" s="1691"/>
      <c r="O76" s="1691"/>
      <c r="P76" s="1691"/>
      <c r="Q76" s="1691"/>
      <c r="R76" s="1691"/>
      <c r="S76" s="1691"/>
      <c r="T76" s="1691"/>
      <c r="U76" s="1691"/>
      <c r="V76" s="1691"/>
      <c r="W76" s="1691"/>
      <c r="X76" s="1691"/>
      <c r="Y76" s="1691"/>
      <c r="Z76" s="1686"/>
      <c r="AA76" s="1686"/>
      <c r="AB76" s="1686"/>
      <c r="AC76" s="1686"/>
      <c r="AD76" s="1686"/>
      <c r="AE76" s="1686"/>
      <c r="AF76" s="1686"/>
      <c r="AG76" s="1686"/>
      <c r="AH76" s="1686"/>
      <c r="AI76" s="1686"/>
      <c r="AJ76" s="1686"/>
      <c r="AK76" s="1686"/>
      <c r="AL76" s="1686"/>
      <c r="AM76" s="1686"/>
      <c r="AN76" s="1686"/>
      <c r="AO76" s="1686"/>
      <c r="AP76" s="1686"/>
      <c r="AQ76" s="1686"/>
      <c r="AR76" s="1686"/>
      <c r="AS76" s="1686"/>
      <c r="AT76" s="1686"/>
    </row>
    <row r="77">
      <c r="A77" s="1419"/>
      <c r="B77" s="1687"/>
      <c r="C77" s="1688"/>
      <c r="D77" s="1688"/>
      <c r="E77" s="1689"/>
      <c r="F77" s="1689"/>
      <c r="G77" s="1689"/>
      <c r="H77" s="1689"/>
      <c r="I77" s="1689"/>
      <c r="J77" s="1689"/>
      <c r="K77" s="1689"/>
      <c r="L77" s="1689"/>
      <c r="M77" s="1689"/>
      <c r="N77" s="1689"/>
      <c r="O77" s="1689"/>
      <c r="P77" s="1689"/>
      <c r="Q77" s="1689"/>
      <c r="R77" s="1689"/>
      <c r="S77" s="1689"/>
      <c r="T77" s="1689"/>
      <c r="U77" s="1689"/>
      <c r="V77" s="1689"/>
      <c r="W77" s="1689"/>
      <c r="X77" s="1689"/>
      <c r="Y77" s="1689"/>
      <c r="Z77" s="1690"/>
      <c r="AA77" s="1690"/>
      <c r="AB77" s="1690"/>
      <c r="AC77" s="1690"/>
      <c r="AD77" s="1690"/>
      <c r="AE77" s="1690"/>
      <c r="AF77" s="1690"/>
      <c r="AG77" s="1690"/>
      <c r="AH77" s="1690"/>
      <c r="AI77" s="1690"/>
      <c r="AJ77" s="1690"/>
      <c r="AK77" s="1690"/>
      <c r="AL77" s="1690"/>
      <c r="AM77" s="1690"/>
      <c r="AN77" s="1690"/>
      <c r="AO77" s="1690"/>
      <c r="AP77" s="1690"/>
      <c r="AQ77" s="1690"/>
      <c r="AR77" s="1690"/>
      <c r="AS77" s="1690"/>
      <c r="AT77" s="1690"/>
    </row>
    <row r="78">
      <c r="A78" s="1440" t="s">
        <v>2461</v>
      </c>
      <c r="B78" s="1684"/>
      <c r="C78" s="1685"/>
      <c r="D78" s="1685"/>
      <c r="E78" s="1691"/>
      <c r="F78" s="1691"/>
      <c r="G78" s="1691"/>
      <c r="H78" s="1691"/>
      <c r="I78" s="1691"/>
      <c r="J78" s="1691"/>
      <c r="K78" s="1691"/>
      <c r="L78" s="1691"/>
      <c r="M78" s="1691"/>
      <c r="N78" s="1691"/>
      <c r="O78" s="1691"/>
      <c r="P78" s="1691"/>
      <c r="Q78" s="1691"/>
      <c r="R78" s="1691"/>
      <c r="S78" s="1691"/>
      <c r="T78" s="1691"/>
      <c r="U78" s="1691"/>
      <c r="V78" s="1691"/>
      <c r="W78" s="1691"/>
      <c r="X78" s="1691"/>
      <c r="Y78" s="1691"/>
      <c r="Z78" s="1686"/>
      <c r="AA78" s="1686"/>
      <c r="AB78" s="1686"/>
      <c r="AC78" s="1686"/>
      <c r="AD78" s="1686"/>
      <c r="AE78" s="1686"/>
      <c r="AF78" s="1686"/>
      <c r="AG78" s="1686"/>
      <c r="AH78" s="1686"/>
      <c r="AI78" s="1686"/>
      <c r="AJ78" s="1686"/>
      <c r="AK78" s="1686"/>
      <c r="AL78" s="1686"/>
      <c r="AM78" s="1686"/>
      <c r="AN78" s="1686"/>
      <c r="AO78" s="1686"/>
      <c r="AP78" s="1686"/>
      <c r="AQ78" s="1686"/>
      <c r="AR78" s="1686"/>
      <c r="AS78" s="1686"/>
      <c r="AT78" s="1686"/>
    </row>
    <row r="79">
      <c r="A79" s="1419"/>
      <c r="B79" s="1687"/>
      <c r="C79" s="1688"/>
      <c r="D79" s="1688"/>
      <c r="E79" s="1689"/>
      <c r="F79" s="1689"/>
      <c r="G79" s="1689"/>
      <c r="H79" s="1689"/>
      <c r="I79" s="1689"/>
      <c r="J79" s="1689"/>
      <c r="K79" s="1689"/>
      <c r="L79" s="1689"/>
      <c r="M79" s="1689"/>
      <c r="N79" s="1689"/>
      <c r="O79" s="1689"/>
      <c r="P79" s="1689"/>
      <c r="Q79" s="1689"/>
      <c r="R79" s="1689"/>
      <c r="S79" s="1689"/>
      <c r="T79" s="1689"/>
      <c r="U79" s="1689"/>
      <c r="V79" s="1689"/>
      <c r="W79" s="1689"/>
      <c r="X79" s="1689"/>
      <c r="Y79" s="1689"/>
      <c r="Z79" s="1690"/>
      <c r="AA79" s="1690"/>
      <c r="AB79" s="1690"/>
      <c r="AC79" s="1690"/>
      <c r="AD79" s="1690"/>
      <c r="AE79" s="1690"/>
      <c r="AF79" s="1690"/>
      <c r="AG79" s="1690"/>
      <c r="AH79" s="1690"/>
      <c r="AI79" s="1690"/>
      <c r="AJ79" s="1690"/>
      <c r="AK79" s="1690"/>
      <c r="AL79" s="1690"/>
      <c r="AM79" s="1690"/>
      <c r="AN79" s="1690"/>
      <c r="AO79" s="1690"/>
      <c r="AP79" s="1690"/>
      <c r="AQ79" s="1690"/>
      <c r="AR79" s="1690"/>
      <c r="AS79" s="1690"/>
      <c r="AT79" s="1690"/>
    </row>
    <row r="80">
      <c r="A80" s="1419"/>
      <c r="B80" s="1684"/>
      <c r="C80" s="1685"/>
      <c r="D80" s="1685"/>
      <c r="E80" s="1691"/>
      <c r="F80" s="1691"/>
      <c r="G80" s="1691"/>
      <c r="H80" s="1691"/>
      <c r="I80" s="1691"/>
      <c r="J80" s="1691"/>
      <c r="K80" s="1691"/>
      <c r="L80" s="1691"/>
      <c r="M80" s="1691"/>
      <c r="N80" s="1691"/>
      <c r="O80" s="1691"/>
      <c r="P80" s="1691"/>
      <c r="Q80" s="1691"/>
      <c r="R80" s="1691"/>
      <c r="S80" s="1691"/>
      <c r="T80" s="1691"/>
      <c r="U80" s="1691"/>
      <c r="V80" s="1691"/>
      <c r="W80" s="1691"/>
      <c r="X80" s="1691"/>
      <c r="Y80" s="1691"/>
      <c r="Z80" s="1686"/>
      <c r="AA80" s="1686"/>
      <c r="AB80" s="1686"/>
      <c r="AC80" s="1686"/>
      <c r="AD80" s="1686"/>
      <c r="AE80" s="1686"/>
      <c r="AF80" s="1686"/>
      <c r="AG80" s="1686"/>
      <c r="AH80" s="1686"/>
      <c r="AI80" s="1686"/>
      <c r="AJ80" s="1686"/>
      <c r="AK80" s="1686"/>
      <c r="AL80" s="1686"/>
      <c r="AM80" s="1686"/>
      <c r="AN80" s="1686"/>
      <c r="AO80" s="1686"/>
      <c r="AP80" s="1686"/>
      <c r="AQ80" s="1686"/>
      <c r="AR80" s="1686"/>
      <c r="AS80" s="1686"/>
      <c r="AT80" s="1686"/>
    </row>
    <row r="81">
      <c r="A81" s="1419"/>
      <c r="B81" s="1687"/>
      <c r="C81" s="1688"/>
      <c r="D81" s="1688"/>
      <c r="E81" s="1689"/>
      <c r="F81" s="1689"/>
      <c r="G81" s="1689"/>
      <c r="H81" s="1689"/>
      <c r="I81" s="1689"/>
      <c r="J81" s="1689"/>
      <c r="K81" s="1689"/>
      <c r="L81" s="1689"/>
      <c r="M81" s="1689"/>
      <c r="N81" s="1689"/>
      <c r="O81" s="1689"/>
      <c r="P81" s="1689"/>
      <c r="Q81" s="1689"/>
      <c r="R81" s="1689"/>
      <c r="S81" s="1689"/>
      <c r="T81" s="1689"/>
      <c r="U81" s="1689"/>
      <c r="V81" s="1689"/>
      <c r="W81" s="1689"/>
      <c r="X81" s="1689"/>
      <c r="Y81" s="1689"/>
      <c r="Z81" s="1690"/>
      <c r="AA81" s="1690"/>
      <c r="AB81" s="1690"/>
      <c r="AC81" s="1690"/>
      <c r="AD81" s="1690"/>
      <c r="AE81" s="1690"/>
      <c r="AF81" s="1690"/>
      <c r="AG81" s="1690"/>
      <c r="AH81" s="1690"/>
      <c r="AI81" s="1690"/>
      <c r="AJ81" s="1690"/>
      <c r="AK81" s="1690"/>
      <c r="AL81" s="1690"/>
      <c r="AM81" s="1690"/>
      <c r="AN81" s="1690"/>
      <c r="AO81" s="1690"/>
      <c r="AP81" s="1690"/>
      <c r="AQ81" s="1690"/>
      <c r="AR81" s="1690"/>
      <c r="AS81" s="1690"/>
      <c r="AT81" s="1690"/>
    </row>
    <row r="82">
      <c r="A82" s="1419"/>
      <c r="B82" s="1684"/>
      <c r="C82" s="1685"/>
      <c r="D82" s="1685"/>
      <c r="E82" s="1691"/>
      <c r="F82" s="1691"/>
      <c r="G82" s="1691"/>
      <c r="H82" s="1691"/>
      <c r="I82" s="1691"/>
      <c r="J82" s="1691"/>
      <c r="K82" s="1691"/>
      <c r="L82" s="1691"/>
      <c r="M82" s="1691"/>
      <c r="N82" s="1691"/>
      <c r="O82" s="1691"/>
      <c r="P82" s="1691"/>
      <c r="Q82" s="1691"/>
      <c r="R82" s="1691"/>
      <c r="S82" s="1691"/>
      <c r="T82" s="1691"/>
      <c r="U82" s="1691"/>
      <c r="V82" s="1691"/>
      <c r="W82" s="1691"/>
      <c r="X82" s="1691"/>
      <c r="Y82" s="1691"/>
      <c r="Z82" s="1686"/>
      <c r="AA82" s="1686"/>
      <c r="AB82" s="1686"/>
      <c r="AC82" s="1686"/>
      <c r="AD82" s="1686"/>
      <c r="AE82" s="1686"/>
      <c r="AF82" s="1686"/>
      <c r="AG82" s="1686"/>
      <c r="AH82" s="1686"/>
      <c r="AI82" s="1686"/>
      <c r="AJ82" s="1686"/>
      <c r="AK82" s="1686"/>
      <c r="AL82" s="1686"/>
      <c r="AM82" s="1686"/>
      <c r="AN82" s="1686"/>
      <c r="AO82" s="1686"/>
      <c r="AP82" s="1686"/>
      <c r="AQ82" s="1686"/>
      <c r="AR82" s="1686"/>
      <c r="AS82" s="1686"/>
      <c r="AT82" s="1686"/>
    </row>
    <row r="83">
      <c r="A83" s="1419"/>
      <c r="B83" s="1687"/>
      <c r="C83" s="1688"/>
      <c r="D83" s="1688"/>
      <c r="E83" s="1690"/>
      <c r="F83" s="1690"/>
      <c r="G83" s="1690"/>
      <c r="H83" s="1690"/>
      <c r="I83" s="1690"/>
      <c r="J83" s="1690"/>
      <c r="K83" s="1690"/>
      <c r="L83" s="1690"/>
      <c r="M83" s="1690"/>
      <c r="N83" s="1690"/>
      <c r="O83" s="1690"/>
      <c r="P83" s="1690"/>
      <c r="Q83" s="1690"/>
      <c r="R83" s="1690"/>
      <c r="S83" s="1690"/>
      <c r="T83" s="1690"/>
      <c r="U83" s="1690"/>
      <c r="V83" s="1690"/>
      <c r="W83" s="1690"/>
      <c r="X83" s="1690"/>
      <c r="Y83" s="1690"/>
      <c r="Z83" s="1690"/>
      <c r="AA83" s="1690"/>
      <c r="AB83" s="1690"/>
      <c r="AC83" s="1690"/>
      <c r="AD83" s="1690"/>
      <c r="AE83" s="1690"/>
      <c r="AF83" s="1690"/>
      <c r="AG83" s="1690"/>
      <c r="AH83" s="1690"/>
      <c r="AI83" s="1690"/>
      <c r="AJ83" s="1690"/>
      <c r="AK83" s="1690"/>
      <c r="AL83" s="1690"/>
      <c r="AM83" s="1690"/>
      <c r="AN83" s="1690"/>
      <c r="AO83" s="1690"/>
      <c r="AP83" s="1690"/>
      <c r="AQ83" s="1690"/>
      <c r="AR83" s="1690"/>
      <c r="AS83" s="1690"/>
      <c r="AT83" s="1690"/>
    </row>
    <row r="84">
      <c r="A84" s="1419"/>
      <c r="B84" s="1684"/>
      <c r="C84" s="1685"/>
      <c r="D84" s="1685"/>
      <c r="E84" s="1691"/>
      <c r="F84" s="1691"/>
      <c r="G84" s="1691"/>
      <c r="H84" s="1691"/>
      <c r="I84" s="1691"/>
      <c r="J84" s="1691"/>
      <c r="K84" s="1691"/>
      <c r="L84" s="1691"/>
      <c r="M84" s="1691"/>
      <c r="N84" s="1691"/>
      <c r="O84" s="1691"/>
      <c r="P84" s="1691"/>
      <c r="Q84" s="1691"/>
      <c r="R84" s="1691"/>
      <c r="S84" s="1691"/>
      <c r="T84" s="1691"/>
      <c r="U84" s="1691"/>
      <c r="V84" s="1691"/>
      <c r="W84" s="1691"/>
      <c r="X84" s="1691"/>
      <c r="Y84" s="1691"/>
      <c r="Z84" s="1686"/>
      <c r="AA84" s="1686"/>
      <c r="AB84" s="1686"/>
      <c r="AC84" s="1686"/>
      <c r="AD84" s="1686"/>
      <c r="AE84" s="1686"/>
      <c r="AF84" s="1686"/>
      <c r="AG84" s="1686"/>
      <c r="AH84" s="1686"/>
      <c r="AI84" s="1686"/>
      <c r="AJ84" s="1686"/>
      <c r="AK84" s="1686"/>
      <c r="AL84" s="1686"/>
      <c r="AM84" s="1686"/>
      <c r="AN84" s="1686"/>
      <c r="AO84" s="1686"/>
      <c r="AP84" s="1686"/>
      <c r="AQ84" s="1686"/>
      <c r="AR84" s="1686"/>
      <c r="AS84" s="1686"/>
      <c r="AT84" s="1686"/>
    </row>
    <row r="85">
      <c r="A85" s="1419"/>
      <c r="B85" s="1687"/>
      <c r="C85" s="1688"/>
      <c r="D85" s="1688"/>
      <c r="E85" s="1689"/>
      <c r="F85" s="1689"/>
      <c r="G85" s="1689"/>
      <c r="H85" s="1689"/>
      <c r="I85" s="1689"/>
      <c r="J85" s="1689"/>
      <c r="K85" s="1689"/>
      <c r="L85" s="1689"/>
      <c r="M85" s="1689"/>
      <c r="N85" s="1689"/>
      <c r="O85" s="1689"/>
      <c r="P85" s="1689"/>
      <c r="Q85" s="1689"/>
      <c r="R85" s="1689"/>
      <c r="S85" s="1689"/>
      <c r="T85" s="1689"/>
      <c r="U85" s="1689"/>
      <c r="V85" s="1689"/>
      <c r="W85" s="1689"/>
      <c r="X85" s="1689"/>
      <c r="Y85" s="1689"/>
      <c r="Z85" s="1690"/>
      <c r="AA85" s="1690"/>
      <c r="AB85" s="1690"/>
      <c r="AC85" s="1690"/>
      <c r="AD85" s="1690"/>
      <c r="AE85" s="1690"/>
      <c r="AF85" s="1690"/>
      <c r="AG85" s="1690"/>
      <c r="AH85" s="1690"/>
      <c r="AI85" s="1690"/>
      <c r="AJ85" s="1690"/>
      <c r="AK85" s="1690"/>
      <c r="AL85" s="1690"/>
      <c r="AM85" s="1690"/>
      <c r="AN85" s="1690"/>
      <c r="AO85" s="1690"/>
      <c r="AP85" s="1690"/>
      <c r="AQ85" s="1690"/>
      <c r="AR85" s="1690"/>
      <c r="AS85" s="1690"/>
      <c r="AT85" s="1690"/>
    </row>
    <row r="86">
      <c r="A86" s="1419"/>
      <c r="B86" s="1684"/>
      <c r="C86" s="1685"/>
      <c r="D86" s="1685"/>
      <c r="E86" s="1686"/>
      <c r="F86" s="1686"/>
      <c r="G86" s="1686"/>
      <c r="H86" s="1686"/>
      <c r="I86" s="1686"/>
      <c r="J86" s="1686"/>
      <c r="K86" s="1686"/>
      <c r="L86" s="1686"/>
      <c r="M86" s="1686"/>
      <c r="N86" s="1686"/>
      <c r="O86" s="1686"/>
      <c r="P86" s="1686"/>
      <c r="Q86" s="1686"/>
      <c r="R86" s="1686"/>
      <c r="S86" s="1686"/>
      <c r="T86" s="1686"/>
      <c r="U86" s="1686"/>
      <c r="V86" s="1686"/>
      <c r="W86" s="1686"/>
      <c r="X86" s="1686"/>
      <c r="Y86" s="1686"/>
      <c r="Z86" s="1686"/>
      <c r="AA86" s="1686"/>
      <c r="AB86" s="1686"/>
      <c r="AC86" s="1686"/>
      <c r="AD86" s="1686"/>
      <c r="AE86" s="1686"/>
      <c r="AF86" s="1686"/>
      <c r="AG86" s="1686"/>
      <c r="AH86" s="1686"/>
      <c r="AI86" s="1686"/>
      <c r="AJ86" s="1686"/>
      <c r="AK86" s="1686"/>
      <c r="AL86" s="1686"/>
      <c r="AM86" s="1686"/>
      <c r="AN86" s="1686"/>
      <c r="AO86" s="1686"/>
      <c r="AP86" s="1686"/>
      <c r="AQ86" s="1686"/>
      <c r="AR86" s="1686"/>
      <c r="AS86" s="1686"/>
      <c r="AT86" s="1686"/>
    </row>
    <row r="87">
      <c r="A87" s="1419"/>
      <c r="B87" s="1687"/>
      <c r="C87" s="1688"/>
      <c r="D87" s="1688"/>
      <c r="E87" s="1689"/>
      <c r="F87" s="1689"/>
      <c r="G87" s="1689"/>
      <c r="H87" s="1689"/>
      <c r="I87" s="1689"/>
      <c r="J87" s="1689"/>
      <c r="K87" s="1689"/>
      <c r="L87" s="1689"/>
      <c r="M87" s="1689"/>
      <c r="N87" s="1689"/>
      <c r="O87" s="1689"/>
      <c r="P87" s="1689"/>
      <c r="Q87" s="1689"/>
      <c r="R87" s="1689"/>
      <c r="S87" s="1689"/>
      <c r="T87" s="1689"/>
      <c r="U87" s="1689"/>
      <c r="V87" s="1689"/>
      <c r="W87" s="1689"/>
      <c r="X87" s="1689"/>
      <c r="Y87" s="1689"/>
      <c r="Z87" s="1690"/>
      <c r="AA87" s="1690"/>
      <c r="AB87" s="1690"/>
      <c r="AC87" s="1690"/>
      <c r="AD87" s="1690"/>
      <c r="AE87" s="1690"/>
      <c r="AF87" s="1690"/>
      <c r="AG87" s="1690"/>
      <c r="AH87" s="1690"/>
      <c r="AI87" s="1690"/>
      <c r="AJ87" s="1690"/>
      <c r="AK87" s="1690"/>
      <c r="AL87" s="1690"/>
      <c r="AM87" s="1690"/>
      <c r="AN87" s="1690"/>
      <c r="AO87" s="1690"/>
      <c r="AP87" s="1690"/>
      <c r="AQ87" s="1690"/>
      <c r="AR87" s="1690"/>
      <c r="AS87" s="1690"/>
      <c r="AT87" s="1690"/>
    </row>
    <row r="88">
      <c r="A88" s="1419"/>
      <c r="B88" s="1684"/>
      <c r="C88" s="1685"/>
      <c r="D88" s="1685"/>
      <c r="E88" s="1686"/>
      <c r="F88" s="1686"/>
      <c r="G88" s="1686"/>
      <c r="H88" s="1686"/>
      <c r="I88" s="1686"/>
      <c r="J88" s="1686"/>
      <c r="K88" s="1686"/>
      <c r="L88" s="1686"/>
      <c r="M88" s="1686"/>
      <c r="N88" s="1686"/>
      <c r="O88" s="1686"/>
      <c r="P88" s="1686"/>
      <c r="Q88" s="1686"/>
      <c r="R88" s="1686"/>
      <c r="S88" s="1686"/>
      <c r="T88" s="1686"/>
      <c r="U88" s="1686"/>
      <c r="V88" s="1686"/>
      <c r="W88" s="1686"/>
      <c r="X88" s="1686"/>
      <c r="Y88" s="1686"/>
      <c r="Z88" s="1686"/>
      <c r="AA88" s="1686"/>
      <c r="AB88" s="1686"/>
      <c r="AC88" s="1686"/>
      <c r="AD88" s="1686"/>
      <c r="AE88" s="1686"/>
      <c r="AF88" s="1686"/>
      <c r="AG88" s="1686"/>
      <c r="AH88" s="1686"/>
      <c r="AI88" s="1686"/>
      <c r="AJ88" s="1686"/>
      <c r="AK88" s="1686"/>
      <c r="AL88" s="1686"/>
      <c r="AM88" s="1686"/>
      <c r="AN88" s="1686"/>
      <c r="AO88" s="1686"/>
      <c r="AP88" s="1686"/>
      <c r="AQ88" s="1686"/>
      <c r="AR88" s="1686"/>
      <c r="AS88" s="1686"/>
      <c r="AT88" s="1686"/>
    </row>
    <row r="89">
      <c r="A89" s="1419"/>
      <c r="B89" s="1687"/>
      <c r="C89" s="1688"/>
      <c r="D89" s="1688"/>
      <c r="E89" s="1690"/>
      <c r="F89" s="1690"/>
      <c r="G89" s="1690"/>
      <c r="H89" s="1690"/>
      <c r="I89" s="1690"/>
      <c r="J89" s="1690"/>
      <c r="K89" s="1690"/>
      <c r="L89" s="1690"/>
      <c r="M89" s="1690"/>
      <c r="N89" s="1690"/>
      <c r="O89" s="1690"/>
      <c r="P89" s="1690"/>
      <c r="Q89" s="1690"/>
      <c r="R89" s="1690"/>
      <c r="S89" s="1690"/>
      <c r="T89" s="1690"/>
      <c r="U89" s="1690"/>
      <c r="V89" s="1690"/>
      <c r="W89" s="1690"/>
      <c r="X89" s="1690"/>
      <c r="Y89" s="1690"/>
      <c r="Z89" s="1690"/>
      <c r="AA89" s="1690"/>
      <c r="AB89" s="1690"/>
      <c r="AC89" s="1690"/>
      <c r="AD89" s="1690"/>
      <c r="AE89" s="1690"/>
      <c r="AF89" s="1690"/>
      <c r="AG89" s="1690"/>
      <c r="AH89" s="1690"/>
      <c r="AI89" s="1690"/>
      <c r="AJ89" s="1690"/>
      <c r="AK89" s="1690"/>
      <c r="AL89" s="1690"/>
      <c r="AM89" s="1690"/>
      <c r="AN89" s="1690"/>
      <c r="AO89" s="1690"/>
      <c r="AP89" s="1690"/>
      <c r="AQ89" s="1690"/>
      <c r="AR89" s="1690"/>
      <c r="AS89" s="1690"/>
      <c r="AT89" s="1690"/>
    </row>
    <row r="90">
      <c r="A90" s="1419"/>
      <c r="B90" s="1684"/>
      <c r="C90" s="1685"/>
      <c r="D90" s="1685"/>
      <c r="E90" s="1691"/>
      <c r="F90" s="1691"/>
      <c r="G90" s="1691"/>
      <c r="H90" s="1691"/>
      <c r="I90" s="1691"/>
      <c r="J90" s="1691"/>
      <c r="K90" s="1691"/>
      <c r="L90" s="1691"/>
      <c r="M90" s="1691"/>
      <c r="N90" s="1691"/>
      <c r="O90" s="1691"/>
      <c r="P90" s="1691"/>
      <c r="Q90" s="1691"/>
      <c r="R90" s="1691"/>
      <c r="S90" s="1691"/>
      <c r="T90" s="1691"/>
      <c r="U90" s="1691"/>
      <c r="V90" s="1691"/>
      <c r="W90" s="1691"/>
      <c r="X90" s="1691"/>
      <c r="Y90" s="1691"/>
      <c r="Z90" s="1686"/>
      <c r="AA90" s="1686"/>
      <c r="AB90" s="1686"/>
      <c r="AC90" s="1686"/>
      <c r="AD90" s="1686"/>
      <c r="AE90" s="1686"/>
      <c r="AF90" s="1686"/>
      <c r="AG90" s="1686"/>
      <c r="AH90" s="1686"/>
      <c r="AI90" s="1686"/>
      <c r="AJ90" s="1686"/>
      <c r="AK90" s="1686"/>
      <c r="AL90" s="1686"/>
      <c r="AM90" s="1686"/>
      <c r="AN90" s="1686"/>
      <c r="AO90" s="1686"/>
      <c r="AP90" s="1686"/>
      <c r="AQ90" s="1686"/>
      <c r="AR90" s="1686"/>
      <c r="AS90" s="1686"/>
      <c r="AT90" s="1686"/>
    </row>
    <row r="91">
      <c r="A91" s="1419"/>
      <c r="B91" s="1687"/>
      <c r="C91" s="1688"/>
      <c r="D91" s="1688"/>
      <c r="E91" s="1689"/>
      <c r="F91" s="1689"/>
      <c r="G91" s="1689"/>
      <c r="H91" s="1689"/>
      <c r="I91" s="1689"/>
      <c r="J91" s="1689"/>
      <c r="K91" s="1689"/>
      <c r="L91" s="1689"/>
      <c r="M91" s="1689"/>
      <c r="N91" s="1689"/>
      <c r="O91" s="1689"/>
      <c r="P91" s="1689"/>
      <c r="Q91" s="1689"/>
      <c r="R91" s="1689"/>
      <c r="S91" s="1689"/>
      <c r="T91" s="1689"/>
      <c r="U91" s="1689"/>
      <c r="V91" s="1689"/>
      <c r="W91" s="1689"/>
      <c r="X91" s="1689"/>
      <c r="Y91" s="1689"/>
      <c r="Z91" s="1690"/>
      <c r="AA91" s="1690"/>
      <c r="AB91" s="1690"/>
      <c r="AC91" s="1690"/>
      <c r="AD91" s="1690"/>
      <c r="AE91" s="1690"/>
      <c r="AF91" s="1690"/>
      <c r="AG91" s="1690"/>
      <c r="AH91" s="1690"/>
      <c r="AI91" s="1690"/>
      <c r="AJ91" s="1690"/>
      <c r="AK91" s="1690"/>
      <c r="AL91" s="1690"/>
      <c r="AM91" s="1690"/>
      <c r="AN91" s="1690"/>
      <c r="AO91" s="1690"/>
      <c r="AP91" s="1690"/>
      <c r="AQ91" s="1690"/>
      <c r="AR91" s="1690"/>
      <c r="AS91" s="1690"/>
      <c r="AT91" s="1690"/>
    </row>
    <row r="92">
      <c r="A92" s="1419"/>
      <c r="B92" s="1684"/>
      <c r="C92" s="1685"/>
      <c r="D92" s="1685"/>
      <c r="E92" s="1691"/>
      <c r="F92" s="1691"/>
      <c r="G92" s="1691"/>
      <c r="H92" s="1691"/>
      <c r="I92" s="1691"/>
      <c r="J92" s="1691"/>
      <c r="K92" s="1691"/>
      <c r="L92" s="1691"/>
      <c r="M92" s="1691"/>
      <c r="N92" s="1691"/>
      <c r="O92" s="1691"/>
      <c r="P92" s="1691"/>
      <c r="Q92" s="1691"/>
      <c r="R92" s="1691"/>
      <c r="S92" s="1691"/>
      <c r="T92" s="1691"/>
      <c r="U92" s="1691"/>
      <c r="V92" s="1691"/>
      <c r="W92" s="1691"/>
      <c r="X92" s="1691"/>
      <c r="Y92" s="1691"/>
      <c r="Z92" s="1686"/>
      <c r="AA92" s="1686"/>
      <c r="AB92" s="1686"/>
      <c r="AC92" s="1686"/>
      <c r="AD92" s="1686"/>
      <c r="AE92" s="1686"/>
      <c r="AF92" s="1686"/>
      <c r="AG92" s="1686"/>
      <c r="AH92" s="1686"/>
      <c r="AI92" s="1686"/>
      <c r="AJ92" s="1686"/>
      <c r="AK92" s="1686"/>
      <c r="AL92" s="1686"/>
      <c r="AM92" s="1686"/>
      <c r="AN92" s="1686"/>
      <c r="AO92" s="1686"/>
      <c r="AP92" s="1686"/>
      <c r="AQ92" s="1686"/>
      <c r="AR92" s="1686"/>
      <c r="AS92" s="1686"/>
      <c r="AT92" s="1686"/>
    </row>
    <row r="93">
      <c r="A93" s="1419"/>
      <c r="B93" s="1687"/>
      <c r="C93" s="1688"/>
      <c r="D93" s="1688"/>
      <c r="E93" s="1689"/>
      <c r="F93" s="1689"/>
      <c r="G93" s="1689"/>
      <c r="H93" s="1689"/>
      <c r="I93" s="1689"/>
      <c r="J93" s="1689"/>
      <c r="K93" s="1689"/>
      <c r="L93" s="1689"/>
      <c r="M93" s="1689"/>
      <c r="N93" s="1689"/>
      <c r="O93" s="1689"/>
      <c r="P93" s="1689"/>
      <c r="Q93" s="1689"/>
      <c r="R93" s="1689"/>
      <c r="S93" s="1689"/>
      <c r="T93" s="1689"/>
      <c r="U93" s="1689"/>
      <c r="V93" s="1689"/>
      <c r="W93" s="1689"/>
      <c r="X93" s="1689"/>
      <c r="Y93" s="1689"/>
      <c r="Z93" s="1690"/>
      <c r="AA93" s="1690"/>
      <c r="AB93" s="1690"/>
      <c r="AC93" s="1690"/>
      <c r="AD93" s="1690"/>
      <c r="AE93" s="1690"/>
      <c r="AF93" s="1690"/>
      <c r="AG93" s="1690"/>
      <c r="AH93" s="1690"/>
      <c r="AI93" s="1690"/>
      <c r="AJ93" s="1690"/>
      <c r="AK93" s="1690"/>
      <c r="AL93" s="1690"/>
      <c r="AM93" s="1690"/>
      <c r="AN93" s="1690"/>
      <c r="AO93" s="1690"/>
      <c r="AP93" s="1690"/>
      <c r="AQ93" s="1690"/>
      <c r="AR93" s="1690"/>
      <c r="AS93" s="1690"/>
      <c r="AT93" s="1690"/>
    </row>
    <row r="94">
      <c r="A94" s="1419"/>
      <c r="B94" s="1684"/>
      <c r="C94" s="1685"/>
      <c r="D94" s="1685"/>
      <c r="E94" s="1691"/>
      <c r="F94" s="1691"/>
      <c r="G94" s="1691"/>
      <c r="H94" s="1691"/>
      <c r="I94" s="1691"/>
      <c r="J94" s="1691"/>
      <c r="K94" s="1691"/>
      <c r="L94" s="1691"/>
      <c r="M94" s="1691"/>
      <c r="N94" s="1691"/>
      <c r="O94" s="1691"/>
      <c r="P94" s="1691"/>
      <c r="Q94" s="1691"/>
      <c r="R94" s="1691"/>
      <c r="S94" s="1691"/>
      <c r="T94" s="1691"/>
      <c r="U94" s="1691"/>
      <c r="V94" s="1691"/>
      <c r="W94" s="1691"/>
      <c r="X94" s="1691"/>
      <c r="Y94" s="1691"/>
      <c r="Z94" s="1686"/>
      <c r="AA94" s="1686"/>
      <c r="AB94" s="1686"/>
      <c r="AC94" s="1686"/>
      <c r="AD94" s="1686"/>
      <c r="AE94" s="1686"/>
      <c r="AF94" s="1686"/>
      <c r="AG94" s="1686"/>
      <c r="AH94" s="1686"/>
      <c r="AI94" s="1686"/>
      <c r="AJ94" s="1686"/>
      <c r="AK94" s="1686"/>
      <c r="AL94" s="1686"/>
      <c r="AM94" s="1686"/>
      <c r="AN94" s="1686"/>
      <c r="AO94" s="1686"/>
      <c r="AP94" s="1686"/>
      <c r="AQ94" s="1686"/>
      <c r="AR94" s="1686"/>
      <c r="AS94" s="1686"/>
      <c r="AT94" s="1686"/>
    </row>
    <row r="95">
      <c r="A95" s="1419"/>
      <c r="B95" s="1687"/>
      <c r="C95" s="1688"/>
      <c r="D95" s="1688"/>
      <c r="E95" s="1689"/>
      <c r="F95" s="1689"/>
      <c r="G95" s="1689"/>
      <c r="H95" s="1689"/>
      <c r="I95" s="1689"/>
      <c r="J95" s="1689"/>
      <c r="K95" s="1689"/>
      <c r="L95" s="1689"/>
      <c r="M95" s="1689"/>
      <c r="N95" s="1689"/>
      <c r="O95" s="1689"/>
      <c r="P95" s="1689"/>
      <c r="Q95" s="1689"/>
      <c r="R95" s="1689"/>
      <c r="S95" s="1689"/>
      <c r="T95" s="1689"/>
      <c r="U95" s="1689"/>
      <c r="V95" s="1689"/>
      <c r="W95" s="1689"/>
      <c r="X95" s="1689"/>
      <c r="Y95" s="1689"/>
      <c r="Z95" s="1690"/>
      <c r="AA95" s="1690"/>
      <c r="AB95" s="1690"/>
      <c r="AC95" s="1690"/>
      <c r="AD95" s="1690"/>
      <c r="AE95" s="1690"/>
      <c r="AF95" s="1690"/>
      <c r="AG95" s="1690"/>
      <c r="AH95" s="1690"/>
      <c r="AI95" s="1690"/>
      <c r="AJ95" s="1690"/>
      <c r="AK95" s="1690"/>
      <c r="AL95" s="1690"/>
      <c r="AM95" s="1690"/>
      <c r="AN95" s="1690"/>
      <c r="AO95" s="1690"/>
      <c r="AP95" s="1690"/>
      <c r="AQ95" s="1690"/>
      <c r="AR95" s="1690"/>
      <c r="AS95" s="1690"/>
      <c r="AT95" s="1690"/>
    </row>
    <row r="96">
      <c r="A96" s="1419"/>
      <c r="B96" s="1684"/>
      <c r="C96" s="1685"/>
      <c r="D96" s="1685"/>
      <c r="E96" s="1691"/>
      <c r="F96" s="1691"/>
      <c r="G96" s="1691"/>
      <c r="H96" s="1691"/>
      <c r="I96" s="1691"/>
      <c r="J96" s="1691"/>
      <c r="K96" s="1691"/>
      <c r="L96" s="1691"/>
      <c r="M96" s="1691"/>
      <c r="N96" s="1691"/>
      <c r="O96" s="1691"/>
      <c r="P96" s="1691"/>
      <c r="Q96" s="1691"/>
      <c r="R96" s="1691"/>
      <c r="S96" s="1691"/>
      <c r="T96" s="1691"/>
      <c r="U96" s="1691"/>
      <c r="V96" s="1691"/>
      <c r="W96" s="1691"/>
      <c r="X96" s="1691"/>
      <c r="Y96" s="1691"/>
      <c r="Z96" s="1686"/>
      <c r="AA96" s="1686"/>
      <c r="AB96" s="1686"/>
      <c r="AC96" s="1686"/>
      <c r="AD96" s="1686"/>
      <c r="AE96" s="1686"/>
      <c r="AF96" s="1686"/>
      <c r="AG96" s="1686"/>
      <c r="AH96" s="1686"/>
      <c r="AI96" s="1686"/>
      <c r="AJ96" s="1686"/>
      <c r="AK96" s="1686"/>
      <c r="AL96" s="1686"/>
      <c r="AM96" s="1686"/>
      <c r="AN96" s="1686"/>
      <c r="AO96" s="1686"/>
      <c r="AP96" s="1686"/>
      <c r="AQ96" s="1686"/>
      <c r="AR96" s="1686"/>
      <c r="AS96" s="1686"/>
      <c r="AT96" s="1686"/>
    </row>
    <row r="97">
      <c r="A97" s="1419"/>
      <c r="B97" s="1687"/>
      <c r="C97" s="1688"/>
      <c r="D97" s="1688"/>
      <c r="E97" s="1689"/>
      <c r="F97" s="1689"/>
      <c r="G97" s="1689"/>
      <c r="H97" s="1689"/>
      <c r="I97" s="1689"/>
      <c r="J97" s="1689"/>
      <c r="K97" s="1689"/>
      <c r="L97" s="1689"/>
      <c r="M97" s="1689"/>
      <c r="N97" s="1689"/>
      <c r="O97" s="1689"/>
      <c r="P97" s="1689"/>
      <c r="Q97" s="1689"/>
      <c r="R97" s="1689"/>
      <c r="S97" s="1689"/>
      <c r="T97" s="1689"/>
      <c r="U97" s="1689"/>
      <c r="V97" s="1689"/>
      <c r="W97" s="1689"/>
      <c r="X97" s="1689"/>
      <c r="Y97" s="1689"/>
      <c r="Z97" s="1690"/>
      <c r="AA97" s="1690"/>
      <c r="AB97" s="1690"/>
      <c r="AC97" s="1690"/>
      <c r="AD97" s="1690"/>
      <c r="AE97" s="1690"/>
      <c r="AF97" s="1690"/>
      <c r="AG97" s="1690"/>
      <c r="AH97" s="1690"/>
      <c r="AI97" s="1690"/>
      <c r="AJ97" s="1690"/>
      <c r="AK97" s="1690"/>
      <c r="AL97" s="1690"/>
      <c r="AM97" s="1690"/>
      <c r="AN97" s="1690"/>
      <c r="AO97" s="1690"/>
      <c r="AP97" s="1690"/>
      <c r="AQ97" s="1690"/>
      <c r="AR97" s="1690"/>
      <c r="AS97" s="1690"/>
      <c r="AT97" s="1690"/>
    </row>
    <row r="98">
      <c r="A98" s="1419"/>
      <c r="B98" s="1684"/>
      <c r="C98" s="1685"/>
      <c r="D98" s="1685"/>
      <c r="E98" s="1686"/>
      <c r="F98" s="1686"/>
      <c r="G98" s="1686"/>
      <c r="H98" s="1686"/>
      <c r="I98" s="1686"/>
      <c r="J98" s="1686"/>
      <c r="K98" s="1686"/>
      <c r="L98" s="1686"/>
      <c r="M98" s="1686"/>
      <c r="N98" s="1686"/>
      <c r="O98" s="1686"/>
      <c r="P98" s="1686"/>
      <c r="Q98" s="1686"/>
      <c r="R98" s="1686"/>
      <c r="S98" s="1686"/>
      <c r="T98" s="1686"/>
      <c r="U98" s="1686"/>
      <c r="V98" s="1686"/>
      <c r="W98" s="1686"/>
      <c r="X98" s="1686"/>
      <c r="Y98" s="1686"/>
      <c r="Z98" s="1686"/>
      <c r="AA98" s="1686"/>
      <c r="AB98" s="1686"/>
      <c r="AC98" s="1686"/>
      <c r="AD98" s="1686"/>
      <c r="AE98" s="1686"/>
      <c r="AF98" s="1686"/>
      <c r="AG98" s="1686"/>
      <c r="AH98" s="1686"/>
      <c r="AI98" s="1686"/>
      <c r="AJ98" s="1686"/>
      <c r="AK98" s="1686"/>
      <c r="AL98" s="1686"/>
      <c r="AM98" s="1686"/>
      <c r="AN98" s="1686"/>
      <c r="AO98" s="1686"/>
      <c r="AP98" s="1686"/>
      <c r="AQ98" s="1686"/>
      <c r="AR98" s="1686"/>
      <c r="AS98" s="1686"/>
      <c r="AT98" s="1686"/>
    </row>
    <row r="99">
      <c r="A99" s="1440" t="s">
        <v>2461</v>
      </c>
      <c r="B99" s="1687"/>
      <c r="C99" s="1688"/>
      <c r="D99" s="1688"/>
      <c r="E99" s="1689"/>
      <c r="F99" s="1689"/>
      <c r="G99" s="1689"/>
      <c r="H99" s="1689"/>
      <c r="I99" s="1689"/>
      <c r="J99" s="1689"/>
      <c r="K99" s="1689"/>
      <c r="L99" s="1689"/>
      <c r="M99" s="1689"/>
      <c r="N99" s="1689"/>
      <c r="O99" s="1689"/>
      <c r="P99" s="1689"/>
      <c r="Q99" s="1689"/>
      <c r="R99" s="1689"/>
      <c r="S99" s="1689"/>
      <c r="T99" s="1689"/>
      <c r="U99" s="1689"/>
      <c r="V99" s="1689"/>
      <c r="W99" s="1689"/>
      <c r="X99" s="1689"/>
      <c r="Y99" s="1689"/>
      <c r="Z99" s="1690"/>
      <c r="AA99" s="1690"/>
      <c r="AB99" s="1690"/>
      <c r="AC99" s="1690"/>
      <c r="AD99" s="1690"/>
      <c r="AE99" s="1690"/>
      <c r="AF99" s="1690"/>
      <c r="AG99" s="1690"/>
      <c r="AH99" s="1690"/>
      <c r="AI99" s="1690"/>
      <c r="AJ99" s="1690"/>
      <c r="AK99" s="1690"/>
      <c r="AL99" s="1690"/>
      <c r="AM99" s="1690"/>
      <c r="AN99" s="1690"/>
      <c r="AO99" s="1690"/>
      <c r="AP99" s="1690"/>
      <c r="AQ99" s="1690"/>
      <c r="AR99" s="1690"/>
      <c r="AS99" s="1690"/>
      <c r="AT99" s="1690"/>
    </row>
    <row r="100">
      <c r="A100" s="1419"/>
      <c r="B100" s="1684"/>
      <c r="C100" s="1685"/>
      <c r="D100" s="1685"/>
      <c r="E100" s="1686"/>
      <c r="F100" s="1686"/>
      <c r="G100" s="1686"/>
      <c r="H100" s="1686"/>
      <c r="I100" s="1686"/>
      <c r="J100" s="1686"/>
      <c r="K100" s="1686"/>
      <c r="L100" s="1686"/>
      <c r="M100" s="1686"/>
      <c r="N100" s="1686"/>
      <c r="O100" s="1686"/>
      <c r="P100" s="1686"/>
      <c r="Q100" s="1686"/>
      <c r="R100" s="1686"/>
      <c r="S100" s="1686"/>
      <c r="T100" s="1686"/>
      <c r="U100" s="1686"/>
      <c r="V100" s="1686"/>
      <c r="W100" s="1686"/>
      <c r="X100" s="1686"/>
      <c r="Y100" s="1686"/>
      <c r="Z100" s="1686"/>
      <c r="AA100" s="1686"/>
      <c r="AB100" s="1686"/>
      <c r="AC100" s="1686"/>
      <c r="AD100" s="1686"/>
      <c r="AE100" s="1686"/>
      <c r="AF100" s="1686"/>
      <c r="AG100" s="1686"/>
      <c r="AH100" s="1686"/>
      <c r="AI100" s="1686"/>
      <c r="AJ100" s="1686"/>
      <c r="AK100" s="1686"/>
      <c r="AL100" s="1686"/>
      <c r="AM100" s="1686"/>
      <c r="AN100" s="1686"/>
      <c r="AO100" s="1686"/>
      <c r="AP100" s="1686"/>
      <c r="AQ100" s="1686"/>
      <c r="AR100" s="1686"/>
      <c r="AS100" s="1686"/>
      <c r="AT100" s="1686"/>
    </row>
    <row r="101">
      <c r="A101" s="1419"/>
      <c r="B101" s="1687"/>
      <c r="C101" s="1688"/>
      <c r="D101" s="1688"/>
      <c r="E101" s="1690"/>
      <c r="F101" s="1690"/>
      <c r="G101" s="1690"/>
      <c r="H101" s="1690"/>
      <c r="I101" s="1690"/>
      <c r="J101" s="1690"/>
      <c r="K101" s="1690"/>
      <c r="L101" s="1690"/>
      <c r="M101" s="1690"/>
      <c r="N101" s="1690"/>
      <c r="O101" s="1690"/>
      <c r="P101" s="1690"/>
      <c r="Q101" s="1690"/>
      <c r="R101" s="1690"/>
      <c r="S101" s="1690"/>
      <c r="T101" s="1690"/>
      <c r="U101" s="1690"/>
      <c r="V101" s="1690"/>
      <c r="W101" s="1690"/>
      <c r="X101" s="1690"/>
      <c r="Y101" s="1690"/>
      <c r="Z101" s="1690"/>
      <c r="AA101" s="1690"/>
      <c r="AB101" s="1690"/>
      <c r="AC101" s="1690"/>
      <c r="AD101" s="1690"/>
      <c r="AE101" s="1690"/>
      <c r="AF101" s="1690"/>
      <c r="AG101" s="1690"/>
      <c r="AH101" s="1690"/>
      <c r="AI101" s="1690"/>
      <c r="AJ101" s="1690"/>
      <c r="AK101" s="1690"/>
      <c r="AL101" s="1690"/>
      <c r="AM101" s="1690"/>
      <c r="AN101" s="1690"/>
      <c r="AO101" s="1690"/>
      <c r="AP101" s="1690"/>
      <c r="AQ101" s="1690"/>
      <c r="AR101" s="1690"/>
      <c r="AS101" s="1690"/>
      <c r="AT101" s="1690"/>
    </row>
    <row r="102">
      <c r="A102" s="1419"/>
      <c r="B102" s="1684"/>
      <c r="C102" s="1685"/>
      <c r="D102" s="1685"/>
      <c r="E102" s="1686"/>
      <c r="F102" s="1686"/>
      <c r="G102" s="1686"/>
      <c r="H102" s="1686"/>
      <c r="I102" s="1686"/>
      <c r="J102" s="1686"/>
      <c r="K102" s="1686"/>
      <c r="L102" s="1686"/>
      <c r="M102" s="1686"/>
      <c r="N102" s="1686"/>
      <c r="O102" s="1686"/>
      <c r="P102" s="1686"/>
      <c r="Q102" s="1686"/>
      <c r="R102" s="1686"/>
      <c r="S102" s="1686"/>
      <c r="T102" s="1686"/>
      <c r="U102" s="1686"/>
      <c r="V102" s="1686"/>
      <c r="W102" s="1686"/>
      <c r="X102" s="1686"/>
      <c r="Y102" s="1686"/>
      <c r="Z102" s="1686"/>
      <c r="AA102" s="1686"/>
      <c r="AB102" s="1686"/>
      <c r="AC102" s="1686"/>
      <c r="AD102" s="1686"/>
      <c r="AE102" s="1686"/>
      <c r="AF102" s="1686"/>
      <c r="AG102" s="1686"/>
      <c r="AH102" s="1686"/>
      <c r="AI102" s="1686"/>
      <c r="AJ102" s="1686"/>
      <c r="AK102" s="1686"/>
      <c r="AL102" s="1686"/>
      <c r="AM102" s="1686"/>
      <c r="AN102" s="1686"/>
      <c r="AO102" s="1686"/>
      <c r="AP102" s="1686"/>
      <c r="AQ102" s="1686"/>
      <c r="AR102" s="1686"/>
      <c r="AS102" s="1686"/>
      <c r="AT102" s="1686"/>
    </row>
    <row r="103">
      <c r="A103" s="1419"/>
      <c r="B103" s="1687"/>
      <c r="C103" s="1688"/>
      <c r="D103" s="1688"/>
      <c r="E103" s="1689"/>
      <c r="F103" s="1689"/>
      <c r="G103" s="1689"/>
      <c r="H103" s="1689"/>
      <c r="I103" s="1689"/>
      <c r="J103" s="1689"/>
      <c r="K103" s="1689"/>
      <c r="L103" s="1689"/>
      <c r="M103" s="1689"/>
      <c r="N103" s="1689"/>
      <c r="O103" s="1689"/>
      <c r="P103" s="1689"/>
      <c r="Q103" s="1689"/>
      <c r="R103" s="1689"/>
      <c r="S103" s="1689"/>
      <c r="T103" s="1689"/>
      <c r="U103" s="1689"/>
      <c r="V103" s="1689"/>
      <c r="W103" s="1689"/>
      <c r="X103" s="1689"/>
      <c r="Y103" s="1689"/>
      <c r="Z103" s="1690"/>
      <c r="AA103" s="1690"/>
      <c r="AB103" s="1690"/>
      <c r="AC103" s="1690"/>
      <c r="AD103" s="1690"/>
      <c r="AE103" s="1690"/>
      <c r="AF103" s="1690"/>
      <c r="AG103" s="1690"/>
      <c r="AH103" s="1690"/>
      <c r="AI103" s="1690"/>
      <c r="AJ103" s="1690"/>
      <c r="AK103" s="1690"/>
      <c r="AL103" s="1690"/>
      <c r="AM103" s="1690"/>
      <c r="AN103" s="1690"/>
      <c r="AO103" s="1690"/>
      <c r="AP103" s="1690"/>
      <c r="AQ103" s="1690"/>
      <c r="AR103" s="1690"/>
      <c r="AS103" s="1690"/>
      <c r="AT103" s="1690"/>
    </row>
    <row r="104">
      <c r="A104" s="1419"/>
      <c r="B104" s="1684"/>
      <c r="C104" s="1685"/>
      <c r="D104" s="1685"/>
      <c r="E104" s="1686"/>
      <c r="F104" s="1686"/>
      <c r="G104" s="1686"/>
      <c r="H104" s="1686"/>
      <c r="I104" s="1686"/>
      <c r="J104" s="1686"/>
      <c r="K104" s="1686"/>
      <c r="L104" s="1686"/>
      <c r="M104" s="1686"/>
      <c r="N104" s="1686"/>
      <c r="O104" s="1686"/>
      <c r="P104" s="1686"/>
      <c r="Q104" s="1686"/>
      <c r="R104" s="1686"/>
      <c r="S104" s="1686"/>
      <c r="T104" s="1686"/>
      <c r="U104" s="1686"/>
      <c r="V104" s="1686"/>
      <c r="W104" s="1686"/>
      <c r="X104" s="1686"/>
      <c r="Y104" s="1686"/>
      <c r="Z104" s="1686"/>
      <c r="AA104" s="1686"/>
      <c r="AB104" s="1686"/>
      <c r="AC104" s="1686"/>
      <c r="AD104" s="1686"/>
      <c r="AE104" s="1686"/>
      <c r="AF104" s="1686"/>
      <c r="AG104" s="1686"/>
      <c r="AH104" s="1686"/>
      <c r="AI104" s="1686"/>
      <c r="AJ104" s="1686"/>
      <c r="AK104" s="1686"/>
      <c r="AL104" s="1686"/>
      <c r="AM104" s="1686"/>
      <c r="AN104" s="1686"/>
      <c r="AO104" s="1686"/>
      <c r="AP104" s="1686"/>
      <c r="AQ104" s="1686"/>
      <c r="AR104" s="1686"/>
      <c r="AS104" s="1686"/>
      <c r="AT104" s="1686"/>
    </row>
    <row r="105">
      <c r="A105" s="1419"/>
      <c r="B105" s="1687"/>
      <c r="C105" s="1688"/>
      <c r="D105" s="1688"/>
      <c r="E105" s="1690"/>
      <c r="F105" s="1690"/>
      <c r="G105" s="1690"/>
      <c r="H105" s="1690"/>
      <c r="I105" s="1690"/>
      <c r="J105" s="1690"/>
      <c r="K105" s="1690"/>
      <c r="L105" s="1690"/>
      <c r="M105" s="1690"/>
      <c r="N105" s="1690"/>
      <c r="O105" s="1690"/>
      <c r="P105" s="1690"/>
      <c r="Q105" s="1690"/>
      <c r="R105" s="1690"/>
      <c r="S105" s="1690"/>
      <c r="T105" s="1690"/>
      <c r="U105" s="1690"/>
      <c r="V105" s="1690"/>
      <c r="W105" s="1690"/>
      <c r="X105" s="1690"/>
      <c r="Y105" s="1690"/>
      <c r="Z105" s="1690"/>
      <c r="AA105" s="1690"/>
      <c r="AB105" s="1690"/>
      <c r="AC105" s="1690"/>
      <c r="AD105" s="1690"/>
      <c r="AE105" s="1690"/>
      <c r="AF105" s="1690"/>
      <c r="AG105" s="1690"/>
      <c r="AH105" s="1690"/>
      <c r="AI105" s="1690"/>
      <c r="AJ105" s="1690"/>
      <c r="AK105" s="1690"/>
      <c r="AL105" s="1690"/>
      <c r="AM105" s="1690"/>
      <c r="AN105" s="1690"/>
      <c r="AO105" s="1690"/>
      <c r="AP105" s="1690"/>
      <c r="AQ105" s="1690"/>
      <c r="AR105" s="1690"/>
      <c r="AS105" s="1690"/>
      <c r="AT105" s="1690"/>
    </row>
    <row r="106">
      <c r="A106" s="1419"/>
      <c r="B106" s="1687"/>
      <c r="C106" s="1688"/>
      <c r="D106" s="1688"/>
      <c r="E106" s="1690"/>
      <c r="F106" s="1690"/>
      <c r="G106" s="1690"/>
      <c r="H106" s="1690"/>
      <c r="I106" s="1690"/>
      <c r="J106" s="1690"/>
      <c r="K106" s="1690"/>
      <c r="L106" s="1690"/>
      <c r="M106" s="1690"/>
      <c r="N106" s="1690"/>
      <c r="O106" s="1690"/>
      <c r="P106" s="1690"/>
      <c r="Q106" s="1690"/>
      <c r="R106" s="1690"/>
      <c r="S106" s="1690"/>
      <c r="T106" s="1690"/>
      <c r="U106" s="1690"/>
      <c r="V106" s="1690"/>
      <c r="W106" s="1690"/>
      <c r="X106" s="1690"/>
      <c r="Y106" s="1690"/>
      <c r="Z106" s="1690"/>
      <c r="AA106" s="1690"/>
      <c r="AB106" s="1690"/>
      <c r="AC106" s="1690"/>
      <c r="AD106" s="1690"/>
      <c r="AE106" s="1690"/>
      <c r="AF106" s="1690"/>
      <c r="AG106" s="1690"/>
      <c r="AH106" s="1690"/>
      <c r="AI106" s="1690"/>
      <c r="AJ106" s="1690"/>
      <c r="AK106" s="1690"/>
      <c r="AL106" s="1690"/>
      <c r="AM106" s="1690"/>
      <c r="AN106" s="1690"/>
      <c r="AO106" s="1690"/>
      <c r="AP106" s="1690"/>
      <c r="AQ106" s="1690"/>
      <c r="AR106" s="1690"/>
      <c r="AS106" s="1690"/>
      <c r="AT106" s="1690"/>
    </row>
    <row r="107">
      <c r="A107" s="1419"/>
      <c r="B107" s="1684"/>
      <c r="C107" s="1685"/>
      <c r="D107" s="1685"/>
      <c r="E107" s="1691"/>
      <c r="F107" s="1691"/>
      <c r="G107" s="1691"/>
      <c r="H107" s="1691"/>
      <c r="I107" s="1691"/>
      <c r="J107" s="1691"/>
      <c r="K107" s="1691"/>
      <c r="L107" s="1691"/>
      <c r="M107" s="1691"/>
      <c r="N107" s="1691"/>
      <c r="O107" s="1691"/>
      <c r="P107" s="1691"/>
      <c r="Q107" s="1691"/>
      <c r="R107" s="1691"/>
      <c r="S107" s="1691"/>
      <c r="T107" s="1691"/>
      <c r="U107" s="1691"/>
      <c r="V107" s="1691"/>
      <c r="W107" s="1691"/>
      <c r="X107" s="1691"/>
      <c r="Y107" s="1691"/>
      <c r="Z107" s="1686"/>
      <c r="AA107" s="1686"/>
      <c r="AB107" s="1686"/>
      <c r="AC107" s="1686"/>
      <c r="AD107" s="1686"/>
      <c r="AE107" s="1686"/>
      <c r="AF107" s="1686"/>
      <c r="AG107" s="1686"/>
      <c r="AH107" s="1686"/>
      <c r="AI107" s="1686"/>
      <c r="AJ107" s="1686"/>
      <c r="AK107" s="1686"/>
      <c r="AL107" s="1686"/>
      <c r="AM107" s="1686"/>
      <c r="AN107" s="1686"/>
      <c r="AO107" s="1686"/>
      <c r="AP107" s="1686"/>
      <c r="AQ107" s="1686"/>
      <c r="AR107" s="1686"/>
      <c r="AS107" s="1686"/>
      <c r="AT107" s="1686"/>
    </row>
    <row r="108">
      <c r="A108" s="1419"/>
      <c r="B108" s="1684"/>
      <c r="C108" s="1685"/>
      <c r="D108" s="1685"/>
      <c r="E108" s="1691"/>
      <c r="F108" s="1691"/>
      <c r="G108" s="1691"/>
      <c r="H108" s="1691"/>
      <c r="I108" s="1691"/>
      <c r="J108" s="1691"/>
      <c r="K108" s="1691"/>
      <c r="L108" s="1691"/>
      <c r="M108" s="1691"/>
      <c r="N108" s="1691"/>
      <c r="O108" s="1691"/>
      <c r="P108" s="1691"/>
      <c r="Q108" s="1691"/>
      <c r="R108" s="1691"/>
      <c r="S108" s="1691"/>
      <c r="T108" s="1691"/>
      <c r="U108" s="1691"/>
      <c r="V108" s="1691"/>
      <c r="W108" s="1691"/>
      <c r="X108" s="1691"/>
      <c r="Y108" s="1691"/>
      <c r="Z108" s="1686"/>
      <c r="AA108" s="1686"/>
      <c r="AB108" s="1686"/>
      <c r="AC108" s="1686"/>
      <c r="AD108" s="1686"/>
      <c r="AE108" s="1686"/>
      <c r="AF108" s="1686"/>
      <c r="AG108" s="1686"/>
      <c r="AH108" s="1686"/>
      <c r="AI108" s="1686"/>
      <c r="AJ108" s="1686"/>
      <c r="AK108" s="1686"/>
      <c r="AL108" s="1686"/>
      <c r="AM108" s="1686"/>
      <c r="AN108" s="1686"/>
      <c r="AO108" s="1686"/>
      <c r="AP108" s="1686"/>
      <c r="AQ108" s="1686"/>
      <c r="AR108" s="1686"/>
      <c r="AS108" s="1686"/>
      <c r="AT108" s="1686"/>
    </row>
    <row r="109">
      <c r="A109" s="1419"/>
      <c r="B109" s="1687"/>
      <c r="C109" s="1688"/>
      <c r="D109" s="1688"/>
      <c r="E109" s="1689"/>
      <c r="F109" s="1689"/>
      <c r="G109" s="1689"/>
      <c r="H109" s="1689"/>
      <c r="I109" s="1689"/>
      <c r="J109" s="1689"/>
      <c r="K109" s="1689"/>
      <c r="L109" s="1689"/>
      <c r="M109" s="1689"/>
      <c r="N109" s="1689"/>
      <c r="O109" s="1689"/>
      <c r="P109" s="1689"/>
      <c r="Q109" s="1689"/>
      <c r="R109" s="1689"/>
      <c r="S109" s="1689"/>
      <c r="T109" s="1689"/>
      <c r="U109" s="1689"/>
      <c r="V109" s="1689"/>
      <c r="W109" s="1689"/>
      <c r="X109" s="1689"/>
      <c r="Y109" s="1689"/>
      <c r="Z109" s="1690"/>
      <c r="AA109" s="1690"/>
      <c r="AB109" s="1690"/>
      <c r="AC109" s="1690"/>
      <c r="AD109" s="1690"/>
      <c r="AE109" s="1690"/>
      <c r="AF109" s="1690"/>
      <c r="AG109" s="1690"/>
      <c r="AH109" s="1690"/>
      <c r="AI109" s="1690"/>
      <c r="AJ109" s="1690"/>
      <c r="AK109" s="1690"/>
      <c r="AL109" s="1690"/>
      <c r="AM109" s="1690"/>
      <c r="AN109" s="1690"/>
      <c r="AO109" s="1690"/>
      <c r="AP109" s="1690"/>
      <c r="AQ109" s="1690"/>
      <c r="AR109" s="1690"/>
      <c r="AS109" s="1690"/>
      <c r="AT109" s="1690"/>
    </row>
    <row r="110">
      <c r="A110" s="1419"/>
      <c r="B110" s="1684"/>
      <c r="C110" s="1685"/>
      <c r="D110" s="1685"/>
      <c r="E110" s="1691"/>
      <c r="F110" s="1691"/>
      <c r="G110" s="1691"/>
      <c r="H110" s="1691"/>
      <c r="I110" s="1691"/>
      <c r="J110" s="1691"/>
      <c r="K110" s="1691"/>
      <c r="L110" s="1691"/>
      <c r="M110" s="1691"/>
      <c r="N110" s="1691"/>
      <c r="O110" s="1691"/>
      <c r="P110" s="1691"/>
      <c r="Q110" s="1691"/>
      <c r="R110" s="1691"/>
      <c r="S110" s="1691"/>
      <c r="T110" s="1691"/>
      <c r="U110" s="1691"/>
      <c r="V110" s="1691"/>
      <c r="W110" s="1691"/>
      <c r="X110" s="1691"/>
      <c r="Y110" s="1691"/>
      <c r="Z110" s="1686"/>
      <c r="AA110" s="1686"/>
      <c r="AB110" s="1686"/>
      <c r="AC110" s="1686"/>
      <c r="AD110" s="1686"/>
      <c r="AE110" s="1686"/>
      <c r="AF110" s="1686"/>
      <c r="AG110" s="1686"/>
      <c r="AH110" s="1686"/>
      <c r="AI110" s="1686"/>
      <c r="AJ110" s="1686"/>
      <c r="AK110" s="1686"/>
      <c r="AL110" s="1686"/>
      <c r="AM110" s="1686"/>
      <c r="AN110" s="1686"/>
      <c r="AO110" s="1686"/>
      <c r="AP110" s="1686"/>
      <c r="AQ110" s="1686"/>
      <c r="AR110" s="1686"/>
      <c r="AS110" s="1686"/>
      <c r="AT110" s="1686"/>
    </row>
    <row r="111">
      <c r="A111" s="1419"/>
      <c r="B111" s="1687"/>
      <c r="C111" s="1688"/>
      <c r="D111" s="1688"/>
      <c r="E111" s="1689"/>
      <c r="F111" s="1689"/>
      <c r="G111" s="1689"/>
      <c r="H111" s="1689"/>
      <c r="I111" s="1689"/>
      <c r="J111" s="1689"/>
      <c r="K111" s="1689"/>
      <c r="L111" s="1689"/>
      <c r="M111" s="1689"/>
      <c r="N111" s="1689"/>
      <c r="O111" s="1689"/>
      <c r="P111" s="1689"/>
      <c r="Q111" s="1689"/>
      <c r="R111" s="1689"/>
      <c r="S111" s="1689"/>
      <c r="T111" s="1689"/>
      <c r="U111" s="1689"/>
      <c r="V111" s="1689"/>
      <c r="W111" s="1689"/>
      <c r="X111" s="1689"/>
      <c r="Y111" s="1689"/>
      <c r="Z111" s="1690"/>
      <c r="AA111" s="1690"/>
      <c r="AB111" s="1690"/>
      <c r="AC111" s="1690"/>
      <c r="AD111" s="1690"/>
      <c r="AE111" s="1690"/>
      <c r="AF111" s="1690"/>
      <c r="AG111" s="1690"/>
      <c r="AH111" s="1690"/>
      <c r="AI111" s="1690"/>
      <c r="AJ111" s="1690"/>
      <c r="AK111" s="1690"/>
      <c r="AL111" s="1690"/>
      <c r="AM111" s="1690"/>
      <c r="AN111" s="1690"/>
      <c r="AO111" s="1690"/>
      <c r="AP111" s="1690"/>
      <c r="AQ111" s="1690"/>
      <c r="AR111" s="1690"/>
      <c r="AS111" s="1690"/>
      <c r="AT111" s="1690"/>
    </row>
    <row r="112">
      <c r="A112" s="1419"/>
      <c r="B112" s="1684"/>
      <c r="C112" s="1685"/>
      <c r="D112" s="1685"/>
      <c r="E112" s="1686"/>
      <c r="F112" s="1686"/>
      <c r="G112" s="1686"/>
      <c r="H112" s="1686"/>
      <c r="I112" s="1686"/>
      <c r="J112" s="1686"/>
      <c r="K112" s="1686"/>
      <c r="L112" s="1686"/>
      <c r="M112" s="1686"/>
      <c r="N112" s="1686"/>
      <c r="O112" s="1686"/>
      <c r="P112" s="1686"/>
      <c r="Q112" s="1686"/>
      <c r="R112" s="1686"/>
      <c r="S112" s="1686"/>
      <c r="T112" s="1686"/>
      <c r="U112" s="1686"/>
      <c r="V112" s="1686"/>
      <c r="W112" s="1686"/>
      <c r="X112" s="1686"/>
      <c r="Y112" s="1686"/>
      <c r="Z112" s="1686"/>
      <c r="AA112" s="1686"/>
      <c r="AB112" s="1686"/>
      <c r="AC112" s="1686"/>
      <c r="AD112" s="1686"/>
      <c r="AE112" s="1686"/>
      <c r="AF112" s="1686"/>
      <c r="AG112" s="1686"/>
      <c r="AH112" s="1686"/>
      <c r="AI112" s="1686"/>
      <c r="AJ112" s="1686"/>
      <c r="AK112" s="1686"/>
      <c r="AL112" s="1686"/>
      <c r="AM112" s="1686"/>
      <c r="AN112" s="1686"/>
      <c r="AO112" s="1686"/>
      <c r="AP112" s="1686"/>
      <c r="AQ112" s="1686"/>
      <c r="AR112" s="1686"/>
      <c r="AS112" s="1686"/>
      <c r="AT112" s="1686"/>
    </row>
    <row r="113">
      <c r="A113" s="1419"/>
      <c r="B113" s="1687"/>
      <c r="C113" s="1688"/>
      <c r="D113" s="1688"/>
      <c r="E113" s="1690"/>
      <c r="F113" s="1690"/>
      <c r="G113" s="1690"/>
      <c r="H113" s="1690"/>
      <c r="I113" s="1690"/>
      <c r="J113" s="1690"/>
      <c r="K113" s="1690"/>
      <c r="L113" s="1690"/>
      <c r="M113" s="1690"/>
      <c r="N113" s="1690"/>
      <c r="O113" s="1690"/>
      <c r="P113" s="1690"/>
      <c r="Q113" s="1690"/>
      <c r="R113" s="1690"/>
      <c r="S113" s="1690"/>
      <c r="T113" s="1690"/>
      <c r="U113" s="1690"/>
      <c r="V113" s="1690"/>
      <c r="W113" s="1690"/>
      <c r="X113" s="1690"/>
      <c r="Y113" s="1690"/>
      <c r="Z113" s="1690"/>
      <c r="AA113" s="1690"/>
      <c r="AB113" s="1690"/>
      <c r="AC113" s="1690"/>
      <c r="AD113" s="1690"/>
      <c r="AE113" s="1690"/>
      <c r="AF113" s="1690"/>
      <c r="AG113" s="1690"/>
      <c r="AH113" s="1690"/>
      <c r="AI113" s="1690"/>
      <c r="AJ113" s="1690"/>
      <c r="AK113" s="1690"/>
      <c r="AL113" s="1690"/>
      <c r="AM113" s="1690"/>
      <c r="AN113" s="1690"/>
      <c r="AO113" s="1690"/>
      <c r="AP113" s="1690"/>
      <c r="AQ113" s="1690"/>
      <c r="AR113" s="1690"/>
      <c r="AS113" s="1690"/>
      <c r="AT113" s="1690"/>
    </row>
    <row r="114">
      <c r="A114" s="1419"/>
      <c r="B114" s="1684"/>
      <c r="C114" s="1685"/>
      <c r="D114" s="1685"/>
      <c r="E114" s="1691"/>
      <c r="F114" s="1691"/>
      <c r="G114" s="1691"/>
      <c r="H114" s="1691"/>
      <c r="I114" s="1691"/>
      <c r="J114" s="1691"/>
      <c r="K114" s="1691"/>
      <c r="L114" s="1691"/>
      <c r="M114" s="1691"/>
      <c r="N114" s="1691"/>
      <c r="O114" s="1691"/>
      <c r="P114" s="1691"/>
      <c r="Q114" s="1691"/>
      <c r="R114" s="1691"/>
      <c r="S114" s="1691"/>
      <c r="T114" s="1691"/>
      <c r="U114" s="1691"/>
      <c r="V114" s="1691"/>
      <c r="W114" s="1691"/>
      <c r="X114" s="1691"/>
      <c r="Y114" s="1691"/>
      <c r="Z114" s="1686"/>
      <c r="AA114" s="1686"/>
      <c r="AB114" s="1686"/>
      <c r="AC114" s="1686"/>
      <c r="AD114" s="1686"/>
      <c r="AE114" s="1686"/>
      <c r="AF114" s="1686"/>
      <c r="AG114" s="1686"/>
      <c r="AH114" s="1686"/>
      <c r="AI114" s="1686"/>
      <c r="AJ114" s="1686"/>
      <c r="AK114" s="1686"/>
      <c r="AL114" s="1686"/>
      <c r="AM114" s="1686"/>
      <c r="AN114" s="1686"/>
      <c r="AO114" s="1686"/>
      <c r="AP114" s="1686"/>
      <c r="AQ114" s="1686"/>
      <c r="AR114" s="1686"/>
      <c r="AS114" s="1686"/>
      <c r="AT114" s="1686"/>
    </row>
    <row r="115">
      <c r="A115" s="1419"/>
      <c r="B115" s="1687"/>
      <c r="C115" s="1688"/>
      <c r="D115" s="1688"/>
      <c r="E115" s="1689"/>
      <c r="F115" s="1689"/>
      <c r="G115" s="1689"/>
      <c r="H115" s="1689"/>
      <c r="I115" s="1689"/>
      <c r="J115" s="1689"/>
      <c r="K115" s="1689"/>
      <c r="L115" s="1689"/>
      <c r="M115" s="1689"/>
      <c r="N115" s="1689"/>
      <c r="O115" s="1689"/>
      <c r="P115" s="1689"/>
      <c r="Q115" s="1689"/>
      <c r="R115" s="1689"/>
      <c r="S115" s="1689"/>
      <c r="T115" s="1689"/>
      <c r="U115" s="1689"/>
      <c r="V115" s="1689"/>
      <c r="W115" s="1689"/>
      <c r="X115" s="1689"/>
      <c r="Y115" s="1689"/>
      <c r="Z115" s="1690"/>
      <c r="AA115" s="1690"/>
      <c r="AB115" s="1690"/>
      <c r="AC115" s="1690"/>
      <c r="AD115" s="1690"/>
      <c r="AE115" s="1690"/>
      <c r="AF115" s="1690"/>
      <c r="AG115" s="1690"/>
      <c r="AH115" s="1690"/>
      <c r="AI115" s="1690"/>
      <c r="AJ115" s="1690"/>
      <c r="AK115" s="1690"/>
      <c r="AL115" s="1690"/>
      <c r="AM115" s="1690"/>
      <c r="AN115" s="1690"/>
      <c r="AO115" s="1690"/>
      <c r="AP115" s="1690"/>
      <c r="AQ115" s="1690"/>
      <c r="AR115" s="1690"/>
      <c r="AS115" s="1690"/>
      <c r="AT115" s="1690"/>
    </row>
    <row r="116">
      <c r="A116" s="1419"/>
      <c r="B116" s="1684"/>
      <c r="C116" s="1685"/>
      <c r="D116" s="1685"/>
      <c r="E116" s="1686"/>
      <c r="F116" s="1686"/>
      <c r="G116" s="1686"/>
      <c r="H116" s="1686"/>
      <c r="I116" s="1686"/>
      <c r="J116" s="1686"/>
      <c r="K116" s="1686"/>
      <c r="L116" s="1686"/>
      <c r="M116" s="1686"/>
      <c r="N116" s="1686"/>
      <c r="O116" s="1686"/>
      <c r="P116" s="1686"/>
      <c r="Q116" s="1686"/>
      <c r="R116" s="1686"/>
      <c r="S116" s="1686"/>
      <c r="T116" s="1686"/>
      <c r="U116" s="1686"/>
      <c r="V116" s="1686"/>
      <c r="W116" s="1686"/>
      <c r="X116" s="1686"/>
      <c r="Y116" s="1686"/>
      <c r="Z116" s="1686"/>
      <c r="AA116" s="1686"/>
      <c r="AB116" s="1686"/>
      <c r="AC116" s="1686"/>
      <c r="AD116" s="1686"/>
      <c r="AE116" s="1686"/>
      <c r="AF116" s="1686"/>
      <c r="AG116" s="1686"/>
      <c r="AH116" s="1686"/>
      <c r="AI116" s="1686"/>
      <c r="AJ116" s="1686"/>
      <c r="AK116" s="1686"/>
      <c r="AL116" s="1686"/>
      <c r="AM116" s="1686"/>
      <c r="AN116" s="1686"/>
      <c r="AO116" s="1686"/>
      <c r="AP116" s="1686"/>
      <c r="AQ116" s="1686"/>
      <c r="AR116" s="1686"/>
      <c r="AS116" s="1686"/>
      <c r="AT116" s="1686"/>
    </row>
    <row r="117">
      <c r="A117" s="1419"/>
      <c r="B117" s="1687"/>
      <c r="C117" s="1688"/>
      <c r="D117" s="1688"/>
      <c r="E117" s="1689"/>
      <c r="F117" s="1689"/>
      <c r="G117" s="1689"/>
      <c r="H117" s="1689"/>
      <c r="I117" s="1689"/>
      <c r="J117" s="1689"/>
      <c r="K117" s="1689"/>
      <c r="L117" s="1689"/>
      <c r="M117" s="1689"/>
      <c r="N117" s="1689"/>
      <c r="O117" s="1689"/>
      <c r="P117" s="1689"/>
      <c r="Q117" s="1689"/>
      <c r="R117" s="1689"/>
      <c r="S117" s="1689"/>
      <c r="T117" s="1689"/>
      <c r="U117" s="1689"/>
      <c r="V117" s="1689"/>
      <c r="W117" s="1689"/>
      <c r="X117" s="1689"/>
      <c r="Y117" s="1689"/>
      <c r="Z117" s="1690"/>
      <c r="AA117" s="1690"/>
      <c r="AB117" s="1690"/>
      <c r="AC117" s="1690"/>
      <c r="AD117" s="1690"/>
      <c r="AE117" s="1690"/>
      <c r="AF117" s="1690"/>
      <c r="AG117" s="1690"/>
      <c r="AH117" s="1690"/>
      <c r="AI117" s="1690"/>
      <c r="AJ117" s="1690"/>
      <c r="AK117" s="1690"/>
      <c r="AL117" s="1690"/>
      <c r="AM117" s="1690"/>
      <c r="AN117" s="1690"/>
      <c r="AO117" s="1690"/>
      <c r="AP117" s="1690"/>
      <c r="AQ117" s="1690"/>
      <c r="AR117" s="1690"/>
      <c r="AS117" s="1690"/>
      <c r="AT117" s="1690"/>
    </row>
    <row r="118">
      <c r="A118" s="1419"/>
      <c r="B118" s="1684"/>
      <c r="C118" s="1685"/>
      <c r="D118" s="1685"/>
      <c r="E118" s="1691"/>
      <c r="F118" s="1691"/>
      <c r="G118" s="1691"/>
      <c r="H118" s="1691"/>
      <c r="I118" s="1691"/>
      <c r="J118" s="1691"/>
      <c r="K118" s="1691"/>
      <c r="L118" s="1691"/>
      <c r="M118" s="1691"/>
      <c r="N118" s="1691"/>
      <c r="O118" s="1691"/>
      <c r="P118" s="1691"/>
      <c r="Q118" s="1691"/>
      <c r="R118" s="1691"/>
      <c r="S118" s="1691"/>
      <c r="T118" s="1691"/>
      <c r="U118" s="1691"/>
      <c r="V118" s="1691"/>
      <c r="W118" s="1691"/>
      <c r="X118" s="1691"/>
      <c r="Y118" s="1691"/>
      <c r="Z118" s="1686"/>
      <c r="AA118" s="1686"/>
      <c r="AB118" s="1686"/>
      <c r="AC118" s="1686"/>
      <c r="AD118" s="1686"/>
      <c r="AE118" s="1686"/>
      <c r="AF118" s="1686"/>
      <c r="AG118" s="1686"/>
      <c r="AH118" s="1686"/>
      <c r="AI118" s="1686"/>
      <c r="AJ118" s="1686"/>
      <c r="AK118" s="1686"/>
      <c r="AL118" s="1686"/>
      <c r="AM118" s="1686"/>
      <c r="AN118" s="1686"/>
      <c r="AO118" s="1686"/>
      <c r="AP118" s="1686"/>
      <c r="AQ118" s="1686"/>
      <c r="AR118" s="1686"/>
      <c r="AS118" s="1686"/>
      <c r="AT118" s="1686"/>
    </row>
    <row r="119">
      <c r="A119" s="1419"/>
      <c r="B119" s="1687"/>
      <c r="C119" s="1688"/>
      <c r="D119" s="1688"/>
      <c r="E119" s="1689"/>
      <c r="F119" s="1689"/>
      <c r="G119" s="1689"/>
      <c r="H119" s="1689"/>
      <c r="I119" s="1689"/>
      <c r="J119" s="1689"/>
      <c r="K119" s="1689"/>
      <c r="L119" s="1689"/>
      <c r="M119" s="1689"/>
      <c r="N119" s="1689"/>
      <c r="O119" s="1689"/>
      <c r="P119" s="1689"/>
      <c r="Q119" s="1689"/>
      <c r="R119" s="1689"/>
      <c r="S119" s="1689"/>
      <c r="T119" s="1689"/>
      <c r="U119" s="1689"/>
      <c r="V119" s="1689"/>
      <c r="W119" s="1689"/>
      <c r="X119" s="1689"/>
      <c r="Y119" s="1689"/>
      <c r="Z119" s="1690"/>
      <c r="AA119" s="1690"/>
      <c r="AB119" s="1690"/>
      <c r="AC119" s="1690"/>
      <c r="AD119" s="1690"/>
      <c r="AE119" s="1690"/>
      <c r="AF119" s="1690"/>
      <c r="AG119" s="1690"/>
      <c r="AH119" s="1690"/>
      <c r="AI119" s="1690"/>
      <c r="AJ119" s="1690"/>
      <c r="AK119" s="1690"/>
      <c r="AL119" s="1690"/>
      <c r="AM119" s="1690"/>
      <c r="AN119" s="1690"/>
      <c r="AO119" s="1690"/>
      <c r="AP119" s="1690"/>
      <c r="AQ119" s="1690"/>
      <c r="AR119" s="1690"/>
      <c r="AS119" s="1690"/>
      <c r="AT119" s="1690"/>
    </row>
    <row r="120">
      <c r="A120" s="1419"/>
      <c r="B120" s="1684"/>
      <c r="C120" s="1685"/>
      <c r="D120" s="1685"/>
      <c r="E120" s="1691"/>
      <c r="F120" s="1691"/>
      <c r="G120" s="1691"/>
      <c r="H120" s="1691"/>
      <c r="I120" s="1691"/>
      <c r="J120" s="1691"/>
      <c r="K120" s="1691"/>
      <c r="L120" s="1691"/>
      <c r="M120" s="1691"/>
      <c r="N120" s="1691"/>
      <c r="O120" s="1691"/>
      <c r="P120" s="1691"/>
      <c r="Q120" s="1691"/>
      <c r="R120" s="1691"/>
      <c r="S120" s="1691"/>
      <c r="T120" s="1691"/>
      <c r="U120" s="1691"/>
      <c r="V120" s="1691"/>
      <c r="W120" s="1691"/>
      <c r="X120" s="1691"/>
      <c r="Y120" s="1691"/>
      <c r="Z120" s="1686"/>
      <c r="AA120" s="1686"/>
      <c r="AB120" s="1686"/>
      <c r="AC120" s="1686"/>
      <c r="AD120" s="1686"/>
      <c r="AE120" s="1686"/>
      <c r="AF120" s="1686"/>
      <c r="AG120" s="1686"/>
      <c r="AH120" s="1686"/>
      <c r="AI120" s="1686"/>
      <c r="AJ120" s="1686"/>
      <c r="AK120" s="1686"/>
      <c r="AL120" s="1686"/>
      <c r="AM120" s="1686"/>
      <c r="AN120" s="1686"/>
      <c r="AO120" s="1686"/>
      <c r="AP120" s="1686"/>
      <c r="AQ120" s="1686"/>
      <c r="AR120" s="1686"/>
      <c r="AS120" s="1686"/>
      <c r="AT120" s="1686"/>
    </row>
    <row r="121">
      <c r="A121" s="1419"/>
      <c r="B121" s="1687"/>
      <c r="C121" s="1688"/>
      <c r="D121" s="1688"/>
      <c r="E121" s="1689"/>
      <c r="F121" s="1689"/>
      <c r="G121" s="1689"/>
      <c r="H121" s="1689"/>
      <c r="I121" s="1689"/>
      <c r="J121" s="1689"/>
      <c r="K121" s="1689"/>
      <c r="L121" s="1689"/>
      <c r="M121" s="1689"/>
      <c r="N121" s="1689"/>
      <c r="O121" s="1689"/>
      <c r="P121" s="1689"/>
      <c r="Q121" s="1689"/>
      <c r="R121" s="1689"/>
      <c r="S121" s="1689"/>
      <c r="T121" s="1689"/>
      <c r="U121" s="1689"/>
      <c r="V121" s="1689"/>
      <c r="W121" s="1689"/>
      <c r="X121" s="1689"/>
      <c r="Y121" s="1689"/>
      <c r="Z121" s="1690"/>
      <c r="AA121" s="1690"/>
      <c r="AB121" s="1690"/>
      <c r="AC121" s="1690"/>
      <c r="AD121" s="1690"/>
      <c r="AE121" s="1690"/>
      <c r="AF121" s="1690"/>
      <c r="AG121" s="1690"/>
      <c r="AH121" s="1690"/>
      <c r="AI121" s="1690"/>
      <c r="AJ121" s="1690"/>
      <c r="AK121" s="1690"/>
      <c r="AL121" s="1690"/>
      <c r="AM121" s="1690"/>
      <c r="AN121" s="1690"/>
      <c r="AO121" s="1690"/>
      <c r="AP121" s="1690"/>
      <c r="AQ121" s="1690"/>
      <c r="AR121" s="1690"/>
      <c r="AS121" s="1690"/>
      <c r="AT121" s="1690"/>
    </row>
    <row r="122">
      <c r="A122" s="1419"/>
      <c r="B122" s="1684"/>
      <c r="C122" s="1685"/>
      <c r="D122" s="1685"/>
      <c r="E122" s="1686"/>
      <c r="F122" s="1686"/>
      <c r="G122" s="1686"/>
      <c r="H122" s="1686"/>
      <c r="I122" s="1686"/>
      <c r="J122" s="1686"/>
      <c r="K122" s="1686"/>
      <c r="L122" s="1686"/>
      <c r="M122" s="1686"/>
      <c r="N122" s="1686"/>
      <c r="O122" s="1686"/>
      <c r="P122" s="1686"/>
      <c r="Q122" s="1686"/>
      <c r="R122" s="1686"/>
      <c r="S122" s="1686"/>
      <c r="T122" s="1686"/>
      <c r="U122" s="1686"/>
      <c r="V122" s="1686"/>
      <c r="W122" s="1686"/>
      <c r="X122" s="1686"/>
      <c r="Y122" s="1686"/>
      <c r="Z122" s="1686"/>
      <c r="AA122" s="1686"/>
      <c r="AB122" s="1686"/>
      <c r="AC122" s="1686"/>
      <c r="AD122" s="1686"/>
      <c r="AE122" s="1686"/>
      <c r="AF122" s="1686"/>
      <c r="AG122" s="1686"/>
      <c r="AH122" s="1686"/>
      <c r="AI122" s="1686"/>
      <c r="AJ122" s="1686"/>
      <c r="AK122" s="1686"/>
      <c r="AL122" s="1686"/>
      <c r="AM122" s="1686"/>
      <c r="AN122" s="1686"/>
      <c r="AO122" s="1686"/>
      <c r="AP122" s="1686"/>
      <c r="AQ122" s="1686"/>
      <c r="AR122" s="1686"/>
      <c r="AS122" s="1686"/>
      <c r="AT122" s="1686"/>
    </row>
    <row r="123">
      <c r="A123" s="1419"/>
      <c r="B123" s="1687"/>
      <c r="C123" s="1688"/>
      <c r="D123" s="1688"/>
      <c r="E123" s="1690"/>
      <c r="F123" s="1690"/>
      <c r="G123" s="1690"/>
      <c r="H123" s="1690"/>
      <c r="I123" s="1690"/>
      <c r="J123" s="1690"/>
      <c r="K123" s="1690"/>
      <c r="L123" s="1690"/>
      <c r="M123" s="1690"/>
      <c r="N123" s="1690"/>
      <c r="O123" s="1690"/>
      <c r="P123" s="1690"/>
      <c r="Q123" s="1690"/>
      <c r="R123" s="1690"/>
      <c r="S123" s="1690"/>
      <c r="T123" s="1690"/>
      <c r="U123" s="1690"/>
      <c r="V123" s="1690"/>
      <c r="W123" s="1690"/>
      <c r="X123" s="1690"/>
      <c r="Y123" s="1690"/>
      <c r="Z123" s="1690"/>
      <c r="AA123" s="1690"/>
      <c r="AB123" s="1690"/>
      <c r="AC123" s="1690"/>
      <c r="AD123" s="1690"/>
      <c r="AE123" s="1690"/>
      <c r="AF123" s="1690"/>
      <c r="AG123" s="1690"/>
      <c r="AH123" s="1690"/>
      <c r="AI123" s="1690"/>
      <c r="AJ123" s="1690"/>
      <c r="AK123" s="1690"/>
      <c r="AL123" s="1690"/>
      <c r="AM123" s="1690"/>
      <c r="AN123" s="1690"/>
      <c r="AO123" s="1690"/>
      <c r="AP123" s="1690"/>
      <c r="AQ123" s="1690"/>
      <c r="AR123" s="1690"/>
      <c r="AS123" s="1690"/>
      <c r="AT123" s="1690"/>
    </row>
    <row r="124">
      <c r="A124" s="1419"/>
      <c r="B124" s="1684"/>
      <c r="C124" s="1685"/>
      <c r="D124" s="1685"/>
      <c r="E124" s="1691"/>
      <c r="F124" s="1691"/>
      <c r="G124" s="1691"/>
      <c r="H124" s="1691"/>
      <c r="I124" s="1691"/>
      <c r="J124" s="1691"/>
      <c r="K124" s="1691"/>
      <c r="L124" s="1691"/>
      <c r="M124" s="1691"/>
      <c r="N124" s="1691"/>
      <c r="O124" s="1691"/>
      <c r="P124" s="1691"/>
      <c r="Q124" s="1691"/>
      <c r="R124" s="1691"/>
      <c r="S124" s="1691"/>
      <c r="T124" s="1691"/>
      <c r="U124" s="1691"/>
      <c r="V124" s="1691"/>
      <c r="W124" s="1691"/>
      <c r="X124" s="1691"/>
      <c r="Y124" s="1691"/>
      <c r="Z124" s="1686"/>
      <c r="AA124" s="1686"/>
      <c r="AB124" s="1686"/>
      <c r="AC124" s="1686"/>
      <c r="AD124" s="1686"/>
      <c r="AE124" s="1686"/>
      <c r="AF124" s="1686"/>
      <c r="AG124" s="1686"/>
      <c r="AH124" s="1686"/>
      <c r="AI124" s="1686"/>
      <c r="AJ124" s="1686"/>
      <c r="AK124" s="1686"/>
      <c r="AL124" s="1686"/>
      <c r="AM124" s="1686"/>
      <c r="AN124" s="1686"/>
      <c r="AO124" s="1686"/>
      <c r="AP124" s="1686"/>
      <c r="AQ124" s="1686"/>
      <c r="AR124" s="1686"/>
      <c r="AS124" s="1686"/>
      <c r="AT124" s="1686"/>
    </row>
    <row r="125">
      <c r="A125" s="1419"/>
      <c r="B125" s="1687"/>
      <c r="C125" s="1688"/>
      <c r="D125" s="1688"/>
      <c r="E125" s="1689"/>
      <c r="F125" s="1689"/>
      <c r="G125" s="1689"/>
      <c r="H125" s="1689"/>
      <c r="I125" s="1689"/>
      <c r="J125" s="1689"/>
      <c r="K125" s="1689"/>
      <c r="L125" s="1689"/>
      <c r="M125" s="1689"/>
      <c r="N125" s="1689"/>
      <c r="O125" s="1689"/>
      <c r="P125" s="1689"/>
      <c r="Q125" s="1689"/>
      <c r="R125" s="1689"/>
      <c r="S125" s="1689"/>
      <c r="T125" s="1689"/>
      <c r="U125" s="1689"/>
      <c r="V125" s="1689"/>
      <c r="W125" s="1689"/>
      <c r="X125" s="1689"/>
      <c r="Y125" s="1689"/>
      <c r="Z125" s="1690"/>
      <c r="AA125" s="1690"/>
      <c r="AB125" s="1690"/>
      <c r="AC125" s="1690"/>
      <c r="AD125" s="1690"/>
      <c r="AE125" s="1690"/>
      <c r="AF125" s="1690"/>
      <c r="AG125" s="1690"/>
      <c r="AH125" s="1690"/>
      <c r="AI125" s="1690"/>
      <c r="AJ125" s="1690"/>
      <c r="AK125" s="1690"/>
      <c r="AL125" s="1690"/>
      <c r="AM125" s="1690"/>
      <c r="AN125" s="1690"/>
      <c r="AO125" s="1690"/>
      <c r="AP125" s="1690"/>
      <c r="AQ125" s="1690"/>
      <c r="AR125" s="1690"/>
      <c r="AS125" s="1690"/>
      <c r="AT125" s="1690"/>
    </row>
    <row r="126">
      <c r="A126" s="1419"/>
      <c r="B126" s="1684"/>
      <c r="C126" s="1685"/>
      <c r="D126" s="1685"/>
      <c r="E126" s="1686"/>
      <c r="F126" s="1686"/>
      <c r="G126" s="1686"/>
      <c r="H126" s="1686"/>
      <c r="I126" s="1686"/>
      <c r="J126" s="1686"/>
      <c r="K126" s="1686"/>
      <c r="L126" s="1686"/>
      <c r="M126" s="1686"/>
      <c r="N126" s="1686"/>
      <c r="O126" s="1686"/>
      <c r="P126" s="1686"/>
      <c r="Q126" s="1686"/>
      <c r="R126" s="1686"/>
      <c r="S126" s="1686"/>
      <c r="T126" s="1686"/>
      <c r="U126" s="1686"/>
      <c r="V126" s="1686"/>
      <c r="W126" s="1686"/>
      <c r="X126" s="1686"/>
      <c r="Y126" s="1686"/>
      <c r="Z126" s="1686"/>
      <c r="AA126" s="1686"/>
      <c r="AB126" s="1686"/>
      <c r="AC126" s="1686"/>
      <c r="AD126" s="1686"/>
      <c r="AE126" s="1686"/>
      <c r="AF126" s="1686"/>
      <c r="AG126" s="1686"/>
      <c r="AH126" s="1686"/>
      <c r="AI126" s="1686"/>
      <c r="AJ126" s="1686"/>
      <c r="AK126" s="1686"/>
      <c r="AL126" s="1686"/>
      <c r="AM126" s="1686"/>
      <c r="AN126" s="1686"/>
      <c r="AO126" s="1686"/>
      <c r="AP126" s="1686"/>
      <c r="AQ126" s="1686"/>
      <c r="AR126" s="1686"/>
      <c r="AS126" s="1686"/>
      <c r="AT126" s="1686"/>
    </row>
    <row r="127">
      <c r="A127" s="1419"/>
      <c r="B127" s="1687"/>
      <c r="C127" s="1688"/>
      <c r="D127" s="1688"/>
      <c r="E127" s="1690"/>
      <c r="F127" s="1690"/>
      <c r="G127" s="1690"/>
      <c r="H127" s="1690"/>
      <c r="I127" s="1690"/>
      <c r="J127" s="1690"/>
      <c r="K127" s="1690"/>
      <c r="L127" s="1690"/>
      <c r="M127" s="1690"/>
      <c r="N127" s="1690"/>
      <c r="O127" s="1690"/>
      <c r="P127" s="1690"/>
      <c r="Q127" s="1690"/>
      <c r="R127" s="1690"/>
      <c r="S127" s="1690"/>
      <c r="T127" s="1690"/>
      <c r="U127" s="1690"/>
      <c r="V127" s="1690"/>
      <c r="W127" s="1690"/>
      <c r="X127" s="1690"/>
      <c r="Y127" s="1690"/>
      <c r="Z127" s="1690"/>
      <c r="AA127" s="1690"/>
      <c r="AB127" s="1690"/>
      <c r="AC127" s="1690"/>
      <c r="AD127" s="1690"/>
      <c r="AE127" s="1690"/>
      <c r="AF127" s="1690"/>
      <c r="AG127" s="1690"/>
      <c r="AH127" s="1690"/>
      <c r="AI127" s="1690"/>
      <c r="AJ127" s="1690"/>
      <c r="AK127" s="1690"/>
      <c r="AL127" s="1690"/>
      <c r="AM127" s="1690"/>
      <c r="AN127" s="1690"/>
      <c r="AO127" s="1690"/>
      <c r="AP127" s="1690"/>
      <c r="AQ127" s="1690"/>
      <c r="AR127" s="1690"/>
      <c r="AS127" s="1690"/>
      <c r="AT127" s="1690"/>
    </row>
    <row r="128">
      <c r="A128" s="1419"/>
      <c r="B128" s="1684"/>
      <c r="C128" s="1685"/>
      <c r="D128" s="1685"/>
      <c r="E128" s="1691"/>
      <c r="F128" s="1691"/>
      <c r="G128" s="1691"/>
      <c r="H128" s="1691"/>
      <c r="I128" s="1691"/>
      <c r="J128" s="1691"/>
      <c r="K128" s="1691"/>
      <c r="L128" s="1691"/>
      <c r="M128" s="1691"/>
      <c r="N128" s="1691"/>
      <c r="O128" s="1691"/>
      <c r="P128" s="1691"/>
      <c r="Q128" s="1691"/>
      <c r="R128" s="1691"/>
      <c r="S128" s="1691"/>
      <c r="T128" s="1691"/>
      <c r="U128" s="1691"/>
      <c r="V128" s="1691"/>
      <c r="W128" s="1691"/>
      <c r="X128" s="1691"/>
      <c r="Y128" s="1691"/>
      <c r="Z128" s="1686"/>
      <c r="AA128" s="1686"/>
      <c r="AB128" s="1686"/>
      <c r="AC128" s="1686"/>
      <c r="AD128" s="1686"/>
      <c r="AE128" s="1686"/>
      <c r="AF128" s="1686"/>
      <c r="AG128" s="1686"/>
      <c r="AH128" s="1686"/>
      <c r="AI128" s="1686"/>
      <c r="AJ128" s="1686"/>
      <c r="AK128" s="1686"/>
      <c r="AL128" s="1686"/>
      <c r="AM128" s="1686"/>
      <c r="AN128" s="1686"/>
      <c r="AO128" s="1686"/>
      <c r="AP128" s="1686"/>
      <c r="AQ128" s="1686"/>
      <c r="AR128" s="1686"/>
      <c r="AS128" s="1686"/>
      <c r="AT128" s="1686"/>
    </row>
    <row r="129">
      <c r="A129" s="1419"/>
      <c r="B129" s="1687"/>
      <c r="C129" s="1688"/>
      <c r="D129" s="1688"/>
      <c r="E129" s="1689"/>
      <c r="F129" s="1689"/>
      <c r="G129" s="1689"/>
      <c r="H129" s="1689"/>
      <c r="I129" s="1689"/>
      <c r="J129" s="1689"/>
      <c r="K129" s="1689"/>
      <c r="L129" s="1689"/>
      <c r="M129" s="1689"/>
      <c r="N129" s="1689"/>
      <c r="O129" s="1689"/>
      <c r="P129" s="1689"/>
      <c r="Q129" s="1689"/>
      <c r="R129" s="1689"/>
      <c r="S129" s="1689"/>
      <c r="T129" s="1689"/>
      <c r="U129" s="1689"/>
      <c r="V129" s="1689"/>
      <c r="W129" s="1689"/>
      <c r="X129" s="1689"/>
      <c r="Y129" s="1689"/>
      <c r="Z129" s="1690"/>
      <c r="AA129" s="1690"/>
      <c r="AB129" s="1690"/>
      <c r="AC129" s="1690"/>
      <c r="AD129" s="1690"/>
      <c r="AE129" s="1690"/>
      <c r="AF129" s="1690"/>
      <c r="AG129" s="1690"/>
      <c r="AH129" s="1690"/>
      <c r="AI129" s="1690"/>
      <c r="AJ129" s="1690"/>
      <c r="AK129" s="1690"/>
      <c r="AL129" s="1690"/>
      <c r="AM129" s="1690"/>
      <c r="AN129" s="1690"/>
      <c r="AO129" s="1690"/>
      <c r="AP129" s="1690"/>
      <c r="AQ129" s="1690"/>
      <c r="AR129" s="1690"/>
      <c r="AS129" s="1690"/>
      <c r="AT129" s="1690"/>
    </row>
    <row r="130">
      <c r="A130" s="1419"/>
      <c r="B130" s="1684"/>
      <c r="C130" s="1685"/>
      <c r="D130" s="1685"/>
      <c r="E130" s="1686"/>
      <c r="F130" s="1686"/>
      <c r="G130" s="1686"/>
      <c r="H130" s="1686"/>
      <c r="I130" s="1686"/>
      <c r="J130" s="1686"/>
      <c r="K130" s="1686"/>
      <c r="L130" s="1686"/>
      <c r="M130" s="1686"/>
      <c r="N130" s="1686"/>
      <c r="O130" s="1686"/>
      <c r="P130" s="1686"/>
      <c r="Q130" s="1686"/>
      <c r="R130" s="1686"/>
      <c r="S130" s="1686"/>
      <c r="T130" s="1686"/>
      <c r="U130" s="1686"/>
      <c r="V130" s="1686"/>
      <c r="W130" s="1686"/>
      <c r="X130" s="1686"/>
      <c r="Y130" s="1686"/>
      <c r="Z130" s="1686"/>
      <c r="AA130" s="1686"/>
      <c r="AB130" s="1686"/>
      <c r="AC130" s="1686"/>
      <c r="AD130" s="1686"/>
      <c r="AE130" s="1686"/>
      <c r="AF130" s="1686"/>
      <c r="AG130" s="1686"/>
      <c r="AH130" s="1686"/>
      <c r="AI130" s="1686"/>
      <c r="AJ130" s="1686"/>
      <c r="AK130" s="1686"/>
      <c r="AL130" s="1686"/>
      <c r="AM130" s="1686"/>
      <c r="AN130" s="1686"/>
      <c r="AO130" s="1686"/>
      <c r="AP130" s="1686"/>
      <c r="AQ130" s="1686"/>
      <c r="AR130" s="1686"/>
      <c r="AS130" s="1686"/>
      <c r="AT130" s="1686"/>
    </row>
    <row r="131">
      <c r="A131" s="1419"/>
      <c r="B131" s="1687"/>
      <c r="C131" s="1688"/>
      <c r="D131" s="1688"/>
      <c r="E131" s="1689"/>
      <c r="F131" s="1689"/>
      <c r="G131" s="1689"/>
      <c r="H131" s="1689"/>
      <c r="I131" s="1689"/>
      <c r="J131" s="1689"/>
      <c r="K131" s="1689"/>
      <c r="L131" s="1689"/>
      <c r="M131" s="1689"/>
      <c r="N131" s="1689"/>
      <c r="O131" s="1689"/>
      <c r="P131" s="1689"/>
      <c r="Q131" s="1689"/>
      <c r="R131" s="1689"/>
      <c r="S131" s="1689"/>
      <c r="T131" s="1689"/>
      <c r="U131" s="1689"/>
      <c r="V131" s="1689"/>
      <c r="W131" s="1689"/>
      <c r="X131" s="1689"/>
      <c r="Y131" s="1689"/>
      <c r="Z131" s="1690"/>
      <c r="AA131" s="1690"/>
      <c r="AB131" s="1690"/>
      <c r="AC131" s="1690"/>
      <c r="AD131" s="1690"/>
      <c r="AE131" s="1690"/>
      <c r="AF131" s="1690"/>
      <c r="AG131" s="1690"/>
      <c r="AH131" s="1690"/>
      <c r="AI131" s="1690"/>
      <c r="AJ131" s="1690"/>
      <c r="AK131" s="1690"/>
      <c r="AL131" s="1690"/>
      <c r="AM131" s="1690"/>
      <c r="AN131" s="1690"/>
      <c r="AO131" s="1690"/>
      <c r="AP131" s="1690"/>
      <c r="AQ131" s="1690"/>
      <c r="AR131" s="1690"/>
      <c r="AS131" s="1690"/>
      <c r="AT131" s="1690"/>
    </row>
    <row r="132">
      <c r="A132" s="1419"/>
      <c r="B132" s="1684"/>
      <c r="C132" s="1685"/>
      <c r="D132" s="1685"/>
      <c r="E132" s="1686"/>
      <c r="F132" s="1686"/>
      <c r="G132" s="1686"/>
      <c r="H132" s="1686"/>
      <c r="I132" s="1686"/>
      <c r="J132" s="1686"/>
      <c r="K132" s="1686"/>
      <c r="L132" s="1686"/>
      <c r="M132" s="1686"/>
      <c r="N132" s="1686"/>
      <c r="O132" s="1686"/>
      <c r="P132" s="1686"/>
      <c r="Q132" s="1686"/>
      <c r="R132" s="1686"/>
      <c r="S132" s="1686"/>
      <c r="T132" s="1686"/>
      <c r="U132" s="1686"/>
      <c r="V132" s="1686"/>
      <c r="W132" s="1686"/>
      <c r="X132" s="1686"/>
      <c r="Y132" s="1686"/>
      <c r="Z132" s="1686"/>
      <c r="AA132" s="1686"/>
      <c r="AB132" s="1686"/>
      <c r="AC132" s="1686"/>
      <c r="AD132" s="1686"/>
      <c r="AE132" s="1686"/>
      <c r="AF132" s="1686"/>
      <c r="AG132" s="1686"/>
      <c r="AH132" s="1686"/>
      <c r="AI132" s="1686"/>
      <c r="AJ132" s="1686"/>
      <c r="AK132" s="1686"/>
      <c r="AL132" s="1686"/>
      <c r="AM132" s="1686"/>
      <c r="AN132" s="1686"/>
      <c r="AO132" s="1686"/>
      <c r="AP132" s="1686"/>
      <c r="AQ132" s="1686"/>
      <c r="AR132" s="1686"/>
      <c r="AS132" s="1686"/>
      <c r="AT132" s="1686"/>
    </row>
    <row r="133">
      <c r="A133" s="1419"/>
      <c r="B133" s="1687"/>
      <c r="C133" s="1688"/>
      <c r="D133" s="1688"/>
      <c r="E133" s="1689"/>
      <c r="F133" s="1689"/>
      <c r="G133" s="1689"/>
      <c r="H133" s="1689"/>
      <c r="I133" s="1689"/>
      <c r="J133" s="1689"/>
      <c r="K133" s="1689"/>
      <c r="L133" s="1689"/>
      <c r="M133" s="1689"/>
      <c r="N133" s="1689"/>
      <c r="O133" s="1689"/>
      <c r="P133" s="1689"/>
      <c r="Q133" s="1689"/>
      <c r="R133" s="1689"/>
      <c r="S133" s="1689"/>
      <c r="T133" s="1689"/>
      <c r="U133" s="1689"/>
      <c r="V133" s="1689"/>
      <c r="W133" s="1689"/>
      <c r="X133" s="1689"/>
      <c r="Y133" s="1689"/>
      <c r="Z133" s="1690"/>
      <c r="AA133" s="1690"/>
      <c r="AB133" s="1690"/>
      <c r="AC133" s="1690"/>
      <c r="AD133" s="1690"/>
      <c r="AE133" s="1690"/>
      <c r="AF133" s="1690"/>
      <c r="AG133" s="1690"/>
      <c r="AH133" s="1690"/>
      <c r="AI133" s="1690"/>
      <c r="AJ133" s="1690"/>
      <c r="AK133" s="1690"/>
      <c r="AL133" s="1690"/>
      <c r="AM133" s="1690"/>
      <c r="AN133" s="1690"/>
      <c r="AO133" s="1690"/>
      <c r="AP133" s="1690"/>
      <c r="AQ133" s="1690"/>
      <c r="AR133" s="1690"/>
      <c r="AS133" s="1690"/>
      <c r="AT133" s="1690"/>
    </row>
    <row r="134">
      <c r="A134" s="1419"/>
      <c r="B134" s="1684"/>
      <c r="C134" s="1685"/>
      <c r="D134" s="1685"/>
      <c r="E134" s="1686"/>
      <c r="F134" s="1686"/>
      <c r="G134" s="1686"/>
      <c r="H134" s="1686"/>
      <c r="I134" s="1686"/>
      <c r="J134" s="1686"/>
      <c r="K134" s="1686"/>
      <c r="L134" s="1686"/>
      <c r="M134" s="1686"/>
      <c r="N134" s="1686"/>
      <c r="O134" s="1686"/>
      <c r="P134" s="1686"/>
      <c r="Q134" s="1686"/>
      <c r="R134" s="1686"/>
      <c r="S134" s="1686"/>
      <c r="T134" s="1686"/>
      <c r="U134" s="1686"/>
      <c r="V134" s="1686"/>
      <c r="W134" s="1686"/>
      <c r="X134" s="1686"/>
      <c r="Y134" s="1686"/>
      <c r="Z134" s="1686"/>
      <c r="AA134" s="1686"/>
      <c r="AB134" s="1686"/>
      <c r="AC134" s="1686"/>
      <c r="AD134" s="1686"/>
      <c r="AE134" s="1686"/>
      <c r="AF134" s="1686"/>
      <c r="AG134" s="1686"/>
      <c r="AH134" s="1686"/>
      <c r="AI134" s="1686"/>
      <c r="AJ134" s="1686"/>
      <c r="AK134" s="1686"/>
      <c r="AL134" s="1686"/>
      <c r="AM134" s="1686"/>
      <c r="AN134" s="1686"/>
      <c r="AO134" s="1686"/>
      <c r="AP134" s="1686"/>
      <c r="AQ134" s="1686"/>
      <c r="AR134" s="1686"/>
      <c r="AS134" s="1686"/>
      <c r="AT134" s="1686"/>
    </row>
    <row r="135">
      <c r="A135" s="1419"/>
      <c r="B135" s="1687"/>
      <c r="C135" s="1688"/>
      <c r="D135" s="1688"/>
      <c r="E135" s="1690"/>
      <c r="F135" s="1690"/>
      <c r="G135" s="1690"/>
      <c r="H135" s="1690"/>
      <c r="I135" s="1690"/>
      <c r="J135" s="1690"/>
      <c r="K135" s="1690"/>
      <c r="L135" s="1690"/>
      <c r="M135" s="1690"/>
      <c r="N135" s="1690"/>
      <c r="O135" s="1690"/>
      <c r="P135" s="1690"/>
      <c r="Q135" s="1690"/>
      <c r="R135" s="1690"/>
      <c r="S135" s="1690"/>
      <c r="T135" s="1690"/>
      <c r="U135" s="1690"/>
      <c r="V135" s="1690"/>
      <c r="W135" s="1690"/>
      <c r="X135" s="1690"/>
      <c r="Y135" s="1690"/>
      <c r="Z135" s="1690"/>
      <c r="AA135" s="1690"/>
      <c r="AB135" s="1690"/>
      <c r="AC135" s="1690"/>
      <c r="AD135" s="1690"/>
      <c r="AE135" s="1690"/>
      <c r="AF135" s="1690"/>
      <c r="AG135" s="1690"/>
      <c r="AH135" s="1690"/>
      <c r="AI135" s="1690"/>
      <c r="AJ135" s="1690"/>
      <c r="AK135" s="1690"/>
      <c r="AL135" s="1690"/>
      <c r="AM135" s="1690"/>
      <c r="AN135" s="1690"/>
      <c r="AO135" s="1690"/>
      <c r="AP135" s="1690"/>
      <c r="AQ135" s="1690"/>
      <c r="AR135" s="1690"/>
      <c r="AS135" s="1690"/>
      <c r="AT135" s="1690"/>
    </row>
    <row r="136">
      <c r="A136" s="1419"/>
      <c r="B136" s="1684"/>
      <c r="C136" s="1685"/>
      <c r="D136" s="1685"/>
      <c r="E136" s="1686"/>
      <c r="F136" s="1686"/>
      <c r="G136" s="1686"/>
      <c r="H136" s="1686"/>
      <c r="I136" s="1686"/>
      <c r="J136" s="1686"/>
      <c r="K136" s="1686"/>
      <c r="L136" s="1686"/>
      <c r="M136" s="1686"/>
      <c r="N136" s="1686"/>
      <c r="O136" s="1686"/>
      <c r="P136" s="1686"/>
      <c r="Q136" s="1686"/>
      <c r="R136" s="1686"/>
      <c r="S136" s="1686"/>
      <c r="T136" s="1686"/>
      <c r="U136" s="1686"/>
      <c r="V136" s="1686"/>
      <c r="W136" s="1686"/>
      <c r="X136" s="1686"/>
      <c r="Y136" s="1686"/>
      <c r="Z136" s="1686"/>
      <c r="AA136" s="1686"/>
      <c r="AB136" s="1686"/>
      <c r="AC136" s="1686"/>
      <c r="AD136" s="1686"/>
      <c r="AE136" s="1686"/>
      <c r="AF136" s="1686"/>
      <c r="AG136" s="1686"/>
      <c r="AH136" s="1686"/>
      <c r="AI136" s="1686"/>
      <c r="AJ136" s="1686"/>
      <c r="AK136" s="1686"/>
      <c r="AL136" s="1686"/>
      <c r="AM136" s="1686"/>
      <c r="AN136" s="1686"/>
      <c r="AO136" s="1686"/>
      <c r="AP136" s="1686"/>
      <c r="AQ136" s="1686"/>
      <c r="AR136" s="1686"/>
      <c r="AS136" s="1686"/>
      <c r="AT136" s="1686"/>
    </row>
    <row r="137">
      <c r="A137" s="1419"/>
      <c r="B137" s="1687"/>
      <c r="C137" s="1688"/>
      <c r="D137" s="1688"/>
      <c r="E137" s="1689"/>
      <c r="F137" s="1689"/>
      <c r="G137" s="1689"/>
      <c r="H137" s="1689"/>
      <c r="I137" s="1689"/>
      <c r="J137" s="1689"/>
      <c r="K137" s="1689"/>
      <c r="L137" s="1689"/>
      <c r="M137" s="1689"/>
      <c r="N137" s="1689"/>
      <c r="O137" s="1689"/>
      <c r="P137" s="1689"/>
      <c r="Q137" s="1689"/>
      <c r="R137" s="1689"/>
      <c r="S137" s="1689"/>
      <c r="T137" s="1689"/>
      <c r="U137" s="1689"/>
      <c r="V137" s="1689"/>
      <c r="W137" s="1689"/>
      <c r="X137" s="1689"/>
      <c r="Y137" s="1689"/>
      <c r="Z137" s="1690"/>
      <c r="AA137" s="1690"/>
      <c r="AB137" s="1690"/>
      <c r="AC137" s="1690"/>
      <c r="AD137" s="1690"/>
      <c r="AE137" s="1690"/>
      <c r="AF137" s="1690"/>
      <c r="AG137" s="1690"/>
      <c r="AH137" s="1690"/>
      <c r="AI137" s="1690"/>
      <c r="AJ137" s="1690"/>
      <c r="AK137" s="1690"/>
      <c r="AL137" s="1690"/>
      <c r="AM137" s="1690"/>
      <c r="AN137" s="1690"/>
      <c r="AO137" s="1690"/>
      <c r="AP137" s="1690"/>
      <c r="AQ137" s="1690"/>
      <c r="AR137" s="1690"/>
      <c r="AS137" s="1690"/>
      <c r="AT137" s="1690"/>
    </row>
    <row r="138">
      <c r="A138" s="1419"/>
      <c r="B138" s="1684"/>
      <c r="C138" s="1685"/>
      <c r="D138" s="1685"/>
      <c r="E138" s="1691"/>
      <c r="F138" s="1691"/>
      <c r="G138" s="1691"/>
      <c r="H138" s="1691"/>
      <c r="I138" s="1691"/>
      <c r="J138" s="1691"/>
      <c r="K138" s="1691"/>
      <c r="L138" s="1691"/>
      <c r="M138" s="1691"/>
      <c r="N138" s="1691"/>
      <c r="O138" s="1691"/>
      <c r="P138" s="1691"/>
      <c r="Q138" s="1691"/>
      <c r="R138" s="1691"/>
      <c r="S138" s="1691"/>
      <c r="T138" s="1691"/>
      <c r="U138" s="1691"/>
      <c r="V138" s="1691"/>
      <c r="W138" s="1691"/>
      <c r="X138" s="1691"/>
      <c r="Y138" s="1691"/>
      <c r="Z138" s="1686"/>
      <c r="AA138" s="1686"/>
      <c r="AB138" s="1686"/>
      <c r="AC138" s="1686"/>
      <c r="AD138" s="1686"/>
      <c r="AE138" s="1686"/>
      <c r="AF138" s="1686"/>
      <c r="AG138" s="1686"/>
      <c r="AH138" s="1686"/>
      <c r="AI138" s="1686"/>
      <c r="AJ138" s="1686"/>
      <c r="AK138" s="1686"/>
      <c r="AL138" s="1686"/>
      <c r="AM138" s="1686"/>
      <c r="AN138" s="1686"/>
      <c r="AO138" s="1686"/>
      <c r="AP138" s="1686"/>
      <c r="AQ138" s="1686"/>
      <c r="AR138" s="1686"/>
      <c r="AS138" s="1686"/>
      <c r="AT138" s="1686"/>
    </row>
    <row r="139">
      <c r="A139" s="1419"/>
      <c r="B139" s="1687"/>
      <c r="C139" s="1688"/>
      <c r="D139" s="1688"/>
      <c r="E139" s="1690"/>
      <c r="F139" s="1690"/>
      <c r="G139" s="1690"/>
      <c r="H139" s="1690"/>
      <c r="I139" s="1690"/>
      <c r="J139" s="1690"/>
      <c r="K139" s="1690"/>
      <c r="L139" s="1690"/>
      <c r="M139" s="1690"/>
      <c r="N139" s="1690"/>
      <c r="O139" s="1690"/>
      <c r="P139" s="1690"/>
      <c r="Q139" s="1690"/>
      <c r="R139" s="1690"/>
      <c r="S139" s="1690"/>
      <c r="T139" s="1690"/>
      <c r="U139" s="1690"/>
      <c r="V139" s="1690"/>
      <c r="W139" s="1690"/>
      <c r="X139" s="1690"/>
      <c r="Y139" s="1690"/>
      <c r="Z139" s="1690"/>
      <c r="AA139" s="1690"/>
      <c r="AB139" s="1690"/>
      <c r="AC139" s="1690"/>
      <c r="AD139" s="1690"/>
      <c r="AE139" s="1690"/>
      <c r="AF139" s="1690"/>
      <c r="AG139" s="1690"/>
      <c r="AH139" s="1690"/>
      <c r="AI139" s="1690"/>
      <c r="AJ139" s="1690"/>
      <c r="AK139" s="1690"/>
      <c r="AL139" s="1690"/>
      <c r="AM139" s="1690"/>
      <c r="AN139" s="1690"/>
      <c r="AO139" s="1690"/>
      <c r="AP139" s="1690"/>
      <c r="AQ139" s="1690"/>
      <c r="AR139" s="1690"/>
      <c r="AS139" s="1690"/>
      <c r="AT139" s="1690"/>
    </row>
    <row r="140">
      <c r="A140" s="1419"/>
      <c r="B140" s="1684"/>
      <c r="C140" s="1685"/>
      <c r="D140" s="1685"/>
      <c r="E140" s="1691"/>
      <c r="F140" s="1691"/>
      <c r="G140" s="1691"/>
      <c r="H140" s="1691"/>
      <c r="I140" s="1691"/>
      <c r="J140" s="1691"/>
      <c r="K140" s="1691"/>
      <c r="L140" s="1691"/>
      <c r="M140" s="1691"/>
      <c r="N140" s="1691"/>
      <c r="O140" s="1691"/>
      <c r="P140" s="1691"/>
      <c r="Q140" s="1691"/>
      <c r="R140" s="1691"/>
      <c r="S140" s="1691"/>
      <c r="T140" s="1691"/>
      <c r="U140" s="1691"/>
      <c r="V140" s="1691"/>
      <c r="W140" s="1691"/>
      <c r="X140" s="1691"/>
      <c r="Y140" s="1691"/>
      <c r="Z140" s="1686"/>
      <c r="AA140" s="1686"/>
      <c r="AB140" s="1686"/>
      <c r="AC140" s="1686"/>
      <c r="AD140" s="1686"/>
      <c r="AE140" s="1686"/>
      <c r="AF140" s="1686"/>
      <c r="AG140" s="1686"/>
      <c r="AH140" s="1686"/>
      <c r="AI140" s="1686"/>
      <c r="AJ140" s="1686"/>
      <c r="AK140" s="1686"/>
      <c r="AL140" s="1686"/>
      <c r="AM140" s="1686"/>
      <c r="AN140" s="1686"/>
      <c r="AO140" s="1686"/>
      <c r="AP140" s="1686"/>
      <c r="AQ140" s="1686"/>
      <c r="AR140" s="1686"/>
      <c r="AS140" s="1686"/>
      <c r="AT140" s="1686"/>
    </row>
    <row r="141">
      <c r="A141" s="1419"/>
      <c r="B141" s="1687"/>
      <c r="C141" s="1688"/>
      <c r="D141" s="1688"/>
      <c r="E141" s="1689"/>
      <c r="F141" s="1689"/>
      <c r="G141" s="1689"/>
      <c r="H141" s="1689"/>
      <c r="I141" s="1689"/>
      <c r="J141" s="1689"/>
      <c r="K141" s="1689"/>
      <c r="L141" s="1689"/>
      <c r="M141" s="1689"/>
      <c r="N141" s="1689"/>
      <c r="O141" s="1689"/>
      <c r="P141" s="1689"/>
      <c r="Q141" s="1689"/>
      <c r="R141" s="1689"/>
      <c r="S141" s="1689"/>
      <c r="T141" s="1689"/>
      <c r="U141" s="1689"/>
      <c r="V141" s="1689"/>
      <c r="W141" s="1689"/>
      <c r="X141" s="1689"/>
      <c r="Y141" s="1689"/>
      <c r="Z141" s="1690"/>
      <c r="AA141" s="1690"/>
      <c r="AB141" s="1690"/>
      <c r="AC141" s="1690"/>
      <c r="AD141" s="1690"/>
      <c r="AE141" s="1690"/>
      <c r="AF141" s="1690"/>
      <c r="AG141" s="1690"/>
      <c r="AH141" s="1690"/>
      <c r="AI141" s="1690"/>
      <c r="AJ141" s="1690"/>
      <c r="AK141" s="1690"/>
      <c r="AL141" s="1690"/>
      <c r="AM141" s="1690"/>
      <c r="AN141" s="1690"/>
      <c r="AO141" s="1690"/>
      <c r="AP141" s="1690"/>
      <c r="AQ141" s="1690"/>
      <c r="AR141" s="1690"/>
      <c r="AS141" s="1690"/>
      <c r="AT141" s="1690"/>
    </row>
    <row r="142">
      <c r="A142" s="1419"/>
      <c r="B142" s="1684"/>
      <c r="C142" s="1685"/>
      <c r="D142" s="1685"/>
      <c r="E142" s="1691"/>
      <c r="F142" s="1691"/>
      <c r="G142" s="1691"/>
      <c r="H142" s="1691"/>
      <c r="I142" s="1691"/>
      <c r="J142" s="1691"/>
      <c r="K142" s="1691"/>
      <c r="L142" s="1691"/>
      <c r="M142" s="1691"/>
      <c r="N142" s="1691"/>
      <c r="O142" s="1691"/>
      <c r="P142" s="1691"/>
      <c r="Q142" s="1691"/>
      <c r="R142" s="1691"/>
      <c r="S142" s="1691"/>
      <c r="T142" s="1691"/>
      <c r="U142" s="1691"/>
      <c r="V142" s="1691"/>
      <c r="W142" s="1691"/>
      <c r="X142" s="1691"/>
      <c r="Y142" s="1691"/>
      <c r="Z142" s="1686"/>
      <c r="AA142" s="1686"/>
      <c r="AB142" s="1686"/>
      <c r="AC142" s="1686"/>
      <c r="AD142" s="1686"/>
      <c r="AE142" s="1686"/>
      <c r="AF142" s="1686"/>
      <c r="AG142" s="1686"/>
      <c r="AH142" s="1686"/>
      <c r="AI142" s="1686"/>
      <c r="AJ142" s="1686"/>
      <c r="AK142" s="1686"/>
      <c r="AL142" s="1686"/>
      <c r="AM142" s="1686"/>
      <c r="AN142" s="1686"/>
      <c r="AO142" s="1686"/>
      <c r="AP142" s="1686"/>
      <c r="AQ142" s="1686"/>
      <c r="AR142" s="1686"/>
      <c r="AS142" s="1686"/>
      <c r="AT142" s="1686"/>
    </row>
    <row r="143">
      <c r="A143" s="1419"/>
      <c r="B143" s="1687"/>
      <c r="C143" s="1688"/>
      <c r="D143" s="1688"/>
      <c r="E143" s="1689"/>
      <c r="F143" s="1689"/>
      <c r="G143" s="1689"/>
      <c r="H143" s="1689"/>
      <c r="I143" s="1689"/>
      <c r="J143" s="1689"/>
      <c r="K143" s="1689"/>
      <c r="L143" s="1689"/>
      <c r="M143" s="1689"/>
      <c r="N143" s="1689"/>
      <c r="O143" s="1689"/>
      <c r="P143" s="1689"/>
      <c r="Q143" s="1689"/>
      <c r="R143" s="1689"/>
      <c r="S143" s="1689"/>
      <c r="T143" s="1689"/>
      <c r="U143" s="1689"/>
      <c r="V143" s="1689"/>
      <c r="W143" s="1689"/>
      <c r="X143" s="1689"/>
      <c r="Y143" s="1689"/>
      <c r="Z143" s="1690"/>
      <c r="AA143" s="1690"/>
      <c r="AB143" s="1690"/>
      <c r="AC143" s="1690"/>
      <c r="AD143" s="1690"/>
      <c r="AE143" s="1690"/>
      <c r="AF143" s="1690"/>
      <c r="AG143" s="1690"/>
      <c r="AH143" s="1690"/>
      <c r="AI143" s="1690"/>
      <c r="AJ143" s="1690"/>
      <c r="AK143" s="1690"/>
      <c r="AL143" s="1690"/>
      <c r="AM143" s="1690"/>
      <c r="AN143" s="1690"/>
      <c r="AO143" s="1690"/>
      <c r="AP143" s="1690"/>
      <c r="AQ143" s="1690"/>
      <c r="AR143" s="1690"/>
      <c r="AS143" s="1690"/>
      <c r="AT143" s="1690"/>
    </row>
    <row r="144">
      <c r="A144" s="1419"/>
      <c r="B144" s="1684"/>
      <c r="C144" s="1685"/>
      <c r="D144" s="1685"/>
      <c r="E144" s="1691"/>
      <c r="F144" s="1691"/>
      <c r="G144" s="1691"/>
      <c r="H144" s="1691"/>
      <c r="I144" s="1691"/>
      <c r="J144" s="1691"/>
      <c r="K144" s="1691"/>
      <c r="L144" s="1691"/>
      <c r="M144" s="1691"/>
      <c r="N144" s="1691"/>
      <c r="O144" s="1691"/>
      <c r="P144" s="1691"/>
      <c r="Q144" s="1691"/>
      <c r="R144" s="1691"/>
      <c r="S144" s="1691"/>
      <c r="T144" s="1691"/>
      <c r="U144" s="1691"/>
      <c r="V144" s="1691"/>
      <c r="W144" s="1691"/>
      <c r="X144" s="1691"/>
      <c r="Y144" s="1691"/>
      <c r="Z144" s="1686"/>
      <c r="AA144" s="1686"/>
      <c r="AB144" s="1686"/>
      <c r="AC144" s="1686"/>
      <c r="AD144" s="1686"/>
      <c r="AE144" s="1686"/>
      <c r="AF144" s="1686"/>
      <c r="AG144" s="1686"/>
      <c r="AH144" s="1686"/>
      <c r="AI144" s="1686"/>
      <c r="AJ144" s="1686"/>
      <c r="AK144" s="1686"/>
      <c r="AL144" s="1686"/>
      <c r="AM144" s="1686"/>
      <c r="AN144" s="1686"/>
      <c r="AO144" s="1686"/>
      <c r="AP144" s="1686"/>
      <c r="AQ144" s="1686"/>
      <c r="AR144" s="1686"/>
      <c r="AS144" s="1686"/>
      <c r="AT144" s="1686"/>
    </row>
    <row r="145">
      <c r="A145" s="1419"/>
      <c r="B145" s="1687"/>
      <c r="C145" s="1688"/>
      <c r="D145" s="1688"/>
      <c r="E145" s="1689"/>
      <c r="F145" s="1689"/>
      <c r="G145" s="1689"/>
      <c r="H145" s="1689"/>
      <c r="I145" s="1689"/>
      <c r="J145" s="1689"/>
      <c r="K145" s="1689"/>
      <c r="L145" s="1689"/>
      <c r="M145" s="1689"/>
      <c r="N145" s="1689"/>
      <c r="O145" s="1689"/>
      <c r="P145" s="1689"/>
      <c r="Q145" s="1689"/>
      <c r="R145" s="1689"/>
      <c r="S145" s="1689"/>
      <c r="T145" s="1689"/>
      <c r="U145" s="1689"/>
      <c r="V145" s="1689"/>
      <c r="W145" s="1689"/>
      <c r="X145" s="1689"/>
      <c r="Y145" s="1689"/>
      <c r="Z145" s="1690"/>
      <c r="AA145" s="1690"/>
      <c r="AB145" s="1690"/>
      <c r="AC145" s="1690"/>
      <c r="AD145" s="1690"/>
      <c r="AE145" s="1690"/>
      <c r="AF145" s="1690"/>
      <c r="AG145" s="1690"/>
      <c r="AH145" s="1690"/>
      <c r="AI145" s="1690"/>
      <c r="AJ145" s="1690"/>
      <c r="AK145" s="1690"/>
      <c r="AL145" s="1690"/>
      <c r="AM145" s="1690"/>
      <c r="AN145" s="1690"/>
      <c r="AO145" s="1690"/>
      <c r="AP145" s="1690"/>
      <c r="AQ145" s="1690"/>
      <c r="AR145" s="1690"/>
      <c r="AS145" s="1690"/>
      <c r="AT145" s="1690"/>
    </row>
    <row r="146">
      <c r="A146" s="1419"/>
      <c r="B146" s="1684"/>
      <c r="C146" s="1685"/>
      <c r="D146" s="1685"/>
      <c r="E146" s="1691"/>
      <c r="F146" s="1691"/>
      <c r="G146" s="1691"/>
      <c r="H146" s="1691"/>
      <c r="I146" s="1691"/>
      <c r="J146" s="1691"/>
      <c r="K146" s="1691"/>
      <c r="L146" s="1691"/>
      <c r="M146" s="1691"/>
      <c r="N146" s="1691"/>
      <c r="O146" s="1691"/>
      <c r="P146" s="1691"/>
      <c r="Q146" s="1691"/>
      <c r="R146" s="1691"/>
      <c r="S146" s="1691"/>
      <c r="T146" s="1691"/>
      <c r="U146" s="1691"/>
      <c r="V146" s="1691"/>
      <c r="W146" s="1691"/>
      <c r="X146" s="1691"/>
      <c r="Y146" s="1691"/>
      <c r="Z146" s="1686"/>
      <c r="AA146" s="1686"/>
      <c r="AB146" s="1686"/>
      <c r="AC146" s="1686"/>
      <c r="AD146" s="1686"/>
      <c r="AE146" s="1686"/>
      <c r="AF146" s="1686"/>
      <c r="AG146" s="1686"/>
      <c r="AH146" s="1686"/>
      <c r="AI146" s="1686"/>
      <c r="AJ146" s="1686"/>
      <c r="AK146" s="1686"/>
      <c r="AL146" s="1686"/>
      <c r="AM146" s="1686"/>
      <c r="AN146" s="1686"/>
      <c r="AO146" s="1686"/>
      <c r="AP146" s="1686"/>
      <c r="AQ146" s="1686"/>
      <c r="AR146" s="1686"/>
      <c r="AS146" s="1686"/>
      <c r="AT146" s="1686"/>
    </row>
    <row r="147">
      <c r="A147" s="1419"/>
      <c r="B147" s="1687"/>
      <c r="C147" s="1688"/>
      <c r="D147" s="1688"/>
      <c r="E147" s="1689"/>
      <c r="F147" s="1689"/>
      <c r="G147" s="1689"/>
      <c r="H147" s="1689"/>
      <c r="I147" s="1689"/>
      <c r="J147" s="1689"/>
      <c r="K147" s="1689"/>
      <c r="L147" s="1689"/>
      <c r="M147" s="1689"/>
      <c r="N147" s="1689"/>
      <c r="O147" s="1689"/>
      <c r="P147" s="1689"/>
      <c r="Q147" s="1689"/>
      <c r="R147" s="1689"/>
      <c r="S147" s="1689"/>
      <c r="T147" s="1689"/>
      <c r="U147" s="1689"/>
      <c r="V147" s="1689"/>
      <c r="W147" s="1689"/>
      <c r="X147" s="1689"/>
      <c r="Y147" s="1689"/>
      <c r="Z147" s="1690"/>
      <c r="AA147" s="1690"/>
      <c r="AB147" s="1690"/>
      <c r="AC147" s="1690"/>
      <c r="AD147" s="1690"/>
      <c r="AE147" s="1690"/>
      <c r="AF147" s="1690"/>
      <c r="AG147" s="1690"/>
      <c r="AH147" s="1690"/>
      <c r="AI147" s="1690"/>
      <c r="AJ147" s="1690"/>
      <c r="AK147" s="1690"/>
      <c r="AL147" s="1690"/>
      <c r="AM147" s="1690"/>
      <c r="AN147" s="1690"/>
      <c r="AO147" s="1690"/>
      <c r="AP147" s="1690"/>
      <c r="AQ147" s="1690"/>
      <c r="AR147" s="1690"/>
      <c r="AS147" s="1690"/>
      <c r="AT147" s="1690"/>
    </row>
    <row r="148">
      <c r="A148" s="1419"/>
      <c r="B148" s="1684"/>
      <c r="C148" s="1685"/>
      <c r="D148" s="1685"/>
      <c r="E148" s="1691"/>
      <c r="F148" s="1691"/>
      <c r="G148" s="1691"/>
      <c r="H148" s="1691"/>
      <c r="I148" s="1691"/>
      <c r="J148" s="1691"/>
      <c r="K148" s="1691"/>
      <c r="L148" s="1691"/>
      <c r="M148" s="1691"/>
      <c r="N148" s="1691"/>
      <c r="O148" s="1691"/>
      <c r="P148" s="1691"/>
      <c r="Q148" s="1691"/>
      <c r="R148" s="1691"/>
      <c r="S148" s="1691"/>
      <c r="T148" s="1691"/>
      <c r="U148" s="1691"/>
      <c r="V148" s="1691"/>
      <c r="W148" s="1691"/>
      <c r="X148" s="1691"/>
      <c r="Y148" s="1691"/>
      <c r="Z148" s="1686"/>
      <c r="AA148" s="1686"/>
      <c r="AB148" s="1686"/>
      <c r="AC148" s="1686"/>
      <c r="AD148" s="1686"/>
      <c r="AE148" s="1686"/>
      <c r="AF148" s="1686"/>
      <c r="AG148" s="1686"/>
      <c r="AH148" s="1686"/>
      <c r="AI148" s="1686"/>
      <c r="AJ148" s="1686"/>
      <c r="AK148" s="1686"/>
      <c r="AL148" s="1686"/>
      <c r="AM148" s="1686"/>
      <c r="AN148" s="1686"/>
      <c r="AO148" s="1686"/>
      <c r="AP148" s="1686"/>
      <c r="AQ148" s="1686"/>
      <c r="AR148" s="1686"/>
      <c r="AS148" s="1686"/>
      <c r="AT148" s="1686"/>
    </row>
    <row r="149">
      <c r="A149" s="1419"/>
      <c r="B149" s="1687"/>
      <c r="C149" s="1688"/>
      <c r="D149" s="1688"/>
      <c r="E149" s="1689"/>
      <c r="F149" s="1689"/>
      <c r="G149" s="1689"/>
      <c r="H149" s="1689"/>
      <c r="I149" s="1689"/>
      <c r="J149" s="1689"/>
      <c r="K149" s="1689"/>
      <c r="L149" s="1689"/>
      <c r="M149" s="1689"/>
      <c r="N149" s="1689"/>
      <c r="O149" s="1689"/>
      <c r="P149" s="1689"/>
      <c r="Q149" s="1689"/>
      <c r="R149" s="1689"/>
      <c r="S149" s="1689"/>
      <c r="T149" s="1689"/>
      <c r="U149" s="1689"/>
      <c r="V149" s="1689"/>
      <c r="W149" s="1689"/>
      <c r="X149" s="1689"/>
      <c r="Y149" s="1689"/>
      <c r="Z149" s="1690"/>
      <c r="AA149" s="1690"/>
      <c r="AB149" s="1690"/>
      <c r="AC149" s="1690"/>
      <c r="AD149" s="1690"/>
      <c r="AE149" s="1690"/>
      <c r="AF149" s="1690"/>
      <c r="AG149" s="1690"/>
      <c r="AH149" s="1690"/>
      <c r="AI149" s="1690"/>
      <c r="AJ149" s="1690"/>
      <c r="AK149" s="1690"/>
      <c r="AL149" s="1690"/>
      <c r="AM149" s="1690"/>
      <c r="AN149" s="1690"/>
      <c r="AO149" s="1690"/>
      <c r="AP149" s="1690"/>
      <c r="AQ149" s="1690"/>
      <c r="AR149" s="1690"/>
      <c r="AS149" s="1690"/>
      <c r="AT149" s="1690"/>
    </row>
    <row r="150">
      <c r="A150" s="1419"/>
      <c r="B150" s="1684"/>
      <c r="C150" s="1685"/>
      <c r="D150" s="1685"/>
      <c r="E150" s="1691"/>
      <c r="F150" s="1691"/>
      <c r="G150" s="1691"/>
      <c r="H150" s="1691"/>
      <c r="I150" s="1691"/>
      <c r="J150" s="1691"/>
      <c r="K150" s="1691"/>
      <c r="L150" s="1691"/>
      <c r="M150" s="1691"/>
      <c r="N150" s="1691"/>
      <c r="O150" s="1691"/>
      <c r="P150" s="1691"/>
      <c r="Q150" s="1691"/>
      <c r="R150" s="1691"/>
      <c r="S150" s="1691"/>
      <c r="T150" s="1691"/>
      <c r="U150" s="1691"/>
      <c r="V150" s="1691"/>
      <c r="W150" s="1691"/>
      <c r="X150" s="1691"/>
      <c r="Y150" s="1691"/>
      <c r="Z150" s="1686"/>
      <c r="AA150" s="1686"/>
      <c r="AB150" s="1686"/>
      <c r="AC150" s="1686"/>
      <c r="AD150" s="1686"/>
      <c r="AE150" s="1686"/>
      <c r="AF150" s="1686"/>
      <c r="AG150" s="1686"/>
      <c r="AH150" s="1686"/>
      <c r="AI150" s="1686"/>
      <c r="AJ150" s="1686"/>
      <c r="AK150" s="1686"/>
      <c r="AL150" s="1686"/>
      <c r="AM150" s="1686"/>
      <c r="AN150" s="1686"/>
      <c r="AO150" s="1686"/>
      <c r="AP150" s="1686"/>
      <c r="AQ150" s="1686"/>
      <c r="AR150" s="1686"/>
      <c r="AS150" s="1686"/>
      <c r="AT150" s="1686"/>
    </row>
    <row r="151">
      <c r="A151" s="1419"/>
      <c r="B151" s="1687"/>
      <c r="C151" s="1688"/>
      <c r="D151" s="1688"/>
      <c r="E151" s="1689"/>
      <c r="F151" s="1689"/>
      <c r="G151" s="1689"/>
      <c r="H151" s="1689"/>
      <c r="I151" s="1689"/>
      <c r="J151" s="1689"/>
      <c r="K151" s="1689"/>
      <c r="L151" s="1689"/>
      <c r="M151" s="1689"/>
      <c r="N151" s="1689"/>
      <c r="O151" s="1689"/>
      <c r="P151" s="1689"/>
      <c r="Q151" s="1689"/>
      <c r="R151" s="1689"/>
      <c r="S151" s="1689"/>
      <c r="T151" s="1689"/>
      <c r="U151" s="1689"/>
      <c r="V151" s="1689"/>
      <c r="W151" s="1689"/>
      <c r="X151" s="1689"/>
      <c r="Y151" s="1689"/>
      <c r="Z151" s="1690"/>
      <c r="AA151" s="1690"/>
      <c r="AB151" s="1690"/>
      <c r="AC151" s="1690"/>
      <c r="AD151" s="1690"/>
      <c r="AE151" s="1690"/>
      <c r="AF151" s="1690"/>
      <c r="AG151" s="1690"/>
      <c r="AH151" s="1690"/>
      <c r="AI151" s="1690"/>
      <c r="AJ151" s="1690"/>
      <c r="AK151" s="1690"/>
      <c r="AL151" s="1690"/>
      <c r="AM151" s="1690"/>
      <c r="AN151" s="1690"/>
      <c r="AO151" s="1690"/>
      <c r="AP151" s="1690"/>
      <c r="AQ151" s="1690"/>
      <c r="AR151" s="1690"/>
      <c r="AS151" s="1690"/>
      <c r="AT151" s="1690"/>
    </row>
    <row r="152">
      <c r="A152" s="1419"/>
      <c r="B152" s="1684"/>
      <c r="C152" s="1685"/>
      <c r="D152" s="1685"/>
      <c r="E152" s="1691"/>
      <c r="F152" s="1691"/>
      <c r="G152" s="1691"/>
      <c r="H152" s="1691"/>
      <c r="I152" s="1691"/>
      <c r="J152" s="1691"/>
      <c r="K152" s="1691"/>
      <c r="L152" s="1691"/>
      <c r="M152" s="1691"/>
      <c r="N152" s="1691"/>
      <c r="O152" s="1691"/>
      <c r="P152" s="1691"/>
      <c r="Q152" s="1691"/>
      <c r="R152" s="1691"/>
      <c r="S152" s="1691"/>
      <c r="T152" s="1691"/>
      <c r="U152" s="1691"/>
      <c r="V152" s="1691"/>
      <c r="W152" s="1691"/>
      <c r="X152" s="1691"/>
      <c r="Y152" s="1691"/>
      <c r="Z152" s="1686"/>
      <c r="AA152" s="1686"/>
      <c r="AB152" s="1686"/>
      <c r="AC152" s="1686"/>
      <c r="AD152" s="1686"/>
      <c r="AE152" s="1686"/>
      <c r="AF152" s="1686"/>
      <c r="AG152" s="1686"/>
      <c r="AH152" s="1686"/>
      <c r="AI152" s="1686"/>
      <c r="AJ152" s="1686"/>
      <c r="AK152" s="1686"/>
      <c r="AL152" s="1686"/>
      <c r="AM152" s="1686"/>
      <c r="AN152" s="1686"/>
      <c r="AO152" s="1686"/>
      <c r="AP152" s="1686"/>
      <c r="AQ152" s="1686"/>
      <c r="AR152" s="1686"/>
      <c r="AS152" s="1686"/>
      <c r="AT152" s="1686"/>
    </row>
    <row r="153">
      <c r="A153" s="1419"/>
      <c r="B153" s="1687"/>
      <c r="C153" s="1688"/>
      <c r="D153" s="1688"/>
      <c r="E153" s="1689"/>
      <c r="F153" s="1689"/>
      <c r="G153" s="1689"/>
      <c r="H153" s="1689"/>
      <c r="I153" s="1689"/>
      <c r="J153" s="1689"/>
      <c r="K153" s="1689"/>
      <c r="L153" s="1689"/>
      <c r="M153" s="1689"/>
      <c r="N153" s="1689"/>
      <c r="O153" s="1689"/>
      <c r="P153" s="1689"/>
      <c r="Q153" s="1689"/>
      <c r="R153" s="1689"/>
      <c r="S153" s="1689"/>
      <c r="T153" s="1689"/>
      <c r="U153" s="1689"/>
      <c r="V153" s="1689"/>
      <c r="W153" s="1689"/>
      <c r="X153" s="1689"/>
      <c r="Y153" s="1689"/>
      <c r="Z153" s="1690"/>
      <c r="AA153" s="1690"/>
      <c r="AB153" s="1690"/>
      <c r="AC153" s="1690"/>
      <c r="AD153" s="1690"/>
      <c r="AE153" s="1690"/>
      <c r="AF153" s="1690"/>
      <c r="AG153" s="1690"/>
      <c r="AH153" s="1690"/>
      <c r="AI153" s="1690"/>
      <c r="AJ153" s="1690"/>
      <c r="AK153" s="1690"/>
      <c r="AL153" s="1690"/>
      <c r="AM153" s="1690"/>
      <c r="AN153" s="1690"/>
      <c r="AO153" s="1690"/>
      <c r="AP153" s="1690"/>
      <c r="AQ153" s="1690"/>
      <c r="AR153" s="1690"/>
      <c r="AS153" s="1690"/>
      <c r="AT153" s="1690"/>
    </row>
    <row r="154">
      <c r="A154" s="1419"/>
      <c r="B154" s="1684"/>
      <c r="C154" s="1685"/>
      <c r="D154" s="1685"/>
      <c r="E154" s="1686"/>
      <c r="F154" s="1686"/>
      <c r="G154" s="1686"/>
      <c r="H154" s="1686"/>
      <c r="I154" s="1686"/>
      <c r="J154" s="1686"/>
      <c r="K154" s="1686"/>
      <c r="L154" s="1686"/>
      <c r="M154" s="1686"/>
      <c r="N154" s="1686"/>
      <c r="O154" s="1686"/>
      <c r="P154" s="1686"/>
      <c r="Q154" s="1686"/>
      <c r="R154" s="1686"/>
      <c r="S154" s="1686"/>
      <c r="T154" s="1686"/>
      <c r="U154" s="1686"/>
      <c r="V154" s="1686"/>
      <c r="W154" s="1686"/>
      <c r="X154" s="1686"/>
      <c r="Y154" s="1686"/>
      <c r="Z154" s="1686"/>
      <c r="AA154" s="1686"/>
      <c r="AB154" s="1686"/>
      <c r="AC154" s="1686"/>
      <c r="AD154" s="1686"/>
      <c r="AE154" s="1686"/>
      <c r="AF154" s="1686"/>
      <c r="AG154" s="1686"/>
      <c r="AH154" s="1686"/>
      <c r="AI154" s="1686"/>
      <c r="AJ154" s="1686"/>
      <c r="AK154" s="1686"/>
      <c r="AL154" s="1686"/>
      <c r="AM154" s="1686"/>
      <c r="AN154" s="1686"/>
      <c r="AO154" s="1686"/>
      <c r="AP154" s="1686"/>
      <c r="AQ154" s="1686"/>
      <c r="AR154" s="1686"/>
      <c r="AS154" s="1686"/>
      <c r="AT154" s="1686"/>
    </row>
    <row r="155">
      <c r="A155" s="1419"/>
      <c r="B155" s="1687"/>
      <c r="C155" s="1688"/>
      <c r="D155" s="1688"/>
      <c r="E155" s="1690"/>
      <c r="F155" s="1690"/>
      <c r="G155" s="1690"/>
      <c r="H155" s="1690"/>
      <c r="I155" s="1690"/>
      <c r="J155" s="1690"/>
      <c r="K155" s="1690"/>
      <c r="L155" s="1690"/>
      <c r="M155" s="1690"/>
      <c r="N155" s="1690"/>
      <c r="O155" s="1690"/>
      <c r="P155" s="1690"/>
      <c r="Q155" s="1690"/>
      <c r="R155" s="1690"/>
      <c r="S155" s="1690"/>
      <c r="T155" s="1690"/>
      <c r="U155" s="1690"/>
      <c r="V155" s="1690"/>
      <c r="W155" s="1690"/>
      <c r="X155" s="1690"/>
      <c r="Y155" s="1690"/>
      <c r="Z155" s="1690"/>
      <c r="AA155" s="1690"/>
      <c r="AB155" s="1690"/>
      <c r="AC155" s="1690"/>
      <c r="AD155" s="1690"/>
      <c r="AE155" s="1690"/>
      <c r="AF155" s="1690"/>
      <c r="AG155" s="1690"/>
      <c r="AH155" s="1690"/>
      <c r="AI155" s="1690"/>
      <c r="AJ155" s="1690"/>
      <c r="AK155" s="1690"/>
      <c r="AL155" s="1690"/>
      <c r="AM155" s="1690"/>
      <c r="AN155" s="1690"/>
      <c r="AO155" s="1690"/>
      <c r="AP155" s="1690"/>
      <c r="AQ155" s="1690"/>
      <c r="AR155" s="1690"/>
      <c r="AS155" s="1690"/>
      <c r="AT155" s="1690"/>
    </row>
    <row r="156">
      <c r="A156" s="1440" t="s">
        <v>2461</v>
      </c>
      <c r="B156" s="1684"/>
      <c r="C156" s="1685"/>
      <c r="D156" s="1685"/>
      <c r="E156" s="1686"/>
      <c r="F156" s="1686"/>
      <c r="G156" s="1686"/>
      <c r="H156" s="1686"/>
      <c r="I156" s="1686"/>
      <c r="J156" s="1686"/>
      <c r="K156" s="1686"/>
      <c r="L156" s="1686"/>
      <c r="M156" s="1686"/>
      <c r="N156" s="1686"/>
      <c r="O156" s="1686"/>
      <c r="P156" s="1686"/>
      <c r="Q156" s="1686"/>
      <c r="R156" s="1686"/>
      <c r="S156" s="1686"/>
      <c r="T156" s="1686"/>
      <c r="U156" s="1686"/>
      <c r="V156" s="1686"/>
      <c r="W156" s="1686"/>
      <c r="X156" s="1686"/>
      <c r="Y156" s="1686"/>
      <c r="Z156" s="1686"/>
      <c r="AA156" s="1686"/>
      <c r="AB156" s="1686"/>
      <c r="AC156" s="1686"/>
      <c r="AD156" s="1686"/>
      <c r="AE156" s="1686"/>
      <c r="AF156" s="1686"/>
      <c r="AG156" s="1686"/>
      <c r="AH156" s="1686"/>
      <c r="AI156" s="1686"/>
      <c r="AJ156" s="1686"/>
      <c r="AK156" s="1686"/>
      <c r="AL156" s="1686"/>
      <c r="AM156" s="1686"/>
      <c r="AN156" s="1686"/>
      <c r="AO156" s="1686"/>
      <c r="AP156" s="1686"/>
      <c r="AQ156" s="1686"/>
      <c r="AR156" s="1686"/>
      <c r="AS156" s="1686"/>
      <c r="AT156" s="1686"/>
    </row>
    <row r="157">
      <c r="A157" s="1419"/>
      <c r="B157" s="1687"/>
      <c r="C157" s="1688"/>
      <c r="D157" s="1688"/>
      <c r="E157" s="1690"/>
      <c r="F157" s="1690"/>
      <c r="G157" s="1690"/>
      <c r="H157" s="1690"/>
      <c r="I157" s="1690"/>
      <c r="J157" s="1690"/>
      <c r="K157" s="1690"/>
      <c r="L157" s="1690"/>
      <c r="M157" s="1690"/>
      <c r="N157" s="1690"/>
      <c r="O157" s="1690"/>
      <c r="P157" s="1690"/>
      <c r="Q157" s="1690"/>
      <c r="R157" s="1690"/>
      <c r="S157" s="1690"/>
      <c r="T157" s="1690"/>
      <c r="U157" s="1690"/>
      <c r="V157" s="1690"/>
      <c r="W157" s="1690"/>
      <c r="X157" s="1690"/>
      <c r="Y157" s="1690"/>
      <c r="Z157" s="1690"/>
      <c r="AA157" s="1690"/>
      <c r="AB157" s="1690"/>
      <c r="AC157" s="1690"/>
      <c r="AD157" s="1690"/>
      <c r="AE157" s="1690"/>
      <c r="AF157" s="1690"/>
      <c r="AG157" s="1690"/>
      <c r="AH157" s="1690"/>
      <c r="AI157" s="1690"/>
      <c r="AJ157" s="1690"/>
      <c r="AK157" s="1690"/>
      <c r="AL157" s="1690"/>
      <c r="AM157" s="1690"/>
      <c r="AN157" s="1690"/>
      <c r="AO157" s="1690"/>
      <c r="AP157" s="1690"/>
      <c r="AQ157" s="1690"/>
      <c r="AR157" s="1690"/>
      <c r="AS157" s="1690"/>
      <c r="AT157" s="1690"/>
    </row>
    <row r="158">
      <c r="A158" s="1419"/>
      <c r="B158" s="1684"/>
      <c r="C158" s="1685"/>
      <c r="D158" s="1685"/>
      <c r="E158" s="1691"/>
      <c r="F158" s="1691"/>
      <c r="G158" s="1691"/>
      <c r="H158" s="1691"/>
      <c r="I158" s="1691"/>
      <c r="J158" s="1691"/>
      <c r="K158" s="1691"/>
      <c r="L158" s="1691"/>
      <c r="M158" s="1691"/>
      <c r="N158" s="1691"/>
      <c r="O158" s="1691"/>
      <c r="P158" s="1691"/>
      <c r="Q158" s="1691"/>
      <c r="R158" s="1691"/>
      <c r="S158" s="1691"/>
      <c r="T158" s="1691"/>
      <c r="U158" s="1691"/>
      <c r="V158" s="1691"/>
      <c r="W158" s="1691"/>
      <c r="X158" s="1691"/>
      <c r="Y158" s="1691"/>
      <c r="Z158" s="1686"/>
      <c r="AA158" s="1686"/>
      <c r="AB158" s="1686"/>
      <c r="AC158" s="1686"/>
      <c r="AD158" s="1686"/>
      <c r="AE158" s="1686"/>
      <c r="AF158" s="1686"/>
      <c r="AG158" s="1686"/>
      <c r="AH158" s="1686"/>
      <c r="AI158" s="1686"/>
      <c r="AJ158" s="1686"/>
      <c r="AK158" s="1686"/>
      <c r="AL158" s="1686"/>
      <c r="AM158" s="1686"/>
      <c r="AN158" s="1686"/>
      <c r="AO158" s="1686"/>
      <c r="AP158" s="1686"/>
      <c r="AQ158" s="1686"/>
      <c r="AR158" s="1686"/>
      <c r="AS158" s="1686"/>
      <c r="AT158" s="1686"/>
    </row>
    <row r="159">
      <c r="A159" s="1419"/>
      <c r="B159" s="1687"/>
      <c r="C159" s="1688"/>
      <c r="D159" s="1688"/>
      <c r="E159" s="1689"/>
      <c r="F159" s="1689"/>
      <c r="G159" s="1689"/>
      <c r="H159" s="1689"/>
      <c r="I159" s="1689"/>
      <c r="J159" s="1689"/>
      <c r="K159" s="1689"/>
      <c r="L159" s="1689"/>
      <c r="M159" s="1689"/>
      <c r="N159" s="1689"/>
      <c r="O159" s="1689"/>
      <c r="P159" s="1689"/>
      <c r="Q159" s="1689"/>
      <c r="R159" s="1689"/>
      <c r="S159" s="1689"/>
      <c r="T159" s="1689"/>
      <c r="U159" s="1689"/>
      <c r="V159" s="1689"/>
      <c r="W159" s="1689"/>
      <c r="X159" s="1689"/>
      <c r="Y159" s="1689"/>
      <c r="Z159" s="1690"/>
      <c r="AA159" s="1690"/>
      <c r="AB159" s="1690"/>
      <c r="AC159" s="1690"/>
      <c r="AD159" s="1690"/>
      <c r="AE159" s="1690"/>
      <c r="AF159" s="1690"/>
      <c r="AG159" s="1690"/>
      <c r="AH159" s="1690"/>
      <c r="AI159" s="1690"/>
      <c r="AJ159" s="1690"/>
      <c r="AK159" s="1690"/>
      <c r="AL159" s="1690"/>
      <c r="AM159" s="1690"/>
      <c r="AN159" s="1690"/>
      <c r="AO159" s="1690"/>
      <c r="AP159" s="1690"/>
      <c r="AQ159" s="1690"/>
      <c r="AR159" s="1690"/>
      <c r="AS159" s="1690"/>
      <c r="AT159" s="1690"/>
    </row>
    <row r="160">
      <c r="A160" s="1419"/>
      <c r="B160" s="1684"/>
      <c r="C160" s="1685"/>
      <c r="D160" s="1685"/>
      <c r="E160" s="1686"/>
      <c r="F160" s="1686"/>
      <c r="G160" s="1686"/>
      <c r="H160" s="1686"/>
      <c r="I160" s="1686"/>
      <c r="J160" s="1686"/>
      <c r="K160" s="1686"/>
      <c r="L160" s="1686"/>
      <c r="M160" s="1686"/>
      <c r="N160" s="1686"/>
      <c r="O160" s="1686"/>
      <c r="P160" s="1686"/>
      <c r="Q160" s="1686"/>
      <c r="R160" s="1686"/>
      <c r="S160" s="1686"/>
      <c r="T160" s="1686"/>
      <c r="U160" s="1686"/>
      <c r="V160" s="1686"/>
      <c r="W160" s="1686"/>
      <c r="X160" s="1686"/>
      <c r="Y160" s="1686"/>
      <c r="Z160" s="1686"/>
      <c r="AA160" s="1686"/>
      <c r="AB160" s="1686"/>
      <c r="AC160" s="1686"/>
      <c r="AD160" s="1686"/>
      <c r="AE160" s="1686"/>
      <c r="AF160" s="1686"/>
      <c r="AG160" s="1686"/>
      <c r="AH160" s="1686"/>
      <c r="AI160" s="1686"/>
      <c r="AJ160" s="1686"/>
      <c r="AK160" s="1686"/>
      <c r="AL160" s="1686"/>
      <c r="AM160" s="1686"/>
      <c r="AN160" s="1686"/>
      <c r="AO160" s="1686"/>
      <c r="AP160" s="1686"/>
      <c r="AQ160" s="1686"/>
      <c r="AR160" s="1686"/>
      <c r="AS160" s="1686"/>
      <c r="AT160" s="1686"/>
    </row>
    <row r="161">
      <c r="A161" s="1419"/>
      <c r="B161" s="1687"/>
      <c r="C161" s="1688"/>
      <c r="D161" s="1688"/>
      <c r="E161" s="1689"/>
      <c r="F161" s="1689"/>
      <c r="G161" s="1689"/>
      <c r="H161" s="1689"/>
      <c r="I161" s="1689"/>
      <c r="J161" s="1689"/>
      <c r="K161" s="1689"/>
      <c r="L161" s="1689"/>
      <c r="M161" s="1689"/>
      <c r="N161" s="1689"/>
      <c r="O161" s="1689"/>
      <c r="P161" s="1689"/>
      <c r="Q161" s="1689"/>
      <c r="R161" s="1689"/>
      <c r="S161" s="1689"/>
      <c r="T161" s="1689"/>
      <c r="U161" s="1689"/>
      <c r="V161" s="1689"/>
      <c r="W161" s="1689"/>
      <c r="X161" s="1689"/>
      <c r="Y161" s="1689"/>
      <c r="Z161" s="1690"/>
      <c r="AA161" s="1690"/>
      <c r="AB161" s="1690"/>
      <c r="AC161" s="1690"/>
      <c r="AD161" s="1690"/>
      <c r="AE161" s="1690"/>
      <c r="AF161" s="1690"/>
      <c r="AG161" s="1690"/>
      <c r="AH161" s="1690"/>
      <c r="AI161" s="1690"/>
      <c r="AJ161" s="1690"/>
      <c r="AK161" s="1690"/>
      <c r="AL161" s="1690"/>
      <c r="AM161" s="1690"/>
      <c r="AN161" s="1690"/>
      <c r="AO161" s="1690"/>
      <c r="AP161" s="1690"/>
      <c r="AQ161" s="1690"/>
      <c r="AR161" s="1690"/>
      <c r="AS161" s="1690"/>
      <c r="AT161" s="1690"/>
    </row>
    <row r="162">
      <c r="A162" s="1419"/>
      <c r="B162" s="1684"/>
      <c r="C162" s="1685"/>
      <c r="D162" s="1685"/>
      <c r="E162" s="1691"/>
      <c r="F162" s="1691"/>
      <c r="G162" s="1691"/>
      <c r="H162" s="1691"/>
      <c r="I162" s="1691"/>
      <c r="J162" s="1691"/>
      <c r="K162" s="1691"/>
      <c r="L162" s="1691"/>
      <c r="M162" s="1691"/>
      <c r="N162" s="1691"/>
      <c r="O162" s="1691"/>
      <c r="P162" s="1691"/>
      <c r="Q162" s="1691"/>
      <c r="R162" s="1691"/>
      <c r="S162" s="1691"/>
      <c r="T162" s="1691"/>
      <c r="U162" s="1691"/>
      <c r="V162" s="1691"/>
      <c r="W162" s="1691"/>
      <c r="X162" s="1691"/>
      <c r="Y162" s="1691"/>
      <c r="Z162" s="1686"/>
      <c r="AA162" s="1686"/>
      <c r="AB162" s="1686"/>
      <c r="AC162" s="1686"/>
      <c r="AD162" s="1686"/>
      <c r="AE162" s="1686"/>
      <c r="AF162" s="1686"/>
      <c r="AG162" s="1686"/>
      <c r="AH162" s="1686"/>
      <c r="AI162" s="1686"/>
      <c r="AJ162" s="1686"/>
      <c r="AK162" s="1686"/>
      <c r="AL162" s="1686"/>
      <c r="AM162" s="1686"/>
      <c r="AN162" s="1686"/>
      <c r="AO162" s="1686"/>
      <c r="AP162" s="1686"/>
      <c r="AQ162" s="1686"/>
      <c r="AR162" s="1686"/>
      <c r="AS162" s="1686"/>
      <c r="AT162" s="1686"/>
    </row>
    <row r="163">
      <c r="A163" s="1419"/>
      <c r="B163" s="1687"/>
      <c r="C163" s="1688"/>
      <c r="D163" s="1688"/>
      <c r="E163" s="1690"/>
      <c r="F163" s="1690"/>
      <c r="G163" s="1690"/>
      <c r="H163" s="1690"/>
      <c r="I163" s="1690"/>
      <c r="J163" s="1690"/>
      <c r="K163" s="1690"/>
      <c r="L163" s="1690"/>
      <c r="M163" s="1690"/>
      <c r="N163" s="1690"/>
      <c r="O163" s="1690"/>
      <c r="P163" s="1690"/>
      <c r="Q163" s="1690"/>
      <c r="R163" s="1690"/>
      <c r="S163" s="1690"/>
      <c r="T163" s="1690"/>
      <c r="U163" s="1690"/>
      <c r="V163" s="1690"/>
      <c r="W163" s="1690"/>
      <c r="X163" s="1690"/>
      <c r="Y163" s="1690"/>
      <c r="Z163" s="1690"/>
      <c r="AA163" s="1690"/>
      <c r="AB163" s="1690"/>
      <c r="AC163" s="1690"/>
      <c r="AD163" s="1690"/>
      <c r="AE163" s="1690"/>
      <c r="AF163" s="1690"/>
      <c r="AG163" s="1690"/>
      <c r="AH163" s="1690"/>
      <c r="AI163" s="1690"/>
      <c r="AJ163" s="1690"/>
      <c r="AK163" s="1690"/>
      <c r="AL163" s="1690"/>
      <c r="AM163" s="1690"/>
      <c r="AN163" s="1690"/>
      <c r="AO163" s="1690"/>
      <c r="AP163" s="1690"/>
      <c r="AQ163" s="1690"/>
      <c r="AR163" s="1690"/>
      <c r="AS163" s="1690"/>
      <c r="AT163" s="1690"/>
    </row>
    <row r="164">
      <c r="A164" s="1419"/>
      <c r="B164" s="1684"/>
      <c r="C164" s="1685"/>
      <c r="D164" s="1685"/>
      <c r="E164" s="1691"/>
      <c r="F164" s="1691"/>
      <c r="G164" s="1691"/>
      <c r="H164" s="1691"/>
      <c r="I164" s="1691"/>
      <c r="J164" s="1691"/>
      <c r="K164" s="1691"/>
      <c r="L164" s="1691"/>
      <c r="M164" s="1691"/>
      <c r="N164" s="1691"/>
      <c r="O164" s="1691"/>
      <c r="P164" s="1691"/>
      <c r="Q164" s="1691"/>
      <c r="R164" s="1691"/>
      <c r="S164" s="1691"/>
      <c r="T164" s="1691"/>
      <c r="U164" s="1691"/>
      <c r="V164" s="1691"/>
      <c r="W164" s="1691"/>
      <c r="X164" s="1691"/>
      <c r="Y164" s="1691"/>
      <c r="Z164" s="1686"/>
      <c r="AA164" s="1686"/>
      <c r="AB164" s="1686"/>
      <c r="AC164" s="1686"/>
      <c r="AD164" s="1686"/>
      <c r="AE164" s="1686"/>
      <c r="AF164" s="1686"/>
      <c r="AG164" s="1686"/>
      <c r="AH164" s="1686"/>
      <c r="AI164" s="1686"/>
      <c r="AJ164" s="1686"/>
      <c r="AK164" s="1686"/>
      <c r="AL164" s="1686"/>
      <c r="AM164" s="1686"/>
      <c r="AN164" s="1686"/>
      <c r="AO164" s="1686"/>
      <c r="AP164" s="1686"/>
      <c r="AQ164" s="1686"/>
      <c r="AR164" s="1686"/>
      <c r="AS164" s="1686"/>
      <c r="AT164" s="1686"/>
    </row>
    <row r="165">
      <c r="A165" s="1419"/>
      <c r="B165" s="1687"/>
      <c r="C165" s="1688"/>
      <c r="D165" s="1688"/>
      <c r="E165" s="1690"/>
      <c r="F165" s="1690"/>
      <c r="G165" s="1690"/>
      <c r="H165" s="1690"/>
      <c r="I165" s="1690"/>
      <c r="J165" s="1690"/>
      <c r="K165" s="1690"/>
      <c r="L165" s="1690"/>
      <c r="M165" s="1690"/>
      <c r="N165" s="1690"/>
      <c r="O165" s="1690"/>
      <c r="P165" s="1690"/>
      <c r="Q165" s="1690"/>
      <c r="R165" s="1690"/>
      <c r="S165" s="1690"/>
      <c r="T165" s="1690"/>
      <c r="U165" s="1690"/>
      <c r="V165" s="1690"/>
      <c r="W165" s="1690"/>
      <c r="X165" s="1690"/>
      <c r="Y165" s="1690"/>
      <c r="Z165" s="1690"/>
      <c r="AA165" s="1690"/>
      <c r="AB165" s="1690"/>
      <c r="AC165" s="1690"/>
      <c r="AD165" s="1690"/>
      <c r="AE165" s="1690"/>
      <c r="AF165" s="1690"/>
      <c r="AG165" s="1690"/>
      <c r="AH165" s="1690"/>
      <c r="AI165" s="1690"/>
      <c r="AJ165" s="1690"/>
      <c r="AK165" s="1690"/>
      <c r="AL165" s="1690"/>
      <c r="AM165" s="1690"/>
      <c r="AN165" s="1690"/>
      <c r="AO165" s="1690"/>
      <c r="AP165" s="1690"/>
      <c r="AQ165" s="1690"/>
      <c r="AR165" s="1690"/>
      <c r="AS165" s="1690"/>
      <c r="AT165" s="1690"/>
    </row>
    <row r="166">
      <c r="A166" s="1419"/>
      <c r="B166" s="1684"/>
      <c r="C166" s="1685"/>
      <c r="D166" s="1685"/>
      <c r="E166" s="1691"/>
      <c r="F166" s="1691"/>
      <c r="G166" s="1691"/>
      <c r="H166" s="1691"/>
      <c r="I166" s="1691"/>
      <c r="J166" s="1691"/>
      <c r="K166" s="1691"/>
      <c r="L166" s="1691"/>
      <c r="M166" s="1691"/>
      <c r="N166" s="1691"/>
      <c r="O166" s="1691"/>
      <c r="P166" s="1691"/>
      <c r="Q166" s="1691"/>
      <c r="R166" s="1691"/>
      <c r="S166" s="1691"/>
      <c r="T166" s="1691"/>
      <c r="U166" s="1691"/>
      <c r="V166" s="1691"/>
      <c r="W166" s="1691"/>
      <c r="X166" s="1691"/>
      <c r="Y166" s="1691"/>
      <c r="Z166" s="1686"/>
      <c r="AA166" s="1686"/>
      <c r="AB166" s="1686"/>
      <c r="AC166" s="1686"/>
      <c r="AD166" s="1686"/>
      <c r="AE166" s="1686"/>
      <c r="AF166" s="1686"/>
      <c r="AG166" s="1686"/>
      <c r="AH166" s="1686"/>
      <c r="AI166" s="1686"/>
      <c r="AJ166" s="1686"/>
      <c r="AK166" s="1686"/>
      <c r="AL166" s="1686"/>
      <c r="AM166" s="1686"/>
      <c r="AN166" s="1686"/>
      <c r="AO166" s="1686"/>
      <c r="AP166" s="1686"/>
      <c r="AQ166" s="1686"/>
      <c r="AR166" s="1686"/>
      <c r="AS166" s="1686"/>
      <c r="AT166" s="1686"/>
    </row>
    <row r="167">
      <c r="A167" s="1419"/>
      <c r="B167" s="1687"/>
      <c r="C167" s="1688"/>
      <c r="D167" s="1688"/>
      <c r="E167" s="1689"/>
      <c r="F167" s="1689"/>
      <c r="G167" s="1689"/>
      <c r="H167" s="1689"/>
      <c r="I167" s="1689"/>
      <c r="J167" s="1689"/>
      <c r="K167" s="1689"/>
      <c r="L167" s="1689"/>
      <c r="M167" s="1689"/>
      <c r="N167" s="1689"/>
      <c r="O167" s="1689"/>
      <c r="P167" s="1689"/>
      <c r="Q167" s="1689"/>
      <c r="R167" s="1689"/>
      <c r="S167" s="1689"/>
      <c r="T167" s="1689"/>
      <c r="U167" s="1689"/>
      <c r="V167" s="1689"/>
      <c r="W167" s="1689"/>
      <c r="X167" s="1689"/>
      <c r="Y167" s="1689"/>
      <c r="Z167" s="1690"/>
      <c r="AA167" s="1690"/>
      <c r="AB167" s="1690"/>
      <c r="AC167" s="1690"/>
      <c r="AD167" s="1690"/>
      <c r="AE167" s="1690"/>
      <c r="AF167" s="1690"/>
      <c r="AG167" s="1690"/>
      <c r="AH167" s="1690"/>
      <c r="AI167" s="1690"/>
      <c r="AJ167" s="1690"/>
      <c r="AK167" s="1690"/>
      <c r="AL167" s="1690"/>
      <c r="AM167" s="1690"/>
      <c r="AN167" s="1690"/>
      <c r="AO167" s="1690"/>
      <c r="AP167" s="1690"/>
      <c r="AQ167" s="1690"/>
      <c r="AR167" s="1690"/>
      <c r="AS167" s="1690"/>
      <c r="AT167" s="1690"/>
    </row>
    <row r="168">
      <c r="A168" s="1419"/>
      <c r="B168" s="1684"/>
      <c r="C168" s="1685"/>
      <c r="D168" s="1685"/>
      <c r="E168" s="1691"/>
      <c r="F168" s="1691"/>
      <c r="G168" s="1691"/>
      <c r="H168" s="1691"/>
      <c r="I168" s="1691"/>
      <c r="J168" s="1691"/>
      <c r="K168" s="1691"/>
      <c r="L168" s="1691"/>
      <c r="M168" s="1691"/>
      <c r="N168" s="1691"/>
      <c r="O168" s="1691"/>
      <c r="P168" s="1691"/>
      <c r="Q168" s="1691"/>
      <c r="R168" s="1691"/>
      <c r="S168" s="1691"/>
      <c r="T168" s="1691"/>
      <c r="U168" s="1691"/>
      <c r="V168" s="1691"/>
      <c r="W168" s="1691"/>
      <c r="X168" s="1691"/>
      <c r="Y168" s="1691"/>
      <c r="Z168" s="1686"/>
      <c r="AA168" s="1686"/>
      <c r="AB168" s="1686"/>
      <c r="AC168" s="1686"/>
      <c r="AD168" s="1686"/>
      <c r="AE168" s="1686"/>
      <c r="AF168" s="1686"/>
      <c r="AG168" s="1686"/>
      <c r="AH168" s="1686"/>
      <c r="AI168" s="1686"/>
      <c r="AJ168" s="1686"/>
      <c r="AK168" s="1686"/>
      <c r="AL168" s="1686"/>
      <c r="AM168" s="1686"/>
      <c r="AN168" s="1686"/>
      <c r="AO168" s="1686"/>
      <c r="AP168" s="1686"/>
      <c r="AQ168" s="1686"/>
      <c r="AR168" s="1686"/>
      <c r="AS168" s="1686"/>
      <c r="AT168" s="1686"/>
    </row>
    <row r="169">
      <c r="A169" s="1419"/>
      <c r="B169" s="1687"/>
      <c r="C169" s="1688"/>
      <c r="D169" s="1688"/>
      <c r="E169" s="1690"/>
      <c r="F169" s="1690"/>
      <c r="G169" s="1690"/>
      <c r="H169" s="1690"/>
      <c r="I169" s="1690"/>
      <c r="J169" s="1690"/>
      <c r="K169" s="1690"/>
      <c r="L169" s="1690"/>
      <c r="M169" s="1690"/>
      <c r="N169" s="1690"/>
      <c r="O169" s="1690"/>
      <c r="P169" s="1690"/>
      <c r="Q169" s="1690"/>
      <c r="R169" s="1690"/>
      <c r="S169" s="1690"/>
      <c r="T169" s="1690"/>
      <c r="U169" s="1690"/>
      <c r="V169" s="1690"/>
      <c r="W169" s="1690"/>
      <c r="X169" s="1690"/>
      <c r="Y169" s="1690"/>
      <c r="Z169" s="1690"/>
      <c r="AA169" s="1690"/>
      <c r="AB169" s="1690"/>
      <c r="AC169" s="1690"/>
      <c r="AD169" s="1690"/>
      <c r="AE169" s="1690"/>
      <c r="AF169" s="1690"/>
      <c r="AG169" s="1690"/>
      <c r="AH169" s="1690"/>
      <c r="AI169" s="1690"/>
      <c r="AJ169" s="1690"/>
      <c r="AK169" s="1690"/>
      <c r="AL169" s="1690"/>
      <c r="AM169" s="1690"/>
      <c r="AN169" s="1690"/>
      <c r="AO169" s="1690"/>
      <c r="AP169" s="1690"/>
      <c r="AQ169" s="1690"/>
      <c r="AR169" s="1690"/>
      <c r="AS169" s="1690"/>
      <c r="AT169" s="1690"/>
    </row>
    <row r="170">
      <c r="A170" s="1419"/>
      <c r="B170" s="1684"/>
      <c r="C170" s="1685"/>
      <c r="D170" s="1685"/>
      <c r="E170" s="1686"/>
      <c r="F170" s="1686"/>
      <c r="G170" s="1686"/>
      <c r="H170" s="1686"/>
      <c r="I170" s="1686"/>
      <c r="J170" s="1686"/>
      <c r="K170" s="1686"/>
      <c r="L170" s="1686"/>
      <c r="M170" s="1686"/>
      <c r="N170" s="1686"/>
      <c r="O170" s="1686"/>
      <c r="P170" s="1686"/>
      <c r="Q170" s="1686"/>
      <c r="R170" s="1686"/>
      <c r="S170" s="1686"/>
      <c r="T170" s="1686"/>
      <c r="U170" s="1686"/>
      <c r="V170" s="1686"/>
      <c r="W170" s="1686"/>
      <c r="X170" s="1686"/>
      <c r="Y170" s="1686"/>
      <c r="Z170" s="1686"/>
      <c r="AA170" s="1686"/>
      <c r="AB170" s="1686"/>
      <c r="AC170" s="1686"/>
      <c r="AD170" s="1686"/>
      <c r="AE170" s="1686"/>
      <c r="AF170" s="1686"/>
      <c r="AG170" s="1686"/>
      <c r="AH170" s="1686"/>
      <c r="AI170" s="1686"/>
      <c r="AJ170" s="1686"/>
      <c r="AK170" s="1686"/>
      <c r="AL170" s="1686"/>
      <c r="AM170" s="1686"/>
      <c r="AN170" s="1686"/>
      <c r="AO170" s="1686"/>
      <c r="AP170" s="1686"/>
      <c r="AQ170" s="1686"/>
      <c r="AR170" s="1686"/>
      <c r="AS170" s="1686"/>
      <c r="AT170" s="1686"/>
    </row>
    <row r="171">
      <c r="A171" s="1419"/>
      <c r="B171" s="1687"/>
      <c r="C171" s="1688"/>
      <c r="D171" s="1688"/>
      <c r="E171" s="1689"/>
      <c r="F171" s="1689"/>
      <c r="G171" s="1689"/>
      <c r="H171" s="1689"/>
      <c r="I171" s="1689"/>
      <c r="J171" s="1689"/>
      <c r="K171" s="1689"/>
      <c r="L171" s="1689"/>
      <c r="M171" s="1689"/>
      <c r="N171" s="1689"/>
      <c r="O171" s="1689"/>
      <c r="P171" s="1689"/>
      <c r="Q171" s="1689"/>
      <c r="R171" s="1689"/>
      <c r="S171" s="1689"/>
      <c r="T171" s="1689"/>
      <c r="U171" s="1689"/>
      <c r="V171" s="1689"/>
      <c r="W171" s="1689"/>
      <c r="X171" s="1689"/>
      <c r="Y171" s="1689"/>
      <c r="Z171" s="1690"/>
      <c r="AA171" s="1690"/>
      <c r="AB171" s="1690"/>
      <c r="AC171" s="1690"/>
      <c r="AD171" s="1690"/>
      <c r="AE171" s="1690"/>
      <c r="AF171" s="1690"/>
      <c r="AG171" s="1690"/>
      <c r="AH171" s="1690"/>
      <c r="AI171" s="1690"/>
      <c r="AJ171" s="1690"/>
      <c r="AK171" s="1690"/>
      <c r="AL171" s="1690"/>
      <c r="AM171" s="1690"/>
      <c r="AN171" s="1690"/>
      <c r="AO171" s="1690"/>
      <c r="AP171" s="1690"/>
      <c r="AQ171" s="1690"/>
      <c r="AR171" s="1690"/>
      <c r="AS171" s="1690"/>
      <c r="AT171" s="1690"/>
    </row>
    <row r="172">
      <c r="A172" s="1419"/>
      <c r="B172" s="1684"/>
      <c r="C172" s="1685"/>
      <c r="D172" s="1685"/>
      <c r="E172" s="1686"/>
      <c r="F172" s="1686"/>
      <c r="G172" s="1686"/>
      <c r="H172" s="1686"/>
      <c r="I172" s="1686"/>
      <c r="J172" s="1686"/>
      <c r="K172" s="1686"/>
      <c r="L172" s="1686"/>
      <c r="M172" s="1686"/>
      <c r="N172" s="1686"/>
      <c r="O172" s="1686"/>
      <c r="P172" s="1686"/>
      <c r="Q172" s="1686"/>
      <c r="R172" s="1686"/>
      <c r="S172" s="1686"/>
      <c r="T172" s="1686"/>
      <c r="U172" s="1686"/>
      <c r="V172" s="1686"/>
      <c r="W172" s="1686"/>
      <c r="X172" s="1686"/>
      <c r="Y172" s="1686"/>
      <c r="Z172" s="1686"/>
      <c r="AA172" s="1686"/>
      <c r="AB172" s="1686"/>
      <c r="AC172" s="1686"/>
      <c r="AD172" s="1686"/>
      <c r="AE172" s="1686"/>
      <c r="AF172" s="1686"/>
      <c r="AG172" s="1686"/>
      <c r="AH172" s="1686"/>
      <c r="AI172" s="1686"/>
      <c r="AJ172" s="1686"/>
      <c r="AK172" s="1686"/>
      <c r="AL172" s="1686"/>
      <c r="AM172" s="1686"/>
      <c r="AN172" s="1686"/>
      <c r="AO172" s="1686"/>
      <c r="AP172" s="1686"/>
      <c r="AQ172" s="1686"/>
      <c r="AR172" s="1686"/>
      <c r="AS172" s="1686"/>
      <c r="AT172" s="1686"/>
    </row>
    <row r="173">
      <c r="A173" s="1419"/>
      <c r="B173" s="1687"/>
      <c r="C173" s="1688"/>
      <c r="D173" s="1688"/>
      <c r="E173" s="1689"/>
      <c r="F173" s="1689"/>
      <c r="G173" s="1689"/>
      <c r="H173" s="1689"/>
      <c r="I173" s="1689"/>
      <c r="J173" s="1689"/>
      <c r="K173" s="1689"/>
      <c r="L173" s="1689"/>
      <c r="M173" s="1689"/>
      <c r="N173" s="1689"/>
      <c r="O173" s="1689"/>
      <c r="P173" s="1689"/>
      <c r="Q173" s="1689"/>
      <c r="R173" s="1689"/>
      <c r="S173" s="1689"/>
      <c r="T173" s="1689"/>
      <c r="U173" s="1689"/>
      <c r="V173" s="1689"/>
      <c r="W173" s="1689"/>
      <c r="X173" s="1689"/>
      <c r="Y173" s="1689"/>
      <c r="Z173" s="1690"/>
      <c r="AA173" s="1690"/>
      <c r="AB173" s="1690"/>
      <c r="AC173" s="1690"/>
      <c r="AD173" s="1690"/>
      <c r="AE173" s="1690"/>
      <c r="AF173" s="1690"/>
      <c r="AG173" s="1690"/>
      <c r="AH173" s="1690"/>
      <c r="AI173" s="1690"/>
      <c r="AJ173" s="1690"/>
      <c r="AK173" s="1690"/>
      <c r="AL173" s="1690"/>
      <c r="AM173" s="1690"/>
      <c r="AN173" s="1690"/>
      <c r="AO173" s="1690"/>
      <c r="AP173" s="1690"/>
      <c r="AQ173" s="1690"/>
      <c r="AR173" s="1690"/>
      <c r="AS173" s="1690"/>
      <c r="AT173" s="1690"/>
    </row>
    <row r="174">
      <c r="A174" s="1419"/>
      <c r="B174" s="1684"/>
      <c r="C174" s="1685"/>
      <c r="D174" s="1685"/>
      <c r="E174" s="1691"/>
      <c r="F174" s="1691"/>
      <c r="G174" s="1691"/>
      <c r="H174" s="1691"/>
      <c r="I174" s="1691"/>
      <c r="J174" s="1691"/>
      <c r="K174" s="1691"/>
      <c r="L174" s="1691"/>
      <c r="M174" s="1691"/>
      <c r="N174" s="1691"/>
      <c r="O174" s="1691"/>
      <c r="P174" s="1691"/>
      <c r="Q174" s="1691"/>
      <c r="R174" s="1691"/>
      <c r="S174" s="1691"/>
      <c r="T174" s="1691"/>
      <c r="U174" s="1691"/>
      <c r="V174" s="1691"/>
      <c r="W174" s="1691"/>
      <c r="X174" s="1691"/>
      <c r="Y174" s="1691"/>
      <c r="Z174" s="1686"/>
      <c r="AA174" s="1686"/>
      <c r="AB174" s="1686"/>
      <c r="AC174" s="1686"/>
      <c r="AD174" s="1686"/>
      <c r="AE174" s="1686"/>
      <c r="AF174" s="1686"/>
      <c r="AG174" s="1686"/>
      <c r="AH174" s="1686"/>
      <c r="AI174" s="1686"/>
      <c r="AJ174" s="1686"/>
      <c r="AK174" s="1686"/>
      <c r="AL174" s="1686"/>
      <c r="AM174" s="1686"/>
      <c r="AN174" s="1686"/>
      <c r="AO174" s="1686"/>
      <c r="AP174" s="1686"/>
      <c r="AQ174" s="1686"/>
      <c r="AR174" s="1686"/>
      <c r="AS174" s="1686"/>
      <c r="AT174" s="1686"/>
    </row>
    <row r="175">
      <c r="A175" s="1419"/>
      <c r="B175" s="1687"/>
      <c r="C175" s="1688"/>
      <c r="D175" s="1688"/>
      <c r="E175" s="1689"/>
      <c r="F175" s="1689"/>
      <c r="G175" s="1689"/>
      <c r="H175" s="1689"/>
      <c r="I175" s="1689"/>
      <c r="J175" s="1689"/>
      <c r="K175" s="1689"/>
      <c r="L175" s="1689"/>
      <c r="M175" s="1689"/>
      <c r="N175" s="1689"/>
      <c r="O175" s="1689"/>
      <c r="P175" s="1689"/>
      <c r="Q175" s="1689"/>
      <c r="R175" s="1689"/>
      <c r="S175" s="1689"/>
      <c r="T175" s="1689"/>
      <c r="U175" s="1689"/>
      <c r="V175" s="1689"/>
      <c r="W175" s="1689"/>
      <c r="X175" s="1689"/>
      <c r="Y175" s="1689"/>
      <c r="Z175" s="1690"/>
      <c r="AA175" s="1690"/>
      <c r="AB175" s="1690"/>
      <c r="AC175" s="1690"/>
      <c r="AD175" s="1690"/>
      <c r="AE175" s="1690"/>
      <c r="AF175" s="1690"/>
      <c r="AG175" s="1690"/>
      <c r="AH175" s="1690"/>
      <c r="AI175" s="1690"/>
      <c r="AJ175" s="1690"/>
      <c r="AK175" s="1690"/>
      <c r="AL175" s="1690"/>
      <c r="AM175" s="1690"/>
      <c r="AN175" s="1690"/>
      <c r="AO175" s="1690"/>
      <c r="AP175" s="1690"/>
      <c r="AQ175" s="1690"/>
      <c r="AR175" s="1690"/>
      <c r="AS175" s="1690"/>
      <c r="AT175" s="1690"/>
    </row>
    <row r="176">
      <c r="A176" s="1419"/>
      <c r="B176" s="1684"/>
      <c r="C176" s="1685"/>
      <c r="D176" s="1685"/>
      <c r="E176" s="1691"/>
      <c r="F176" s="1691"/>
      <c r="G176" s="1691"/>
      <c r="H176" s="1691"/>
      <c r="I176" s="1691"/>
      <c r="J176" s="1691"/>
      <c r="K176" s="1691"/>
      <c r="L176" s="1691"/>
      <c r="M176" s="1691"/>
      <c r="N176" s="1691"/>
      <c r="O176" s="1691"/>
      <c r="P176" s="1691"/>
      <c r="Q176" s="1691"/>
      <c r="R176" s="1691"/>
      <c r="S176" s="1691"/>
      <c r="T176" s="1691"/>
      <c r="U176" s="1691"/>
      <c r="V176" s="1691"/>
      <c r="W176" s="1691"/>
      <c r="X176" s="1691"/>
      <c r="Y176" s="1691"/>
      <c r="Z176" s="1686"/>
      <c r="AA176" s="1686"/>
      <c r="AB176" s="1686"/>
      <c r="AC176" s="1686"/>
      <c r="AD176" s="1686"/>
      <c r="AE176" s="1686"/>
      <c r="AF176" s="1686"/>
      <c r="AG176" s="1686"/>
      <c r="AH176" s="1686"/>
      <c r="AI176" s="1686"/>
      <c r="AJ176" s="1686"/>
      <c r="AK176" s="1686"/>
      <c r="AL176" s="1686"/>
      <c r="AM176" s="1686"/>
      <c r="AN176" s="1686"/>
      <c r="AO176" s="1686"/>
      <c r="AP176" s="1686"/>
      <c r="AQ176" s="1686"/>
      <c r="AR176" s="1686"/>
      <c r="AS176" s="1686"/>
      <c r="AT176" s="1686"/>
    </row>
    <row r="177">
      <c r="A177" s="1419"/>
      <c r="B177" s="1687"/>
      <c r="C177" s="1688"/>
      <c r="D177" s="1688"/>
      <c r="E177" s="1689"/>
      <c r="F177" s="1689"/>
      <c r="G177" s="1689"/>
      <c r="H177" s="1689"/>
      <c r="I177" s="1689"/>
      <c r="J177" s="1689"/>
      <c r="K177" s="1689"/>
      <c r="L177" s="1689"/>
      <c r="M177" s="1689"/>
      <c r="N177" s="1689"/>
      <c r="O177" s="1689"/>
      <c r="P177" s="1689"/>
      <c r="Q177" s="1689"/>
      <c r="R177" s="1689"/>
      <c r="S177" s="1689"/>
      <c r="T177" s="1689"/>
      <c r="U177" s="1689"/>
      <c r="V177" s="1689"/>
      <c r="W177" s="1689"/>
      <c r="X177" s="1689"/>
      <c r="Y177" s="1689"/>
      <c r="Z177" s="1690"/>
      <c r="AA177" s="1690"/>
      <c r="AB177" s="1690"/>
      <c r="AC177" s="1690"/>
      <c r="AD177" s="1690"/>
      <c r="AE177" s="1690"/>
      <c r="AF177" s="1690"/>
      <c r="AG177" s="1690"/>
      <c r="AH177" s="1690"/>
      <c r="AI177" s="1690"/>
      <c r="AJ177" s="1690"/>
      <c r="AK177" s="1690"/>
      <c r="AL177" s="1690"/>
      <c r="AM177" s="1690"/>
      <c r="AN177" s="1690"/>
      <c r="AO177" s="1690"/>
      <c r="AP177" s="1690"/>
      <c r="AQ177" s="1690"/>
      <c r="AR177" s="1690"/>
      <c r="AS177" s="1690"/>
      <c r="AT177" s="1690"/>
    </row>
    <row r="178">
      <c r="A178" s="1419"/>
      <c r="B178" s="1684"/>
      <c r="C178" s="1685"/>
      <c r="D178" s="1685"/>
      <c r="E178" s="1686"/>
      <c r="F178" s="1686"/>
      <c r="G178" s="1686"/>
      <c r="H178" s="1686"/>
      <c r="I178" s="1686"/>
      <c r="J178" s="1686"/>
      <c r="K178" s="1686"/>
      <c r="L178" s="1686"/>
      <c r="M178" s="1686"/>
      <c r="N178" s="1686"/>
      <c r="O178" s="1686"/>
      <c r="P178" s="1686"/>
      <c r="Q178" s="1686"/>
      <c r="R178" s="1686"/>
      <c r="S178" s="1686"/>
      <c r="T178" s="1686"/>
      <c r="U178" s="1686"/>
      <c r="V178" s="1686"/>
      <c r="W178" s="1686"/>
      <c r="X178" s="1686"/>
      <c r="Y178" s="1686"/>
      <c r="Z178" s="1686"/>
      <c r="AA178" s="1686"/>
      <c r="AB178" s="1686"/>
      <c r="AC178" s="1686"/>
      <c r="AD178" s="1686"/>
      <c r="AE178" s="1686"/>
      <c r="AF178" s="1686"/>
      <c r="AG178" s="1686"/>
      <c r="AH178" s="1686"/>
      <c r="AI178" s="1686"/>
      <c r="AJ178" s="1686"/>
      <c r="AK178" s="1686"/>
      <c r="AL178" s="1686"/>
      <c r="AM178" s="1686"/>
      <c r="AN178" s="1686"/>
      <c r="AO178" s="1686"/>
      <c r="AP178" s="1686"/>
      <c r="AQ178" s="1686"/>
      <c r="AR178" s="1686"/>
      <c r="AS178" s="1686"/>
      <c r="AT178" s="1686"/>
    </row>
    <row r="179">
      <c r="A179" s="1419"/>
      <c r="B179" s="1687"/>
      <c r="C179" s="1688"/>
      <c r="D179" s="1688"/>
      <c r="E179" s="1689"/>
      <c r="F179" s="1689"/>
      <c r="G179" s="1689"/>
      <c r="H179" s="1689"/>
      <c r="I179" s="1689"/>
      <c r="J179" s="1689"/>
      <c r="K179" s="1689"/>
      <c r="L179" s="1689"/>
      <c r="M179" s="1689"/>
      <c r="N179" s="1689"/>
      <c r="O179" s="1689"/>
      <c r="P179" s="1689"/>
      <c r="Q179" s="1689"/>
      <c r="R179" s="1689"/>
      <c r="S179" s="1689"/>
      <c r="T179" s="1689"/>
      <c r="U179" s="1689"/>
      <c r="V179" s="1689"/>
      <c r="W179" s="1689"/>
      <c r="X179" s="1689"/>
      <c r="Y179" s="1689"/>
      <c r="Z179" s="1690"/>
      <c r="AA179" s="1690"/>
      <c r="AB179" s="1690"/>
      <c r="AC179" s="1690"/>
      <c r="AD179" s="1690"/>
      <c r="AE179" s="1690"/>
      <c r="AF179" s="1690"/>
      <c r="AG179" s="1690"/>
      <c r="AH179" s="1690"/>
      <c r="AI179" s="1690"/>
      <c r="AJ179" s="1690"/>
      <c r="AK179" s="1690"/>
      <c r="AL179" s="1690"/>
      <c r="AM179" s="1690"/>
      <c r="AN179" s="1690"/>
      <c r="AO179" s="1690"/>
      <c r="AP179" s="1690"/>
      <c r="AQ179" s="1690"/>
      <c r="AR179" s="1690"/>
      <c r="AS179" s="1690"/>
      <c r="AT179" s="1690"/>
    </row>
    <row r="180">
      <c r="A180" s="1419"/>
      <c r="B180" s="1684"/>
      <c r="C180" s="1685"/>
      <c r="D180" s="1685"/>
      <c r="E180" s="1691"/>
      <c r="F180" s="1691"/>
      <c r="G180" s="1691"/>
      <c r="H180" s="1691"/>
      <c r="I180" s="1691"/>
      <c r="J180" s="1691"/>
      <c r="K180" s="1691"/>
      <c r="L180" s="1691"/>
      <c r="M180" s="1691"/>
      <c r="N180" s="1691"/>
      <c r="O180" s="1691"/>
      <c r="P180" s="1691"/>
      <c r="Q180" s="1691"/>
      <c r="R180" s="1691"/>
      <c r="S180" s="1691"/>
      <c r="T180" s="1691"/>
      <c r="U180" s="1691"/>
      <c r="V180" s="1691"/>
      <c r="W180" s="1691"/>
      <c r="X180" s="1691"/>
      <c r="Y180" s="1691"/>
      <c r="Z180" s="1686"/>
      <c r="AA180" s="1686"/>
      <c r="AB180" s="1686"/>
      <c r="AC180" s="1686"/>
      <c r="AD180" s="1686"/>
      <c r="AE180" s="1686"/>
      <c r="AF180" s="1686"/>
      <c r="AG180" s="1686"/>
      <c r="AH180" s="1686"/>
      <c r="AI180" s="1686"/>
      <c r="AJ180" s="1686"/>
      <c r="AK180" s="1686"/>
      <c r="AL180" s="1686"/>
      <c r="AM180" s="1686"/>
      <c r="AN180" s="1686"/>
      <c r="AO180" s="1686"/>
      <c r="AP180" s="1686"/>
      <c r="AQ180" s="1686"/>
      <c r="AR180" s="1686"/>
      <c r="AS180" s="1686"/>
      <c r="AT180" s="1686"/>
    </row>
    <row r="181">
      <c r="A181" s="1419"/>
      <c r="B181" s="1687"/>
      <c r="C181" s="1688"/>
      <c r="D181" s="1688"/>
      <c r="E181" s="1689"/>
      <c r="F181" s="1689"/>
      <c r="G181" s="1689"/>
      <c r="H181" s="1689"/>
      <c r="I181" s="1689"/>
      <c r="J181" s="1689"/>
      <c r="K181" s="1689"/>
      <c r="L181" s="1689"/>
      <c r="M181" s="1689"/>
      <c r="N181" s="1689"/>
      <c r="O181" s="1689"/>
      <c r="P181" s="1689"/>
      <c r="Q181" s="1689"/>
      <c r="R181" s="1689"/>
      <c r="S181" s="1689"/>
      <c r="T181" s="1689"/>
      <c r="U181" s="1689"/>
      <c r="V181" s="1689"/>
      <c r="W181" s="1689"/>
      <c r="X181" s="1689"/>
      <c r="Y181" s="1689"/>
      <c r="Z181" s="1690"/>
      <c r="AA181" s="1690"/>
      <c r="AB181" s="1690"/>
      <c r="AC181" s="1690"/>
      <c r="AD181" s="1690"/>
      <c r="AE181" s="1690"/>
      <c r="AF181" s="1690"/>
      <c r="AG181" s="1690"/>
      <c r="AH181" s="1690"/>
      <c r="AI181" s="1690"/>
      <c r="AJ181" s="1690"/>
      <c r="AK181" s="1690"/>
      <c r="AL181" s="1690"/>
      <c r="AM181" s="1690"/>
      <c r="AN181" s="1690"/>
      <c r="AO181" s="1690"/>
      <c r="AP181" s="1690"/>
      <c r="AQ181" s="1690"/>
      <c r="AR181" s="1690"/>
      <c r="AS181" s="1690"/>
      <c r="AT181" s="1690"/>
    </row>
    <row r="182">
      <c r="A182" s="1419"/>
      <c r="B182" s="1684"/>
      <c r="C182" s="1685"/>
      <c r="D182" s="1685"/>
      <c r="E182" s="1686"/>
      <c r="F182" s="1686"/>
      <c r="G182" s="1686"/>
      <c r="H182" s="1686"/>
      <c r="I182" s="1686"/>
      <c r="J182" s="1686"/>
      <c r="K182" s="1686"/>
      <c r="L182" s="1686"/>
      <c r="M182" s="1686"/>
      <c r="N182" s="1686"/>
      <c r="O182" s="1686"/>
      <c r="P182" s="1686"/>
      <c r="Q182" s="1686"/>
      <c r="R182" s="1686"/>
      <c r="S182" s="1686"/>
      <c r="T182" s="1686"/>
      <c r="U182" s="1686"/>
      <c r="V182" s="1686"/>
      <c r="W182" s="1686"/>
      <c r="X182" s="1686"/>
      <c r="Y182" s="1686"/>
      <c r="Z182" s="1686"/>
      <c r="AA182" s="1686"/>
      <c r="AB182" s="1686"/>
      <c r="AC182" s="1686"/>
      <c r="AD182" s="1686"/>
      <c r="AE182" s="1686"/>
      <c r="AF182" s="1686"/>
      <c r="AG182" s="1686"/>
      <c r="AH182" s="1686"/>
      <c r="AI182" s="1686"/>
      <c r="AJ182" s="1686"/>
      <c r="AK182" s="1686"/>
      <c r="AL182" s="1686"/>
      <c r="AM182" s="1686"/>
      <c r="AN182" s="1686"/>
      <c r="AO182" s="1686"/>
      <c r="AP182" s="1686"/>
      <c r="AQ182" s="1686"/>
      <c r="AR182" s="1686"/>
      <c r="AS182" s="1686"/>
      <c r="AT182" s="1686"/>
    </row>
    <row r="183">
      <c r="A183" s="1419"/>
      <c r="B183" s="1687"/>
      <c r="C183" s="1688"/>
      <c r="D183" s="1688"/>
      <c r="E183" s="1690"/>
      <c r="F183" s="1690"/>
      <c r="G183" s="1690"/>
      <c r="H183" s="1690"/>
      <c r="I183" s="1690"/>
      <c r="J183" s="1690"/>
      <c r="K183" s="1690"/>
      <c r="L183" s="1690"/>
      <c r="M183" s="1690"/>
      <c r="N183" s="1690"/>
      <c r="O183" s="1690"/>
      <c r="P183" s="1690"/>
      <c r="Q183" s="1690"/>
      <c r="R183" s="1690"/>
      <c r="S183" s="1690"/>
      <c r="T183" s="1690"/>
      <c r="U183" s="1690"/>
      <c r="V183" s="1690"/>
      <c r="W183" s="1690"/>
      <c r="X183" s="1690"/>
      <c r="Y183" s="1690"/>
      <c r="Z183" s="1690"/>
      <c r="AA183" s="1690"/>
      <c r="AB183" s="1690"/>
      <c r="AC183" s="1690"/>
      <c r="AD183" s="1690"/>
      <c r="AE183" s="1690"/>
      <c r="AF183" s="1690"/>
      <c r="AG183" s="1690"/>
      <c r="AH183" s="1690"/>
      <c r="AI183" s="1690"/>
      <c r="AJ183" s="1690"/>
      <c r="AK183" s="1690"/>
      <c r="AL183" s="1690"/>
      <c r="AM183" s="1690"/>
      <c r="AN183" s="1690"/>
      <c r="AO183" s="1690"/>
      <c r="AP183" s="1690"/>
      <c r="AQ183" s="1690"/>
      <c r="AR183" s="1690"/>
      <c r="AS183" s="1690"/>
      <c r="AT183" s="1690"/>
    </row>
    <row r="184">
      <c r="A184" s="1419"/>
      <c r="B184" s="1684"/>
      <c r="C184" s="1685"/>
      <c r="D184" s="1685"/>
      <c r="E184" s="1691"/>
      <c r="F184" s="1691"/>
      <c r="G184" s="1691"/>
      <c r="H184" s="1691"/>
      <c r="I184" s="1691"/>
      <c r="J184" s="1691"/>
      <c r="K184" s="1691"/>
      <c r="L184" s="1691"/>
      <c r="M184" s="1691"/>
      <c r="N184" s="1691"/>
      <c r="O184" s="1691"/>
      <c r="P184" s="1691"/>
      <c r="Q184" s="1691"/>
      <c r="R184" s="1691"/>
      <c r="S184" s="1691"/>
      <c r="T184" s="1691"/>
      <c r="U184" s="1691"/>
      <c r="V184" s="1691"/>
      <c r="W184" s="1691"/>
      <c r="X184" s="1691"/>
      <c r="Y184" s="1691"/>
      <c r="Z184" s="1686"/>
      <c r="AA184" s="1686"/>
      <c r="AB184" s="1686"/>
      <c r="AC184" s="1686"/>
      <c r="AD184" s="1686"/>
      <c r="AE184" s="1686"/>
      <c r="AF184" s="1686"/>
      <c r="AG184" s="1686"/>
      <c r="AH184" s="1686"/>
      <c r="AI184" s="1686"/>
      <c r="AJ184" s="1686"/>
      <c r="AK184" s="1686"/>
      <c r="AL184" s="1686"/>
      <c r="AM184" s="1686"/>
      <c r="AN184" s="1686"/>
      <c r="AO184" s="1686"/>
      <c r="AP184" s="1686"/>
      <c r="AQ184" s="1686"/>
      <c r="AR184" s="1686"/>
      <c r="AS184" s="1686"/>
      <c r="AT184" s="1686"/>
    </row>
    <row r="185">
      <c r="A185" s="1419"/>
      <c r="B185" s="1687"/>
      <c r="C185" s="1688"/>
      <c r="D185" s="1688"/>
      <c r="E185" s="1690"/>
      <c r="F185" s="1690"/>
      <c r="G185" s="1690"/>
      <c r="H185" s="1690"/>
      <c r="I185" s="1690"/>
      <c r="J185" s="1690"/>
      <c r="K185" s="1690"/>
      <c r="L185" s="1690"/>
      <c r="M185" s="1690"/>
      <c r="N185" s="1690"/>
      <c r="O185" s="1690"/>
      <c r="P185" s="1690"/>
      <c r="Q185" s="1690"/>
      <c r="R185" s="1690"/>
      <c r="S185" s="1690"/>
      <c r="T185" s="1690"/>
      <c r="U185" s="1690"/>
      <c r="V185" s="1690"/>
      <c r="W185" s="1690"/>
      <c r="X185" s="1690"/>
      <c r="Y185" s="1690"/>
      <c r="Z185" s="1690"/>
      <c r="AA185" s="1690"/>
      <c r="AB185" s="1690"/>
      <c r="AC185" s="1690"/>
      <c r="AD185" s="1690"/>
      <c r="AE185" s="1690"/>
      <c r="AF185" s="1690"/>
      <c r="AG185" s="1690"/>
      <c r="AH185" s="1690"/>
      <c r="AI185" s="1690"/>
      <c r="AJ185" s="1690"/>
      <c r="AK185" s="1690"/>
      <c r="AL185" s="1690"/>
      <c r="AM185" s="1690"/>
      <c r="AN185" s="1690"/>
      <c r="AO185" s="1690"/>
      <c r="AP185" s="1690"/>
      <c r="AQ185" s="1690"/>
      <c r="AR185" s="1690"/>
      <c r="AS185" s="1690"/>
      <c r="AT185" s="1690"/>
    </row>
    <row r="186">
      <c r="A186" s="1419"/>
      <c r="B186" s="1684"/>
      <c r="C186" s="1685"/>
      <c r="D186" s="1685"/>
      <c r="E186" s="1686"/>
      <c r="F186" s="1686"/>
      <c r="G186" s="1686"/>
      <c r="H186" s="1686"/>
      <c r="I186" s="1686"/>
      <c r="J186" s="1686"/>
      <c r="K186" s="1686"/>
      <c r="L186" s="1686"/>
      <c r="M186" s="1686"/>
      <c r="N186" s="1686"/>
      <c r="O186" s="1686"/>
      <c r="P186" s="1686"/>
      <c r="Q186" s="1686"/>
      <c r="R186" s="1686"/>
      <c r="S186" s="1686"/>
      <c r="T186" s="1686"/>
      <c r="U186" s="1686"/>
      <c r="V186" s="1686"/>
      <c r="W186" s="1686"/>
      <c r="X186" s="1686"/>
      <c r="Y186" s="1686"/>
      <c r="Z186" s="1686"/>
      <c r="AA186" s="1686"/>
      <c r="AB186" s="1686"/>
      <c r="AC186" s="1686"/>
      <c r="AD186" s="1686"/>
      <c r="AE186" s="1686"/>
      <c r="AF186" s="1686"/>
      <c r="AG186" s="1686"/>
      <c r="AH186" s="1686"/>
      <c r="AI186" s="1686"/>
      <c r="AJ186" s="1686"/>
      <c r="AK186" s="1686"/>
      <c r="AL186" s="1686"/>
      <c r="AM186" s="1686"/>
      <c r="AN186" s="1686"/>
      <c r="AO186" s="1686"/>
      <c r="AP186" s="1686"/>
      <c r="AQ186" s="1686"/>
      <c r="AR186" s="1686"/>
      <c r="AS186" s="1686"/>
      <c r="AT186" s="1686"/>
    </row>
    <row r="187">
      <c r="A187" s="1419"/>
      <c r="B187" s="1687"/>
      <c r="C187" s="1688"/>
      <c r="D187" s="1688"/>
      <c r="E187" s="1689"/>
      <c r="F187" s="1689"/>
      <c r="G187" s="1689"/>
      <c r="H187" s="1689"/>
      <c r="I187" s="1689"/>
      <c r="J187" s="1689"/>
      <c r="K187" s="1689"/>
      <c r="L187" s="1689"/>
      <c r="M187" s="1689"/>
      <c r="N187" s="1689"/>
      <c r="O187" s="1689"/>
      <c r="P187" s="1689"/>
      <c r="Q187" s="1689"/>
      <c r="R187" s="1689"/>
      <c r="S187" s="1689"/>
      <c r="T187" s="1689"/>
      <c r="U187" s="1689"/>
      <c r="V187" s="1689"/>
      <c r="W187" s="1689"/>
      <c r="X187" s="1689"/>
      <c r="Y187" s="1689"/>
      <c r="Z187" s="1690"/>
      <c r="AA187" s="1690"/>
      <c r="AB187" s="1690"/>
      <c r="AC187" s="1690"/>
      <c r="AD187" s="1690"/>
      <c r="AE187" s="1690"/>
      <c r="AF187" s="1690"/>
      <c r="AG187" s="1690"/>
      <c r="AH187" s="1690"/>
      <c r="AI187" s="1690"/>
      <c r="AJ187" s="1690"/>
      <c r="AK187" s="1690"/>
      <c r="AL187" s="1690"/>
      <c r="AM187" s="1690"/>
      <c r="AN187" s="1690"/>
      <c r="AO187" s="1690"/>
      <c r="AP187" s="1690"/>
      <c r="AQ187" s="1690"/>
      <c r="AR187" s="1690"/>
      <c r="AS187" s="1690"/>
      <c r="AT187" s="1690"/>
    </row>
    <row r="188">
      <c r="A188" s="1419"/>
      <c r="B188" s="1684"/>
      <c r="C188" s="1685"/>
      <c r="D188" s="1685"/>
      <c r="E188" s="1686"/>
      <c r="F188" s="1686"/>
      <c r="G188" s="1686"/>
      <c r="H188" s="1686"/>
      <c r="I188" s="1686"/>
      <c r="J188" s="1686"/>
      <c r="K188" s="1686"/>
      <c r="L188" s="1686"/>
      <c r="M188" s="1686"/>
      <c r="N188" s="1686"/>
      <c r="O188" s="1686"/>
      <c r="P188" s="1686"/>
      <c r="Q188" s="1686"/>
      <c r="R188" s="1686"/>
      <c r="S188" s="1686"/>
      <c r="T188" s="1686"/>
      <c r="U188" s="1686"/>
      <c r="V188" s="1686"/>
      <c r="W188" s="1686"/>
      <c r="X188" s="1686"/>
      <c r="Y188" s="1686"/>
      <c r="Z188" s="1686"/>
      <c r="AA188" s="1686"/>
      <c r="AB188" s="1686"/>
      <c r="AC188" s="1686"/>
      <c r="AD188" s="1686"/>
      <c r="AE188" s="1686"/>
      <c r="AF188" s="1686"/>
      <c r="AG188" s="1686"/>
      <c r="AH188" s="1686"/>
      <c r="AI188" s="1686"/>
      <c r="AJ188" s="1686"/>
      <c r="AK188" s="1686"/>
      <c r="AL188" s="1686"/>
      <c r="AM188" s="1686"/>
      <c r="AN188" s="1686"/>
      <c r="AO188" s="1686"/>
      <c r="AP188" s="1686"/>
      <c r="AQ188" s="1686"/>
      <c r="AR188" s="1686"/>
      <c r="AS188" s="1686"/>
      <c r="AT188" s="1686"/>
    </row>
    <row r="189">
      <c r="A189" s="1419"/>
      <c r="B189" s="1687"/>
      <c r="C189" s="1688"/>
      <c r="D189" s="1688"/>
      <c r="E189" s="1690"/>
      <c r="F189" s="1690"/>
      <c r="G189" s="1690"/>
      <c r="H189" s="1690"/>
      <c r="I189" s="1690"/>
      <c r="J189" s="1690"/>
      <c r="K189" s="1690"/>
      <c r="L189" s="1690"/>
      <c r="M189" s="1690"/>
      <c r="N189" s="1690"/>
      <c r="O189" s="1690"/>
      <c r="P189" s="1690"/>
      <c r="Q189" s="1690"/>
      <c r="R189" s="1690"/>
      <c r="S189" s="1690"/>
      <c r="T189" s="1690"/>
      <c r="U189" s="1690"/>
      <c r="V189" s="1690"/>
      <c r="W189" s="1690"/>
      <c r="X189" s="1690"/>
      <c r="Y189" s="1690"/>
      <c r="Z189" s="1690"/>
      <c r="AA189" s="1690"/>
      <c r="AB189" s="1690"/>
      <c r="AC189" s="1690"/>
      <c r="AD189" s="1690"/>
      <c r="AE189" s="1690"/>
      <c r="AF189" s="1690"/>
      <c r="AG189" s="1690"/>
      <c r="AH189" s="1690"/>
      <c r="AI189" s="1690"/>
      <c r="AJ189" s="1690"/>
      <c r="AK189" s="1690"/>
      <c r="AL189" s="1690"/>
      <c r="AM189" s="1690"/>
      <c r="AN189" s="1690"/>
      <c r="AO189" s="1690"/>
      <c r="AP189" s="1690"/>
      <c r="AQ189" s="1690"/>
      <c r="AR189" s="1690"/>
      <c r="AS189" s="1690"/>
      <c r="AT189" s="1690"/>
    </row>
    <row r="190">
      <c r="A190" s="1419"/>
      <c r="B190" s="1684"/>
      <c r="C190" s="1685"/>
      <c r="D190" s="1685"/>
      <c r="E190" s="1691"/>
      <c r="F190" s="1691"/>
      <c r="G190" s="1691"/>
      <c r="H190" s="1691"/>
      <c r="I190" s="1691"/>
      <c r="J190" s="1691"/>
      <c r="K190" s="1691"/>
      <c r="L190" s="1691"/>
      <c r="M190" s="1691"/>
      <c r="N190" s="1691"/>
      <c r="O190" s="1691"/>
      <c r="P190" s="1691"/>
      <c r="Q190" s="1691"/>
      <c r="R190" s="1691"/>
      <c r="S190" s="1691"/>
      <c r="T190" s="1691"/>
      <c r="U190" s="1691"/>
      <c r="V190" s="1691"/>
      <c r="W190" s="1691"/>
      <c r="X190" s="1691"/>
      <c r="Y190" s="1691"/>
      <c r="Z190" s="1686"/>
      <c r="AA190" s="1686"/>
      <c r="AB190" s="1686"/>
      <c r="AC190" s="1686"/>
      <c r="AD190" s="1686"/>
      <c r="AE190" s="1686"/>
      <c r="AF190" s="1686"/>
      <c r="AG190" s="1686"/>
      <c r="AH190" s="1686"/>
      <c r="AI190" s="1686"/>
      <c r="AJ190" s="1686"/>
      <c r="AK190" s="1686"/>
      <c r="AL190" s="1686"/>
      <c r="AM190" s="1686"/>
      <c r="AN190" s="1686"/>
      <c r="AO190" s="1686"/>
      <c r="AP190" s="1686"/>
      <c r="AQ190" s="1686"/>
      <c r="AR190" s="1686"/>
      <c r="AS190" s="1686"/>
      <c r="AT190" s="1686"/>
    </row>
    <row r="191">
      <c r="A191" s="1419"/>
      <c r="B191" s="1687"/>
      <c r="C191" s="1688"/>
      <c r="D191" s="1688"/>
      <c r="E191" s="1689"/>
      <c r="F191" s="1689"/>
      <c r="G191" s="1689"/>
      <c r="H191" s="1689"/>
      <c r="I191" s="1689"/>
      <c r="J191" s="1689"/>
      <c r="K191" s="1689"/>
      <c r="L191" s="1689"/>
      <c r="M191" s="1689"/>
      <c r="N191" s="1689"/>
      <c r="O191" s="1689"/>
      <c r="P191" s="1689"/>
      <c r="Q191" s="1689"/>
      <c r="R191" s="1689"/>
      <c r="S191" s="1689"/>
      <c r="T191" s="1689"/>
      <c r="U191" s="1689"/>
      <c r="V191" s="1689"/>
      <c r="W191" s="1689"/>
      <c r="X191" s="1689"/>
      <c r="Y191" s="1689"/>
      <c r="Z191" s="1690"/>
      <c r="AA191" s="1690"/>
      <c r="AB191" s="1690"/>
      <c r="AC191" s="1690"/>
      <c r="AD191" s="1690"/>
      <c r="AE191" s="1690"/>
      <c r="AF191" s="1690"/>
      <c r="AG191" s="1690"/>
      <c r="AH191" s="1690"/>
      <c r="AI191" s="1690"/>
      <c r="AJ191" s="1690"/>
      <c r="AK191" s="1690"/>
      <c r="AL191" s="1690"/>
      <c r="AM191" s="1690"/>
      <c r="AN191" s="1690"/>
      <c r="AO191" s="1690"/>
      <c r="AP191" s="1690"/>
      <c r="AQ191" s="1690"/>
      <c r="AR191" s="1690"/>
      <c r="AS191" s="1690"/>
      <c r="AT191" s="1690"/>
    </row>
    <row r="192">
      <c r="A192" s="1419"/>
      <c r="B192" s="1684"/>
      <c r="C192" s="1685"/>
      <c r="D192" s="1685"/>
      <c r="E192" s="1691"/>
      <c r="F192" s="1691"/>
      <c r="G192" s="1691"/>
      <c r="H192" s="1691"/>
      <c r="I192" s="1691"/>
      <c r="J192" s="1691"/>
      <c r="K192" s="1691"/>
      <c r="L192" s="1691"/>
      <c r="M192" s="1691"/>
      <c r="N192" s="1691"/>
      <c r="O192" s="1691"/>
      <c r="P192" s="1691"/>
      <c r="Q192" s="1691"/>
      <c r="R192" s="1691"/>
      <c r="S192" s="1691"/>
      <c r="T192" s="1691"/>
      <c r="U192" s="1691"/>
      <c r="V192" s="1691"/>
      <c r="W192" s="1691"/>
      <c r="X192" s="1691"/>
      <c r="Y192" s="1691"/>
      <c r="Z192" s="1686"/>
      <c r="AA192" s="1686"/>
      <c r="AB192" s="1686"/>
      <c r="AC192" s="1686"/>
      <c r="AD192" s="1686"/>
      <c r="AE192" s="1686"/>
      <c r="AF192" s="1686"/>
      <c r="AG192" s="1686"/>
      <c r="AH192" s="1686"/>
      <c r="AI192" s="1686"/>
      <c r="AJ192" s="1686"/>
      <c r="AK192" s="1686"/>
      <c r="AL192" s="1686"/>
      <c r="AM192" s="1686"/>
      <c r="AN192" s="1686"/>
      <c r="AO192" s="1686"/>
      <c r="AP192" s="1686"/>
      <c r="AQ192" s="1686"/>
      <c r="AR192" s="1686"/>
      <c r="AS192" s="1686"/>
      <c r="AT192" s="1686"/>
    </row>
    <row r="193">
      <c r="A193" s="1419"/>
      <c r="B193" s="1687"/>
      <c r="C193" s="1688"/>
      <c r="D193" s="1688"/>
      <c r="E193" s="1690"/>
      <c r="F193" s="1690"/>
      <c r="G193" s="1690"/>
      <c r="H193" s="1690"/>
      <c r="I193" s="1690"/>
      <c r="J193" s="1690"/>
      <c r="K193" s="1690"/>
      <c r="L193" s="1690"/>
      <c r="M193" s="1690"/>
      <c r="N193" s="1690"/>
      <c r="O193" s="1690"/>
      <c r="P193" s="1690"/>
      <c r="Q193" s="1690"/>
      <c r="R193" s="1690"/>
      <c r="S193" s="1690"/>
      <c r="T193" s="1690"/>
      <c r="U193" s="1690"/>
      <c r="V193" s="1690"/>
      <c r="W193" s="1690"/>
      <c r="X193" s="1690"/>
      <c r="Y193" s="1690"/>
      <c r="Z193" s="1690"/>
      <c r="AA193" s="1690"/>
      <c r="AB193" s="1690"/>
      <c r="AC193" s="1690"/>
      <c r="AD193" s="1690"/>
      <c r="AE193" s="1690"/>
      <c r="AF193" s="1690"/>
      <c r="AG193" s="1690"/>
      <c r="AH193" s="1690"/>
      <c r="AI193" s="1690"/>
      <c r="AJ193" s="1690"/>
      <c r="AK193" s="1690"/>
      <c r="AL193" s="1690"/>
      <c r="AM193" s="1690"/>
      <c r="AN193" s="1690"/>
      <c r="AO193" s="1690"/>
      <c r="AP193" s="1690"/>
      <c r="AQ193" s="1690"/>
      <c r="AR193" s="1690"/>
      <c r="AS193" s="1690"/>
      <c r="AT193" s="1690"/>
    </row>
    <row r="194">
      <c r="A194" s="1440" t="s">
        <v>2461</v>
      </c>
      <c r="B194" s="1684"/>
      <c r="C194" s="1685"/>
      <c r="D194" s="1685"/>
      <c r="E194" s="1691"/>
      <c r="F194" s="1691"/>
      <c r="G194" s="1691"/>
      <c r="H194" s="1691"/>
      <c r="I194" s="1691"/>
      <c r="J194" s="1691"/>
      <c r="K194" s="1691"/>
      <c r="L194" s="1691"/>
      <c r="M194" s="1691"/>
      <c r="N194" s="1691"/>
      <c r="O194" s="1691"/>
      <c r="P194" s="1691"/>
      <c r="Q194" s="1691"/>
      <c r="R194" s="1691"/>
      <c r="S194" s="1691"/>
      <c r="T194" s="1691"/>
      <c r="U194" s="1691"/>
      <c r="V194" s="1691"/>
      <c r="W194" s="1691"/>
      <c r="X194" s="1691"/>
      <c r="Y194" s="1691"/>
      <c r="Z194" s="1686"/>
      <c r="AA194" s="1686"/>
      <c r="AB194" s="1686"/>
      <c r="AC194" s="1686"/>
      <c r="AD194" s="1686"/>
      <c r="AE194" s="1686"/>
      <c r="AF194" s="1686"/>
      <c r="AG194" s="1686"/>
      <c r="AH194" s="1686"/>
      <c r="AI194" s="1686"/>
      <c r="AJ194" s="1686"/>
      <c r="AK194" s="1686"/>
      <c r="AL194" s="1686"/>
      <c r="AM194" s="1686"/>
      <c r="AN194" s="1686"/>
      <c r="AO194" s="1686"/>
      <c r="AP194" s="1686"/>
      <c r="AQ194" s="1686"/>
      <c r="AR194" s="1686"/>
      <c r="AS194" s="1686"/>
      <c r="AT194" s="1686"/>
    </row>
    <row r="195">
      <c r="A195" s="1440" t="s">
        <v>2461</v>
      </c>
      <c r="B195" s="1687"/>
      <c r="C195" s="1688"/>
      <c r="D195" s="1688"/>
      <c r="E195" s="1689"/>
      <c r="F195" s="1689"/>
      <c r="G195" s="1689"/>
      <c r="H195" s="1689"/>
      <c r="I195" s="1689"/>
      <c r="J195" s="1689"/>
      <c r="K195" s="1689"/>
      <c r="L195" s="1689"/>
      <c r="M195" s="1689"/>
      <c r="N195" s="1689"/>
      <c r="O195" s="1689"/>
      <c r="P195" s="1689"/>
      <c r="Q195" s="1689"/>
      <c r="R195" s="1689"/>
      <c r="S195" s="1689"/>
      <c r="T195" s="1689"/>
      <c r="U195" s="1689"/>
      <c r="V195" s="1689"/>
      <c r="W195" s="1689"/>
      <c r="X195" s="1689"/>
      <c r="Y195" s="1689"/>
      <c r="Z195" s="1690"/>
      <c r="AA195" s="1690"/>
      <c r="AB195" s="1690"/>
      <c r="AC195" s="1690"/>
      <c r="AD195" s="1690"/>
      <c r="AE195" s="1690"/>
      <c r="AF195" s="1690"/>
      <c r="AG195" s="1690"/>
      <c r="AH195" s="1690"/>
      <c r="AI195" s="1690"/>
      <c r="AJ195" s="1690"/>
      <c r="AK195" s="1690"/>
      <c r="AL195" s="1690"/>
      <c r="AM195" s="1690"/>
      <c r="AN195" s="1690"/>
      <c r="AO195" s="1690"/>
      <c r="AP195" s="1690"/>
      <c r="AQ195" s="1690"/>
      <c r="AR195" s="1690"/>
      <c r="AS195" s="1690"/>
      <c r="AT195" s="1690"/>
    </row>
    <row r="196">
      <c r="A196" s="1419"/>
      <c r="B196" s="1684"/>
      <c r="C196" s="1685"/>
      <c r="D196" s="1685"/>
      <c r="E196" s="1686"/>
      <c r="F196" s="1686"/>
      <c r="G196" s="1686"/>
      <c r="H196" s="1686"/>
      <c r="I196" s="1686"/>
      <c r="J196" s="1686"/>
      <c r="K196" s="1686"/>
      <c r="L196" s="1686"/>
      <c r="M196" s="1686"/>
      <c r="N196" s="1686"/>
      <c r="O196" s="1686"/>
      <c r="P196" s="1686"/>
      <c r="Q196" s="1686"/>
      <c r="R196" s="1686"/>
      <c r="S196" s="1686"/>
      <c r="T196" s="1686"/>
      <c r="U196" s="1686"/>
      <c r="V196" s="1686"/>
      <c r="W196" s="1686"/>
      <c r="X196" s="1686"/>
      <c r="Y196" s="1686"/>
      <c r="Z196" s="1686"/>
      <c r="AA196" s="1686"/>
      <c r="AB196" s="1686"/>
      <c r="AC196" s="1686"/>
      <c r="AD196" s="1686"/>
      <c r="AE196" s="1686"/>
      <c r="AF196" s="1686"/>
      <c r="AG196" s="1686"/>
      <c r="AH196" s="1686"/>
      <c r="AI196" s="1686"/>
      <c r="AJ196" s="1686"/>
      <c r="AK196" s="1686"/>
      <c r="AL196" s="1686"/>
      <c r="AM196" s="1686"/>
      <c r="AN196" s="1686"/>
      <c r="AO196" s="1686"/>
      <c r="AP196" s="1686"/>
      <c r="AQ196" s="1686"/>
      <c r="AR196" s="1686"/>
      <c r="AS196" s="1686"/>
      <c r="AT196" s="1686"/>
    </row>
    <row r="197">
      <c r="A197" s="1419"/>
      <c r="B197" s="1687"/>
      <c r="C197" s="1688"/>
      <c r="D197" s="1688"/>
      <c r="E197" s="1690"/>
      <c r="F197" s="1690"/>
      <c r="G197" s="1690"/>
      <c r="H197" s="1690"/>
      <c r="I197" s="1690"/>
      <c r="J197" s="1690"/>
      <c r="K197" s="1690"/>
      <c r="L197" s="1690"/>
      <c r="M197" s="1690"/>
      <c r="N197" s="1690"/>
      <c r="O197" s="1690"/>
      <c r="P197" s="1690"/>
      <c r="Q197" s="1690"/>
      <c r="R197" s="1690"/>
      <c r="S197" s="1690"/>
      <c r="T197" s="1690"/>
      <c r="U197" s="1690"/>
      <c r="V197" s="1690"/>
      <c r="W197" s="1690"/>
      <c r="X197" s="1690"/>
      <c r="Y197" s="1690"/>
      <c r="Z197" s="1690"/>
      <c r="AA197" s="1690"/>
      <c r="AB197" s="1690"/>
      <c r="AC197" s="1690"/>
      <c r="AD197" s="1690"/>
      <c r="AE197" s="1690"/>
      <c r="AF197" s="1690"/>
      <c r="AG197" s="1690"/>
      <c r="AH197" s="1690"/>
      <c r="AI197" s="1690"/>
      <c r="AJ197" s="1690"/>
      <c r="AK197" s="1690"/>
      <c r="AL197" s="1690"/>
      <c r="AM197" s="1690"/>
      <c r="AN197" s="1690"/>
      <c r="AO197" s="1690"/>
      <c r="AP197" s="1690"/>
      <c r="AQ197" s="1690"/>
      <c r="AR197" s="1690"/>
      <c r="AS197" s="1690"/>
      <c r="AT197" s="1690"/>
    </row>
    <row r="198">
      <c r="A198" s="1419"/>
      <c r="B198" s="1684"/>
      <c r="C198" s="1685"/>
      <c r="D198" s="1685"/>
      <c r="E198" s="1691"/>
      <c r="F198" s="1691"/>
      <c r="G198" s="1691"/>
      <c r="H198" s="1691"/>
      <c r="I198" s="1691"/>
      <c r="J198" s="1691"/>
      <c r="K198" s="1691"/>
      <c r="L198" s="1691"/>
      <c r="M198" s="1691"/>
      <c r="N198" s="1691"/>
      <c r="O198" s="1691"/>
      <c r="P198" s="1691"/>
      <c r="Q198" s="1691"/>
      <c r="R198" s="1691"/>
      <c r="S198" s="1691"/>
      <c r="T198" s="1691"/>
      <c r="U198" s="1691"/>
      <c r="V198" s="1691"/>
      <c r="W198" s="1691"/>
      <c r="X198" s="1691"/>
      <c r="Y198" s="1691"/>
      <c r="Z198" s="1686"/>
      <c r="AA198" s="1686"/>
      <c r="AB198" s="1686"/>
      <c r="AC198" s="1686"/>
      <c r="AD198" s="1686"/>
      <c r="AE198" s="1686"/>
      <c r="AF198" s="1686"/>
      <c r="AG198" s="1686"/>
      <c r="AH198" s="1686"/>
      <c r="AI198" s="1686"/>
      <c r="AJ198" s="1686"/>
      <c r="AK198" s="1686"/>
      <c r="AL198" s="1686"/>
      <c r="AM198" s="1686"/>
      <c r="AN198" s="1686"/>
      <c r="AO198" s="1686"/>
      <c r="AP198" s="1686"/>
      <c r="AQ198" s="1686"/>
      <c r="AR198" s="1686"/>
      <c r="AS198" s="1686"/>
      <c r="AT198" s="1686"/>
    </row>
    <row r="199">
      <c r="A199" s="1419"/>
      <c r="B199" s="1687"/>
      <c r="C199" s="1688"/>
      <c r="D199" s="1688"/>
      <c r="E199" s="1689"/>
      <c r="F199" s="1689"/>
      <c r="G199" s="1689"/>
      <c r="H199" s="1689"/>
      <c r="I199" s="1689"/>
      <c r="J199" s="1689"/>
      <c r="K199" s="1689"/>
      <c r="L199" s="1689"/>
      <c r="M199" s="1689"/>
      <c r="N199" s="1689"/>
      <c r="O199" s="1689"/>
      <c r="P199" s="1689"/>
      <c r="Q199" s="1689"/>
      <c r="R199" s="1689"/>
      <c r="S199" s="1689"/>
      <c r="T199" s="1689"/>
      <c r="U199" s="1689"/>
      <c r="V199" s="1689"/>
      <c r="W199" s="1689"/>
      <c r="X199" s="1689"/>
      <c r="Y199" s="1689"/>
      <c r="Z199" s="1690"/>
      <c r="AA199" s="1690"/>
      <c r="AB199" s="1690"/>
      <c r="AC199" s="1690"/>
      <c r="AD199" s="1690"/>
      <c r="AE199" s="1690"/>
      <c r="AF199" s="1690"/>
      <c r="AG199" s="1690"/>
      <c r="AH199" s="1690"/>
      <c r="AI199" s="1690"/>
      <c r="AJ199" s="1690"/>
      <c r="AK199" s="1690"/>
      <c r="AL199" s="1690"/>
      <c r="AM199" s="1690"/>
      <c r="AN199" s="1690"/>
      <c r="AO199" s="1690"/>
      <c r="AP199" s="1690"/>
      <c r="AQ199" s="1690"/>
      <c r="AR199" s="1690"/>
      <c r="AS199" s="1690"/>
      <c r="AT199" s="1690"/>
    </row>
    <row r="200">
      <c r="A200" s="1419"/>
      <c r="B200" s="1684"/>
      <c r="C200" s="1685"/>
      <c r="D200" s="1685"/>
      <c r="E200" s="1691"/>
      <c r="F200" s="1691"/>
      <c r="G200" s="1691"/>
      <c r="H200" s="1691"/>
      <c r="I200" s="1691"/>
      <c r="J200" s="1691"/>
      <c r="K200" s="1691"/>
      <c r="L200" s="1691"/>
      <c r="M200" s="1691"/>
      <c r="N200" s="1691"/>
      <c r="O200" s="1691"/>
      <c r="P200" s="1691"/>
      <c r="Q200" s="1691"/>
      <c r="R200" s="1691"/>
      <c r="S200" s="1691"/>
      <c r="T200" s="1691"/>
      <c r="U200" s="1691"/>
      <c r="V200" s="1691"/>
      <c r="W200" s="1691"/>
      <c r="X200" s="1691"/>
      <c r="Y200" s="1691"/>
      <c r="Z200" s="1686"/>
      <c r="AA200" s="1686"/>
      <c r="AB200" s="1686"/>
      <c r="AC200" s="1686"/>
      <c r="AD200" s="1686"/>
      <c r="AE200" s="1686"/>
      <c r="AF200" s="1686"/>
      <c r="AG200" s="1686"/>
      <c r="AH200" s="1686"/>
      <c r="AI200" s="1686"/>
      <c r="AJ200" s="1686"/>
      <c r="AK200" s="1686"/>
      <c r="AL200" s="1686"/>
      <c r="AM200" s="1686"/>
      <c r="AN200" s="1686"/>
      <c r="AO200" s="1686"/>
      <c r="AP200" s="1686"/>
      <c r="AQ200" s="1686"/>
      <c r="AR200" s="1686"/>
      <c r="AS200" s="1686"/>
      <c r="AT200" s="1686"/>
    </row>
    <row r="201">
      <c r="A201" s="1419"/>
      <c r="B201" s="1687"/>
      <c r="C201" s="1688"/>
      <c r="D201" s="1688"/>
      <c r="E201" s="1689"/>
      <c r="F201" s="1689"/>
      <c r="G201" s="1689"/>
      <c r="H201" s="1689"/>
      <c r="I201" s="1689"/>
      <c r="J201" s="1689"/>
      <c r="K201" s="1689"/>
      <c r="L201" s="1689"/>
      <c r="M201" s="1689"/>
      <c r="N201" s="1689"/>
      <c r="O201" s="1689"/>
      <c r="P201" s="1689"/>
      <c r="Q201" s="1689"/>
      <c r="R201" s="1689"/>
      <c r="S201" s="1689"/>
      <c r="T201" s="1689"/>
      <c r="U201" s="1689"/>
      <c r="V201" s="1689"/>
      <c r="W201" s="1689"/>
      <c r="X201" s="1689"/>
      <c r="Y201" s="1689"/>
      <c r="Z201" s="1690"/>
      <c r="AA201" s="1690"/>
      <c r="AB201" s="1690"/>
      <c r="AC201" s="1690"/>
      <c r="AD201" s="1690"/>
      <c r="AE201" s="1690"/>
      <c r="AF201" s="1690"/>
      <c r="AG201" s="1690"/>
      <c r="AH201" s="1690"/>
      <c r="AI201" s="1690"/>
      <c r="AJ201" s="1690"/>
      <c r="AK201" s="1690"/>
      <c r="AL201" s="1690"/>
      <c r="AM201" s="1690"/>
      <c r="AN201" s="1690"/>
      <c r="AO201" s="1690"/>
      <c r="AP201" s="1690"/>
      <c r="AQ201" s="1690"/>
      <c r="AR201" s="1690"/>
      <c r="AS201" s="1690"/>
      <c r="AT201" s="1690"/>
    </row>
    <row r="202">
      <c r="A202" s="1419"/>
      <c r="B202" s="1684"/>
      <c r="C202" s="1685"/>
      <c r="D202" s="1685"/>
      <c r="E202" s="1686"/>
      <c r="F202" s="1686"/>
      <c r="G202" s="1686"/>
      <c r="H202" s="1686"/>
      <c r="I202" s="1686"/>
      <c r="J202" s="1686"/>
      <c r="K202" s="1686"/>
      <c r="L202" s="1686"/>
      <c r="M202" s="1686"/>
      <c r="N202" s="1686"/>
      <c r="O202" s="1686"/>
      <c r="P202" s="1686"/>
      <c r="Q202" s="1686"/>
      <c r="R202" s="1686"/>
      <c r="S202" s="1686"/>
      <c r="T202" s="1686"/>
      <c r="U202" s="1686"/>
      <c r="V202" s="1686"/>
      <c r="W202" s="1686"/>
      <c r="X202" s="1686"/>
      <c r="Y202" s="1686"/>
      <c r="Z202" s="1686"/>
      <c r="AA202" s="1686"/>
      <c r="AB202" s="1686"/>
      <c r="AC202" s="1686"/>
      <c r="AD202" s="1686"/>
      <c r="AE202" s="1686"/>
      <c r="AF202" s="1686"/>
      <c r="AG202" s="1686"/>
      <c r="AH202" s="1686"/>
      <c r="AI202" s="1686"/>
      <c r="AJ202" s="1686"/>
      <c r="AK202" s="1686"/>
      <c r="AL202" s="1686"/>
      <c r="AM202" s="1686"/>
      <c r="AN202" s="1686"/>
      <c r="AO202" s="1686"/>
      <c r="AP202" s="1686"/>
      <c r="AQ202" s="1686"/>
      <c r="AR202" s="1686"/>
      <c r="AS202" s="1686"/>
      <c r="AT202" s="1686"/>
    </row>
    <row r="203">
      <c r="A203" s="1419"/>
      <c r="B203" s="1687"/>
      <c r="C203" s="1688"/>
      <c r="D203" s="1688"/>
      <c r="E203" s="1689"/>
      <c r="F203" s="1689"/>
      <c r="G203" s="1689"/>
      <c r="H203" s="1689"/>
      <c r="I203" s="1689"/>
      <c r="J203" s="1689"/>
      <c r="K203" s="1689"/>
      <c r="L203" s="1689"/>
      <c r="M203" s="1689"/>
      <c r="N203" s="1689"/>
      <c r="O203" s="1689"/>
      <c r="P203" s="1689"/>
      <c r="Q203" s="1689"/>
      <c r="R203" s="1689"/>
      <c r="S203" s="1689"/>
      <c r="T203" s="1689"/>
      <c r="U203" s="1689"/>
      <c r="V203" s="1689"/>
      <c r="W203" s="1689"/>
      <c r="X203" s="1689"/>
      <c r="Y203" s="1689"/>
      <c r="Z203" s="1690"/>
      <c r="AA203" s="1690"/>
      <c r="AB203" s="1690"/>
      <c r="AC203" s="1690"/>
      <c r="AD203" s="1690"/>
      <c r="AE203" s="1690"/>
      <c r="AF203" s="1690"/>
      <c r="AG203" s="1690"/>
      <c r="AH203" s="1690"/>
      <c r="AI203" s="1690"/>
      <c r="AJ203" s="1690"/>
      <c r="AK203" s="1690"/>
      <c r="AL203" s="1690"/>
      <c r="AM203" s="1690"/>
      <c r="AN203" s="1690"/>
      <c r="AO203" s="1690"/>
      <c r="AP203" s="1690"/>
      <c r="AQ203" s="1690"/>
      <c r="AR203" s="1690"/>
      <c r="AS203" s="1690"/>
      <c r="AT203" s="1690"/>
    </row>
    <row r="204">
      <c r="A204" s="1419"/>
      <c r="B204" s="1684"/>
      <c r="C204" s="1685"/>
      <c r="D204" s="1685"/>
      <c r="E204" s="1691"/>
      <c r="F204" s="1691"/>
      <c r="G204" s="1691"/>
      <c r="H204" s="1691"/>
      <c r="I204" s="1691"/>
      <c r="J204" s="1691"/>
      <c r="K204" s="1691"/>
      <c r="L204" s="1691"/>
      <c r="M204" s="1691"/>
      <c r="N204" s="1691"/>
      <c r="O204" s="1691"/>
      <c r="P204" s="1691"/>
      <c r="Q204" s="1691"/>
      <c r="R204" s="1691"/>
      <c r="S204" s="1691"/>
      <c r="T204" s="1691"/>
      <c r="U204" s="1691"/>
      <c r="V204" s="1691"/>
      <c r="W204" s="1691"/>
      <c r="X204" s="1691"/>
      <c r="Y204" s="1691"/>
      <c r="Z204" s="1686"/>
      <c r="AA204" s="1686"/>
      <c r="AB204" s="1686"/>
      <c r="AC204" s="1686"/>
      <c r="AD204" s="1686"/>
      <c r="AE204" s="1686"/>
      <c r="AF204" s="1686"/>
      <c r="AG204" s="1686"/>
      <c r="AH204" s="1686"/>
      <c r="AI204" s="1686"/>
      <c r="AJ204" s="1686"/>
      <c r="AK204" s="1686"/>
      <c r="AL204" s="1686"/>
      <c r="AM204" s="1686"/>
      <c r="AN204" s="1686"/>
      <c r="AO204" s="1686"/>
      <c r="AP204" s="1686"/>
      <c r="AQ204" s="1686"/>
      <c r="AR204" s="1686"/>
      <c r="AS204" s="1686"/>
      <c r="AT204" s="1686"/>
    </row>
    <row r="205">
      <c r="A205" s="1419"/>
      <c r="B205" s="1687"/>
      <c r="C205" s="1688"/>
      <c r="D205" s="1688"/>
      <c r="E205" s="1690"/>
      <c r="F205" s="1690"/>
      <c r="G205" s="1690"/>
      <c r="H205" s="1690"/>
      <c r="I205" s="1690"/>
      <c r="J205" s="1690"/>
      <c r="K205" s="1690"/>
      <c r="L205" s="1690"/>
      <c r="M205" s="1690"/>
      <c r="N205" s="1690"/>
      <c r="O205" s="1690"/>
      <c r="P205" s="1690"/>
      <c r="Q205" s="1690"/>
      <c r="R205" s="1690"/>
      <c r="S205" s="1690"/>
      <c r="T205" s="1690"/>
      <c r="U205" s="1690"/>
      <c r="V205" s="1690"/>
      <c r="W205" s="1690"/>
      <c r="X205" s="1690"/>
      <c r="Y205" s="1690"/>
      <c r="Z205" s="1690"/>
      <c r="AA205" s="1690"/>
      <c r="AB205" s="1690"/>
      <c r="AC205" s="1690"/>
      <c r="AD205" s="1690"/>
      <c r="AE205" s="1690"/>
      <c r="AF205" s="1690"/>
      <c r="AG205" s="1690"/>
      <c r="AH205" s="1690"/>
      <c r="AI205" s="1690"/>
      <c r="AJ205" s="1690"/>
      <c r="AK205" s="1690"/>
      <c r="AL205" s="1690"/>
      <c r="AM205" s="1690"/>
      <c r="AN205" s="1690"/>
      <c r="AO205" s="1690"/>
      <c r="AP205" s="1690"/>
      <c r="AQ205" s="1690"/>
      <c r="AR205" s="1690"/>
      <c r="AS205" s="1690"/>
      <c r="AT205" s="1690"/>
    </row>
    <row r="206">
      <c r="A206" s="1419"/>
      <c r="B206" s="1684"/>
      <c r="C206" s="1685"/>
      <c r="D206" s="1685"/>
      <c r="E206" s="1686"/>
      <c r="F206" s="1686"/>
      <c r="G206" s="1686"/>
      <c r="H206" s="1686"/>
      <c r="I206" s="1686"/>
      <c r="J206" s="1686"/>
      <c r="K206" s="1686"/>
      <c r="L206" s="1686"/>
      <c r="M206" s="1686"/>
      <c r="N206" s="1686"/>
      <c r="O206" s="1686"/>
      <c r="P206" s="1686"/>
      <c r="Q206" s="1686"/>
      <c r="R206" s="1686"/>
      <c r="S206" s="1686"/>
      <c r="T206" s="1686"/>
      <c r="U206" s="1686"/>
      <c r="V206" s="1686"/>
      <c r="W206" s="1686"/>
      <c r="X206" s="1686"/>
      <c r="Y206" s="1686"/>
      <c r="Z206" s="1686"/>
      <c r="AA206" s="1686"/>
      <c r="AB206" s="1686"/>
      <c r="AC206" s="1686"/>
      <c r="AD206" s="1686"/>
      <c r="AE206" s="1686"/>
      <c r="AF206" s="1686"/>
      <c r="AG206" s="1686"/>
      <c r="AH206" s="1686"/>
      <c r="AI206" s="1686"/>
      <c r="AJ206" s="1686"/>
      <c r="AK206" s="1686"/>
      <c r="AL206" s="1686"/>
      <c r="AM206" s="1686"/>
      <c r="AN206" s="1686"/>
      <c r="AO206" s="1686"/>
      <c r="AP206" s="1686"/>
      <c r="AQ206" s="1686"/>
      <c r="AR206" s="1686"/>
      <c r="AS206" s="1686"/>
      <c r="AT206" s="1686"/>
    </row>
    <row r="207">
      <c r="A207" s="1419"/>
      <c r="B207" s="1687"/>
      <c r="C207" s="1688"/>
      <c r="D207" s="1688"/>
      <c r="E207" s="1689"/>
      <c r="F207" s="1689"/>
      <c r="G207" s="1689"/>
      <c r="H207" s="1689"/>
      <c r="I207" s="1689"/>
      <c r="J207" s="1689"/>
      <c r="K207" s="1689"/>
      <c r="L207" s="1689"/>
      <c r="M207" s="1689"/>
      <c r="N207" s="1689"/>
      <c r="O207" s="1689"/>
      <c r="P207" s="1689"/>
      <c r="Q207" s="1689"/>
      <c r="R207" s="1689"/>
      <c r="S207" s="1689"/>
      <c r="T207" s="1689"/>
      <c r="U207" s="1689"/>
      <c r="V207" s="1689"/>
      <c r="W207" s="1689"/>
      <c r="X207" s="1689"/>
      <c r="Y207" s="1689"/>
      <c r="Z207" s="1690"/>
      <c r="AA207" s="1690"/>
      <c r="AB207" s="1690"/>
      <c r="AC207" s="1690"/>
      <c r="AD207" s="1690"/>
      <c r="AE207" s="1690"/>
      <c r="AF207" s="1690"/>
      <c r="AG207" s="1690"/>
      <c r="AH207" s="1690"/>
      <c r="AI207" s="1690"/>
      <c r="AJ207" s="1690"/>
      <c r="AK207" s="1690"/>
      <c r="AL207" s="1690"/>
      <c r="AM207" s="1690"/>
      <c r="AN207" s="1690"/>
      <c r="AO207" s="1690"/>
      <c r="AP207" s="1690"/>
      <c r="AQ207" s="1690"/>
      <c r="AR207" s="1690"/>
      <c r="AS207" s="1690"/>
      <c r="AT207" s="1690"/>
    </row>
    <row r="208">
      <c r="A208" s="1419"/>
      <c r="B208" s="1684"/>
      <c r="C208" s="1685"/>
      <c r="D208" s="1685"/>
      <c r="E208" s="1686"/>
      <c r="F208" s="1686"/>
      <c r="G208" s="1686"/>
      <c r="H208" s="1686"/>
      <c r="I208" s="1686"/>
      <c r="J208" s="1686"/>
      <c r="K208" s="1686"/>
      <c r="L208" s="1686"/>
      <c r="M208" s="1686"/>
      <c r="N208" s="1686"/>
      <c r="O208" s="1686"/>
      <c r="P208" s="1686"/>
      <c r="Q208" s="1686"/>
      <c r="R208" s="1686"/>
      <c r="S208" s="1686"/>
      <c r="T208" s="1686"/>
      <c r="U208" s="1686"/>
      <c r="V208" s="1686"/>
      <c r="W208" s="1686"/>
      <c r="X208" s="1686"/>
      <c r="Y208" s="1686"/>
      <c r="Z208" s="1686"/>
      <c r="AA208" s="1686"/>
      <c r="AB208" s="1686"/>
      <c r="AC208" s="1686"/>
      <c r="AD208" s="1686"/>
      <c r="AE208" s="1686"/>
      <c r="AF208" s="1686"/>
      <c r="AG208" s="1686"/>
      <c r="AH208" s="1686"/>
      <c r="AI208" s="1686"/>
      <c r="AJ208" s="1686"/>
      <c r="AK208" s="1686"/>
      <c r="AL208" s="1686"/>
      <c r="AM208" s="1686"/>
      <c r="AN208" s="1686"/>
      <c r="AO208" s="1686"/>
      <c r="AP208" s="1686"/>
      <c r="AQ208" s="1686"/>
      <c r="AR208" s="1686"/>
      <c r="AS208" s="1686"/>
      <c r="AT208" s="1686"/>
    </row>
    <row r="209">
      <c r="A209" s="1419"/>
      <c r="B209" s="1687"/>
      <c r="C209" s="1688"/>
      <c r="D209" s="1688"/>
      <c r="E209" s="1690"/>
      <c r="F209" s="1690"/>
      <c r="G209" s="1690"/>
      <c r="H209" s="1690"/>
      <c r="I209" s="1690"/>
      <c r="J209" s="1690"/>
      <c r="K209" s="1690"/>
      <c r="L209" s="1690"/>
      <c r="M209" s="1690"/>
      <c r="N209" s="1690"/>
      <c r="O209" s="1690"/>
      <c r="P209" s="1690"/>
      <c r="Q209" s="1690"/>
      <c r="R209" s="1690"/>
      <c r="S209" s="1690"/>
      <c r="T209" s="1690"/>
      <c r="U209" s="1690"/>
      <c r="V209" s="1690"/>
      <c r="W209" s="1690"/>
      <c r="X209" s="1690"/>
      <c r="Y209" s="1690"/>
      <c r="Z209" s="1690"/>
      <c r="AA209" s="1690"/>
      <c r="AB209" s="1690"/>
      <c r="AC209" s="1690"/>
      <c r="AD209" s="1690"/>
      <c r="AE209" s="1690"/>
      <c r="AF209" s="1690"/>
      <c r="AG209" s="1690"/>
      <c r="AH209" s="1690"/>
      <c r="AI209" s="1690"/>
      <c r="AJ209" s="1690"/>
      <c r="AK209" s="1690"/>
      <c r="AL209" s="1690"/>
      <c r="AM209" s="1690"/>
      <c r="AN209" s="1690"/>
      <c r="AO209" s="1690"/>
      <c r="AP209" s="1690"/>
      <c r="AQ209" s="1690"/>
      <c r="AR209" s="1690"/>
      <c r="AS209" s="1690"/>
      <c r="AT209" s="1690"/>
    </row>
    <row r="210">
      <c r="A210" s="1419"/>
      <c r="B210" s="1684"/>
      <c r="C210" s="1685"/>
      <c r="D210" s="1685"/>
      <c r="E210" s="1691"/>
      <c r="F210" s="1691"/>
      <c r="G210" s="1691"/>
      <c r="H210" s="1691"/>
      <c r="I210" s="1691"/>
      <c r="J210" s="1691"/>
      <c r="K210" s="1691"/>
      <c r="L210" s="1691"/>
      <c r="M210" s="1691"/>
      <c r="N210" s="1691"/>
      <c r="O210" s="1691"/>
      <c r="P210" s="1691"/>
      <c r="Q210" s="1691"/>
      <c r="R210" s="1691"/>
      <c r="S210" s="1691"/>
      <c r="T210" s="1691"/>
      <c r="U210" s="1691"/>
      <c r="V210" s="1691"/>
      <c r="W210" s="1691"/>
      <c r="X210" s="1691"/>
      <c r="Y210" s="1691"/>
      <c r="Z210" s="1686"/>
      <c r="AA210" s="1686"/>
      <c r="AB210" s="1686"/>
      <c r="AC210" s="1686"/>
      <c r="AD210" s="1686"/>
      <c r="AE210" s="1686"/>
      <c r="AF210" s="1686"/>
      <c r="AG210" s="1686"/>
      <c r="AH210" s="1686"/>
      <c r="AI210" s="1686"/>
      <c r="AJ210" s="1686"/>
      <c r="AK210" s="1686"/>
      <c r="AL210" s="1686"/>
      <c r="AM210" s="1686"/>
      <c r="AN210" s="1686"/>
      <c r="AO210" s="1686"/>
      <c r="AP210" s="1686"/>
      <c r="AQ210" s="1686"/>
      <c r="AR210" s="1686"/>
      <c r="AS210" s="1686"/>
      <c r="AT210" s="1686"/>
    </row>
    <row r="211">
      <c r="A211" s="1419"/>
      <c r="B211" s="1687"/>
      <c r="C211" s="1688"/>
      <c r="D211" s="1688"/>
      <c r="E211" s="1690"/>
      <c r="F211" s="1690"/>
      <c r="G211" s="1690"/>
      <c r="H211" s="1690"/>
      <c r="I211" s="1690"/>
      <c r="J211" s="1690"/>
      <c r="K211" s="1690"/>
      <c r="L211" s="1690"/>
      <c r="M211" s="1690"/>
      <c r="N211" s="1690"/>
      <c r="O211" s="1690"/>
      <c r="P211" s="1690"/>
      <c r="Q211" s="1690"/>
      <c r="R211" s="1690"/>
      <c r="S211" s="1690"/>
      <c r="T211" s="1690"/>
      <c r="U211" s="1690"/>
      <c r="V211" s="1690"/>
      <c r="W211" s="1690"/>
      <c r="X211" s="1690"/>
      <c r="Y211" s="1690"/>
      <c r="Z211" s="1690"/>
      <c r="AA211" s="1690"/>
      <c r="AB211" s="1690"/>
      <c r="AC211" s="1690"/>
      <c r="AD211" s="1690"/>
      <c r="AE211" s="1690"/>
      <c r="AF211" s="1690"/>
      <c r="AG211" s="1690"/>
      <c r="AH211" s="1690"/>
      <c r="AI211" s="1690"/>
      <c r="AJ211" s="1690"/>
      <c r="AK211" s="1690"/>
      <c r="AL211" s="1690"/>
      <c r="AM211" s="1690"/>
      <c r="AN211" s="1690"/>
      <c r="AO211" s="1690"/>
      <c r="AP211" s="1690"/>
      <c r="AQ211" s="1690"/>
      <c r="AR211" s="1690"/>
      <c r="AS211" s="1690"/>
      <c r="AT211" s="1690"/>
    </row>
    <row r="212">
      <c r="A212" s="1419"/>
      <c r="B212" s="1684"/>
      <c r="C212" s="1685"/>
      <c r="D212" s="1685"/>
      <c r="E212" s="1691"/>
      <c r="F212" s="1691"/>
      <c r="G212" s="1691"/>
      <c r="H212" s="1691"/>
      <c r="I212" s="1691"/>
      <c r="J212" s="1691"/>
      <c r="K212" s="1691"/>
      <c r="L212" s="1691"/>
      <c r="M212" s="1691"/>
      <c r="N212" s="1691"/>
      <c r="O212" s="1691"/>
      <c r="P212" s="1691"/>
      <c r="Q212" s="1691"/>
      <c r="R212" s="1691"/>
      <c r="S212" s="1691"/>
      <c r="T212" s="1691"/>
      <c r="U212" s="1691"/>
      <c r="V212" s="1691"/>
      <c r="W212" s="1691"/>
      <c r="X212" s="1691"/>
      <c r="Y212" s="1691"/>
      <c r="Z212" s="1686"/>
      <c r="AA212" s="1686"/>
      <c r="AB212" s="1686"/>
      <c r="AC212" s="1686"/>
      <c r="AD212" s="1686"/>
      <c r="AE212" s="1686"/>
      <c r="AF212" s="1686"/>
      <c r="AG212" s="1686"/>
      <c r="AH212" s="1686"/>
      <c r="AI212" s="1686"/>
      <c r="AJ212" s="1686"/>
      <c r="AK212" s="1686"/>
      <c r="AL212" s="1686"/>
      <c r="AM212" s="1686"/>
      <c r="AN212" s="1686"/>
      <c r="AO212" s="1686"/>
      <c r="AP212" s="1686"/>
      <c r="AQ212" s="1686"/>
      <c r="AR212" s="1686"/>
      <c r="AS212" s="1686"/>
      <c r="AT212" s="1686"/>
    </row>
    <row r="213">
      <c r="A213" s="1419"/>
      <c r="B213" s="1687"/>
      <c r="C213" s="1688"/>
      <c r="D213" s="1688"/>
      <c r="E213" s="1689"/>
      <c r="F213" s="1689"/>
      <c r="G213" s="1689"/>
      <c r="H213" s="1689"/>
      <c r="I213" s="1689"/>
      <c r="J213" s="1689"/>
      <c r="K213" s="1689"/>
      <c r="L213" s="1689"/>
      <c r="M213" s="1689"/>
      <c r="N213" s="1689"/>
      <c r="O213" s="1689"/>
      <c r="P213" s="1689"/>
      <c r="Q213" s="1689"/>
      <c r="R213" s="1689"/>
      <c r="S213" s="1689"/>
      <c r="T213" s="1689"/>
      <c r="U213" s="1689"/>
      <c r="V213" s="1689"/>
      <c r="W213" s="1689"/>
      <c r="X213" s="1689"/>
      <c r="Y213" s="1689"/>
      <c r="Z213" s="1690"/>
      <c r="AA213" s="1690"/>
      <c r="AB213" s="1690"/>
      <c r="AC213" s="1690"/>
      <c r="AD213" s="1690"/>
      <c r="AE213" s="1690"/>
      <c r="AF213" s="1690"/>
      <c r="AG213" s="1690"/>
      <c r="AH213" s="1690"/>
      <c r="AI213" s="1690"/>
      <c r="AJ213" s="1690"/>
      <c r="AK213" s="1690"/>
      <c r="AL213" s="1690"/>
      <c r="AM213" s="1690"/>
      <c r="AN213" s="1690"/>
      <c r="AO213" s="1690"/>
      <c r="AP213" s="1690"/>
      <c r="AQ213" s="1690"/>
      <c r="AR213" s="1690"/>
      <c r="AS213" s="1690"/>
      <c r="AT213" s="1690"/>
    </row>
    <row r="214">
      <c r="A214" s="1419"/>
      <c r="B214" s="1684"/>
      <c r="C214" s="1685"/>
      <c r="D214" s="1685"/>
      <c r="E214" s="1686"/>
      <c r="F214" s="1686"/>
      <c r="G214" s="1686"/>
      <c r="H214" s="1686"/>
      <c r="I214" s="1686"/>
      <c r="J214" s="1686"/>
      <c r="K214" s="1686"/>
      <c r="L214" s="1686"/>
      <c r="M214" s="1686"/>
      <c r="N214" s="1686"/>
      <c r="O214" s="1686"/>
      <c r="P214" s="1686"/>
      <c r="Q214" s="1686"/>
      <c r="R214" s="1686"/>
      <c r="S214" s="1686"/>
      <c r="T214" s="1686"/>
      <c r="U214" s="1686"/>
      <c r="V214" s="1686"/>
      <c r="W214" s="1686"/>
      <c r="X214" s="1686"/>
      <c r="Y214" s="1686"/>
      <c r="Z214" s="1686"/>
      <c r="AA214" s="1686"/>
      <c r="AB214" s="1686"/>
      <c r="AC214" s="1686"/>
      <c r="AD214" s="1686"/>
      <c r="AE214" s="1686"/>
      <c r="AF214" s="1686"/>
      <c r="AG214" s="1686"/>
      <c r="AH214" s="1686"/>
      <c r="AI214" s="1686"/>
      <c r="AJ214" s="1686"/>
      <c r="AK214" s="1686"/>
      <c r="AL214" s="1686"/>
      <c r="AM214" s="1686"/>
      <c r="AN214" s="1686"/>
      <c r="AO214" s="1686"/>
      <c r="AP214" s="1686"/>
      <c r="AQ214" s="1686"/>
      <c r="AR214" s="1686"/>
      <c r="AS214" s="1686"/>
      <c r="AT214" s="1686"/>
    </row>
    <row r="215">
      <c r="A215" s="1419"/>
      <c r="B215" s="1687"/>
      <c r="C215" s="1688"/>
      <c r="D215" s="1688"/>
      <c r="E215" s="1690"/>
      <c r="F215" s="1690"/>
      <c r="G215" s="1690"/>
      <c r="H215" s="1690"/>
      <c r="I215" s="1690"/>
      <c r="J215" s="1690"/>
      <c r="K215" s="1690"/>
      <c r="L215" s="1690"/>
      <c r="M215" s="1690"/>
      <c r="N215" s="1690"/>
      <c r="O215" s="1690"/>
      <c r="P215" s="1690"/>
      <c r="Q215" s="1690"/>
      <c r="R215" s="1690"/>
      <c r="S215" s="1690"/>
      <c r="T215" s="1690"/>
      <c r="U215" s="1690"/>
      <c r="V215" s="1690"/>
      <c r="W215" s="1690"/>
      <c r="X215" s="1690"/>
      <c r="Y215" s="1690"/>
      <c r="Z215" s="1690"/>
      <c r="AA215" s="1690"/>
      <c r="AB215" s="1690"/>
      <c r="AC215" s="1690"/>
      <c r="AD215" s="1690"/>
      <c r="AE215" s="1690"/>
      <c r="AF215" s="1690"/>
      <c r="AG215" s="1690"/>
      <c r="AH215" s="1690"/>
      <c r="AI215" s="1690"/>
      <c r="AJ215" s="1690"/>
      <c r="AK215" s="1690"/>
      <c r="AL215" s="1690"/>
      <c r="AM215" s="1690"/>
      <c r="AN215" s="1690"/>
      <c r="AO215" s="1690"/>
      <c r="AP215" s="1690"/>
      <c r="AQ215" s="1690"/>
      <c r="AR215" s="1690"/>
      <c r="AS215" s="1690"/>
      <c r="AT215" s="1690"/>
    </row>
    <row r="216">
      <c r="A216" s="1419"/>
      <c r="B216" s="1684"/>
      <c r="C216" s="1685"/>
      <c r="D216" s="1685"/>
      <c r="E216" s="1686"/>
      <c r="F216" s="1686"/>
      <c r="G216" s="1686"/>
      <c r="H216" s="1686"/>
      <c r="I216" s="1686"/>
      <c r="J216" s="1686"/>
      <c r="K216" s="1686"/>
      <c r="L216" s="1686"/>
      <c r="M216" s="1686"/>
      <c r="N216" s="1686"/>
      <c r="O216" s="1686"/>
      <c r="P216" s="1686"/>
      <c r="Q216" s="1686"/>
      <c r="R216" s="1686"/>
      <c r="S216" s="1686"/>
      <c r="T216" s="1686"/>
      <c r="U216" s="1686"/>
      <c r="V216" s="1686"/>
      <c r="W216" s="1686"/>
      <c r="X216" s="1686"/>
      <c r="Y216" s="1686"/>
      <c r="Z216" s="1686"/>
      <c r="AA216" s="1686"/>
      <c r="AB216" s="1686"/>
      <c r="AC216" s="1686"/>
      <c r="AD216" s="1686"/>
      <c r="AE216" s="1686"/>
      <c r="AF216" s="1686"/>
      <c r="AG216" s="1686"/>
      <c r="AH216" s="1686"/>
      <c r="AI216" s="1686"/>
      <c r="AJ216" s="1686"/>
      <c r="AK216" s="1686"/>
      <c r="AL216" s="1686"/>
      <c r="AM216" s="1686"/>
      <c r="AN216" s="1686"/>
      <c r="AO216" s="1686"/>
      <c r="AP216" s="1686"/>
      <c r="AQ216" s="1686"/>
      <c r="AR216" s="1686"/>
      <c r="AS216" s="1686"/>
      <c r="AT216" s="1686"/>
    </row>
    <row r="217">
      <c r="A217" s="1419"/>
      <c r="B217" s="1687"/>
      <c r="C217" s="1688"/>
      <c r="D217" s="1688"/>
      <c r="E217" s="1690"/>
      <c r="F217" s="1690"/>
      <c r="G217" s="1690"/>
      <c r="H217" s="1690"/>
      <c r="I217" s="1690"/>
      <c r="J217" s="1690"/>
      <c r="K217" s="1690"/>
      <c r="L217" s="1690"/>
      <c r="M217" s="1690"/>
      <c r="N217" s="1690"/>
      <c r="O217" s="1690"/>
      <c r="P217" s="1690"/>
      <c r="Q217" s="1690"/>
      <c r="R217" s="1690"/>
      <c r="S217" s="1690"/>
      <c r="T217" s="1690"/>
      <c r="U217" s="1690"/>
      <c r="V217" s="1690"/>
      <c r="W217" s="1690"/>
      <c r="X217" s="1690"/>
      <c r="Y217" s="1690"/>
      <c r="Z217" s="1690"/>
      <c r="AA217" s="1690"/>
      <c r="AB217" s="1690"/>
      <c r="AC217" s="1690"/>
      <c r="AD217" s="1690"/>
      <c r="AE217" s="1690"/>
      <c r="AF217" s="1690"/>
      <c r="AG217" s="1690"/>
      <c r="AH217" s="1690"/>
      <c r="AI217" s="1690"/>
      <c r="AJ217" s="1690"/>
      <c r="AK217" s="1690"/>
      <c r="AL217" s="1690"/>
      <c r="AM217" s="1690"/>
      <c r="AN217" s="1690"/>
      <c r="AO217" s="1690"/>
      <c r="AP217" s="1690"/>
      <c r="AQ217" s="1690"/>
      <c r="AR217" s="1690"/>
      <c r="AS217" s="1690"/>
      <c r="AT217" s="1690"/>
    </row>
    <row r="218">
      <c r="A218" s="1419"/>
      <c r="B218" s="1684"/>
      <c r="C218" s="1685"/>
      <c r="D218" s="1685"/>
      <c r="E218" s="1691"/>
      <c r="F218" s="1691"/>
      <c r="G218" s="1691"/>
      <c r="H218" s="1691"/>
      <c r="I218" s="1691"/>
      <c r="J218" s="1691"/>
      <c r="K218" s="1691"/>
      <c r="L218" s="1691"/>
      <c r="M218" s="1691"/>
      <c r="N218" s="1691"/>
      <c r="O218" s="1691"/>
      <c r="P218" s="1691"/>
      <c r="Q218" s="1691"/>
      <c r="R218" s="1691"/>
      <c r="S218" s="1691"/>
      <c r="T218" s="1691"/>
      <c r="U218" s="1691"/>
      <c r="V218" s="1691"/>
      <c r="W218" s="1691"/>
      <c r="X218" s="1691"/>
      <c r="Y218" s="1691"/>
      <c r="Z218" s="1686"/>
      <c r="AA218" s="1686"/>
      <c r="AB218" s="1686"/>
      <c r="AC218" s="1686"/>
      <c r="AD218" s="1686"/>
      <c r="AE218" s="1686"/>
      <c r="AF218" s="1686"/>
      <c r="AG218" s="1686"/>
      <c r="AH218" s="1686"/>
      <c r="AI218" s="1686"/>
      <c r="AJ218" s="1686"/>
      <c r="AK218" s="1686"/>
      <c r="AL218" s="1686"/>
      <c r="AM218" s="1686"/>
      <c r="AN218" s="1686"/>
      <c r="AO218" s="1686"/>
      <c r="AP218" s="1686"/>
      <c r="AQ218" s="1686"/>
      <c r="AR218" s="1686"/>
      <c r="AS218" s="1686"/>
      <c r="AT218" s="1686"/>
    </row>
    <row r="219">
      <c r="A219" s="1419"/>
      <c r="B219" s="1687"/>
      <c r="C219" s="1688"/>
      <c r="D219" s="1688"/>
      <c r="E219" s="1690"/>
      <c r="F219" s="1690"/>
      <c r="G219" s="1690"/>
      <c r="H219" s="1690"/>
      <c r="I219" s="1690"/>
      <c r="J219" s="1690"/>
      <c r="K219" s="1690"/>
      <c r="L219" s="1690"/>
      <c r="M219" s="1690"/>
      <c r="N219" s="1690"/>
      <c r="O219" s="1690"/>
      <c r="P219" s="1690"/>
      <c r="Q219" s="1690"/>
      <c r="R219" s="1690"/>
      <c r="S219" s="1690"/>
      <c r="T219" s="1690"/>
      <c r="U219" s="1690"/>
      <c r="V219" s="1690"/>
      <c r="W219" s="1690"/>
      <c r="X219" s="1690"/>
      <c r="Y219" s="1690"/>
      <c r="Z219" s="1690"/>
      <c r="AA219" s="1690"/>
      <c r="AB219" s="1690"/>
      <c r="AC219" s="1690"/>
      <c r="AD219" s="1690"/>
      <c r="AE219" s="1690"/>
      <c r="AF219" s="1690"/>
      <c r="AG219" s="1690"/>
      <c r="AH219" s="1690"/>
      <c r="AI219" s="1690"/>
      <c r="AJ219" s="1690"/>
      <c r="AK219" s="1690"/>
      <c r="AL219" s="1690"/>
      <c r="AM219" s="1690"/>
      <c r="AN219" s="1690"/>
      <c r="AO219" s="1690"/>
      <c r="AP219" s="1690"/>
      <c r="AQ219" s="1690"/>
      <c r="AR219" s="1690"/>
      <c r="AS219" s="1690"/>
      <c r="AT219" s="1690"/>
    </row>
    <row r="220">
      <c r="A220" s="1419"/>
      <c r="B220" s="1684"/>
      <c r="C220" s="1685"/>
      <c r="D220" s="1685"/>
      <c r="E220" s="1691"/>
      <c r="F220" s="1691"/>
      <c r="G220" s="1691"/>
      <c r="H220" s="1691"/>
      <c r="I220" s="1691"/>
      <c r="J220" s="1691"/>
      <c r="K220" s="1691"/>
      <c r="L220" s="1691"/>
      <c r="M220" s="1691"/>
      <c r="N220" s="1691"/>
      <c r="O220" s="1691"/>
      <c r="P220" s="1691"/>
      <c r="Q220" s="1691"/>
      <c r="R220" s="1691"/>
      <c r="S220" s="1691"/>
      <c r="T220" s="1691"/>
      <c r="U220" s="1691"/>
      <c r="V220" s="1691"/>
      <c r="W220" s="1691"/>
      <c r="X220" s="1691"/>
      <c r="Y220" s="1691"/>
      <c r="Z220" s="1686"/>
      <c r="AA220" s="1686"/>
      <c r="AB220" s="1686"/>
      <c r="AC220" s="1686"/>
      <c r="AD220" s="1686"/>
      <c r="AE220" s="1686"/>
      <c r="AF220" s="1686"/>
      <c r="AG220" s="1686"/>
      <c r="AH220" s="1686"/>
      <c r="AI220" s="1686"/>
      <c r="AJ220" s="1686"/>
      <c r="AK220" s="1686"/>
      <c r="AL220" s="1686"/>
      <c r="AM220" s="1686"/>
      <c r="AN220" s="1686"/>
      <c r="AO220" s="1686"/>
      <c r="AP220" s="1686"/>
      <c r="AQ220" s="1686"/>
      <c r="AR220" s="1686"/>
      <c r="AS220" s="1686"/>
      <c r="AT220" s="1686"/>
    </row>
    <row r="221">
      <c r="A221" s="1419"/>
      <c r="B221" s="1687"/>
      <c r="C221" s="1688"/>
      <c r="D221" s="1688"/>
      <c r="E221" s="1689"/>
      <c r="F221" s="1689"/>
      <c r="G221" s="1689"/>
      <c r="H221" s="1689"/>
      <c r="I221" s="1689"/>
      <c r="J221" s="1689"/>
      <c r="K221" s="1689"/>
      <c r="L221" s="1689"/>
      <c r="M221" s="1689"/>
      <c r="N221" s="1689"/>
      <c r="O221" s="1689"/>
      <c r="P221" s="1689"/>
      <c r="Q221" s="1689"/>
      <c r="R221" s="1689"/>
      <c r="S221" s="1689"/>
      <c r="T221" s="1689"/>
      <c r="U221" s="1689"/>
      <c r="V221" s="1689"/>
      <c r="W221" s="1689"/>
      <c r="X221" s="1689"/>
      <c r="Y221" s="1689"/>
      <c r="Z221" s="1690"/>
      <c r="AA221" s="1690"/>
      <c r="AB221" s="1690"/>
      <c r="AC221" s="1690"/>
      <c r="AD221" s="1690"/>
      <c r="AE221" s="1690"/>
      <c r="AF221" s="1690"/>
      <c r="AG221" s="1690"/>
      <c r="AH221" s="1690"/>
      <c r="AI221" s="1690"/>
      <c r="AJ221" s="1690"/>
      <c r="AK221" s="1690"/>
      <c r="AL221" s="1690"/>
      <c r="AM221" s="1690"/>
      <c r="AN221" s="1690"/>
      <c r="AO221" s="1690"/>
      <c r="AP221" s="1690"/>
      <c r="AQ221" s="1690"/>
      <c r="AR221" s="1690"/>
      <c r="AS221" s="1690"/>
      <c r="AT221" s="1690"/>
    </row>
    <row r="222">
      <c r="A222" s="1419"/>
      <c r="B222" s="1684"/>
      <c r="C222" s="1685"/>
      <c r="D222" s="1685"/>
      <c r="E222" s="1691"/>
      <c r="F222" s="1691"/>
      <c r="G222" s="1691"/>
      <c r="H222" s="1691"/>
      <c r="I222" s="1691"/>
      <c r="J222" s="1691"/>
      <c r="K222" s="1691"/>
      <c r="L222" s="1691"/>
      <c r="M222" s="1691"/>
      <c r="N222" s="1691"/>
      <c r="O222" s="1691"/>
      <c r="P222" s="1691"/>
      <c r="Q222" s="1691"/>
      <c r="R222" s="1691"/>
      <c r="S222" s="1691"/>
      <c r="T222" s="1691"/>
      <c r="U222" s="1691"/>
      <c r="V222" s="1691"/>
      <c r="W222" s="1691"/>
      <c r="X222" s="1691"/>
      <c r="Y222" s="1691"/>
      <c r="Z222" s="1686"/>
      <c r="AA222" s="1686"/>
      <c r="AB222" s="1686"/>
      <c r="AC222" s="1686"/>
      <c r="AD222" s="1686"/>
      <c r="AE222" s="1686"/>
      <c r="AF222" s="1686"/>
      <c r="AG222" s="1686"/>
      <c r="AH222" s="1686"/>
      <c r="AI222" s="1686"/>
      <c r="AJ222" s="1686"/>
      <c r="AK222" s="1686"/>
      <c r="AL222" s="1686"/>
      <c r="AM222" s="1686"/>
      <c r="AN222" s="1686"/>
      <c r="AO222" s="1686"/>
      <c r="AP222" s="1686"/>
      <c r="AQ222" s="1686"/>
      <c r="AR222" s="1686"/>
      <c r="AS222" s="1686"/>
      <c r="AT222" s="1686"/>
    </row>
    <row r="223">
      <c r="A223" s="1419"/>
      <c r="B223" s="1687"/>
      <c r="C223" s="1688"/>
      <c r="D223" s="1688"/>
      <c r="E223" s="1690"/>
      <c r="F223" s="1690"/>
      <c r="G223" s="1690"/>
      <c r="H223" s="1690"/>
      <c r="I223" s="1690"/>
      <c r="J223" s="1690"/>
      <c r="K223" s="1690"/>
      <c r="L223" s="1690"/>
      <c r="M223" s="1690"/>
      <c r="N223" s="1690"/>
      <c r="O223" s="1690"/>
      <c r="P223" s="1690"/>
      <c r="Q223" s="1690"/>
      <c r="R223" s="1690"/>
      <c r="S223" s="1690"/>
      <c r="T223" s="1690"/>
      <c r="U223" s="1690"/>
      <c r="V223" s="1690"/>
      <c r="W223" s="1690"/>
      <c r="X223" s="1690"/>
      <c r="Y223" s="1690"/>
      <c r="Z223" s="1690"/>
      <c r="AA223" s="1690"/>
      <c r="AB223" s="1690"/>
      <c r="AC223" s="1690"/>
      <c r="AD223" s="1690"/>
      <c r="AE223" s="1690"/>
      <c r="AF223" s="1690"/>
      <c r="AG223" s="1690"/>
      <c r="AH223" s="1690"/>
      <c r="AI223" s="1690"/>
      <c r="AJ223" s="1690"/>
      <c r="AK223" s="1690"/>
      <c r="AL223" s="1690"/>
      <c r="AM223" s="1690"/>
      <c r="AN223" s="1690"/>
      <c r="AO223" s="1690"/>
      <c r="AP223" s="1690"/>
      <c r="AQ223" s="1690"/>
      <c r="AR223" s="1690"/>
      <c r="AS223" s="1690"/>
      <c r="AT223" s="1690"/>
    </row>
    <row r="224">
      <c r="A224" s="1419"/>
      <c r="B224" s="1684"/>
      <c r="C224" s="1685"/>
      <c r="D224" s="1685"/>
      <c r="E224" s="1691"/>
      <c r="F224" s="1691"/>
      <c r="G224" s="1691"/>
      <c r="H224" s="1691"/>
      <c r="I224" s="1691"/>
      <c r="J224" s="1691"/>
      <c r="K224" s="1691"/>
      <c r="L224" s="1691"/>
      <c r="M224" s="1691"/>
      <c r="N224" s="1691"/>
      <c r="O224" s="1691"/>
      <c r="P224" s="1691"/>
      <c r="Q224" s="1691"/>
      <c r="R224" s="1691"/>
      <c r="S224" s="1691"/>
      <c r="T224" s="1691"/>
      <c r="U224" s="1691"/>
      <c r="V224" s="1691"/>
      <c r="W224" s="1691"/>
      <c r="X224" s="1691"/>
      <c r="Y224" s="1691"/>
      <c r="Z224" s="1686"/>
      <c r="AA224" s="1686"/>
      <c r="AB224" s="1686"/>
      <c r="AC224" s="1686"/>
      <c r="AD224" s="1686"/>
      <c r="AE224" s="1686"/>
      <c r="AF224" s="1686"/>
      <c r="AG224" s="1686"/>
      <c r="AH224" s="1686"/>
      <c r="AI224" s="1686"/>
      <c r="AJ224" s="1686"/>
      <c r="AK224" s="1686"/>
      <c r="AL224" s="1686"/>
      <c r="AM224" s="1686"/>
      <c r="AN224" s="1686"/>
      <c r="AO224" s="1686"/>
      <c r="AP224" s="1686"/>
      <c r="AQ224" s="1686"/>
      <c r="AR224" s="1686"/>
      <c r="AS224" s="1686"/>
      <c r="AT224" s="1686"/>
    </row>
    <row r="225">
      <c r="A225" s="1419"/>
      <c r="B225" s="1687"/>
      <c r="C225" s="1688"/>
      <c r="D225" s="1688"/>
      <c r="E225" s="1690"/>
      <c r="F225" s="1690"/>
      <c r="G225" s="1690"/>
      <c r="H225" s="1690"/>
      <c r="I225" s="1690"/>
      <c r="J225" s="1690"/>
      <c r="K225" s="1690"/>
      <c r="L225" s="1690"/>
      <c r="M225" s="1690"/>
      <c r="N225" s="1690"/>
      <c r="O225" s="1690"/>
      <c r="P225" s="1690"/>
      <c r="Q225" s="1690"/>
      <c r="R225" s="1690"/>
      <c r="S225" s="1690"/>
      <c r="T225" s="1690"/>
      <c r="U225" s="1690"/>
      <c r="V225" s="1690"/>
      <c r="W225" s="1690"/>
      <c r="X225" s="1690"/>
      <c r="Y225" s="1690"/>
      <c r="Z225" s="1690"/>
      <c r="AA225" s="1690"/>
      <c r="AB225" s="1690"/>
      <c r="AC225" s="1690"/>
      <c r="AD225" s="1690"/>
      <c r="AE225" s="1690"/>
      <c r="AF225" s="1690"/>
      <c r="AG225" s="1690"/>
      <c r="AH225" s="1690"/>
      <c r="AI225" s="1690"/>
      <c r="AJ225" s="1690"/>
      <c r="AK225" s="1690"/>
      <c r="AL225" s="1690"/>
      <c r="AM225" s="1690"/>
      <c r="AN225" s="1690"/>
      <c r="AO225" s="1690"/>
      <c r="AP225" s="1690"/>
      <c r="AQ225" s="1690"/>
      <c r="AR225" s="1690"/>
      <c r="AS225" s="1690"/>
      <c r="AT225" s="1690"/>
    </row>
    <row r="226">
      <c r="A226" s="1419"/>
      <c r="B226" s="1684"/>
      <c r="C226" s="1685"/>
      <c r="D226" s="1685"/>
      <c r="E226" s="1686"/>
      <c r="F226" s="1686"/>
      <c r="G226" s="1686"/>
      <c r="H226" s="1686"/>
      <c r="I226" s="1686"/>
      <c r="J226" s="1686"/>
      <c r="K226" s="1686"/>
      <c r="L226" s="1686"/>
      <c r="M226" s="1686"/>
      <c r="N226" s="1686"/>
      <c r="O226" s="1686"/>
      <c r="P226" s="1686"/>
      <c r="Q226" s="1686"/>
      <c r="R226" s="1686"/>
      <c r="S226" s="1686"/>
      <c r="T226" s="1686"/>
      <c r="U226" s="1686"/>
      <c r="V226" s="1686"/>
      <c r="W226" s="1686"/>
      <c r="X226" s="1686"/>
      <c r="Y226" s="1686"/>
      <c r="Z226" s="1686"/>
      <c r="AA226" s="1686"/>
      <c r="AB226" s="1686"/>
      <c r="AC226" s="1686"/>
      <c r="AD226" s="1686"/>
      <c r="AE226" s="1686"/>
      <c r="AF226" s="1686"/>
      <c r="AG226" s="1686"/>
      <c r="AH226" s="1686"/>
      <c r="AI226" s="1686"/>
      <c r="AJ226" s="1686"/>
      <c r="AK226" s="1686"/>
      <c r="AL226" s="1686"/>
      <c r="AM226" s="1686"/>
      <c r="AN226" s="1686"/>
      <c r="AO226" s="1686"/>
      <c r="AP226" s="1686"/>
      <c r="AQ226" s="1686"/>
      <c r="AR226" s="1686"/>
      <c r="AS226" s="1686"/>
      <c r="AT226" s="1686"/>
    </row>
    <row r="227">
      <c r="A227" s="1419"/>
      <c r="B227" s="1687"/>
      <c r="C227" s="1688"/>
      <c r="D227" s="1688"/>
      <c r="E227" s="1689"/>
      <c r="F227" s="1689"/>
      <c r="G227" s="1689"/>
      <c r="H227" s="1689"/>
      <c r="I227" s="1689"/>
      <c r="J227" s="1689"/>
      <c r="K227" s="1689"/>
      <c r="L227" s="1689"/>
      <c r="M227" s="1689"/>
      <c r="N227" s="1689"/>
      <c r="O227" s="1689"/>
      <c r="P227" s="1689"/>
      <c r="Q227" s="1689"/>
      <c r="R227" s="1689"/>
      <c r="S227" s="1689"/>
      <c r="T227" s="1689"/>
      <c r="U227" s="1689"/>
      <c r="V227" s="1689"/>
      <c r="W227" s="1689"/>
      <c r="X227" s="1689"/>
      <c r="Y227" s="1689"/>
      <c r="Z227" s="1690"/>
      <c r="AA227" s="1690"/>
      <c r="AB227" s="1690"/>
      <c r="AC227" s="1690"/>
      <c r="AD227" s="1690"/>
      <c r="AE227" s="1690"/>
      <c r="AF227" s="1690"/>
      <c r="AG227" s="1690"/>
      <c r="AH227" s="1690"/>
      <c r="AI227" s="1690"/>
      <c r="AJ227" s="1690"/>
      <c r="AK227" s="1690"/>
      <c r="AL227" s="1690"/>
      <c r="AM227" s="1690"/>
      <c r="AN227" s="1690"/>
      <c r="AO227" s="1690"/>
      <c r="AP227" s="1690"/>
      <c r="AQ227" s="1690"/>
      <c r="AR227" s="1690"/>
      <c r="AS227" s="1690"/>
      <c r="AT227" s="1690"/>
    </row>
    <row r="228">
      <c r="A228" s="1419"/>
      <c r="B228" s="1684"/>
      <c r="C228" s="1685"/>
      <c r="D228" s="1685"/>
      <c r="E228" s="1686"/>
      <c r="F228" s="1686"/>
      <c r="G228" s="1686"/>
      <c r="H228" s="1686"/>
      <c r="I228" s="1686"/>
      <c r="J228" s="1686"/>
      <c r="K228" s="1686"/>
      <c r="L228" s="1686"/>
      <c r="M228" s="1686"/>
      <c r="N228" s="1686"/>
      <c r="O228" s="1686"/>
      <c r="P228" s="1686"/>
      <c r="Q228" s="1686"/>
      <c r="R228" s="1686"/>
      <c r="S228" s="1686"/>
      <c r="T228" s="1686"/>
      <c r="U228" s="1686"/>
      <c r="V228" s="1686"/>
      <c r="W228" s="1686"/>
      <c r="X228" s="1686"/>
      <c r="Y228" s="1686"/>
      <c r="Z228" s="1686"/>
      <c r="AA228" s="1686"/>
      <c r="AB228" s="1686"/>
      <c r="AC228" s="1686"/>
      <c r="AD228" s="1686"/>
      <c r="AE228" s="1686"/>
      <c r="AF228" s="1686"/>
      <c r="AG228" s="1686"/>
      <c r="AH228" s="1686"/>
      <c r="AI228" s="1686"/>
      <c r="AJ228" s="1686"/>
      <c r="AK228" s="1686"/>
      <c r="AL228" s="1686"/>
      <c r="AM228" s="1686"/>
      <c r="AN228" s="1686"/>
      <c r="AO228" s="1686"/>
      <c r="AP228" s="1686"/>
      <c r="AQ228" s="1686"/>
      <c r="AR228" s="1686"/>
      <c r="AS228" s="1686"/>
      <c r="AT228" s="1686"/>
    </row>
    <row r="229">
      <c r="A229" s="1419"/>
      <c r="B229" s="1687"/>
      <c r="C229" s="1688"/>
      <c r="D229" s="1688"/>
      <c r="E229" s="1690"/>
      <c r="F229" s="1690"/>
      <c r="G229" s="1690"/>
      <c r="H229" s="1690"/>
      <c r="I229" s="1690"/>
      <c r="J229" s="1690"/>
      <c r="K229" s="1690"/>
      <c r="L229" s="1690"/>
      <c r="M229" s="1690"/>
      <c r="N229" s="1690"/>
      <c r="O229" s="1690"/>
      <c r="P229" s="1690"/>
      <c r="Q229" s="1690"/>
      <c r="R229" s="1690"/>
      <c r="S229" s="1690"/>
      <c r="T229" s="1690"/>
      <c r="U229" s="1690"/>
      <c r="V229" s="1690"/>
      <c r="W229" s="1690"/>
      <c r="X229" s="1690"/>
      <c r="Y229" s="1690"/>
      <c r="Z229" s="1690"/>
      <c r="AA229" s="1690"/>
      <c r="AB229" s="1690"/>
      <c r="AC229" s="1690"/>
      <c r="AD229" s="1690"/>
      <c r="AE229" s="1690"/>
      <c r="AF229" s="1690"/>
      <c r="AG229" s="1690"/>
      <c r="AH229" s="1690"/>
      <c r="AI229" s="1690"/>
      <c r="AJ229" s="1690"/>
      <c r="AK229" s="1690"/>
      <c r="AL229" s="1690"/>
      <c r="AM229" s="1690"/>
      <c r="AN229" s="1690"/>
      <c r="AO229" s="1690"/>
      <c r="AP229" s="1690"/>
      <c r="AQ229" s="1690"/>
      <c r="AR229" s="1690"/>
      <c r="AS229" s="1690"/>
      <c r="AT229" s="1690"/>
    </row>
    <row r="230">
      <c r="A230" s="1419"/>
      <c r="B230" s="1684"/>
      <c r="C230" s="1685"/>
      <c r="D230" s="1685"/>
      <c r="E230" s="1691"/>
      <c r="F230" s="1691"/>
      <c r="G230" s="1691"/>
      <c r="H230" s="1691"/>
      <c r="I230" s="1691"/>
      <c r="J230" s="1691"/>
      <c r="K230" s="1691"/>
      <c r="L230" s="1691"/>
      <c r="M230" s="1691"/>
      <c r="N230" s="1691"/>
      <c r="O230" s="1691"/>
      <c r="P230" s="1691"/>
      <c r="Q230" s="1691"/>
      <c r="R230" s="1691"/>
      <c r="S230" s="1691"/>
      <c r="T230" s="1691"/>
      <c r="U230" s="1691"/>
      <c r="V230" s="1691"/>
      <c r="W230" s="1691"/>
      <c r="X230" s="1691"/>
      <c r="Y230" s="1691"/>
      <c r="Z230" s="1686"/>
      <c r="AA230" s="1686"/>
      <c r="AB230" s="1686"/>
      <c r="AC230" s="1686"/>
      <c r="AD230" s="1686"/>
      <c r="AE230" s="1686"/>
      <c r="AF230" s="1686"/>
      <c r="AG230" s="1686"/>
      <c r="AH230" s="1686"/>
      <c r="AI230" s="1686"/>
      <c r="AJ230" s="1686"/>
      <c r="AK230" s="1686"/>
      <c r="AL230" s="1686"/>
      <c r="AM230" s="1686"/>
      <c r="AN230" s="1686"/>
      <c r="AO230" s="1686"/>
      <c r="AP230" s="1686"/>
      <c r="AQ230" s="1686"/>
      <c r="AR230" s="1686"/>
      <c r="AS230" s="1686"/>
      <c r="AT230" s="1686"/>
    </row>
    <row r="231">
      <c r="A231" s="1419"/>
      <c r="B231" s="1687"/>
      <c r="C231" s="1688"/>
      <c r="D231" s="1688"/>
      <c r="E231" s="1689"/>
      <c r="F231" s="1689"/>
      <c r="G231" s="1689"/>
      <c r="H231" s="1689"/>
      <c r="I231" s="1689"/>
      <c r="J231" s="1689"/>
      <c r="K231" s="1689"/>
      <c r="L231" s="1689"/>
      <c r="M231" s="1689"/>
      <c r="N231" s="1689"/>
      <c r="O231" s="1689"/>
      <c r="P231" s="1689"/>
      <c r="Q231" s="1689"/>
      <c r="R231" s="1689"/>
      <c r="S231" s="1689"/>
      <c r="T231" s="1689"/>
      <c r="U231" s="1689"/>
      <c r="V231" s="1689"/>
      <c r="W231" s="1689"/>
      <c r="X231" s="1689"/>
      <c r="Y231" s="1689"/>
      <c r="Z231" s="1690"/>
      <c r="AA231" s="1690"/>
      <c r="AB231" s="1690"/>
      <c r="AC231" s="1690"/>
      <c r="AD231" s="1690"/>
      <c r="AE231" s="1690"/>
      <c r="AF231" s="1690"/>
      <c r="AG231" s="1690"/>
      <c r="AH231" s="1690"/>
      <c r="AI231" s="1690"/>
      <c r="AJ231" s="1690"/>
      <c r="AK231" s="1690"/>
      <c r="AL231" s="1690"/>
      <c r="AM231" s="1690"/>
      <c r="AN231" s="1690"/>
      <c r="AO231" s="1690"/>
      <c r="AP231" s="1690"/>
      <c r="AQ231" s="1690"/>
      <c r="AR231" s="1690"/>
      <c r="AS231" s="1690"/>
      <c r="AT231" s="1690"/>
    </row>
    <row r="232">
      <c r="A232" s="1419"/>
      <c r="B232" s="1684"/>
      <c r="C232" s="1685"/>
      <c r="D232" s="1685"/>
      <c r="E232" s="1686"/>
      <c r="F232" s="1686"/>
      <c r="G232" s="1686"/>
      <c r="H232" s="1686"/>
      <c r="I232" s="1686"/>
      <c r="J232" s="1686"/>
      <c r="K232" s="1686"/>
      <c r="L232" s="1686"/>
      <c r="M232" s="1686"/>
      <c r="N232" s="1686"/>
      <c r="O232" s="1686"/>
      <c r="P232" s="1686"/>
      <c r="Q232" s="1686"/>
      <c r="R232" s="1686"/>
      <c r="S232" s="1686"/>
      <c r="T232" s="1686"/>
      <c r="U232" s="1686"/>
      <c r="V232" s="1686"/>
      <c r="W232" s="1686"/>
      <c r="X232" s="1686"/>
      <c r="Y232" s="1686"/>
      <c r="Z232" s="1686"/>
      <c r="AA232" s="1686"/>
      <c r="AB232" s="1686"/>
      <c r="AC232" s="1686"/>
      <c r="AD232" s="1686"/>
      <c r="AE232" s="1686"/>
      <c r="AF232" s="1686"/>
      <c r="AG232" s="1686"/>
      <c r="AH232" s="1686"/>
      <c r="AI232" s="1686"/>
      <c r="AJ232" s="1686"/>
      <c r="AK232" s="1686"/>
      <c r="AL232" s="1686"/>
      <c r="AM232" s="1686"/>
      <c r="AN232" s="1686"/>
      <c r="AO232" s="1686"/>
      <c r="AP232" s="1686"/>
      <c r="AQ232" s="1686"/>
      <c r="AR232" s="1686"/>
      <c r="AS232" s="1686"/>
      <c r="AT232" s="1686"/>
    </row>
    <row r="233">
      <c r="A233" s="1419"/>
      <c r="B233" s="1687"/>
      <c r="C233" s="1688"/>
      <c r="D233" s="1688"/>
      <c r="E233" s="1690"/>
      <c r="F233" s="1690"/>
      <c r="G233" s="1690"/>
      <c r="H233" s="1690"/>
      <c r="I233" s="1690"/>
      <c r="J233" s="1690"/>
      <c r="K233" s="1690"/>
      <c r="L233" s="1690"/>
      <c r="M233" s="1690"/>
      <c r="N233" s="1690"/>
      <c r="O233" s="1690"/>
      <c r="P233" s="1690"/>
      <c r="Q233" s="1690"/>
      <c r="R233" s="1690"/>
      <c r="S233" s="1690"/>
      <c r="T233" s="1690"/>
      <c r="U233" s="1690"/>
      <c r="V233" s="1690"/>
      <c r="W233" s="1690"/>
      <c r="X233" s="1690"/>
      <c r="Y233" s="1690"/>
      <c r="Z233" s="1690"/>
      <c r="AA233" s="1690"/>
      <c r="AB233" s="1690"/>
      <c r="AC233" s="1690"/>
      <c r="AD233" s="1690"/>
      <c r="AE233" s="1690"/>
      <c r="AF233" s="1690"/>
      <c r="AG233" s="1690"/>
      <c r="AH233" s="1690"/>
      <c r="AI233" s="1690"/>
      <c r="AJ233" s="1690"/>
      <c r="AK233" s="1690"/>
      <c r="AL233" s="1690"/>
      <c r="AM233" s="1690"/>
      <c r="AN233" s="1690"/>
      <c r="AO233" s="1690"/>
      <c r="AP233" s="1690"/>
      <c r="AQ233" s="1690"/>
      <c r="AR233" s="1690"/>
      <c r="AS233" s="1690"/>
      <c r="AT233" s="1690"/>
    </row>
    <row r="234">
      <c r="A234" s="1419"/>
      <c r="B234" s="1684"/>
      <c r="C234" s="1685"/>
      <c r="D234" s="1685"/>
      <c r="E234" s="1686"/>
      <c r="F234" s="1686"/>
      <c r="G234" s="1686"/>
      <c r="H234" s="1686"/>
      <c r="I234" s="1686"/>
      <c r="J234" s="1686"/>
      <c r="K234" s="1686"/>
      <c r="L234" s="1686"/>
      <c r="M234" s="1686"/>
      <c r="N234" s="1686"/>
      <c r="O234" s="1686"/>
      <c r="P234" s="1686"/>
      <c r="Q234" s="1686"/>
      <c r="R234" s="1686"/>
      <c r="S234" s="1686"/>
      <c r="T234" s="1686"/>
      <c r="U234" s="1686"/>
      <c r="V234" s="1686"/>
      <c r="W234" s="1686"/>
      <c r="X234" s="1686"/>
      <c r="Y234" s="1686"/>
      <c r="Z234" s="1686"/>
      <c r="AA234" s="1686"/>
      <c r="AB234" s="1686"/>
      <c r="AC234" s="1686"/>
      <c r="AD234" s="1686"/>
      <c r="AE234" s="1686"/>
      <c r="AF234" s="1686"/>
      <c r="AG234" s="1686"/>
      <c r="AH234" s="1686"/>
      <c r="AI234" s="1686"/>
      <c r="AJ234" s="1686"/>
      <c r="AK234" s="1686"/>
      <c r="AL234" s="1686"/>
      <c r="AM234" s="1686"/>
      <c r="AN234" s="1686"/>
      <c r="AO234" s="1686"/>
      <c r="AP234" s="1686"/>
      <c r="AQ234" s="1686"/>
      <c r="AR234" s="1686"/>
      <c r="AS234" s="1686"/>
      <c r="AT234" s="1686"/>
    </row>
    <row r="235">
      <c r="A235" s="1419"/>
      <c r="B235" s="1687"/>
      <c r="C235" s="1688"/>
      <c r="D235" s="1688"/>
      <c r="E235" s="1689"/>
      <c r="F235" s="1689"/>
      <c r="G235" s="1689"/>
      <c r="H235" s="1689"/>
      <c r="I235" s="1689"/>
      <c r="J235" s="1689"/>
      <c r="K235" s="1689"/>
      <c r="L235" s="1689"/>
      <c r="M235" s="1689"/>
      <c r="N235" s="1689"/>
      <c r="O235" s="1689"/>
      <c r="P235" s="1689"/>
      <c r="Q235" s="1689"/>
      <c r="R235" s="1689"/>
      <c r="S235" s="1689"/>
      <c r="T235" s="1689"/>
      <c r="U235" s="1689"/>
      <c r="V235" s="1689"/>
      <c r="W235" s="1689"/>
      <c r="X235" s="1689"/>
      <c r="Y235" s="1689"/>
      <c r="Z235" s="1690"/>
      <c r="AA235" s="1690"/>
      <c r="AB235" s="1690"/>
      <c r="AC235" s="1690"/>
      <c r="AD235" s="1690"/>
      <c r="AE235" s="1690"/>
      <c r="AF235" s="1690"/>
      <c r="AG235" s="1690"/>
      <c r="AH235" s="1690"/>
      <c r="AI235" s="1690"/>
      <c r="AJ235" s="1690"/>
      <c r="AK235" s="1690"/>
      <c r="AL235" s="1690"/>
      <c r="AM235" s="1690"/>
      <c r="AN235" s="1690"/>
      <c r="AO235" s="1690"/>
      <c r="AP235" s="1690"/>
      <c r="AQ235" s="1690"/>
      <c r="AR235" s="1690"/>
      <c r="AS235" s="1690"/>
      <c r="AT235" s="1690"/>
    </row>
    <row r="236">
      <c r="A236" s="1419"/>
      <c r="B236" s="1684"/>
      <c r="C236" s="1685"/>
      <c r="D236" s="1685"/>
      <c r="E236" s="1686"/>
      <c r="F236" s="1686"/>
      <c r="G236" s="1686"/>
      <c r="H236" s="1686"/>
      <c r="I236" s="1686"/>
      <c r="J236" s="1686"/>
      <c r="K236" s="1686"/>
      <c r="L236" s="1686"/>
      <c r="M236" s="1686"/>
      <c r="N236" s="1686"/>
      <c r="O236" s="1686"/>
      <c r="P236" s="1686"/>
      <c r="Q236" s="1686"/>
      <c r="R236" s="1686"/>
      <c r="S236" s="1686"/>
      <c r="T236" s="1686"/>
      <c r="U236" s="1686"/>
      <c r="V236" s="1686"/>
      <c r="W236" s="1686"/>
      <c r="X236" s="1686"/>
      <c r="Y236" s="1686"/>
      <c r="Z236" s="1686"/>
      <c r="AA236" s="1686"/>
      <c r="AB236" s="1686"/>
      <c r="AC236" s="1686"/>
      <c r="AD236" s="1686"/>
      <c r="AE236" s="1686"/>
      <c r="AF236" s="1686"/>
      <c r="AG236" s="1686"/>
      <c r="AH236" s="1686"/>
      <c r="AI236" s="1686"/>
      <c r="AJ236" s="1686"/>
      <c r="AK236" s="1686"/>
      <c r="AL236" s="1686"/>
      <c r="AM236" s="1686"/>
      <c r="AN236" s="1686"/>
      <c r="AO236" s="1686"/>
      <c r="AP236" s="1686"/>
      <c r="AQ236" s="1686"/>
      <c r="AR236" s="1686"/>
      <c r="AS236" s="1686"/>
      <c r="AT236" s="1686"/>
    </row>
    <row r="237">
      <c r="A237" s="1419"/>
      <c r="B237" s="1687"/>
      <c r="C237" s="1688"/>
      <c r="D237" s="1688"/>
      <c r="E237" s="1690"/>
      <c r="F237" s="1690"/>
      <c r="G237" s="1690"/>
      <c r="H237" s="1690"/>
      <c r="I237" s="1690"/>
      <c r="J237" s="1690"/>
      <c r="K237" s="1690"/>
      <c r="L237" s="1690"/>
      <c r="M237" s="1690"/>
      <c r="N237" s="1690"/>
      <c r="O237" s="1690"/>
      <c r="P237" s="1690"/>
      <c r="Q237" s="1690"/>
      <c r="R237" s="1690"/>
      <c r="S237" s="1690"/>
      <c r="T237" s="1690"/>
      <c r="U237" s="1690"/>
      <c r="V237" s="1690"/>
      <c r="W237" s="1690"/>
      <c r="X237" s="1690"/>
      <c r="Y237" s="1690"/>
      <c r="Z237" s="1690"/>
      <c r="AA237" s="1690"/>
      <c r="AB237" s="1690"/>
      <c r="AC237" s="1690"/>
      <c r="AD237" s="1690"/>
      <c r="AE237" s="1690"/>
      <c r="AF237" s="1690"/>
      <c r="AG237" s="1690"/>
      <c r="AH237" s="1690"/>
      <c r="AI237" s="1690"/>
      <c r="AJ237" s="1690"/>
      <c r="AK237" s="1690"/>
      <c r="AL237" s="1690"/>
      <c r="AM237" s="1690"/>
      <c r="AN237" s="1690"/>
      <c r="AO237" s="1690"/>
      <c r="AP237" s="1690"/>
      <c r="AQ237" s="1690"/>
      <c r="AR237" s="1690"/>
      <c r="AS237" s="1690"/>
      <c r="AT237" s="1690"/>
    </row>
    <row r="238">
      <c r="A238" s="1419"/>
      <c r="B238" s="1684"/>
      <c r="C238" s="1685"/>
      <c r="D238" s="1685"/>
      <c r="E238" s="1691"/>
      <c r="F238" s="1691"/>
      <c r="G238" s="1691"/>
      <c r="H238" s="1691"/>
      <c r="I238" s="1691"/>
      <c r="J238" s="1691"/>
      <c r="K238" s="1691"/>
      <c r="L238" s="1691"/>
      <c r="M238" s="1691"/>
      <c r="N238" s="1691"/>
      <c r="O238" s="1691"/>
      <c r="P238" s="1691"/>
      <c r="Q238" s="1691"/>
      <c r="R238" s="1691"/>
      <c r="S238" s="1691"/>
      <c r="T238" s="1691"/>
      <c r="U238" s="1691"/>
      <c r="V238" s="1691"/>
      <c r="W238" s="1691"/>
      <c r="X238" s="1691"/>
      <c r="Y238" s="1691"/>
      <c r="Z238" s="1686"/>
      <c r="AA238" s="1686"/>
      <c r="AB238" s="1686"/>
      <c r="AC238" s="1686"/>
      <c r="AD238" s="1686"/>
      <c r="AE238" s="1686"/>
      <c r="AF238" s="1686"/>
      <c r="AG238" s="1686"/>
      <c r="AH238" s="1686"/>
      <c r="AI238" s="1686"/>
      <c r="AJ238" s="1686"/>
      <c r="AK238" s="1686"/>
      <c r="AL238" s="1686"/>
      <c r="AM238" s="1686"/>
      <c r="AN238" s="1686"/>
      <c r="AO238" s="1686"/>
      <c r="AP238" s="1686"/>
      <c r="AQ238" s="1686"/>
      <c r="AR238" s="1686"/>
      <c r="AS238" s="1686"/>
      <c r="AT238" s="1686"/>
    </row>
    <row r="239">
      <c r="A239" s="1419"/>
      <c r="B239" s="1687"/>
      <c r="C239" s="1688"/>
      <c r="D239" s="1688"/>
      <c r="E239" s="1690"/>
      <c r="F239" s="1690"/>
      <c r="G239" s="1690"/>
      <c r="H239" s="1690"/>
      <c r="I239" s="1690"/>
      <c r="J239" s="1690"/>
      <c r="K239" s="1690"/>
      <c r="L239" s="1690"/>
      <c r="M239" s="1690"/>
      <c r="N239" s="1690"/>
      <c r="O239" s="1690"/>
      <c r="P239" s="1690"/>
      <c r="Q239" s="1690"/>
      <c r="R239" s="1690"/>
      <c r="S239" s="1690"/>
      <c r="T239" s="1690"/>
      <c r="U239" s="1690"/>
      <c r="V239" s="1690"/>
      <c r="W239" s="1690"/>
      <c r="X239" s="1690"/>
      <c r="Y239" s="1690"/>
      <c r="Z239" s="1690"/>
      <c r="AA239" s="1690"/>
      <c r="AB239" s="1690"/>
      <c r="AC239" s="1690"/>
      <c r="AD239" s="1690"/>
      <c r="AE239" s="1690"/>
      <c r="AF239" s="1690"/>
      <c r="AG239" s="1690"/>
      <c r="AH239" s="1690"/>
      <c r="AI239" s="1690"/>
      <c r="AJ239" s="1690"/>
      <c r="AK239" s="1690"/>
      <c r="AL239" s="1690"/>
      <c r="AM239" s="1690"/>
      <c r="AN239" s="1690"/>
      <c r="AO239" s="1690"/>
      <c r="AP239" s="1690"/>
      <c r="AQ239" s="1690"/>
      <c r="AR239" s="1690"/>
      <c r="AS239" s="1690"/>
      <c r="AT239" s="1690"/>
    </row>
    <row r="240">
      <c r="A240" s="1419"/>
      <c r="B240" s="1684"/>
      <c r="C240" s="1685"/>
      <c r="D240" s="1685"/>
      <c r="E240" s="1686"/>
      <c r="F240" s="1686"/>
      <c r="G240" s="1686"/>
      <c r="H240" s="1686"/>
      <c r="I240" s="1686"/>
      <c r="J240" s="1686"/>
      <c r="K240" s="1686"/>
      <c r="L240" s="1686"/>
      <c r="M240" s="1686"/>
      <c r="N240" s="1686"/>
      <c r="O240" s="1686"/>
      <c r="P240" s="1686"/>
      <c r="Q240" s="1686"/>
      <c r="R240" s="1686"/>
      <c r="S240" s="1686"/>
      <c r="T240" s="1686"/>
      <c r="U240" s="1686"/>
      <c r="V240" s="1686"/>
      <c r="W240" s="1686"/>
      <c r="X240" s="1686"/>
      <c r="Y240" s="1686"/>
      <c r="Z240" s="1686"/>
      <c r="AA240" s="1686"/>
      <c r="AB240" s="1686"/>
      <c r="AC240" s="1686"/>
      <c r="AD240" s="1686"/>
      <c r="AE240" s="1686"/>
      <c r="AF240" s="1686"/>
      <c r="AG240" s="1686"/>
      <c r="AH240" s="1686"/>
      <c r="AI240" s="1686"/>
      <c r="AJ240" s="1686"/>
      <c r="AK240" s="1686"/>
      <c r="AL240" s="1686"/>
      <c r="AM240" s="1686"/>
      <c r="AN240" s="1686"/>
      <c r="AO240" s="1686"/>
      <c r="AP240" s="1686"/>
      <c r="AQ240" s="1686"/>
      <c r="AR240" s="1686"/>
      <c r="AS240" s="1686"/>
      <c r="AT240" s="1686"/>
    </row>
    <row r="241">
      <c r="A241" s="1419"/>
      <c r="B241" s="1687"/>
      <c r="C241" s="1688"/>
      <c r="D241" s="1688"/>
      <c r="E241" s="1690"/>
      <c r="F241" s="1690"/>
      <c r="G241" s="1690"/>
      <c r="H241" s="1690"/>
      <c r="I241" s="1690"/>
      <c r="J241" s="1690"/>
      <c r="K241" s="1690"/>
      <c r="L241" s="1690"/>
      <c r="M241" s="1690"/>
      <c r="N241" s="1690"/>
      <c r="O241" s="1690"/>
      <c r="P241" s="1690"/>
      <c r="Q241" s="1690"/>
      <c r="R241" s="1690"/>
      <c r="S241" s="1690"/>
      <c r="T241" s="1690"/>
      <c r="U241" s="1690"/>
      <c r="V241" s="1690"/>
      <c r="W241" s="1690"/>
      <c r="X241" s="1690"/>
      <c r="Y241" s="1690"/>
      <c r="Z241" s="1690"/>
      <c r="AA241" s="1690"/>
      <c r="AB241" s="1690"/>
      <c r="AC241" s="1690"/>
      <c r="AD241" s="1690"/>
      <c r="AE241" s="1690"/>
      <c r="AF241" s="1690"/>
      <c r="AG241" s="1690"/>
      <c r="AH241" s="1690"/>
      <c r="AI241" s="1690"/>
      <c r="AJ241" s="1690"/>
      <c r="AK241" s="1690"/>
      <c r="AL241" s="1690"/>
      <c r="AM241" s="1690"/>
      <c r="AN241" s="1690"/>
      <c r="AO241" s="1690"/>
      <c r="AP241" s="1690"/>
      <c r="AQ241" s="1690"/>
      <c r="AR241" s="1690"/>
      <c r="AS241" s="1690"/>
      <c r="AT241" s="1690"/>
    </row>
    <row r="242">
      <c r="A242" s="1419"/>
      <c r="B242" s="1684"/>
      <c r="C242" s="1685"/>
      <c r="D242" s="1685"/>
      <c r="E242" s="1686"/>
      <c r="F242" s="1686"/>
      <c r="G242" s="1686"/>
      <c r="H242" s="1686"/>
      <c r="I242" s="1686"/>
      <c r="J242" s="1686"/>
      <c r="K242" s="1686"/>
      <c r="L242" s="1686"/>
      <c r="M242" s="1686"/>
      <c r="N242" s="1686"/>
      <c r="O242" s="1686"/>
      <c r="P242" s="1686"/>
      <c r="Q242" s="1686"/>
      <c r="R242" s="1686"/>
      <c r="S242" s="1686"/>
      <c r="T242" s="1686"/>
      <c r="U242" s="1686"/>
      <c r="V242" s="1686"/>
      <c r="W242" s="1686"/>
      <c r="X242" s="1686"/>
      <c r="Y242" s="1686"/>
      <c r="Z242" s="1686"/>
      <c r="AA242" s="1686"/>
      <c r="AB242" s="1686"/>
      <c r="AC242" s="1686"/>
      <c r="AD242" s="1686"/>
      <c r="AE242" s="1686"/>
      <c r="AF242" s="1686"/>
      <c r="AG242" s="1686"/>
      <c r="AH242" s="1686"/>
      <c r="AI242" s="1686"/>
      <c r="AJ242" s="1686"/>
      <c r="AK242" s="1686"/>
      <c r="AL242" s="1686"/>
      <c r="AM242" s="1686"/>
      <c r="AN242" s="1686"/>
      <c r="AO242" s="1686"/>
      <c r="AP242" s="1686"/>
      <c r="AQ242" s="1686"/>
      <c r="AR242" s="1686"/>
      <c r="AS242" s="1686"/>
      <c r="AT242" s="1686"/>
    </row>
    <row r="243">
      <c r="A243" s="1419"/>
      <c r="B243" s="1687"/>
      <c r="C243" s="1688"/>
      <c r="D243" s="1688"/>
      <c r="E243" s="1689"/>
      <c r="F243" s="1689"/>
      <c r="G243" s="1689"/>
      <c r="H243" s="1689"/>
      <c r="I243" s="1689"/>
      <c r="J243" s="1689"/>
      <c r="K243" s="1689"/>
      <c r="L243" s="1689"/>
      <c r="M243" s="1689"/>
      <c r="N243" s="1689"/>
      <c r="O243" s="1689"/>
      <c r="P243" s="1689"/>
      <c r="Q243" s="1689"/>
      <c r="R243" s="1689"/>
      <c r="S243" s="1689"/>
      <c r="T243" s="1689"/>
      <c r="U243" s="1689"/>
      <c r="V243" s="1689"/>
      <c r="W243" s="1689"/>
      <c r="X243" s="1689"/>
      <c r="Y243" s="1689"/>
      <c r="Z243" s="1690"/>
      <c r="AA243" s="1690"/>
      <c r="AB243" s="1690"/>
      <c r="AC243" s="1690"/>
      <c r="AD243" s="1690"/>
      <c r="AE243" s="1690"/>
      <c r="AF243" s="1690"/>
      <c r="AG243" s="1690"/>
      <c r="AH243" s="1690"/>
      <c r="AI243" s="1690"/>
      <c r="AJ243" s="1690"/>
      <c r="AK243" s="1690"/>
      <c r="AL243" s="1690"/>
      <c r="AM243" s="1690"/>
      <c r="AN243" s="1690"/>
      <c r="AO243" s="1690"/>
      <c r="AP243" s="1690"/>
      <c r="AQ243" s="1690"/>
      <c r="AR243" s="1690"/>
      <c r="AS243" s="1690"/>
      <c r="AT243" s="1690"/>
    </row>
    <row r="244">
      <c r="A244" s="1419"/>
      <c r="B244" s="1684"/>
      <c r="C244" s="1685"/>
      <c r="D244" s="1685"/>
      <c r="E244" s="1686"/>
      <c r="F244" s="1686"/>
      <c r="G244" s="1686"/>
      <c r="H244" s="1686"/>
      <c r="I244" s="1686"/>
      <c r="J244" s="1686"/>
      <c r="K244" s="1686"/>
      <c r="L244" s="1686"/>
      <c r="M244" s="1686"/>
      <c r="N244" s="1686"/>
      <c r="O244" s="1686"/>
      <c r="P244" s="1686"/>
      <c r="Q244" s="1686"/>
      <c r="R244" s="1686"/>
      <c r="S244" s="1686"/>
      <c r="T244" s="1686"/>
      <c r="U244" s="1686"/>
      <c r="V244" s="1686"/>
      <c r="W244" s="1686"/>
      <c r="X244" s="1686"/>
      <c r="Y244" s="1686"/>
      <c r="Z244" s="1686"/>
      <c r="AA244" s="1686"/>
      <c r="AB244" s="1686"/>
      <c r="AC244" s="1686"/>
      <c r="AD244" s="1686"/>
      <c r="AE244" s="1686"/>
      <c r="AF244" s="1686"/>
      <c r="AG244" s="1686"/>
      <c r="AH244" s="1686"/>
      <c r="AI244" s="1686"/>
      <c r="AJ244" s="1686"/>
      <c r="AK244" s="1686"/>
      <c r="AL244" s="1686"/>
      <c r="AM244" s="1686"/>
      <c r="AN244" s="1686"/>
      <c r="AO244" s="1686"/>
      <c r="AP244" s="1686"/>
      <c r="AQ244" s="1686"/>
      <c r="AR244" s="1686"/>
      <c r="AS244" s="1686"/>
      <c r="AT244" s="1686"/>
    </row>
    <row r="245">
      <c r="A245" s="1419"/>
      <c r="B245" s="1687"/>
      <c r="C245" s="1688"/>
      <c r="D245" s="1688"/>
      <c r="E245" s="1689"/>
      <c r="F245" s="1689"/>
      <c r="G245" s="1689"/>
      <c r="H245" s="1689"/>
      <c r="I245" s="1689"/>
      <c r="J245" s="1689"/>
      <c r="K245" s="1689"/>
      <c r="L245" s="1689"/>
      <c r="M245" s="1689"/>
      <c r="N245" s="1689"/>
      <c r="O245" s="1689"/>
      <c r="P245" s="1689"/>
      <c r="Q245" s="1689"/>
      <c r="R245" s="1689"/>
      <c r="S245" s="1689"/>
      <c r="T245" s="1689"/>
      <c r="U245" s="1689"/>
      <c r="V245" s="1689"/>
      <c r="W245" s="1689"/>
      <c r="X245" s="1689"/>
      <c r="Y245" s="1689"/>
      <c r="Z245" s="1690"/>
      <c r="AA245" s="1690"/>
      <c r="AB245" s="1690"/>
      <c r="AC245" s="1690"/>
      <c r="AD245" s="1690"/>
      <c r="AE245" s="1690"/>
      <c r="AF245" s="1690"/>
      <c r="AG245" s="1690"/>
      <c r="AH245" s="1690"/>
      <c r="AI245" s="1690"/>
      <c r="AJ245" s="1690"/>
      <c r="AK245" s="1690"/>
      <c r="AL245" s="1690"/>
      <c r="AM245" s="1690"/>
      <c r="AN245" s="1690"/>
      <c r="AO245" s="1690"/>
      <c r="AP245" s="1690"/>
      <c r="AQ245" s="1690"/>
      <c r="AR245" s="1690"/>
      <c r="AS245" s="1690"/>
      <c r="AT245" s="1690"/>
    </row>
    <row r="246">
      <c r="A246" s="1419"/>
      <c r="B246" s="1684"/>
      <c r="C246" s="1685"/>
      <c r="D246" s="1685"/>
      <c r="E246" s="1691"/>
      <c r="F246" s="1691"/>
      <c r="G246" s="1691"/>
      <c r="H246" s="1691"/>
      <c r="I246" s="1691"/>
      <c r="J246" s="1691"/>
      <c r="K246" s="1691"/>
      <c r="L246" s="1691"/>
      <c r="M246" s="1691"/>
      <c r="N246" s="1691"/>
      <c r="O246" s="1691"/>
      <c r="P246" s="1691"/>
      <c r="Q246" s="1691"/>
      <c r="R246" s="1691"/>
      <c r="S246" s="1691"/>
      <c r="T246" s="1691"/>
      <c r="U246" s="1691"/>
      <c r="V246" s="1691"/>
      <c r="W246" s="1691"/>
      <c r="X246" s="1691"/>
      <c r="Y246" s="1691"/>
      <c r="Z246" s="1686"/>
      <c r="AA246" s="1686"/>
      <c r="AB246" s="1686"/>
      <c r="AC246" s="1686"/>
      <c r="AD246" s="1686"/>
      <c r="AE246" s="1686"/>
      <c r="AF246" s="1686"/>
      <c r="AG246" s="1686"/>
      <c r="AH246" s="1686"/>
      <c r="AI246" s="1686"/>
      <c r="AJ246" s="1686"/>
      <c r="AK246" s="1686"/>
      <c r="AL246" s="1686"/>
      <c r="AM246" s="1686"/>
      <c r="AN246" s="1686"/>
      <c r="AO246" s="1686"/>
      <c r="AP246" s="1686"/>
      <c r="AQ246" s="1686"/>
      <c r="AR246" s="1686"/>
      <c r="AS246" s="1686"/>
      <c r="AT246" s="1686"/>
    </row>
    <row r="247">
      <c r="A247" s="1419"/>
      <c r="B247" s="1687"/>
      <c r="C247" s="1688"/>
      <c r="D247" s="1688"/>
      <c r="E247" s="1690"/>
      <c r="F247" s="1690"/>
      <c r="G247" s="1690"/>
      <c r="H247" s="1690"/>
      <c r="I247" s="1690"/>
      <c r="J247" s="1690"/>
      <c r="K247" s="1690"/>
      <c r="L247" s="1690"/>
      <c r="M247" s="1690"/>
      <c r="N247" s="1690"/>
      <c r="O247" s="1690"/>
      <c r="P247" s="1690"/>
      <c r="Q247" s="1690"/>
      <c r="R247" s="1690"/>
      <c r="S247" s="1690"/>
      <c r="T247" s="1690"/>
      <c r="U247" s="1690"/>
      <c r="V247" s="1690"/>
      <c r="W247" s="1690"/>
      <c r="X247" s="1690"/>
      <c r="Y247" s="1690"/>
      <c r="Z247" s="1690"/>
      <c r="AA247" s="1690"/>
      <c r="AB247" s="1690"/>
      <c r="AC247" s="1690"/>
      <c r="AD247" s="1690"/>
      <c r="AE247" s="1690"/>
      <c r="AF247" s="1690"/>
      <c r="AG247" s="1690"/>
      <c r="AH247" s="1690"/>
      <c r="AI247" s="1690"/>
      <c r="AJ247" s="1690"/>
      <c r="AK247" s="1690"/>
      <c r="AL247" s="1690"/>
      <c r="AM247" s="1690"/>
      <c r="AN247" s="1690"/>
      <c r="AO247" s="1690"/>
      <c r="AP247" s="1690"/>
      <c r="AQ247" s="1690"/>
      <c r="AR247" s="1690"/>
      <c r="AS247" s="1690"/>
      <c r="AT247" s="1690"/>
    </row>
    <row r="248">
      <c r="A248" s="1419"/>
      <c r="B248" s="1684"/>
      <c r="C248" s="1685"/>
      <c r="D248" s="1685"/>
      <c r="E248" s="1691"/>
      <c r="F248" s="1691"/>
      <c r="G248" s="1691"/>
      <c r="H248" s="1691"/>
      <c r="I248" s="1691"/>
      <c r="J248" s="1691"/>
      <c r="K248" s="1691"/>
      <c r="L248" s="1691"/>
      <c r="M248" s="1691"/>
      <c r="N248" s="1691"/>
      <c r="O248" s="1691"/>
      <c r="P248" s="1691"/>
      <c r="Q248" s="1691"/>
      <c r="R248" s="1691"/>
      <c r="S248" s="1691"/>
      <c r="T248" s="1691"/>
      <c r="U248" s="1691"/>
      <c r="V248" s="1691"/>
      <c r="W248" s="1691"/>
      <c r="X248" s="1691"/>
      <c r="Y248" s="1691"/>
      <c r="Z248" s="1686"/>
      <c r="AA248" s="1686"/>
      <c r="AB248" s="1686"/>
      <c r="AC248" s="1686"/>
      <c r="AD248" s="1686"/>
      <c r="AE248" s="1686"/>
      <c r="AF248" s="1686"/>
      <c r="AG248" s="1686"/>
      <c r="AH248" s="1686"/>
      <c r="AI248" s="1686"/>
      <c r="AJ248" s="1686"/>
      <c r="AK248" s="1686"/>
      <c r="AL248" s="1686"/>
      <c r="AM248" s="1686"/>
      <c r="AN248" s="1686"/>
      <c r="AO248" s="1686"/>
      <c r="AP248" s="1686"/>
      <c r="AQ248" s="1686"/>
      <c r="AR248" s="1686"/>
      <c r="AS248" s="1686"/>
      <c r="AT248" s="1686"/>
    </row>
    <row r="249">
      <c r="A249" s="1419"/>
      <c r="B249" s="1687"/>
      <c r="C249" s="1688"/>
      <c r="D249" s="1688"/>
      <c r="E249" s="1690"/>
      <c r="F249" s="1690"/>
      <c r="G249" s="1690"/>
      <c r="H249" s="1690"/>
      <c r="I249" s="1690"/>
      <c r="J249" s="1690"/>
      <c r="K249" s="1690"/>
      <c r="L249" s="1690"/>
      <c r="M249" s="1690"/>
      <c r="N249" s="1690"/>
      <c r="O249" s="1690"/>
      <c r="P249" s="1690"/>
      <c r="Q249" s="1690"/>
      <c r="R249" s="1690"/>
      <c r="S249" s="1690"/>
      <c r="T249" s="1690"/>
      <c r="U249" s="1690"/>
      <c r="V249" s="1690"/>
      <c r="W249" s="1690"/>
      <c r="X249" s="1690"/>
      <c r="Y249" s="1690"/>
      <c r="Z249" s="1690"/>
      <c r="AA249" s="1690"/>
      <c r="AB249" s="1690"/>
      <c r="AC249" s="1690"/>
      <c r="AD249" s="1690"/>
      <c r="AE249" s="1690"/>
      <c r="AF249" s="1690"/>
      <c r="AG249" s="1690"/>
      <c r="AH249" s="1690"/>
      <c r="AI249" s="1690"/>
      <c r="AJ249" s="1690"/>
      <c r="AK249" s="1690"/>
      <c r="AL249" s="1690"/>
      <c r="AM249" s="1690"/>
      <c r="AN249" s="1690"/>
      <c r="AO249" s="1690"/>
      <c r="AP249" s="1690"/>
      <c r="AQ249" s="1690"/>
      <c r="AR249" s="1690"/>
      <c r="AS249" s="1690"/>
      <c r="AT249" s="1690"/>
    </row>
    <row r="250">
      <c r="A250" s="1419"/>
      <c r="B250" s="1684"/>
      <c r="C250" s="1685"/>
      <c r="D250" s="1685"/>
      <c r="E250" s="1691"/>
      <c r="F250" s="1691"/>
      <c r="G250" s="1691"/>
      <c r="H250" s="1691"/>
      <c r="I250" s="1691"/>
      <c r="J250" s="1691"/>
      <c r="K250" s="1691"/>
      <c r="L250" s="1691"/>
      <c r="M250" s="1691"/>
      <c r="N250" s="1691"/>
      <c r="O250" s="1691"/>
      <c r="P250" s="1691"/>
      <c r="Q250" s="1691"/>
      <c r="R250" s="1691"/>
      <c r="S250" s="1691"/>
      <c r="T250" s="1691"/>
      <c r="U250" s="1691"/>
      <c r="V250" s="1691"/>
      <c r="W250" s="1691"/>
      <c r="X250" s="1691"/>
      <c r="Y250" s="1691"/>
      <c r="Z250" s="1686"/>
      <c r="AA250" s="1686"/>
      <c r="AB250" s="1686"/>
      <c r="AC250" s="1686"/>
      <c r="AD250" s="1686"/>
      <c r="AE250" s="1686"/>
      <c r="AF250" s="1686"/>
      <c r="AG250" s="1686"/>
      <c r="AH250" s="1686"/>
      <c r="AI250" s="1686"/>
      <c r="AJ250" s="1686"/>
      <c r="AK250" s="1686"/>
      <c r="AL250" s="1686"/>
      <c r="AM250" s="1686"/>
      <c r="AN250" s="1686"/>
      <c r="AO250" s="1686"/>
      <c r="AP250" s="1686"/>
      <c r="AQ250" s="1686"/>
      <c r="AR250" s="1686"/>
      <c r="AS250" s="1686"/>
      <c r="AT250" s="1686"/>
    </row>
    <row r="251">
      <c r="A251" s="1419"/>
      <c r="B251" s="1687"/>
      <c r="C251" s="1688"/>
      <c r="D251" s="1688"/>
      <c r="E251" s="1690"/>
      <c r="F251" s="1690"/>
      <c r="G251" s="1690"/>
      <c r="H251" s="1690"/>
      <c r="I251" s="1690"/>
      <c r="J251" s="1690"/>
      <c r="K251" s="1690"/>
      <c r="L251" s="1690"/>
      <c r="M251" s="1690"/>
      <c r="N251" s="1690"/>
      <c r="O251" s="1690"/>
      <c r="P251" s="1690"/>
      <c r="Q251" s="1690"/>
      <c r="R251" s="1690"/>
      <c r="S251" s="1690"/>
      <c r="T251" s="1690"/>
      <c r="U251" s="1690"/>
      <c r="V251" s="1690"/>
      <c r="W251" s="1690"/>
      <c r="X251" s="1690"/>
      <c r="Y251" s="1690"/>
      <c r="Z251" s="1690"/>
      <c r="AA251" s="1690"/>
      <c r="AB251" s="1690"/>
      <c r="AC251" s="1690"/>
      <c r="AD251" s="1690"/>
      <c r="AE251" s="1690"/>
      <c r="AF251" s="1690"/>
      <c r="AG251" s="1690"/>
      <c r="AH251" s="1690"/>
      <c r="AI251" s="1690"/>
      <c r="AJ251" s="1690"/>
      <c r="AK251" s="1690"/>
      <c r="AL251" s="1690"/>
      <c r="AM251" s="1690"/>
      <c r="AN251" s="1690"/>
      <c r="AO251" s="1690"/>
      <c r="AP251" s="1690"/>
      <c r="AQ251" s="1690"/>
      <c r="AR251" s="1690"/>
      <c r="AS251" s="1690"/>
      <c r="AT251" s="1690"/>
    </row>
    <row r="252">
      <c r="A252" s="1440" t="s">
        <v>2461</v>
      </c>
      <c r="B252" s="1684"/>
      <c r="C252" s="1685"/>
      <c r="D252" s="1685"/>
      <c r="E252" s="1691"/>
      <c r="F252" s="1691"/>
      <c r="G252" s="1691"/>
      <c r="H252" s="1691"/>
      <c r="I252" s="1691"/>
      <c r="J252" s="1691"/>
      <c r="K252" s="1691"/>
      <c r="L252" s="1691"/>
      <c r="M252" s="1691"/>
      <c r="N252" s="1691"/>
      <c r="O252" s="1691"/>
      <c r="P252" s="1691"/>
      <c r="Q252" s="1691"/>
      <c r="R252" s="1691"/>
      <c r="S252" s="1691"/>
      <c r="T252" s="1691"/>
      <c r="U252" s="1691"/>
      <c r="V252" s="1691"/>
      <c r="W252" s="1691"/>
      <c r="X252" s="1691"/>
      <c r="Y252" s="1691"/>
      <c r="Z252" s="1686"/>
      <c r="AA252" s="1686"/>
      <c r="AB252" s="1686"/>
      <c r="AC252" s="1686"/>
      <c r="AD252" s="1686"/>
      <c r="AE252" s="1686"/>
      <c r="AF252" s="1686"/>
      <c r="AG252" s="1686"/>
      <c r="AH252" s="1686"/>
      <c r="AI252" s="1686"/>
      <c r="AJ252" s="1686"/>
      <c r="AK252" s="1686"/>
      <c r="AL252" s="1686"/>
      <c r="AM252" s="1686"/>
      <c r="AN252" s="1686"/>
      <c r="AO252" s="1686"/>
      <c r="AP252" s="1686"/>
      <c r="AQ252" s="1686"/>
      <c r="AR252" s="1686"/>
      <c r="AS252" s="1686"/>
      <c r="AT252" s="1686"/>
    </row>
    <row r="253">
      <c r="A253" s="1440" t="s">
        <v>2461</v>
      </c>
      <c r="B253" s="1687"/>
      <c r="C253" s="1688"/>
      <c r="D253" s="1688"/>
      <c r="E253" s="1689"/>
      <c r="F253" s="1689"/>
      <c r="G253" s="1689"/>
      <c r="H253" s="1689"/>
      <c r="I253" s="1689"/>
      <c r="J253" s="1689"/>
      <c r="K253" s="1689"/>
      <c r="L253" s="1689"/>
      <c r="M253" s="1689"/>
      <c r="N253" s="1689"/>
      <c r="O253" s="1689"/>
      <c r="P253" s="1689"/>
      <c r="Q253" s="1689"/>
      <c r="R253" s="1689"/>
      <c r="S253" s="1689"/>
      <c r="T253" s="1689"/>
      <c r="U253" s="1689"/>
      <c r="V253" s="1689"/>
      <c r="W253" s="1689"/>
      <c r="X253" s="1689"/>
      <c r="Y253" s="1689"/>
      <c r="Z253" s="1690"/>
      <c r="AA253" s="1690"/>
      <c r="AB253" s="1690"/>
      <c r="AC253" s="1690"/>
      <c r="AD253" s="1690"/>
      <c r="AE253" s="1690"/>
      <c r="AF253" s="1690"/>
      <c r="AG253" s="1690"/>
      <c r="AH253" s="1690"/>
      <c r="AI253" s="1690"/>
      <c r="AJ253" s="1690"/>
      <c r="AK253" s="1690"/>
      <c r="AL253" s="1690"/>
      <c r="AM253" s="1690"/>
      <c r="AN253" s="1690"/>
      <c r="AO253" s="1690"/>
      <c r="AP253" s="1690"/>
      <c r="AQ253" s="1690"/>
      <c r="AR253" s="1690"/>
      <c r="AS253" s="1690"/>
      <c r="AT253" s="1690"/>
    </row>
    <row r="254">
      <c r="A254" s="1419"/>
      <c r="B254" s="1684"/>
      <c r="C254" s="1685"/>
      <c r="D254" s="1685"/>
      <c r="E254" s="1691"/>
      <c r="F254" s="1691"/>
      <c r="G254" s="1691"/>
      <c r="H254" s="1691"/>
      <c r="I254" s="1691"/>
      <c r="J254" s="1691"/>
      <c r="K254" s="1691"/>
      <c r="L254" s="1691"/>
      <c r="M254" s="1691"/>
      <c r="N254" s="1691"/>
      <c r="O254" s="1691"/>
      <c r="P254" s="1691"/>
      <c r="Q254" s="1691"/>
      <c r="R254" s="1691"/>
      <c r="S254" s="1691"/>
      <c r="T254" s="1691"/>
      <c r="U254" s="1691"/>
      <c r="V254" s="1691"/>
      <c r="W254" s="1691"/>
      <c r="X254" s="1691"/>
      <c r="Y254" s="1691"/>
      <c r="Z254" s="1686"/>
      <c r="AA254" s="1686"/>
      <c r="AB254" s="1686"/>
      <c r="AC254" s="1686"/>
      <c r="AD254" s="1686"/>
      <c r="AE254" s="1686"/>
      <c r="AF254" s="1686"/>
      <c r="AG254" s="1686"/>
      <c r="AH254" s="1686"/>
      <c r="AI254" s="1686"/>
      <c r="AJ254" s="1686"/>
      <c r="AK254" s="1686"/>
      <c r="AL254" s="1686"/>
      <c r="AM254" s="1686"/>
      <c r="AN254" s="1686"/>
      <c r="AO254" s="1686"/>
      <c r="AP254" s="1686"/>
      <c r="AQ254" s="1686"/>
      <c r="AR254" s="1686"/>
      <c r="AS254" s="1686"/>
      <c r="AT254" s="1686"/>
    </row>
    <row r="255">
      <c r="A255" s="1419"/>
      <c r="B255" s="1687"/>
      <c r="C255" s="1688"/>
      <c r="D255" s="1688"/>
      <c r="E255" s="1690"/>
      <c r="F255" s="1690"/>
      <c r="G255" s="1690"/>
      <c r="H255" s="1690"/>
      <c r="I255" s="1690"/>
      <c r="J255" s="1690"/>
      <c r="K255" s="1690"/>
      <c r="L255" s="1690"/>
      <c r="M255" s="1690"/>
      <c r="N255" s="1690"/>
      <c r="O255" s="1690"/>
      <c r="P255" s="1690"/>
      <c r="Q255" s="1690"/>
      <c r="R255" s="1690"/>
      <c r="S255" s="1690"/>
      <c r="T255" s="1690"/>
      <c r="U255" s="1690"/>
      <c r="V255" s="1690"/>
      <c r="W255" s="1690"/>
      <c r="X255" s="1690"/>
      <c r="Y255" s="1690"/>
      <c r="Z255" s="1690"/>
      <c r="AA255" s="1690"/>
      <c r="AB255" s="1690"/>
      <c r="AC255" s="1690"/>
      <c r="AD255" s="1690"/>
      <c r="AE255" s="1690"/>
      <c r="AF255" s="1690"/>
      <c r="AG255" s="1690"/>
      <c r="AH255" s="1690"/>
      <c r="AI255" s="1690"/>
      <c r="AJ255" s="1690"/>
      <c r="AK255" s="1690"/>
      <c r="AL255" s="1690"/>
      <c r="AM255" s="1690"/>
      <c r="AN255" s="1690"/>
      <c r="AO255" s="1690"/>
      <c r="AP255" s="1690"/>
      <c r="AQ255" s="1690"/>
      <c r="AR255" s="1690"/>
      <c r="AS255" s="1690"/>
      <c r="AT255" s="1690"/>
    </row>
    <row r="256">
      <c r="A256" s="1419"/>
      <c r="B256" s="1684"/>
      <c r="C256" s="1685"/>
      <c r="D256" s="1685"/>
      <c r="E256" s="1691"/>
      <c r="F256" s="1691"/>
      <c r="G256" s="1691"/>
      <c r="H256" s="1691"/>
      <c r="I256" s="1691"/>
      <c r="J256" s="1691"/>
      <c r="K256" s="1691"/>
      <c r="L256" s="1691"/>
      <c r="M256" s="1691"/>
      <c r="N256" s="1691"/>
      <c r="O256" s="1691"/>
      <c r="P256" s="1691"/>
      <c r="Q256" s="1691"/>
      <c r="R256" s="1691"/>
      <c r="S256" s="1691"/>
      <c r="T256" s="1691"/>
      <c r="U256" s="1691"/>
      <c r="V256" s="1691"/>
      <c r="W256" s="1691"/>
      <c r="X256" s="1691"/>
      <c r="Y256" s="1691"/>
      <c r="Z256" s="1686"/>
      <c r="AA256" s="1686"/>
      <c r="AB256" s="1686"/>
      <c r="AC256" s="1686"/>
      <c r="AD256" s="1686"/>
      <c r="AE256" s="1686"/>
      <c r="AF256" s="1686"/>
      <c r="AG256" s="1686"/>
      <c r="AH256" s="1686"/>
      <c r="AI256" s="1686"/>
      <c r="AJ256" s="1686"/>
      <c r="AK256" s="1686"/>
      <c r="AL256" s="1686"/>
      <c r="AM256" s="1686"/>
      <c r="AN256" s="1686"/>
      <c r="AO256" s="1686"/>
      <c r="AP256" s="1686"/>
      <c r="AQ256" s="1686"/>
      <c r="AR256" s="1686"/>
      <c r="AS256" s="1686"/>
      <c r="AT256" s="1686"/>
    </row>
    <row r="257">
      <c r="A257" s="1419"/>
      <c r="B257" s="1687"/>
      <c r="C257" s="1688"/>
      <c r="D257" s="1688"/>
      <c r="E257" s="1689"/>
      <c r="F257" s="1689"/>
      <c r="G257" s="1689"/>
      <c r="H257" s="1689"/>
      <c r="I257" s="1689"/>
      <c r="J257" s="1689"/>
      <c r="K257" s="1689"/>
      <c r="L257" s="1689"/>
      <c r="M257" s="1689"/>
      <c r="N257" s="1689"/>
      <c r="O257" s="1689"/>
      <c r="P257" s="1689"/>
      <c r="Q257" s="1689"/>
      <c r="R257" s="1689"/>
      <c r="S257" s="1689"/>
      <c r="T257" s="1689"/>
      <c r="U257" s="1689"/>
      <c r="V257" s="1689"/>
      <c r="W257" s="1689"/>
      <c r="X257" s="1689"/>
      <c r="Y257" s="1689"/>
      <c r="Z257" s="1690"/>
      <c r="AA257" s="1690"/>
      <c r="AB257" s="1690"/>
      <c r="AC257" s="1690"/>
      <c r="AD257" s="1690"/>
      <c r="AE257" s="1690"/>
      <c r="AF257" s="1690"/>
      <c r="AG257" s="1690"/>
      <c r="AH257" s="1690"/>
      <c r="AI257" s="1690"/>
      <c r="AJ257" s="1690"/>
      <c r="AK257" s="1690"/>
      <c r="AL257" s="1690"/>
      <c r="AM257" s="1690"/>
      <c r="AN257" s="1690"/>
      <c r="AO257" s="1690"/>
      <c r="AP257" s="1690"/>
      <c r="AQ257" s="1690"/>
      <c r="AR257" s="1690"/>
      <c r="AS257" s="1690"/>
      <c r="AT257" s="1690"/>
    </row>
    <row r="258">
      <c r="A258" s="1419"/>
      <c r="B258" s="1684"/>
      <c r="C258" s="1685"/>
      <c r="D258" s="1685"/>
      <c r="E258" s="1686"/>
      <c r="F258" s="1686"/>
      <c r="G258" s="1686"/>
      <c r="H258" s="1686"/>
      <c r="I258" s="1686"/>
      <c r="J258" s="1686"/>
      <c r="K258" s="1686"/>
      <c r="L258" s="1686"/>
      <c r="M258" s="1686"/>
      <c r="N258" s="1686"/>
      <c r="O258" s="1686"/>
      <c r="P258" s="1686"/>
      <c r="Q258" s="1686"/>
      <c r="R258" s="1686"/>
      <c r="S258" s="1686"/>
      <c r="T258" s="1686"/>
      <c r="U258" s="1686"/>
      <c r="V258" s="1686"/>
      <c r="W258" s="1686"/>
      <c r="X258" s="1686"/>
      <c r="Y258" s="1686"/>
      <c r="Z258" s="1686"/>
      <c r="AA258" s="1686"/>
      <c r="AB258" s="1686"/>
      <c r="AC258" s="1686"/>
      <c r="AD258" s="1686"/>
      <c r="AE258" s="1686"/>
      <c r="AF258" s="1686"/>
      <c r="AG258" s="1686"/>
      <c r="AH258" s="1686"/>
      <c r="AI258" s="1686"/>
      <c r="AJ258" s="1686"/>
      <c r="AK258" s="1686"/>
      <c r="AL258" s="1686"/>
      <c r="AM258" s="1686"/>
      <c r="AN258" s="1686"/>
      <c r="AO258" s="1686"/>
      <c r="AP258" s="1686"/>
      <c r="AQ258" s="1686"/>
      <c r="AR258" s="1686"/>
      <c r="AS258" s="1686"/>
      <c r="AT258" s="1686"/>
    </row>
    <row r="259">
      <c r="A259" s="1419"/>
      <c r="B259" s="1687"/>
      <c r="C259" s="1688"/>
      <c r="D259" s="1688"/>
      <c r="E259" s="1690"/>
      <c r="F259" s="1690"/>
      <c r="G259" s="1690"/>
      <c r="H259" s="1690"/>
      <c r="I259" s="1690"/>
      <c r="J259" s="1690"/>
      <c r="K259" s="1690"/>
      <c r="L259" s="1690"/>
      <c r="M259" s="1690"/>
      <c r="N259" s="1690"/>
      <c r="O259" s="1690"/>
      <c r="P259" s="1690"/>
      <c r="Q259" s="1690"/>
      <c r="R259" s="1690"/>
      <c r="S259" s="1690"/>
      <c r="T259" s="1690"/>
      <c r="U259" s="1690"/>
      <c r="V259" s="1690"/>
      <c r="W259" s="1690"/>
      <c r="X259" s="1690"/>
      <c r="Y259" s="1690"/>
      <c r="Z259" s="1690"/>
      <c r="AA259" s="1690"/>
      <c r="AB259" s="1690"/>
      <c r="AC259" s="1690"/>
      <c r="AD259" s="1690"/>
      <c r="AE259" s="1690"/>
      <c r="AF259" s="1690"/>
      <c r="AG259" s="1690"/>
      <c r="AH259" s="1690"/>
      <c r="AI259" s="1690"/>
      <c r="AJ259" s="1690"/>
      <c r="AK259" s="1690"/>
      <c r="AL259" s="1690"/>
      <c r="AM259" s="1690"/>
      <c r="AN259" s="1690"/>
      <c r="AO259" s="1690"/>
      <c r="AP259" s="1690"/>
      <c r="AQ259" s="1690"/>
      <c r="AR259" s="1690"/>
      <c r="AS259" s="1690"/>
      <c r="AT259" s="1690"/>
    </row>
    <row r="260">
      <c r="A260" s="1419"/>
      <c r="B260" s="1684"/>
      <c r="C260" s="1685"/>
      <c r="D260" s="1685"/>
      <c r="E260" s="1691"/>
      <c r="F260" s="1691"/>
      <c r="G260" s="1691"/>
      <c r="H260" s="1691"/>
      <c r="I260" s="1691"/>
      <c r="J260" s="1691"/>
      <c r="K260" s="1691"/>
      <c r="L260" s="1691"/>
      <c r="M260" s="1691"/>
      <c r="N260" s="1691"/>
      <c r="O260" s="1691"/>
      <c r="P260" s="1691"/>
      <c r="Q260" s="1691"/>
      <c r="R260" s="1691"/>
      <c r="S260" s="1691"/>
      <c r="T260" s="1691"/>
      <c r="U260" s="1691"/>
      <c r="V260" s="1691"/>
      <c r="W260" s="1691"/>
      <c r="X260" s="1691"/>
      <c r="Y260" s="1691"/>
      <c r="Z260" s="1686"/>
      <c r="AA260" s="1686"/>
      <c r="AB260" s="1686"/>
      <c r="AC260" s="1686"/>
      <c r="AD260" s="1686"/>
      <c r="AE260" s="1686"/>
      <c r="AF260" s="1686"/>
      <c r="AG260" s="1686"/>
      <c r="AH260" s="1686"/>
      <c r="AI260" s="1686"/>
      <c r="AJ260" s="1686"/>
      <c r="AK260" s="1686"/>
      <c r="AL260" s="1686"/>
      <c r="AM260" s="1686"/>
      <c r="AN260" s="1686"/>
      <c r="AO260" s="1686"/>
      <c r="AP260" s="1686"/>
      <c r="AQ260" s="1686"/>
      <c r="AR260" s="1686"/>
      <c r="AS260" s="1686"/>
      <c r="AT260" s="1686"/>
    </row>
    <row r="261">
      <c r="A261" s="1419"/>
      <c r="B261" s="1687"/>
      <c r="C261" s="1688"/>
      <c r="D261" s="1688"/>
      <c r="E261" s="1689"/>
      <c r="F261" s="1689"/>
      <c r="G261" s="1689"/>
      <c r="H261" s="1689"/>
      <c r="I261" s="1689"/>
      <c r="J261" s="1689"/>
      <c r="K261" s="1689"/>
      <c r="L261" s="1689"/>
      <c r="M261" s="1689"/>
      <c r="N261" s="1689"/>
      <c r="O261" s="1689"/>
      <c r="P261" s="1689"/>
      <c r="Q261" s="1689"/>
      <c r="R261" s="1689"/>
      <c r="S261" s="1689"/>
      <c r="T261" s="1689"/>
      <c r="U261" s="1689"/>
      <c r="V261" s="1689"/>
      <c r="W261" s="1689"/>
      <c r="X261" s="1689"/>
      <c r="Y261" s="1689"/>
      <c r="Z261" s="1690"/>
      <c r="AA261" s="1690"/>
      <c r="AB261" s="1690"/>
      <c r="AC261" s="1690"/>
      <c r="AD261" s="1690"/>
      <c r="AE261" s="1690"/>
      <c r="AF261" s="1690"/>
      <c r="AG261" s="1690"/>
      <c r="AH261" s="1690"/>
      <c r="AI261" s="1690"/>
      <c r="AJ261" s="1690"/>
      <c r="AK261" s="1690"/>
      <c r="AL261" s="1690"/>
      <c r="AM261" s="1690"/>
      <c r="AN261" s="1690"/>
      <c r="AO261" s="1690"/>
      <c r="AP261" s="1690"/>
      <c r="AQ261" s="1690"/>
      <c r="AR261" s="1690"/>
      <c r="AS261" s="1690"/>
      <c r="AT261" s="1690"/>
    </row>
    <row r="262">
      <c r="A262" s="1419"/>
      <c r="B262" s="1684"/>
      <c r="C262" s="1685"/>
      <c r="D262" s="1685"/>
      <c r="E262" s="1691"/>
      <c r="F262" s="1691"/>
      <c r="G262" s="1691"/>
      <c r="H262" s="1691"/>
      <c r="I262" s="1691"/>
      <c r="J262" s="1691"/>
      <c r="K262" s="1691"/>
      <c r="L262" s="1691"/>
      <c r="M262" s="1691"/>
      <c r="N262" s="1691"/>
      <c r="O262" s="1691"/>
      <c r="P262" s="1691"/>
      <c r="Q262" s="1691"/>
      <c r="R262" s="1691"/>
      <c r="S262" s="1691"/>
      <c r="T262" s="1691"/>
      <c r="U262" s="1691"/>
      <c r="V262" s="1691"/>
      <c r="W262" s="1691"/>
      <c r="X262" s="1691"/>
      <c r="Y262" s="1691"/>
      <c r="Z262" s="1686"/>
      <c r="AA262" s="1686"/>
      <c r="AB262" s="1686"/>
      <c r="AC262" s="1686"/>
      <c r="AD262" s="1686"/>
      <c r="AE262" s="1686"/>
      <c r="AF262" s="1686"/>
      <c r="AG262" s="1686"/>
      <c r="AH262" s="1686"/>
      <c r="AI262" s="1686"/>
      <c r="AJ262" s="1686"/>
      <c r="AK262" s="1686"/>
      <c r="AL262" s="1686"/>
      <c r="AM262" s="1686"/>
      <c r="AN262" s="1686"/>
      <c r="AO262" s="1686"/>
      <c r="AP262" s="1686"/>
      <c r="AQ262" s="1686"/>
      <c r="AR262" s="1686"/>
      <c r="AS262" s="1686"/>
      <c r="AT262" s="1686"/>
    </row>
    <row r="263">
      <c r="A263" s="1419"/>
      <c r="B263" s="1687"/>
      <c r="C263" s="1688"/>
      <c r="D263" s="1688"/>
      <c r="E263" s="1689"/>
      <c r="F263" s="1689"/>
      <c r="G263" s="1689"/>
      <c r="H263" s="1689"/>
      <c r="I263" s="1689"/>
      <c r="J263" s="1689"/>
      <c r="K263" s="1689"/>
      <c r="L263" s="1689"/>
      <c r="M263" s="1689"/>
      <c r="N263" s="1689"/>
      <c r="O263" s="1689"/>
      <c r="P263" s="1689"/>
      <c r="Q263" s="1689"/>
      <c r="R263" s="1689"/>
      <c r="S263" s="1689"/>
      <c r="T263" s="1689"/>
      <c r="U263" s="1689"/>
      <c r="V263" s="1689"/>
      <c r="W263" s="1689"/>
      <c r="X263" s="1689"/>
      <c r="Y263" s="1689"/>
      <c r="Z263" s="1690"/>
      <c r="AA263" s="1690"/>
      <c r="AB263" s="1690"/>
      <c r="AC263" s="1690"/>
      <c r="AD263" s="1690"/>
      <c r="AE263" s="1690"/>
      <c r="AF263" s="1690"/>
      <c r="AG263" s="1690"/>
      <c r="AH263" s="1690"/>
      <c r="AI263" s="1690"/>
      <c r="AJ263" s="1690"/>
      <c r="AK263" s="1690"/>
      <c r="AL263" s="1690"/>
      <c r="AM263" s="1690"/>
      <c r="AN263" s="1690"/>
      <c r="AO263" s="1690"/>
      <c r="AP263" s="1690"/>
      <c r="AQ263" s="1690"/>
      <c r="AR263" s="1690"/>
      <c r="AS263" s="1690"/>
      <c r="AT263" s="1690"/>
    </row>
    <row r="264">
      <c r="A264" s="1419"/>
      <c r="B264" s="1684"/>
      <c r="C264" s="1685"/>
      <c r="D264" s="1685"/>
      <c r="E264" s="1686"/>
      <c r="F264" s="1686"/>
      <c r="G264" s="1686"/>
      <c r="H264" s="1686"/>
      <c r="I264" s="1686"/>
      <c r="J264" s="1686"/>
      <c r="K264" s="1686"/>
      <c r="L264" s="1686"/>
      <c r="M264" s="1686"/>
      <c r="N264" s="1686"/>
      <c r="O264" s="1686"/>
      <c r="P264" s="1686"/>
      <c r="Q264" s="1686"/>
      <c r="R264" s="1686"/>
      <c r="S264" s="1686"/>
      <c r="T264" s="1686"/>
      <c r="U264" s="1686"/>
      <c r="V264" s="1686"/>
      <c r="W264" s="1686"/>
      <c r="X264" s="1686"/>
      <c r="Y264" s="1686"/>
      <c r="Z264" s="1686"/>
      <c r="AA264" s="1686"/>
      <c r="AB264" s="1686"/>
      <c r="AC264" s="1686"/>
      <c r="AD264" s="1686"/>
      <c r="AE264" s="1686"/>
      <c r="AF264" s="1686"/>
      <c r="AG264" s="1686"/>
      <c r="AH264" s="1686"/>
      <c r="AI264" s="1686"/>
      <c r="AJ264" s="1686"/>
      <c r="AK264" s="1686"/>
      <c r="AL264" s="1686"/>
      <c r="AM264" s="1686"/>
      <c r="AN264" s="1686"/>
      <c r="AO264" s="1686"/>
      <c r="AP264" s="1686"/>
      <c r="AQ264" s="1686"/>
      <c r="AR264" s="1686"/>
      <c r="AS264" s="1686"/>
      <c r="AT264" s="1686"/>
    </row>
    <row r="265">
      <c r="A265" s="1419"/>
      <c r="B265" s="1687"/>
      <c r="C265" s="1688"/>
      <c r="D265" s="1688"/>
      <c r="E265" s="1689"/>
      <c r="F265" s="1689"/>
      <c r="G265" s="1689"/>
      <c r="H265" s="1689"/>
      <c r="I265" s="1689"/>
      <c r="J265" s="1689"/>
      <c r="K265" s="1689"/>
      <c r="L265" s="1689"/>
      <c r="M265" s="1689"/>
      <c r="N265" s="1689"/>
      <c r="O265" s="1689"/>
      <c r="P265" s="1689"/>
      <c r="Q265" s="1689"/>
      <c r="R265" s="1689"/>
      <c r="S265" s="1689"/>
      <c r="T265" s="1689"/>
      <c r="U265" s="1689"/>
      <c r="V265" s="1689"/>
      <c r="W265" s="1689"/>
      <c r="X265" s="1689"/>
      <c r="Y265" s="1689"/>
      <c r="Z265" s="1690"/>
      <c r="AA265" s="1690"/>
      <c r="AB265" s="1690"/>
      <c r="AC265" s="1690"/>
      <c r="AD265" s="1690"/>
      <c r="AE265" s="1690"/>
      <c r="AF265" s="1690"/>
      <c r="AG265" s="1690"/>
      <c r="AH265" s="1690"/>
      <c r="AI265" s="1690"/>
      <c r="AJ265" s="1690"/>
      <c r="AK265" s="1690"/>
      <c r="AL265" s="1690"/>
      <c r="AM265" s="1690"/>
      <c r="AN265" s="1690"/>
      <c r="AO265" s="1690"/>
      <c r="AP265" s="1690"/>
      <c r="AQ265" s="1690"/>
      <c r="AR265" s="1690"/>
      <c r="AS265" s="1690"/>
      <c r="AT265" s="1690"/>
    </row>
    <row r="266">
      <c r="A266" s="1419"/>
      <c r="B266" s="1684"/>
      <c r="C266" s="1685"/>
      <c r="D266" s="1685"/>
      <c r="E266" s="1686"/>
      <c r="F266" s="1686"/>
      <c r="G266" s="1686"/>
      <c r="H266" s="1686"/>
      <c r="I266" s="1686"/>
      <c r="J266" s="1686"/>
      <c r="K266" s="1686"/>
      <c r="L266" s="1686"/>
      <c r="M266" s="1686"/>
      <c r="N266" s="1686"/>
      <c r="O266" s="1686"/>
      <c r="P266" s="1686"/>
      <c r="Q266" s="1686"/>
      <c r="R266" s="1686"/>
      <c r="S266" s="1686"/>
      <c r="T266" s="1686"/>
      <c r="U266" s="1686"/>
      <c r="V266" s="1686"/>
      <c r="W266" s="1686"/>
      <c r="X266" s="1686"/>
      <c r="Y266" s="1686"/>
      <c r="Z266" s="1686"/>
      <c r="AA266" s="1686"/>
      <c r="AB266" s="1686"/>
      <c r="AC266" s="1686"/>
      <c r="AD266" s="1686"/>
      <c r="AE266" s="1686"/>
      <c r="AF266" s="1686"/>
      <c r="AG266" s="1686"/>
      <c r="AH266" s="1686"/>
      <c r="AI266" s="1686"/>
      <c r="AJ266" s="1686"/>
      <c r="AK266" s="1686"/>
      <c r="AL266" s="1686"/>
      <c r="AM266" s="1686"/>
      <c r="AN266" s="1686"/>
      <c r="AO266" s="1686"/>
      <c r="AP266" s="1686"/>
      <c r="AQ266" s="1686"/>
      <c r="AR266" s="1686"/>
      <c r="AS266" s="1686"/>
      <c r="AT266" s="1686"/>
    </row>
    <row r="267">
      <c r="A267" s="1419"/>
      <c r="B267" s="1687"/>
      <c r="C267" s="1688"/>
      <c r="D267" s="1688"/>
      <c r="E267" s="1690"/>
      <c r="F267" s="1690"/>
      <c r="G267" s="1690"/>
      <c r="H267" s="1690"/>
      <c r="I267" s="1690"/>
      <c r="J267" s="1690"/>
      <c r="K267" s="1690"/>
      <c r="L267" s="1690"/>
      <c r="M267" s="1690"/>
      <c r="N267" s="1690"/>
      <c r="O267" s="1690"/>
      <c r="P267" s="1690"/>
      <c r="Q267" s="1690"/>
      <c r="R267" s="1690"/>
      <c r="S267" s="1690"/>
      <c r="T267" s="1690"/>
      <c r="U267" s="1690"/>
      <c r="V267" s="1690"/>
      <c r="W267" s="1690"/>
      <c r="X267" s="1690"/>
      <c r="Y267" s="1690"/>
      <c r="Z267" s="1690"/>
      <c r="AA267" s="1690"/>
      <c r="AB267" s="1690"/>
      <c r="AC267" s="1690"/>
      <c r="AD267" s="1690"/>
      <c r="AE267" s="1690"/>
      <c r="AF267" s="1690"/>
      <c r="AG267" s="1690"/>
      <c r="AH267" s="1690"/>
      <c r="AI267" s="1690"/>
      <c r="AJ267" s="1690"/>
      <c r="AK267" s="1690"/>
      <c r="AL267" s="1690"/>
      <c r="AM267" s="1690"/>
      <c r="AN267" s="1690"/>
      <c r="AO267" s="1690"/>
      <c r="AP267" s="1690"/>
      <c r="AQ267" s="1690"/>
      <c r="AR267" s="1690"/>
      <c r="AS267" s="1690"/>
      <c r="AT267" s="1690"/>
    </row>
    <row r="268">
      <c r="A268" s="1419"/>
      <c r="B268" s="1684"/>
      <c r="C268" s="1685"/>
      <c r="D268" s="1685"/>
      <c r="E268" s="1686"/>
      <c r="F268" s="1686"/>
      <c r="G268" s="1686"/>
      <c r="H268" s="1686"/>
      <c r="I268" s="1686"/>
      <c r="J268" s="1686"/>
      <c r="K268" s="1686"/>
      <c r="L268" s="1686"/>
      <c r="M268" s="1686"/>
      <c r="N268" s="1686"/>
      <c r="O268" s="1686"/>
      <c r="P268" s="1686"/>
      <c r="Q268" s="1686"/>
      <c r="R268" s="1686"/>
      <c r="S268" s="1686"/>
      <c r="T268" s="1686"/>
      <c r="U268" s="1686"/>
      <c r="V268" s="1686"/>
      <c r="W268" s="1686"/>
      <c r="X268" s="1686"/>
      <c r="Y268" s="1686"/>
      <c r="Z268" s="1686"/>
      <c r="AA268" s="1686"/>
      <c r="AB268" s="1686"/>
      <c r="AC268" s="1686"/>
      <c r="AD268" s="1686"/>
      <c r="AE268" s="1686"/>
      <c r="AF268" s="1686"/>
      <c r="AG268" s="1686"/>
      <c r="AH268" s="1686"/>
      <c r="AI268" s="1686"/>
      <c r="AJ268" s="1686"/>
      <c r="AK268" s="1686"/>
      <c r="AL268" s="1686"/>
      <c r="AM268" s="1686"/>
      <c r="AN268" s="1686"/>
      <c r="AO268" s="1686"/>
      <c r="AP268" s="1686"/>
      <c r="AQ268" s="1686"/>
      <c r="AR268" s="1686"/>
      <c r="AS268" s="1686"/>
      <c r="AT268" s="1686"/>
    </row>
    <row r="269">
      <c r="A269" s="1419"/>
      <c r="B269" s="1687"/>
      <c r="C269" s="1688"/>
      <c r="D269" s="1688"/>
      <c r="E269" s="1690"/>
      <c r="F269" s="1690"/>
      <c r="G269" s="1690"/>
      <c r="H269" s="1690"/>
      <c r="I269" s="1690"/>
      <c r="J269" s="1690"/>
      <c r="K269" s="1690"/>
      <c r="L269" s="1690"/>
      <c r="M269" s="1690"/>
      <c r="N269" s="1690"/>
      <c r="O269" s="1690"/>
      <c r="P269" s="1690"/>
      <c r="Q269" s="1690"/>
      <c r="R269" s="1690"/>
      <c r="S269" s="1690"/>
      <c r="T269" s="1690"/>
      <c r="U269" s="1690"/>
      <c r="V269" s="1690"/>
      <c r="W269" s="1690"/>
      <c r="X269" s="1690"/>
      <c r="Y269" s="1690"/>
      <c r="Z269" s="1690"/>
      <c r="AA269" s="1690"/>
      <c r="AB269" s="1690"/>
      <c r="AC269" s="1690"/>
      <c r="AD269" s="1690"/>
      <c r="AE269" s="1690"/>
      <c r="AF269" s="1690"/>
      <c r="AG269" s="1690"/>
      <c r="AH269" s="1690"/>
      <c r="AI269" s="1690"/>
      <c r="AJ269" s="1690"/>
      <c r="AK269" s="1690"/>
      <c r="AL269" s="1690"/>
      <c r="AM269" s="1690"/>
      <c r="AN269" s="1690"/>
      <c r="AO269" s="1690"/>
      <c r="AP269" s="1690"/>
      <c r="AQ269" s="1690"/>
      <c r="AR269" s="1690"/>
      <c r="AS269" s="1690"/>
      <c r="AT269" s="1690"/>
    </row>
    <row r="270">
      <c r="A270" s="1419"/>
      <c r="B270" s="1684"/>
      <c r="C270" s="1685"/>
      <c r="D270" s="1685"/>
      <c r="E270" s="1686"/>
      <c r="F270" s="1686"/>
      <c r="G270" s="1686"/>
      <c r="H270" s="1686"/>
      <c r="I270" s="1686"/>
      <c r="J270" s="1686"/>
      <c r="K270" s="1686"/>
      <c r="L270" s="1686"/>
      <c r="M270" s="1686"/>
      <c r="N270" s="1686"/>
      <c r="O270" s="1686"/>
      <c r="P270" s="1686"/>
      <c r="Q270" s="1686"/>
      <c r="R270" s="1686"/>
      <c r="S270" s="1686"/>
      <c r="T270" s="1686"/>
      <c r="U270" s="1686"/>
      <c r="V270" s="1686"/>
      <c r="W270" s="1686"/>
      <c r="X270" s="1686"/>
      <c r="Y270" s="1686"/>
      <c r="Z270" s="1686"/>
      <c r="AA270" s="1686"/>
      <c r="AB270" s="1686"/>
      <c r="AC270" s="1686"/>
      <c r="AD270" s="1686"/>
      <c r="AE270" s="1686"/>
      <c r="AF270" s="1686"/>
      <c r="AG270" s="1686"/>
      <c r="AH270" s="1686"/>
      <c r="AI270" s="1686"/>
      <c r="AJ270" s="1686"/>
      <c r="AK270" s="1686"/>
      <c r="AL270" s="1686"/>
      <c r="AM270" s="1686"/>
      <c r="AN270" s="1686"/>
      <c r="AO270" s="1686"/>
      <c r="AP270" s="1686"/>
      <c r="AQ270" s="1686"/>
      <c r="AR270" s="1686"/>
      <c r="AS270" s="1686"/>
      <c r="AT270" s="1686"/>
    </row>
    <row r="271">
      <c r="A271" s="1419"/>
      <c r="B271" s="1687"/>
      <c r="C271" s="1688"/>
      <c r="D271" s="1688"/>
      <c r="E271" s="1689"/>
      <c r="F271" s="1689"/>
      <c r="G271" s="1689"/>
      <c r="H271" s="1689"/>
      <c r="I271" s="1689"/>
      <c r="J271" s="1689"/>
      <c r="K271" s="1689"/>
      <c r="L271" s="1689"/>
      <c r="M271" s="1689"/>
      <c r="N271" s="1689"/>
      <c r="O271" s="1689"/>
      <c r="P271" s="1689"/>
      <c r="Q271" s="1689"/>
      <c r="R271" s="1689"/>
      <c r="S271" s="1689"/>
      <c r="T271" s="1689"/>
      <c r="U271" s="1689"/>
      <c r="V271" s="1689"/>
      <c r="W271" s="1689"/>
      <c r="X271" s="1689"/>
      <c r="Y271" s="1689"/>
      <c r="Z271" s="1690"/>
      <c r="AA271" s="1690"/>
      <c r="AB271" s="1690"/>
      <c r="AC271" s="1690"/>
      <c r="AD271" s="1690"/>
      <c r="AE271" s="1690"/>
      <c r="AF271" s="1690"/>
      <c r="AG271" s="1690"/>
      <c r="AH271" s="1690"/>
      <c r="AI271" s="1690"/>
      <c r="AJ271" s="1690"/>
      <c r="AK271" s="1690"/>
      <c r="AL271" s="1690"/>
      <c r="AM271" s="1690"/>
      <c r="AN271" s="1690"/>
      <c r="AO271" s="1690"/>
      <c r="AP271" s="1690"/>
      <c r="AQ271" s="1690"/>
      <c r="AR271" s="1690"/>
      <c r="AS271" s="1690"/>
      <c r="AT271" s="1690"/>
    </row>
    <row r="272">
      <c r="A272" s="1419"/>
      <c r="B272" s="1684"/>
      <c r="C272" s="1685"/>
      <c r="D272" s="1685"/>
      <c r="E272" s="1686"/>
      <c r="F272" s="1686"/>
      <c r="G272" s="1686"/>
      <c r="H272" s="1686"/>
      <c r="I272" s="1686"/>
      <c r="J272" s="1686"/>
      <c r="K272" s="1686"/>
      <c r="L272" s="1686"/>
      <c r="M272" s="1686"/>
      <c r="N272" s="1686"/>
      <c r="O272" s="1686"/>
      <c r="P272" s="1686"/>
      <c r="Q272" s="1686"/>
      <c r="R272" s="1686"/>
      <c r="S272" s="1686"/>
      <c r="T272" s="1686"/>
      <c r="U272" s="1686"/>
      <c r="V272" s="1686"/>
      <c r="W272" s="1686"/>
      <c r="X272" s="1686"/>
      <c r="Y272" s="1686"/>
      <c r="Z272" s="1686"/>
      <c r="AA272" s="1686"/>
      <c r="AB272" s="1686"/>
      <c r="AC272" s="1686"/>
      <c r="AD272" s="1686"/>
      <c r="AE272" s="1686"/>
      <c r="AF272" s="1686"/>
      <c r="AG272" s="1686"/>
      <c r="AH272" s="1686"/>
      <c r="AI272" s="1686"/>
      <c r="AJ272" s="1686"/>
      <c r="AK272" s="1686"/>
      <c r="AL272" s="1686"/>
      <c r="AM272" s="1686"/>
      <c r="AN272" s="1686"/>
      <c r="AO272" s="1686"/>
      <c r="AP272" s="1686"/>
      <c r="AQ272" s="1686"/>
      <c r="AR272" s="1686"/>
      <c r="AS272" s="1686"/>
      <c r="AT272" s="1686"/>
    </row>
    <row r="273">
      <c r="A273" s="1419"/>
      <c r="B273" s="1687"/>
      <c r="C273" s="1688"/>
      <c r="D273" s="1688"/>
      <c r="E273" s="1690"/>
      <c r="F273" s="1690"/>
      <c r="G273" s="1690"/>
      <c r="H273" s="1690"/>
      <c r="I273" s="1690"/>
      <c r="J273" s="1690"/>
      <c r="K273" s="1690"/>
      <c r="L273" s="1690"/>
      <c r="M273" s="1690"/>
      <c r="N273" s="1690"/>
      <c r="O273" s="1690"/>
      <c r="P273" s="1690"/>
      <c r="Q273" s="1690"/>
      <c r="R273" s="1690"/>
      <c r="S273" s="1690"/>
      <c r="T273" s="1690"/>
      <c r="U273" s="1690"/>
      <c r="V273" s="1690"/>
      <c r="W273" s="1690"/>
      <c r="X273" s="1690"/>
      <c r="Y273" s="1690"/>
      <c r="Z273" s="1690"/>
      <c r="AA273" s="1690"/>
      <c r="AB273" s="1690"/>
      <c r="AC273" s="1690"/>
      <c r="AD273" s="1690"/>
      <c r="AE273" s="1690"/>
      <c r="AF273" s="1690"/>
      <c r="AG273" s="1690"/>
      <c r="AH273" s="1690"/>
      <c r="AI273" s="1690"/>
      <c r="AJ273" s="1690"/>
      <c r="AK273" s="1690"/>
      <c r="AL273" s="1690"/>
      <c r="AM273" s="1690"/>
      <c r="AN273" s="1690"/>
      <c r="AO273" s="1690"/>
      <c r="AP273" s="1690"/>
      <c r="AQ273" s="1690"/>
      <c r="AR273" s="1690"/>
      <c r="AS273" s="1690"/>
      <c r="AT273" s="1690"/>
    </row>
    <row r="274">
      <c r="A274" s="1419"/>
      <c r="B274" s="1684"/>
      <c r="C274" s="1685"/>
      <c r="D274" s="1685"/>
      <c r="E274" s="1686"/>
      <c r="F274" s="1686"/>
      <c r="G274" s="1686"/>
      <c r="H274" s="1686"/>
      <c r="I274" s="1686"/>
      <c r="J274" s="1686"/>
      <c r="K274" s="1686"/>
      <c r="L274" s="1686"/>
      <c r="M274" s="1686"/>
      <c r="N274" s="1686"/>
      <c r="O274" s="1686"/>
      <c r="P274" s="1686"/>
      <c r="Q274" s="1686"/>
      <c r="R274" s="1686"/>
      <c r="S274" s="1686"/>
      <c r="T274" s="1686"/>
      <c r="U274" s="1686"/>
      <c r="V274" s="1686"/>
      <c r="W274" s="1686"/>
      <c r="X274" s="1686"/>
      <c r="Y274" s="1686"/>
      <c r="Z274" s="1686"/>
      <c r="AA274" s="1686"/>
      <c r="AB274" s="1686"/>
      <c r="AC274" s="1686"/>
      <c r="AD274" s="1686"/>
      <c r="AE274" s="1686"/>
      <c r="AF274" s="1686"/>
      <c r="AG274" s="1686"/>
      <c r="AH274" s="1686"/>
      <c r="AI274" s="1686"/>
      <c r="AJ274" s="1686"/>
      <c r="AK274" s="1686"/>
      <c r="AL274" s="1686"/>
      <c r="AM274" s="1686"/>
      <c r="AN274" s="1686"/>
      <c r="AO274" s="1686"/>
      <c r="AP274" s="1686"/>
      <c r="AQ274" s="1686"/>
      <c r="AR274" s="1686"/>
      <c r="AS274" s="1686"/>
      <c r="AT274" s="1686"/>
    </row>
    <row r="275">
      <c r="A275" s="1419"/>
      <c r="B275" s="1687"/>
      <c r="C275" s="1688"/>
      <c r="D275" s="1688"/>
      <c r="E275" s="1689"/>
      <c r="F275" s="1689"/>
      <c r="G275" s="1689"/>
      <c r="H275" s="1689"/>
      <c r="I275" s="1689"/>
      <c r="J275" s="1689"/>
      <c r="K275" s="1689"/>
      <c r="L275" s="1689"/>
      <c r="M275" s="1689"/>
      <c r="N275" s="1689"/>
      <c r="O275" s="1689"/>
      <c r="P275" s="1689"/>
      <c r="Q275" s="1689"/>
      <c r="R275" s="1689"/>
      <c r="S275" s="1689"/>
      <c r="T275" s="1689"/>
      <c r="U275" s="1689"/>
      <c r="V275" s="1689"/>
      <c r="W275" s="1689"/>
      <c r="X275" s="1689"/>
      <c r="Y275" s="1689"/>
      <c r="Z275" s="1690"/>
      <c r="AA275" s="1690"/>
      <c r="AB275" s="1690"/>
      <c r="AC275" s="1690"/>
      <c r="AD275" s="1690"/>
      <c r="AE275" s="1690"/>
      <c r="AF275" s="1690"/>
      <c r="AG275" s="1690"/>
      <c r="AH275" s="1690"/>
      <c r="AI275" s="1690"/>
      <c r="AJ275" s="1690"/>
      <c r="AK275" s="1690"/>
      <c r="AL275" s="1690"/>
      <c r="AM275" s="1690"/>
      <c r="AN275" s="1690"/>
      <c r="AO275" s="1690"/>
      <c r="AP275" s="1690"/>
      <c r="AQ275" s="1690"/>
      <c r="AR275" s="1690"/>
      <c r="AS275" s="1690"/>
      <c r="AT275" s="1690"/>
    </row>
    <row r="276">
      <c r="A276" s="1419"/>
      <c r="B276" s="1684"/>
      <c r="C276" s="1685"/>
      <c r="D276" s="1685"/>
      <c r="E276" s="1686"/>
      <c r="F276" s="1686"/>
      <c r="G276" s="1686"/>
      <c r="H276" s="1686"/>
      <c r="I276" s="1686"/>
      <c r="J276" s="1686"/>
      <c r="K276" s="1686"/>
      <c r="L276" s="1686"/>
      <c r="M276" s="1686"/>
      <c r="N276" s="1686"/>
      <c r="O276" s="1686"/>
      <c r="P276" s="1686"/>
      <c r="Q276" s="1686"/>
      <c r="R276" s="1686"/>
      <c r="S276" s="1686"/>
      <c r="T276" s="1686"/>
      <c r="U276" s="1686"/>
      <c r="V276" s="1686"/>
      <c r="W276" s="1686"/>
      <c r="X276" s="1686"/>
      <c r="Y276" s="1686"/>
      <c r="Z276" s="1686"/>
      <c r="AA276" s="1686"/>
      <c r="AB276" s="1686"/>
      <c r="AC276" s="1686"/>
      <c r="AD276" s="1686"/>
      <c r="AE276" s="1686"/>
      <c r="AF276" s="1686"/>
      <c r="AG276" s="1686"/>
      <c r="AH276" s="1686"/>
      <c r="AI276" s="1686"/>
      <c r="AJ276" s="1686"/>
      <c r="AK276" s="1686"/>
      <c r="AL276" s="1686"/>
      <c r="AM276" s="1686"/>
      <c r="AN276" s="1686"/>
      <c r="AO276" s="1686"/>
      <c r="AP276" s="1686"/>
      <c r="AQ276" s="1686"/>
      <c r="AR276" s="1686"/>
      <c r="AS276" s="1686"/>
      <c r="AT276" s="1686"/>
    </row>
    <row r="277">
      <c r="A277" s="1419"/>
      <c r="B277" s="1687"/>
      <c r="C277" s="1688"/>
      <c r="D277" s="1688"/>
      <c r="E277" s="1690"/>
      <c r="F277" s="1690"/>
      <c r="G277" s="1690"/>
      <c r="H277" s="1690"/>
      <c r="I277" s="1690"/>
      <c r="J277" s="1690"/>
      <c r="K277" s="1690"/>
      <c r="L277" s="1690"/>
      <c r="M277" s="1690"/>
      <c r="N277" s="1690"/>
      <c r="O277" s="1690"/>
      <c r="P277" s="1690"/>
      <c r="Q277" s="1690"/>
      <c r="R277" s="1690"/>
      <c r="S277" s="1690"/>
      <c r="T277" s="1690"/>
      <c r="U277" s="1690"/>
      <c r="V277" s="1690"/>
      <c r="W277" s="1690"/>
      <c r="X277" s="1690"/>
      <c r="Y277" s="1690"/>
      <c r="Z277" s="1690"/>
      <c r="AA277" s="1690"/>
      <c r="AB277" s="1690"/>
      <c r="AC277" s="1690"/>
      <c r="AD277" s="1690"/>
      <c r="AE277" s="1690"/>
      <c r="AF277" s="1690"/>
      <c r="AG277" s="1690"/>
      <c r="AH277" s="1690"/>
      <c r="AI277" s="1690"/>
      <c r="AJ277" s="1690"/>
      <c r="AK277" s="1690"/>
      <c r="AL277" s="1690"/>
      <c r="AM277" s="1690"/>
      <c r="AN277" s="1690"/>
      <c r="AO277" s="1690"/>
      <c r="AP277" s="1690"/>
      <c r="AQ277" s="1690"/>
      <c r="AR277" s="1690"/>
      <c r="AS277" s="1690"/>
      <c r="AT277" s="1690"/>
    </row>
    <row r="278">
      <c r="A278" s="1419"/>
      <c r="B278" s="1684"/>
      <c r="C278" s="1685"/>
      <c r="D278" s="1685"/>
      <c r="E278" s="1691"/>
      <c r="F278" s="1691"/>
      <c r="G278" s="1691"/>
      <c r="H278" s="1691"/>
      <c r="I278" s="1691"/>
      <c r="J278" s="1691"/>
      <c r="K278" s="1691"/>
      <c r="L278" s="1691"/>
      <c r="M278" s="1691"/>
      <c r="N278" s="1691"/>
      <c r="O278" s="1691"/>
      <c r="P278" s="1691"/>
      <c r="Q278" s="1691"/>
      <c r="R278" s="1691"/>
      <c r="S278" s="1691"/>
      <c r="T278" s="1691"/>
      <c r="U278" s="1691"/>
      <c r="V278" s="1691"/>
      <c r="W278" s="1691"/>
      <c r="X278" s="1691"/>
      <c r="Y278" s="1691"/>
      <c r="Z278" s="1686"/>
      <c r="AA278" s="1686"/>
      <c r="AB278" s="1686"/>
      <c r="AC278" s="1686"/>
      <c r="AD278" s="1686"/>
      <c r="AE278" s="1686"/>
      <c r="AF278" s="1686"/>
      <c r="AG278" s="1686"/>
      <c r="AH278" s="1686"/>
      <c r="AI278" s="1686"/>
      <c r="AJ278" s="1686"/>
      <c r="AK278" s="1686"/>
      <c r="AL278" s="1686"/>
      <c r="AM278" s="1686"/>
      <c r="AN278" s="1686"/>
      <c r="AO278" s="1686"/>
      <c r="AP278" s="1686"/>
      <c r="AQ278" s="1686"/>
      <c r="AR278" s="1686"/>
      <c r="AS278" s="1686"/>
      <c r="AT278" s="1686"/>
    </row>
    <row r="279">
      <c r="A279" s="1419"/>
      <c r="B279" s="1687"/>
      <c r="C279" s="1688"/>
      <c r="D279" s="1688"/>
      <c r="E279" s="1689"/>
      <c r="F279" s="1689"/>
      <c r="G279" s="1689"/>
      <c r="H279" s="1689"/>
      <c r="I279" s="1689"/>
      <c r="J279" s="1689"/>
      <c r="K279" s="1689"/>
      <c r="L279" s="1689"/>
      <c r="M279" s="1689"/>
      <c r="N279" s="1689"/>
      <c r="O279" s="1689"/>
      <c r="P279" s="1689"/>
      <c r="Q279" s="1689"/>
      <c r="R279" s="1689"/>
      <c r="S279" s="1689"/>
      <c r="T279" s="1689"/>
      <c r="U279" s="1689"/>
      <c r="V279" s="1689"/>
      <c r="W279" s="1689"/>
      <c r="X279" s="1689"/>
      <c r="Y279" s="1689"/>
      <c r="Z279" s="1690"/>
      <c r="AA279" s="1690"/>
      <c r="AB279" s="1690"/>
      <c r="AC279" s="1690"/>
      <c r="AD279" s="1690"/>
      <c r="AE279" s="1690"/>
      <c r="AF279" s="1690"/>
      <c r="AG279" s="1690"/>
      <c r="AH279" s="1690"/>
      <c r="AI279" s="1690"/>
      <c r="AJ279" s="1690"/>
      <c r="AK279" s="1690"/>
      <c r="AL279" s="1690"/>
      <c r="AM279" s="1690"/>
      <c r="AN279" s="1690"/>
      <c r="AO279" s="1690"/>
      <c r="AP279" s="1690"/>
      <c r="AQ279" s="1690"/>
      <c r="AR279" s="1690"/>
      <c r="AS279" s="1690"/>
      <c r="AT279" s="1690"/>
    </row>
    <row r="280">
      <c r="A280" s="1440" t="s">
        <v>2461</v>
      </c>
      <c r="B280" s="1684"/>
      <c r="C280" s="1685"/>
      <c r="D280" s="1685"/>
      <c r="E280" s="1691"/>
      <c r="F280" s="1691"/>
      <c r="G280" s="1691"/>
      <c r="H280" s="1691"/>
      <c r="I280" s="1691"/>
      <c r="J280" s="1691"/>
      <c r="K280" s="1691"/>
      <c r="L280" s="1691"/>
      <c r="M280" s="1691"/>
      <c r="N280" s="1691"/>
      <c r="O280" s="1691"/>
      <c r="P280" s="1691"/>
      <c r="Q280" s="1691"/>
      <c r="R280" s="1691"/>
      <c r="S280" s="1691"/>
      <c r="T280" s="1691"/>
      <c r="U280" s="1691"/>
      <c r="V280" s="1691"/>
      <c r="W280" s="1691"/>
      <c r="X280" s="1691"/>
      <c r="Y280" s="1691"/>
      <c r="Z280" s="1686"/>
      <c r="AA280" s="1686"/>
      <c r="AB280" s="1686"/>
      <c r="AC280" s="1686"/>
      <c r="AD280" s="1686"/>
      <c r="AE280" s="1686"/>
      <c r="AF280" s="1686"/>
      <c r="AG280" s="1686"/>
      <c r="AH280" s="1686"/>
      <c r="AI280" s="1686"/>
      <c r="AJ280" s="1686"/>
      <c r="AK280" s="1686"/>
      <c r="AL280" s="1686"/>
      <c r="AM280" s="1686"/>
      <c r="AN280" s="1686"/>
      <c r="AO280" s="1686"/>
      <c r="AP280" s="1686"/>
      <c r="AQ280" s="1686"/>
      <c r="AR280" s="1686"/>
      <c r="AS280" s="1686"/>
      <c r="AT280" s="1686"/>
    </row>
    <row r="281">
      <c r="A281" s="1440" t="s">
        <v>2461</v>
      </c>
      <c r="B281" s="1687"/>
      <c r="C281" s="1688"/>
      <c r="D281" s="1688"/>
      <c r="E281" s="1689"/>
      <c r="F281" s="1689"/>
      <c r="G281" s="1689"/>
      <c r="H281" s="1689"/>
      <c r="I281" s="1689"/>
      <c r="J281" s="1689"/>
      <c r="K281" s="1689"/>
      <c r="L281" s="1689"/>
      <c r="M281" s="1689"/>
      <c r="N281" s="1689"/>
      <c r="O281" s="1689"/>
      <c r="P281" s="1689"/>
      <c r="Q281" s="1689"/>
      <c r="R281" s="1689"/>
      <c r="S281" s="1689"/>
      <c r="T281" s="1689"/>
      <c r="U281" s="1689"/>
      <c r="V281" s="1689"/>
      <c r="W281" s="1689"/>
      <c r="X281" s="1689"/>
      <c r="Y281" s="1689"/>
      <c r="Z281" s="1690"/>
      <c r="AA281" s="1690"/>
      <c r="AB281" s="1690"/>
      <c r="AC281" s="1690"/>
      <c r="AD281" s="1690"/>
      <c r="AE281" s="1690"/>
      <c r="AF281" s="1690"/>
      <c r="AG281" s="1690"/>
      <c r="AH281" s="1690"/>
      <c r="AI281" s="1690"/>
      <c r="AJ281" s="1690"/>
      <c r="AK281" s="1690"/>
      <c r="AL281" s="1690"/>
      <c r="AM281" s="1690"/>
      <c r="AN281" s="1690"/>
      <c r="AO281" s="1690"/>
      <c r="AP281" s="1690"/>
      <c r="AQ281" s="1690"/>
      <c r="AR281" s="1690"/>
      <c r="AS281" s="1690"/>
      <c r="AT281" s="1690"/>
    </row>
    <row r="282">
      <c r="A282" s="1440" t="s">
        <v>2461</v>
      </c>
      <c r="B282" s="1684"/>
      <c r="C282" s="1685"/>
      <c r="D282" s="1685"/>
      <c r="E282" s="1686"/>
      <c r="F282" s="1686"/>
      <c r="G282" s="1686"/>
      <c r="H282" s="1686"/>
      <c r="I282" s="1686"/>
      <c r="J282" s="1686"/>
      <c r="K282" s="1686"/>
      <c r="L282" s="1686"/>
      <c r="M282" s="1686"/>
      <c r="N282" s="1686"/>
      <c r="O282" s="1686"/>
      <c r="P282" s="1686"/>
      <c r="Q282" s="1686"/>
      <c r="R282" s="1686"/>
      <c r="S282" s="1686"/>
      <c r="T282" s="1686"/>
      <c r="U282" s="1686"/>
      <c r="V282" s="1686"/>
      <c r="W282" s="1686"/>
      <c r="X282" s="1686"/>
      <c r="Y282" s="1686"/>
      <c r="Z282" s="1686"/>
      <c r="AA282" s="1686"/>
      <c r="AB282" s="1686"/>
      <c r="AC282" s="1686"/>
      <c r="AD282" s="1686"/>
      <c r="AE282" s="1686"/>
      <c r="AF282" s="1686"/>
      <c r="AG282" s="1686"/>
      <c r="AH282" s="1686"/>
      <c r="AI282" s="1686"/>
      <c r="AJ282" s="1686"/>
      <c r="AK282" s="1686"/>
      <c r="AL282" s="1686"/>
      <c r="AM282" s="1686"/>
      <c r="AN282" s="1686"/>
      <c r="AO282" s="1686"/>
      <c r="AP282" s="1686"/>
      <c r="AQ282" s="1686"/>
      <c r="AR282" s="1686"/>
      <c r="AS282" s="1686"/>
      <c r="AT282" s="1686"/>
    </row>
    <row r="283">
      <c r="A283" s="1440" t="s">
        <v>2461</v>
      </c>
      <c r="B283" s="1687"/>
      <c r="C283" s="1688"/>
      <c r="D283" s="1688"/>
      <c r="E283" s="1690"/>
      <c r="F283" s="1690"/>
      <c r="G283" s="1690"/>
      <c r="H283" s="1690"/>
      <c r="I283" s="1690"/>
      <c r="J283" s="1690"/>
      <c r="K283" s="1690"/>
      <c r="L283" s="1690"/>
      <c r="M283" s="1690"/>
      <c r="N283" s="1690"/>
      <c r="O283" s="1690"/>
      <c r="P283" s="1690"/>
      <c r="Q283" s="1690"/>
      <c r="R283" s="1690"/>
      <c r="S283" s="1690"/>
      <c r="T283" s="1690"/>
      <c r="U283" s="1690"/>
      <c r="V283" s="1690"/>
      <c r="W283" s="1690"/>
      <c r="X283" s="1690"/>
      <c r="Y283" s="1690"/>
      <c r="Z283" s="1690"/>
      <c r="AA283" s="1690"/>
      <c r="AB283" s="1690"/>
      <c r="AC283" s="1690"/>
      <c r="AD283" s="1690"/>
      <c r="AE283" s="1690"/>
      <c r="AF283" s="1690"/>
      <c r="AG283" s="1690"/>
      <c r="AH283" s="1690"/>
      <c r="AI283" s="1690"/>
      <c r="AJ283" s="1690"/>
      <c r="AK283" s="1690"/>
      <c r="AL283" s="1690"/>
      <c r="AM283" s="1690"/>
      <c r="AN283" s="1690"/>
      <c r="AO283" s="1690"/>
      <c r="AP283" s="1690"/>
      <c r="AQ283" s="1690"/>
      <c r="AR283" s="1690"/>
      <c r="AS283" s="1690"/>
      <c r="AT283" s="1690"/>
    </row>
    <row r="284">
      <c r="A284" s="1419"/>
      <c r="B284" s="1684"/>
      <c r="C284" s="1685"/>
      <c r="D284" s="1685"/>
      <c r="E284" s="1691"/>
      <c r="F284" s="1691"/>
      <c r="G284" s="1691"/>
      <c r="H284" s="1691"/>
      <c r="I284" s="1691"/>
      <c r="J284" s="1691"/>
      <c r="K284" s="1691"/>
      <c r="L284" s="1691"/>
      <c r="M284" s="1691"/>
      <c r="N284" s="1691"/>
      <c r="O284" s="1691"/>
      <c r="P284" s="1691"/>
      <c r="Q284" s="1691"/>
      <c r="R284" s="1691"/>
      <c r="S284" s="1691"/>
      <c r="T284" s="1691"/>
      <c r="U284" s="1691"/>
      <c r="V284" s="1691"/>
      <c r="W284" s="1691"/>
      <c r="X284" s="1691"/>
      <c r="Y284" s="1691"/>
      <c r="Z284" s="1686"/>
      <c r="AA284" s="1686"/>
      <c r="AB284" s="1686"/>
      <c r="AC284" s="1686"/>
      <c r="AD284" s="1686"/>
      <c r="AE284" s="1686"/>
      <c r="AF284" s="1686"/>
      <c r="AG284" s="1686"/>
      <c r="AH284" s="1686"/>
      <c r="AI284" s="1686"/>
      <c r="AJ284" s="1686"/>
      <c r="AK284" s="1686"/>
      <c r="AL284" s="1686"/>
      <c r="AM284" s="1686"/>
      <c r="AN284" s="1686"/>
      <c r="AO284" s="1686"/>
      <c r="AP284" s="1686"/>
      <c r="AQ284" s="1686"/>
      <c r="AR284" s="1686"/>
      <c r="AS284" s="1686"/>
      <c r="AT284" s="1686"/>
    </row>
    <row r="285">
      <c r="A285" s="1419"/>
      <c r="B285" s="1687"/>
      <c r="C285" s="1688"/>
      <c r="D285" s="1688"/>
      <c r="E285" s="1689"/>
      <c r="F285" s="1689"/>
      <c r="G285" s="1689"/>
      <c r="H285" s="1689"/>
      <c r="I285" s="1689"/>
      <c r="J285" s="1689"/>
      <c r="K285" s="1689"/>
      <c r="L285" s="1689"/>
      <c r="M285" s="1689"/>
      <c r="N285" s="1689"/>
      <c r="O285" s="1689"/>
      <c r="P285" s="1689"/>
      <c r="Q285" s="1689"/>
      <c r="R285" s="1689"/>
      <c r="S285" s="1689"/>
      <c r="T285" s="1689"/>
      <c r="U285" s="1689"/>
      <c r="V285" s="1689"/>
      <c r="W285" s="1689"/>
      <c r="X285" s="1689"/>
      <c r="Y285" s="1689"/>
      <c r="Z285" s="1690"/>
      <c r="AA285" s="1690"/>
      <c r="AB285" s="1690"/>
      <c r="AC285" s="1690"/>
      <c r="AD285" s="1690"/>
      <c r="AE285" s="1690"/>
      <c r="AF285" s="1690"/>
      <c r="AG285" s="1690"/>
      <c r="AH285" s="1690"/>
      <c r="AI285" s="1690"/>
      <c r="AJ285" s="1690"/>
      <c r="AK285" s="1690"/>
      <c r="AL285" s="1690"/>
      <c r="AM285" s="1690"/>
      <c r="AN285" s="1690"/>
      <c r="AO285" s="1690"/>
      <c r="AP285" s="1690"/>
      <c r="AQ285" s="1690"/>
      <c r="AR285" s="1690"/>
      <c r="AS285" s="1690"/>
      <c r="AT285" s="1690"/>
    </row>
    <row r="286">
      <c r="A286" s="1419"/>
      <c r="B286" s="1684"/>
      <c r="C286" s="1685"/>
      <c r="D286" s="1685"/>
      <c r="E286" s="1691"/>
      <c r="F286" s="1691"/>
      <c r="G286" s="1691"/>
      <c r="H286" s="1691"/>
      <c r="I286" s="1691"/>
      <c r="J286" s="1691"/>
      <c r="K286" s="1691"/>
      <c r="L286" s="1691"/>
      <c r="M286" s="1691"/>
      <c r="N286" s="1691"/>
      <c r="O286" s="1691"/>
      <c r="P286" s="1691"/>
      <c r="Q286" s="1691"/>
      <c r="R286" s="1691"/>
      <c r="S286" s="1691"/>
      <c r="T286" s="1691"/>
      <c r="U286" s="1691"/>
      <c r="V286" s="1691"/>
      <c r="W286" s="1691"/>
      <c r="X286" s="1691"/>
      <c r="Y286" s="1691"/>
      <c r="Z286" s="1686"/>
      <c r="AA286" s="1686"/>
      <c r="AB286" s="1686"/>
      <c r="AC286" s="1686"/>
      <c r="AD286" s="1686"/>
      <c r="AE286" s="1686"/>
      <c r="AF286" s="1686"/>
      <c r="AG286" s="1686"/>
      <c r="AH286" s="1686"/>
      <c r="AI286" s="1686"/>
      <c r="AJ286" s="1686"/>
      <c r="AK286" s="1686"/>
      <c r="AL286" s="1686"/>
      <c r="AM286" s="1686"/>
      <c r="AN286" s="1686"/>
      <c r="AO286" s="1686"/>
      <c r="AP286" s="1686"/>
      <c r="AQ286" s="1686"/>
      <c r="AR286" s="1686"/>
      <c r="AS286" s="1686"/>
      <c r="AT286" s="1686"/>
    </row>
    <row r="287">
      <c r="A287" s="1419"/>
      <c r="B287" s="1687"/>
      <c r="C287" s="1688"/>
      <c r="D287" s="1688"/>
      <c r="E287" s="1690"/>
      <c r="F287" s="1690"/>
      <c r="G287" s="1690"/>
      <c r="H287" s="1690"/>
      <c r="I287" s="1690"/>
      <c r="J287" s="1690"/>
      <c r="K287" s="1690"/>
      <c r="L287" s="1690"/>
      <c r="M287" s="1690"/>
      <c r="N287" s="1690"/>
      <c r="O287" s="1690"/>
      <c r="P287" s="1690"/>
      <c r="Q287" s="1690"/>
      <c r="R287" s="1690"/>
      <c r="S287" s="1690"/>
      <c r="T287" s="1690"/>
      <c r="U287" s="1690"/>
      <c r="V287" s="1690"/>
      <c r="W287" s="1690"/>
      <c r="X287" s="1690"/>
      <c r="Y287" s="1690"/>
      <c r="Z287" s="1690"/>
      <c r="AA287" s="1690"/>
      <c r="AB287" s="1690"/>
      <c r="AC287" s="1690"/>
      <c r="AD287" s="1690"/>
      <c r="AE287" s="1690"/>
      <c r="AF287" s="1690"/>
      <c r="AG287" s="1690"/>
      <c r="AH287" s="1690"/>
      <c r="AI287" s="1690"/>
      <c r="AJ287" s="1690"/>
      <c r="AK287" s="1690"/>
      <c r="AL287" s="1690"/>
      <c r="AM287" s="1690"/>
      <c r="AN287" s="1690"/>
      <c r="AO287" s="1690"/>
      <c r="AP287" s="1690"/>
      <c r="AQ287" s="1690"/>
      <c r="AR287" s="1690"/>
      <c r="AS287" s="1690"/>
      <c r="AT287" s="1690"/>
    </row>
    <row r="288">
      <c r="A288" s="1419"/>
      <c r="B288" s="1684"/>
      <c r="C288" s="1685"/>
      <c r="D288" s="1685"/>
      <c r="E288" s="1691"/>
      <c r="F288" s="1691"/>
      <c r="G288" s="1691"/>
      <c r="H288" s="1691"/>
      <c r="I288" s="1691"/>
      <c r="J288" s="1691"/>
      <c r="K288" s="1691"/>
      <c r="L288" s="1691"/>
      <c r="M288" s="1691"/>
      <c r="N288" s="1691"/>
      <c r="O288" s="1691"/>
      <c r="P288" s="1691"/>
      <c r="Q288" s="1691"/>
      <c r="R288" s="1691"/>
      <c r="S288" s="1691"/>
      <c r="T288" s="1691"/>
      <c r="U288" s="1691"/>
      <c r="V288" s="1691"/>
      <c r="W288" s="1691"/>
      <c r="X288" s="1691"/>
      <c r="Y288" s="1691"/>
      <c r="Z288" s="1686"/>
      <c r="AA288" s="1686"/>
      <c r="AB288" s="1686"/>
      <c r="AC288" s="1686"/>
      <c r="AD288" s="1686"/>
      <c r="AE288" s="1686"/>
      <c r="AF288" s="1686"/>
      <c r="AG288" s="1686"/>
      <c r="AH288" s="1686"/>
      <c r="AI288" s="1686"/>
      <c r="AJ288" s="1686"/>
      <c r="AK288" s="1686"/>
      <c r="AL288" s="1686"/>
      <c r="AM288" s="1686"/>
      <c r="AN288" s="1686"/>
      <c r="AO288" s="1686"/>
      <c r="AP288" s="1686"/>
      <c r="AQ288" s="1686"/>
      <c r="AR288" s="1686"/>
      <c r="AS288" s="1686"/>
      <c r="AT288" s="1686"/>
    </row>
    <row r="289">
      <c r="A289" s="1419"/>
      <c r="B289" s="1687"/>
      <c r="C289" s="1688"/>
      <c r="D289" s="1688"/>
      <c r="E289" s="1689"/>
      <c r="F289" s="1689"/>
      <c r="G289" s="1689"/>
      <c r="H289" s="1689"/>
      <c r="I289" s="1689"/>
      <c r="J289" s="1689"/>
      <c r="K289" s="1689"/>
      <c r="L289" s="1689"/>
      <c r="M289" s="1689"/>
      <c r="N289" s="1689"/>
      <c r="O289" s="1689"/>
      <c r="P289" s="1689"/>
      <c r="Q289" s="1689"/>
      <c r="R289" s="1689"/>
      <c r="S289" s="1689"/>
      <c r="T289" s="1689"/>
      <c r="U289" s="1689"/>
      <c r="V289" s="1689"/>
      <c r="W289" s="1689"/>
      <c r="X289" s="1689"/>
      <c r="Y289" s="1689"/>
      <c r="Z289" s="1690"/>
      <c r="AA289" s="1690"/>
      <c r="AB289" s="1690"/>
      <c r="AC289" s="1690"/>
      <c r="AD289" s="1690"/>
      <c r="AE289" s="1690"/>
      <c r="AF289" s="1690"/>
      <c r="AG289" s="1690"/>
      <c r="AH289" s="1690"/>
      <c r="AI289" s="1690"/>
      <c r="AJ289" s="1690"/>
      <c r="AK289" s="1690"/>
      <c r="AL289" s="1690"/>
      <c r="AM289" s="1690"/>
      <c r="AN289" s="1690"/>
      <c r="AO289" s="1690"/>
      <c r="AP289" s="1690"/>
      <c r="AQ289" s="1690"/>
      <c r="AR289" s="1690"/>
      <c r="AS289" s="1690"/>
      <c r="AT289" s="1690"/>
    </row>
    <row r="290">
      <c r="A290" s="1419"/>
      <c r="B290" s="1684"/>
      <c r="C290" s="1685"/>
      <c r="D290" s="1685"/>
      <c r="E290" s="1691"/>
      <c r="F290" s="1691"/>
      <c r="G290" s="1691"/>
      <c r="H290" s="1691"/>
      <c r="I290" s="1691"/>
      <c r="J290" s="1691"/>
      <c r="K290" s="1691"/>
      <c r="L290" s="1691"/>
      <c r="M290" s="1691"/>
      <c r="N290" s="1691"/>
      <c r="O290" s="1691"/>
      <c r="P290" s="1691"/>
      <c r="Q290" s="1691"/>
      <c r="R290" s="1691"/>
      <c r="S290" s="1691"/>
      <c r="T290" s="1691"/>
      <c r="U290" s="1691"/>
      <c r="V290" s="1691"/>
      <c r="W290" s="1691"/>
      <c r="X290" s="1691"/>
      <c r="Y290" s="1691"/>
      <c r="Z290" s="1686"/>
      <c r="AA290" s="1686"/>
      <c r="AB290" s="1686"/>
      <c r="AC290" s="1686"/>
      <c r="AD290" s="1686"/>
      <c r="AE290" s="1686"/>
      <c r="AF290" s="1686"/>
      <c r="AG290" s="1686"/>
      <c r="AH290" s="1686"/>
      <c r="AI290" s="1686"/>
      <c r="AJ290" s="1686"/>
      <c r="AK290" s="1686"/>
      <c r="AL290" s="1686"/>
      <c r="AM290" s="1686"/>
      <c r="AN290" s="1686"/>
      <c r="AO290" s="1686"/>
      <c r="AP290" s="1686"/>
      <c r="AQ290" s="1686"/>
      <c r="AR290" s="1686"/>
      <c r="AS290" s="1686"/>
      <c r="AT290" s="1686"/>
    </row>
    <row r="291">
      <c r="A291" s="1419"/>
      <c r="B291" s="1687"/>
      <c r="C291" s="1688"/>
      <c r="D291" s="1688"/>
      <c r="E291" s="1690"/>
      <c r="F291" s="1690"/>
      <c r="G291" s="1690"/>
      <c r="H291" s="1690"/>
      <c r="I291" s="1690"/>
      <c r="J291" s="1690"/>
      <c r="K291" s="1690"/>
      <c r="L291" s="1690"/>
      <c r="M291" s="1690"/>
      <c r="N291" s="1690"/>
      <c r="O291" s="1690"/>
      <c r="P291" s="1690"/>
      <c r="Q291" s="1690"/>
      <c r="R291" s="1690"/>
      <c r="S291" s="1690"/>
      <c r="T291" s="1690"/>
      <c r="U291" s="1690"/>
      <c r="V291" s="1690"/>
      <c r="W291" s="1690"/>
      <c r="X291" s="1690"/>
      <c r="Y291" s="1690"/>
      <c r="Z291" s="1690"/>
      <c r="AA291" s="1690"/>
      <c r="AB291" s="1690"/>
      <c r="AC291" s="1690"/>
      <c r="AD291" s="1690"/>
      <c r="AE291" s="1690"/>
      <c r="AF291" s="1690"/>
      <c r="AG291" s="1690"/>
      <c r="AH291" s="1690"/>
      <c r="AI291" s="1690"/>
      <c r="AJ291" s="1690"/>
      <c r="AK291" s="1690"/>
      <c r="AL291" s="1690"/>
      <c r="AM291" s="1690"/>
      <c r="AN291" s="1690"/>
      <c r="AO291" s="1690"/>
      <c r="AP291" s="1690"/>
      <c r="AQ291" s="1690"/>
      <c r="AR291" s="1690"/>
      <c r="AS291" s="1690"/>
      <c r="AT291" s="1690"/>
    </row>
    <row r="292">
      <c r="A292" s="1419"/>
      <c r="B292" s="1684"/>
      <c r="C292" s="1685"/>
      <c r="D292" s="1685"/>
      <c r="E292" s="1691"/>
      <c r="F292" s="1691"/>
      <c r="G292" s="1691"/>
      <c r="H292" s="1691"/>
      <c r="I292" s="1691"/>
      <c r="J292" s="1691"/>
      <c r="K292" s="1691"/>
      <c r="L292" s="1691"/>
      <c r="M292" s="1691"/>
      <c r="N292" s="1691"/>
      <c r="O292" s="1691"/>
      <c r="P292" s="1691"/>
      <c r="Q292" s="1691"/>
      <c r="R292" s="1691"/>
      <c r="S292" s="1691"/>
      <c r="T292" s="1691"/>
      <c r="U292" s="1691"/>
      <c r="V292" s="1691"/>
      <c r="W292" s="1691"/>
      <c r="X292" s="1691"/>
      <c r="Y292" s="1691"/>
      <c r="Z292" s="1686"/>
      <c r="AA292" s="1686"/>
      <c r="AB292" s="1686"/>
      <c r="AC292" s="1686"/>
      <c r="AD292" s="1686"/>
      <c r="AE292" s="1686"/>
      <c r="AF292" s="1686"/>
      <c r="AG292" s="1686"/>
      <c r="AH292" s="1686"/>
      <c r="AI292" s="1686"/>
      <c r="AJ292" s="1686"/>
      <c r="AK292" s="1686"/>
      <c r="AL292" s="1686"/>
      <c r="AM292" s="1686"/>
      <c r="AN292" s="1686"/>
      <c r="AO292" s="1686"/>
      <c r="AP292" s="1686"/>
      <c r="AQ292" s="1686"/>
      <c r="AR292" s="1686"/>
      <c r="AS292" s="1686"/>
      <c r="AT292" s="1686"/>
    </row>
    <row r="293">
      <c r="A293" s="1419"/>
      <c r="B293" s="1687"/>
      <c r="C293" s="1688"/>
      <c r="D293" s="1688"/>
      <c r="E293" s="1689"/>
      <c r="F293" s="1689"/>
      <c r="G293" s="1689"/>
      <c r="H293" s="1689"/>
      <c r="I293" s="1689"/>
      <c r="J293" s="1689"/>
      <c r="K293" s="1689"/>
      <c r="L293" s="1689"/>
      <c r="M293" s="1689"/>
      <c r="N293" s="1689"/>
      <c r="O293" s="1689"/>
      <c r="P293" s="1689"/>
      <c r="Q293" s="1689"/>
      <c r="R293" s="1689"/>
      <c r="S293" s="1689"/>
      <c r="T293" s="1689"/>
      <c r="U293" s="1689"/>
      <c r="V293" s="1689"/>
      <c r="W293" s="1689"/>
      <c r="X293" s="1689"/>
      <c r="Y293" s="1689"/>
      <c r="Z293" s="1690"/>
      <c r="AA293" s="1690"/>
      <c r="AB293" s="1690"/>
      <c r="AC293" s="1690"/>
      <c r="AD293" s="1690"/>
      <c r="AE293" s="1690"/>
      <c r="AF293" s="1690"/>
      <c r="AG293" s="1690"/>
      <c r="AH293" s="1690"/>
      <c r="AI293" s="1690"/>
      <c r="AJ293" s="1690"/>
      <c r="AK293" s="1690"/>
      <c r="AL293" s="1690"/>
      <c r="AM293" s="1690"/>
      <c r="AN293" s="1690"/>
      <c r="AO293" s="1690"/>
      <c r="AP293" s="1690"/>
      <c r="AQ293" s="1690"/>
      <c r="AR293" s="1690"/>
      <c r="AS293" s="1690"/>
      <c r="AT293" s="1690"/>
    </row>
    <row r="294">
      <c r="A294" s="1419"/>
      <c r="B294" s="1684"/>
      <c r="C294" s="1685"/>
      <c r="D294" s="1685"/>
      <c r="E294" s="1691"/>
      <c r="F294" s="1691"/>
      <c r="G294" s="1691"/>
      <c r="H294" s="1691"/>
      <c r="I294" s="1691"/>
      <c r="J294" s="1691"/>
      <c r="K294" s="1691"/>
      <c r="L294" s="1691"/>
      <c r="M294" s="1691"/>
      <c r="N294" s="1691"/>
      <c r="O294" s="1691"/>
      <c r="P294" s="1691"/>
      <c r="Q294" s="1691"/>
      <c r="R294" s="1691"/>
      <c r="S294" s="1691"/>
      <c r="T294" s="1691"/>
      <c r="U294" s="1691"/>
      <c r="V294" s="1691"/>
      <c r="W294" s="1691"/>
      <c r="X294" s="1691"/>
      <c r="Y294" s="1691"/>
      <c r="Z294" s="1686"/>
      <c r="AA294" s="1686"/>
      <c r="AB294" s="1686"/>
      <c r="AC294" s="1686"/>
      <c r="AD294" s="1686"/>
      <c r="AE294" s="1686"/>
      <c r="AF294" s="1686"/>
      <c r="AG294" s="1686"/>
      <c r="AH294" s="1686"/>
      <c r="AI294" s="1686"/>
      <c r="AJ294" s="1686"/>
      <c r="AK294" s="1686"/>
      <c r="AL294" s="1686"/>
      <c r="AM294" s="1686"/>
      <c r="AN294" s="1686"/>
      <c r="AO294" s="1686"/>
      <c r="AP294" s="1686"/>
      <c r="AQ294" s="1686"/>
      <c r="AR294" s="1686"/>
      <c r="AS294" s="1686"/>
      <c r="AT294" s="1686"/>
    </row>
    <row r="295">
      <c r="A295" s="1419"/>
      <c r="B295" s="1697"/>
      <c r="C295" s="1698"/>
      <c r="D295" s="1698"/>
      <c r="E295" s="1689"/>
      <c r="F295" s="1689"/>
      <c r="G295" s="1689"/>
      <c r="H295" s="1689"/>
      <c r="I295" s="1689"/>
      <c r="J295" s="1689"/>
      <c r="K295" s="1689"/>
      <c r="L295" s="1689"/>
      <c r="M295" s="1689"/>
      <c r="N295" s="1689"/>
      <c r="O295" s="1689"/>
      <c r="P295" s="1689"/>
      <c r="Q295" s="1689"/>
      <c r="R295" s="1689"/>
      <c r="S295" s="1689"/>
      <c r="T295" s="1689"/>
      <c r="U295" s="1689"/>
      <c r="V295" s="1689"/>
      <c r="W295" s="1689"/>
      <c r="X295" s="1689"/>
      <c r="Y295" s="1689"/>
      <c r="Z295" s="1689"/>
      <c r="AA295" s="1689"/>
      <c r="AB295" s="1689"/>
      <c r="AC295" s="1689"/>
      <c r="AD295" s="1689"/>
      <c r="AE295" s="1689"/>
      <c r="AF295" s="1689"/>
      <c r="AG295" s="1689"/>
      <c r="AH295" s="1689"/>
      <c r="AI295" s="1689"/>
      <c r="AJ295" s="1689"/>
      <c r="AK295" s="1689"/>
      <c r="AL295" s="1689"/>
      <c r="AM295" s="1689"/>
      <c r="AN295" s="1689"/>
      <c r="AO295" s="1689"/>
      <c r="AP295" s="1689"/>
      <c r="AQ295" s="1689"/>
      <c r="AR295" s="1689"/>
      <c r="AS295" s="1689"/>
      <c r="AT295" s="1689"/>
    </row>
    <row r="296">
      <c r="A296" s="1419"/>
      <c r="B296" s="1699"/>
      <c r="C296" s="1700"/>
      <c r="D296" s="1700"/>
      <c r="E296" s="1691"/>
      <c r="F296" s="1691"/>
      <c r="G296" s="1691"/>
      <c r="H296" s="1691"/>
      <c r="I296" s="1691"/>
      <c r="J296" s="1691"/>
      <c r="K296" s="1691"/>
      <c r="L296" s="1691"/>
      <c r="M296" s="1691"/>
      <c r="N296" s="1691"/>
      <c r="O296" s="1691"/>
      <c r="P296" s="1691"/>
      <c r="Q296" s="1691"/>
      <c r="R296" s="1691"/>
      <c r="S296" s="1691"/>
      <c r="T296" s="1691"/>
      <c r="U296" s="1691"/>
      <c r="V296" s="1691"/>
      <c r="W296" s="1691"/>
      <c r="X296" s="1691"/>
      <c r="Y296" s="1691"/>
      <c r="Z296" s="1691"/>
      <c r="AA296" s="1691"/>
      <c r="AB296" s="1691"/>
      <c r="AC296" s="1691"/>
      <c r="AD296" s="1691"/>
      <c r="AE296" s="1691"/>
      <c r="AF296" s="1691"/>
      <c r="AG296" s="1691"/>
      <c r="AH296" s="1691"/>
      <c r="AI296" s="1691"/>
      <c r="AJ296" s="1691"/>
      <c r="AK296" s="1691"/>
      <c r="AL296" s="1691"/>
      <c r="AM296" s="1691"/>
      <c r="AN296" s="1691"/>
      <c r="AO296" s="1691"/>
      <c r="AP296" s="1691"/>
      <c r="AQ296" s="1691"/>
      <c r="AR296" s="1691"/>
      <c r="AS296" s="1691"/>
      <c r="AT296" s="1691"/>
    </row>
    <row r="297">
      <c r="A297" s="1419"/>
      <c r="B297" s="1697"/>
      <c r="C297" s="1698"/>
      <c r="D297" s="1698"/>
      <c r="E297" s="1689"/>
      <c r="F297" s="1689"/>
      <c r="G297" s="1689"/>
      <c r="H297" s="1689"/>
      <c r="I297" s="1689"/>
      <c r="J297" s="1689"/>
      <c r="K297" s="1689"/>
      <c r="L297" s="1689"/>
      <c r="M297" s="1689"/>
      <c r="N297" s="1689"/>
      <c r="O297" s="1689"/>
      <c r="P297" s="1689"/>
      <c r="Q297" s="1689"/>
      <c r="R297" s="1689"/>
      <c r="S297" s="1689"/>
      <c r="T297" s="1689"/>
      <c r="U297" s="1689"/>
      <c r="V297" s="1689"/>
      <c r="W297" s="1689"/>
      <c r="X297" s="1689"/>
      <c r="Y297" s="1689"/>
      <c r="Z297" s="1689"/>
      <c r="AA297" s="1689"/>
      <c r="AB297" s="1689"/>
      <c r="AC297" s="1689"/>
      <c r="AD297" s="1689"/>
      <c r="AE297" s="1689"/>
      <c r="AF297" s="1689"/>
      <c r="AG297" s="1689"/>
      <c r="AH297" s="1689"/>
      <c r="AI297" s="1689"/>
      <c r="AJ297" s="1689"/>
      <c r="AK297" s="1689"/>
      <c r="AL297" s="1689"/>
      <c r="AM297" s="1689"/>
      <c r="AN297" s="1689"/>
      <c r="AO297" s="1689"/>
      <c r="AP297" s="1689"/>
      <c r="AQ297" s="1689"/>
      <c r="AR297" s="1689"/>
      <c r="AS297" s="1689"/>
      <c r="AT297" s="1689"/>
    </row>
    <row r="298">
      <c r="A298" s="1419"/>
      <c r="B298" s="1699"/>
      <c r="C298" s="1700"/>
      <c r="D298" s="1700"/>
      <c r="E298" s="1691"/>
      <c r="F298" s="1691"/>
      <c r="G298" s="1691"/>
      <c r="H298" s="1691"/>
      <c r="I298" s="1691"/>
      <c r="J298" s="1691"/>
      <c r="K298" s="1691"/>
      <c r="L298" s="1691"/>
      <c r="M298" s="1691"/>
      <c r="N298" s="1691"/>
      <c r="O298" s="1691"/>
      <c r="P298" s="1691"/>
      <c r="Q298" s="1691"/>
      <c r="R298" s="1691"/>
      <c r="S298" s="1691"/>
      <c r="T298" s="1691"/>
      <c r="U298" s="1691"/>
      <c r="V298" s="1691"/>
      <c r="W298" s="1691"/>
      <c r="X298" s="1691"/>
      <c r="Y298" s="1691"/>
      <c r="Z298" s="1691"/>
      <c r="AA298" s="1691"/>
      <c r="AB298" s="1691"/>
      <c r="AC298" s="1691"/>
      <c r="AD298" s="1691"/>
      <c r="AE298" s="1691"/>
      <c r="AF298" s="1691"/>
      <c r="AG298" s="1691"/>
      <c r="AH298" s="1691"/>
      <c r="AI298" s="1691"/>
      <c r="AJ298" s="1691"/>
      <c r="AK298" s="1691"/>
      <c r="AL298" s="1691"/>
      <c r="AM298" s="1691"/>
      <c r="AN298" s="1691"/>
      <c r="AO298" s="1691"/>
      <c r="AP298" s="1691"/>
      <c r="AQ298" s="1691"/>
      <c r="AR298" s="1691"/>
      <c r="AS298" s="1691"/>
      <c r="AT298" s="1691"/>
    </row>
    <row r="299">
      <c r="A299" s="1419"/>
      <c r="B299" s="1697"/>
      <c r="C299" s="1698"/>
      <c r="D299" s="1698"/>
      <c r="E299" s="1689"/>
      <c r="F299" s="1689"/>
      <c r="G299" s="1689"/>
      <c r="H299" s="1689"/>
      <c r="I299" s="1689"/>
      <c r="J299" s="1689"/>
      <c r="K299" s="1689"/>
      <c r="L299" s="1689"/>
      <c r="M299" s="1689"/>
      <c r="N299" s="1689"/>
      <c r="O299" s="1689"/>
      <c r="P299" s="1689"/>
      <c r="Q299" s="1689"/>
      <c r="R299" s="1689"/>
      <c r="S299" s="1689"/>
      <c r="T299" s="1689"/>
      <c r="U299" s="1689"/>
      <c r="V299" s="1689"/>
      <c r="W299" s="1689"/>
      <c r="X299" s="1689"/>
      <c r="Y299" s="1689"/>
      <c r="Z299" s="1689"/>
      <c r="AA299" s="1689"/>
      <c r="AB299" s="1689"/>
      <c r="AC299" s="1689"/>
      <c r="AD299" s="1689"/>
      <c r="AE299" s="1689"/>
      <c r="AF299" s="1689"/>
      <c r="AG299" s="1689"/>
      <c r="AH299" s="1689"/>
      <c r="AI299" s="1689"/>
      <c r="AJ299" s="1689"/>
      <c r="AK299" s="1689"/>
      <c r="AL299" s="1689"/>
      <c r="AM299" s="1689"/>
      <c r="AN299" s="1689"/>
      <c r="AO299" s="1689"/>
      <c r="AP299" s="1689"/>
      <c r="AQ299" s="1689"/>
      <c r="AR299" s="1689"/>
      <c r="AS299" s="1689"/>
      <c r="AT299" s="1689"/>
    </row>
    <row r="300">
      <c r="A300" s="1419"/>
      <c r="B300" s="1699"/>
      <c r="C300" s="1700"/>
      <c r="D300" s="1700"/>
      <c r="E300" s="1691"/>
      <c r="F300" s="1691"/>
      <c r="G300" s="1691"/>
      <c r="H300" s="1691"/>
      <c r="I300" s="1691"/>
      <c r="J300" s="1691"/>
      <c r="K300" s="1691"/>
      <c r="L300" s="1691"/>
      <c r="M300" s="1691"/>
      <c r="N300" s="1691"/>
      <c r="O300" s="1691"/>
      <c r="P300" s="1691"/>
      <c r="Q300" s="1691"/>
      <c r="R300" s="1691"/>
      <c r="S300" s="1691"/>
      <c r="T300" s="1691"/>
      <c r="U300" s="1691"/>
      <c r="V300" s="1691"/>
      <c r="W300" s="1691"/>
      <c r="X300" s="1691"/>
      <c r="Y300" s="1691"/>
      <c r="Z300" s="1691"/>
      <c r="AA300" s="1691"/>
      <c r="AB300" s="1691"/>
      <c r="AC300" s="1691"/>
      <c r="AD300" s="1691"/>
      <c r="AE300" s="1691"/>
      <c r="AF300" s="1691"/>
      <c r="AG300" s="1691"/>
      <c r="AH300" s="1691"/>
      <c r="AI300" s="1691"/>
      <c r="AJ300" s="1691"/>
      <c r="AK300" s="1691"/>
      <c r="AL300" s="1691"/>
      <c r="AM300" s="1691"/>
      <c r="AN300" s="1691"/>
      <c r="AO300" s="1691"/>
      <c r="AP300" s="1691"/>
      <c r="AQ300" s="1691"/>
      <c r="AR300" s="1691"/>
      <c r="AS300" s="1691"/>
      <c r="AT300" s="1691"/>
    </row>
    <row r="301">
      <c r="A301" s="1419"/>
      <c r="B301" s="1697"/>
      <c r="C301" s="1698"/>
      <c r="D301" s="1698"/>
      <c r="E301" s="1689"/>
      <c r="F301" s="1689"/>
      <c r="G301" s="1689"/>
      <c r="H301" s="1689"/>
      <c r="I301" s="1689"/>
      <c r="J301" s="1689"/>
      <c r="K301" s="1689"/>
      <c r="L301" s="1689"/>
      <c r="M301" s="1689"/>
      <c r="N301" s="1689"/>
      <c r="O301" s="1689"/>
      <c r="P301" s="1689"/>
      <c r="Q301" s="1689"/>
      <c r="R301" s="1689"/>
      <c r="S301" s="1689"/>
      <c r="T301" s="1689"/>
      <c r="U301" s="1689"/>
      <c r="V301" s="1689"/>
      <c r="W301" s="1689"/>
      <c r="X301" s="1689"/>
      <c r="Y301" s="1689"/>
      <c r="Z301" s="1689"/>
      <c r="AA301" s="1689"/>
      <c r="AB301" s="1689"/>
      <c r="AC301" s="1689"/>
      <c r="AD301" s="1689"/>
      <c r="AE301" s="1689"/>
      <c r="AF301" s="1689"/>
      <c r="AG301" s="1689"/>
      <c r="AH301" s="1689"/>
      <c r="AI301" s="1689"/>
      <c r="AJ301" s="1689"/>
      <c r="AK301" s="1689"/>
      <c r="AL301" s="1689"/>
      <c r="AM301" s="1689"/>
      <c r="AN301" s="1689"/>
      <c r="AO301" s="1689"/>
      <c r="AP301" s="1689"/>
      <c r="AQ301" s="1689"/>
      <c r="AR301" s="1689"/>
      <c r="AS301" s="1689"/>
      <c r="AT301" s="1689"/>
    </row>
    <row r="302">
      <c r="A302" s="1419"/>
      <c r="B302" s="1699"/>
      <c r="C302" s="1700"/>
      <c r="D302" s="1700"/>
      <c r="E302" s="1691"/>
      <c r="F302" s="1691"/>
      <c r="G302" s="1691"/>
      <c r="H302" s="1691"/>
      <c r="I302" s="1691"/>
      <c r="J302" s="1691"/>
      <c r="K302" s="1691"/>
      <c r="L302" s="1691"/>
      <c r="M302" s="1691"/>
      <c r="N302" s="1691"/>
      <c r="O302" s="1691"/>
      <c r="P302" s="1691"/>
      <c r="Q302" s="1691"/>
      <c r="R302" s="1691"/>
      <c r="S302" s="1691"/>
      <c r="T302" s="1691"/>
      <c r="U302" s="1691"/>
      <c r="V302" s="1691"/>
      <c r="W302" s="1691"/>
      <c r="X302" s="1691"/>
      <c r="Y302" s="1691"/>
      <c r="Z302" s="1691"/>
      <c r="AA302" s="1691"/>
      <c r="AB302" s="1691"/>
      <c r="AC302" s="1691"/>
      <c r="AD302" s="1691"/>
      <c r="AE302" s="1691"/>
      <c r="AF302" s="1691"/>
      <c r="AG302" s="1691"/>
      <c r="AH302" s="1691"/>
      <c r="AI302" s="1691"/>
      <c r="AJ302" s="1691"/>
      <c r="AK302" s="1691"/>
      <c r="AL302" s="1691"/>
      <c r="AM302" s="1691"/>
      <c r="AN302" s="1691"/>
      <c r="AO302" s="1691"/>
      <c r="AP302" s="1691"/>
      <c r="AQ302" s="1691"/>
      <c r="AR302" s="1691"/>
      <c r="AS302" s="1691"/>
      <c r="AT302" s="1691"/>
    </row>
    <row r="303">
      <c r="A303" s="1419"/>
      <c r="B303" s="1697"/>
      <c r="C303" s="1698"/>
      <c r="D303" s="1698"/>
      <c r="E303" s="1689"/>
      <c r="F303" s="1689"/>
      <c r="G303" s="1689"/>
      <c r="H303" s="1689"/>
      <c r="I303" s="1689"/>
      <c r="J303" s="1689"/>
      <c r="K303" s="1689"/>
      <c r="L303" s="1689"/>
      <c r="M303" s="1689"/>
      <c r="N303" s="1689"/>
      <c r="O303" s="1689"/>
      <c r="P303" s="1689"/>
      <c r="Q303" s="1689"/>
      <c r="R303" s="1689"/>
      <c r="S303" s="1689"/>
      <c r="T303" s="1689"/>
      <c r="U303" s="1689"/>
      <c r="V303" s="1689"/>
      <c r="W303" s="1689"/>
      <c r="X303" s="1689"/>
      <c r="Y303" s="1689"/>
      <c r="Z303" s="1689"/>
      <c r="AA303" s="1689"/>
      <c r="AB303" s="1689"/>
      <c r="AC303" s="1689"/>
      <c r="AD303" s="1689"/>
      <c r="AE303" s="1689"/>
      <c r="AF303" s="1689"/>
      <c r="AG303" s="1689"/>
      <c r="AH303" s="1689"/>
      <c r="AI303" s="1689"/>
      <c r="AJ303" s="1689"/>
      <c r="AK303" s="1689"/>
      <c r="AL303" s="1689"/>
      <c r="AM303" s="1689"/>
      <c r="AN303" s="1689"/>
      <c r="AO303" s="1689"/>
      <c r="AP303" s="1689"/>
      <c r="AQ303" s="1689"/>
      <c r="AR303" s="1689"/>
      <c r="AS303" s="1689"/>
      <c r="AT303" s="1689"/>
    </row>
    <row r="304">
      <c r="A304" s="1419"/>
      <c r="B304" s="1699"/>
      <c r="C304" s="1700"/>
      <c r="D304" s="1700"/>
      <c r="E304" s="1691"/>
      <c r="F304" s="1691"/>
      <c r="G304" s="1691"/>
      <c r="H304" s="1691"/>
      <c r="I304" s="1691"/>
      <c r="J304" s="1691"/>
      <c r="K304" s="1691"/>
      <c r="L304" s="1691"/>
      <c r="M304" s="1691"/>
      <c r="N304" s="1691"/>
      <c r="O304" s="1691"/>
      <c r="P304" s="1691"/>
      <c r="Q304" s="1691"/>
      <c r="R304" s="1691"/>
      <c r="S304" s="1691"/>
      <c r="T304" s="1691"/>
      <c r="U304" s="1691"/>
      <c r="V304" s="1691"/>
      <c r="W304" s="1691"/>
      <c r="X304" s="1691"/>
      <c r="Y304" s="1691"/>
      <c r="Z304" s="1691"/>
      <c r="AA304" s="1691"/>
      <c r="AB304" s="1691"/>
      <c r="AC304" s="1691"/>
      <c r="AD304" s="1691"/>
      <c r="AE304" s="1691"/>
      <c r="AF304" s="1691"/>
      <c r="AG304" s="1691"/>
      <c r="AH304" s="1691"/>
      <c r="AI304" s="1691"/>
      <c r="AJ304" s="1691"/>
      <c r="AK304" s="1691"/>
      <c r="AL304" s="1691"/>
      <c r="AM304" s="1691"/>
      <c r="AN304" s="1691"/>
      <c r="AO304" s="1691"/>
      <c r="AP304" s="1691"/>
      <c r="AQ304" s="1691"/>
      <c r="AR304" s="1691"/>
      <c r="AS304" s="1691"/>
      <c r="AT304" s="1691"/>
    </row>
    <row r="305">
      <c r="A305" s="1419"/>
      <c r="B305" s="1697"/>
      <c r="C305" s="1698"/>
      <c r="D305" s="1698"/>
      <c r="E305" s="1689"/>
      <c r="F305" s="1689"/>
      <c r="G305" s="1689"/>
      <c r="H305" s="1689"/>
      <c r="I305" s="1689"/>
      <c r="J305" s="1689"/>
      <c r="K305" s="1689"/>
      <c r="L305" s="1689"/>
      <c r="M305" s="1689"/>
      <c r="N305" s="1689"/>
      <c r="O305" s="1689"/>
      <c r="P305" s="1689"/>
      <c r="Q305" s="1689"/>
      <c r="R305" s="1689"/>
      <c r="S305" s="1689"/>
      <c r="T305" s="1689"/>
      <c r="U305" s="1689"/>
      <c r="V305" s="1689"/>
      <c r="W305" s="1689"/>
      <c r="X305" s="1689"/>
      <c r="Y305" s="1689"/>
      <c r="Z305" s="1689"/>
      <c r="AA305" s="1689"/>
      <c r="AB305" s="1689"/>
      <c r="AC305" s="1689"/>
      <c r="AD305" s="1689"/>
      <c r="AE305" s="1689"/>
      <c r="AF305" s="1689"/>
      <c r="AG305" s="1689"/>
      <c r="AH305" s="1689"/>
      <c r="AI305" s="1689"/>
      <c r="AJ305" s="1689"/>
      <c r="AK305" s="1689"/>
      <c r="AL305" s="1689"/>
      <c r="AM305" s="1689"/>
      <c r="AN305" s="1689"/>
      <c r="AO305" s="1689"/>
      <c r="AP305" s="1689"/>
      <c r="AQ305" s="1689"/>
      <c r="AR305" s="1689"/>
      <c r="AS305" s="1689"/>
      <c r="AT305" s="1689"/>
    </row>
    <row r="306">
      <c r="A306" s="1419"/>
      <c r="B306" s="1699"/>
      <c r="C306" s="1700"/>
      <c r="D306" s="1700"/>
      <c r="E306" s="1691"/>
      <c r="F306" s="1691"/>
      <c r="G306" s="1691"/>
      <c r="H306" s="1691"/>
      <c r="I306" s="1691"/>
      <c r="J306" s="1691"/>
      <c r="K306" s="1691"/>
      <c r="L306" s="1691"/>
      <c r="M306" s="1691"/>
      <c r="N306" s="1691"/>
      <c r="O306" s="1691"/>
      <c r="P306" s="1691"/>
      <c r="Q306" s="1691"/>
      <c r="R306" s="1691"/>
      <c r="S306" s="1691"/>
      <c r="T306" s="1691"/>
      <c r="U306" s="1691"/>
      <c r="V306" s="1691"/>
      <c r="W306" s="1691"/>
      <c r="X306" s="1691"/>
      <c r="Y306" s="1691"/>
      <c r="Z306" s="1691"/>
      <c r="AA306" s="1691"/>
      <c r="AB306" s="1691"/>
      <c r="AC306" s="1691"/>
      <c r="AD306" s="1691"/>
      <c r="AE306" s="1691"/>
      <c r="AF306" s="1691"/>
      <c r="AG306" s="1691"/>
      <c r="AH306" s="1691"/>
      <c r="AI306" s="1691"/>
      <c r="AJ306" s="1691"/>
      <c r="AK306" s="1691"/>
      <c r="AL306" s="1691"/>
      <c r="AM306" s="1691"/>
      <c r="AN306" s="1691"/>
      <c r="AO306" s="1691"/>
      <c r="AP306" s="1691"/>
      <c r="AQ306" s="1691"/>
      <c r="AR306" s="1691"/>
      <c r="AS306" s="1691"/>
      <c r="AT306" s="1691"/>
    </row>
    <row r="307">
      <c r="A307" s="1419"/>
      <c r="B307" s="1697"/>
      <c r="C307" s="1698"/>
      <c r="D307" s="1698"/>
      <c r="E307" s="1689"/>
      <c r="F307" s="1689"/>
      <c r="G307" s="1689"/>
      <c r="H307" s="1689"/>
      <c r="I307" s="1689"/>
      <c r="J307" s="1689"/>
      <c r="K307" s="1689"/>
      <c r="L307" s="1689"/>
      <c r="M307" s="1689"/>
      <c r="N307" s="1689"/>
      <c r="O307" s="1689"/>
      <c r="P307" s="1689"/>
      <c r="Q307" s="1689"/>
      <c r="R307" s="1689"/>
      <c r="S307" s="1689"/>
      <c r="T307" s="1689"/>
      <c r="U307" s="1689"/>
      <c r="V307" s="1689"/>
      <c r="W307" s="1689"/>
      <c r="X307" s="1689"/>
      <c r="Y307" s="1689"/>
      <c r="Z307" s="1689"/>
      <c r="AA307" s="1689"/>
      <c r="AB307" s="1689"/>
      <c r="AC307" s="1689"/>
      <c r="AD307" s="1689"/>
      <c r="AE307" s="1689"/>
      <c r="AF307" s="1689"/>
      <c r="AG307" s="1689"/>
      <c r="AH307" s="1689"/>
      <c r="AI307" s="1689"/>
      <c r="AJ307" s="1689"/>
      <c r="AK307" s="1689"/>
      <c r="AL307" s="1689"/>
      <c r="AM307" s="1689"/>
      <c r="AN307" s="1689"/>
      <c r="AO307" s="1689"/>
      <c r="AP307" s="1689"/>
      <c r="AQ307" s="1689"/>
      <c r="AR307" s="1689"/>
      <c r="AS307" s="1689"/>
      <c r="AT307" s="1689"/>
    </row>
    <row r="308">
      <c r="A308" s="1419"/>
      <c r="B308" s="1699"/>
      <c r="C308" s="1700"/>
      <c r="D308" s="1700"/>
      <c r="E308" s="1691"/>
      <c r="F308" s="1691"/>
      <c r="G308" s="1691"/>
      <c r="H308" s="1691"/>
      <c r="I308" s="1691"/>
      <c r="J308" s="1691"/>
      <c r="K308" s="1691"/>
      <c r="L308" s="1691"/>
      <c r="M308" s="1691"/>
      <c r="N308" s="1691"/>
      <c r="O308" s="1691"/>
      <c r="P308" s="1691"/>
      <c r="Q308" s="1691"/>
      <c r="R308" s="1691"/>
      <c r="S308" s="1691"/>
      <c r="T308" s="1691"/>
      <c r="U308" s="1691"/>
      <c r="V308" s="1691"/>
      <c r="W308" s="1691"/>
      <c r="X308" s="1691"/>
      <c r="Y308" s="1691"/>
      <c r="Z308" s="1691"/>
      <c r="AA308" s="1691"/>
      <c r="AB308" s="1691"/>
      <c r="AC308" s="1691"/>
      <c r="AD308" s="1691"/>
      <c r="AE308" s="1691"/>
      <c r="AF308" s="1691"/>
      <c r="AG308" s="1691"/>
      <c r="AH308" s="1691"/>
      <c r="AI308" s="1691"/>
      <c r="AJ308" s="1691"/>
      <c r="AK308" s="1691"/>
      <c r="AL308" s="1691"/>
      <c r="AM308" s="1691"/>
      <c r="AN308" s="1691"/>
      <c r="AO308" s="1691"/>
      <c r="AP308" s="1691"/>
      <c r="AQ308" s="1691"/>
      <c r="AR308" s="1691"/>
      <c r="AS308" s="1691"/>
      <c r="AT308" s="1691"/>
    </row>
    <row r="309">
      <c r="A309" s="1419"/>
      <c r="B309" s="1697"/>
      <c r="C309" s="1698"/>
      <c r="D309" s="1698"/>
      <c r="E309" s="1689"/>
      <c r="F309" s="1689"/>
      <c r="G309" s="1689"/>
      <c r="H309" s="1689"/>
      <c r="I309" s="1689"/>
      <c r="J309" s="1689"/>
      <c r="K309" s="1689"/>
      <c r="L309" s="1689"/>
      <c r="M309" s="1689"/>
      <c r="N309" s="1689"/>
      <c r="O309" s="1689"/>
      <c r="P309" s="1689"/>
      <c r="Q309" s="1689"/>
      <c r="R309" s="1689"/>
      <c r="S309" s="1689"/>
      <c r="T309" s="1689"/>
      <c r="U309" s="1689"/>
      <c r="V309" s="1689"/>
      <c r="W309" s="1689"/>
      <c r="X309" s="1689"/>
      <c r="Y309" s="1689"/>
      <c r="Z309" s="1689"/>
      <c r="AA309" s="1689"/>
      <c r="AB309" s="1689"/>
      <c r="AC309" s="1689"/>
      <c r="AD309" s="1689"/>
      <c r="AE309" s="1689"/>
      <c r="AF309" s="1689"/>
      <c r="AG309" s="1689"/>
      <c r="AH309" s="1689"/>
      <c r="AI309" s="1689"/>
      <c r="AJ309" s="1689"/>
      <c r="AK309" s="1689"/>
      <c r="AL309" s="1689"/>
      <c r="AM309" s="1689"/>
      <c r="AN309" s="1689"/>
      <c r="AO309" s="1689"/>
      <c r="AP309" s="1689"/>
      <c r="AQ309" s="1689"/>
      <c r="AR309" s="1689"/>
      <c r="AS309" s="1689"/>
      <c r="AT309" s="1689"/>
    </row>
    <row r="310">
      <c r="A310" s="1419"/>
      <c r="B310" s="1699"/>
      <c r="C310" s="1700"/>
      <c r="D310" s="1700"/>
      <c r="E310" s="1691"/>
      <c r="F310" s="1691"/>
      <c r="G310" s="1691"/>
      <c r="H310" s="1691"/>
      <c r="I310" s="1691"/>
      <c r="J310" s="1691"/>
      <c r="K310" s="1691"/>
      <c r="L310" s="1691"/>
      <c r="M310" s="1691"/>
      <c r="N310" s="1691"/>
      <c r="O310" s="1691"/>
      <c r="P310" s="1691"/>
      <c r="Q310" s="1691"/>
      <c r="R310" s="1691"/>
      <c r="S310" s="1691"/>
      <c r="T310" s="1691"/>
      <c r="U310" s="1691"/>
      <c r="V310" s="1691"/>
      <c r="W310" s="1691"/>
      <c r="X310" s="1691"/>
      <c r="Y310" s="1691"/>
      <c r="Z310" s="1691"/>
      <c r="AA310" s="1691"/>
      <c r="AB310" s="1691"/>
      <c r="AC310" s="1691"/>
      <c r="AD310" s="1691"/>
      <c r="AE310" s="1691"/>
      <c r="AF310" s="1691"/>
      <c r="AG310" s="1691"/>
      <c r="AH310" s="1691"/>
      <c r="AI310" s="1691"/>
      <c r="AJ310" s="1691"/>
      <c r="AK310" s="1691"/>
      <c r="AL310" s="1691"/>
      <c r="AM310" s="1691"/>
      <c r="AN310" s="1691"/>
      <c r="AO310" s="1691"/>
      <c r="AP310" s="1691"/>
      <c r="AQ310" s="1691"/>
      <c r="AR310" s="1691"/>
      <c r="AS310" s="1691"/>
      <c r="AT310" s="1691"/>
    </row>
    <row r="311">
      <c r="A311" s="1419"/>
      <c r="B311" s="1697"/>
      <c r="C311" s="1698"/>
      <c r="D311" s="1698"/>
      <c r="E311" s="1689"/>
      <c r="F311" s="1689"/>
      <c r="G311" s="1689"/>
      <c r="H311" s="1689"/>
      <c r="I311" s="1689"/>
      <c r="J311" s="1689"/>
      <c r="K311" s="1689"/>
      <c r="L311" s="1689"/>
      <c r="M311" s="1689"/>
      <c r="N311" s="1689"/>
      <c r="O311" s="1689"/>
      <c r="P311" s="1689"/>
      <c r="Q311" s="1689"/>
      <c r="R311" s="1689"/>
      <c r="S311" s="1689"/>
      <c r="T311" s="1689"/>
      <c r="U311" s="1689"/>
      <c r="V311" s="1689"/>
      <c r="W311" s="1689"/>
      <c r="X311" s="1689"/>
      <c r="Y311" s="1689"/>
      <c r="Z311" s="1689"/>
      <c r="AA311" s="1689"/>
      <c r="AB311" s="1689"/>
      <c r="AC311" s="1689"/>
      <c r="AD311" s="1689"/>
      <c r="AE311" s="1689"/>
      <c r="AF311" s="1689"/>
      <c r="AG311" s="1689"/>
      <c r="AH311" s="1689"/>
      <c r="AI311" s="1689"/>
      <c r="AJ311" s="1689"/>
      <c r="AK311" s="1689"/>
      <c r="AL311" s="1689"/>
      <c r="AM311" s="1689"/>
      <c r="AN311" s="1689"/>
      <c r="AO311" s="1689"/>
      <c r="AP311" s="1689"/>
      <c r="AQ311" s="1689"/>
      <c r="AR311" s="1689"/>
      <c r="AS311" s="1689"/>
      <c r="AT311" s="1689"/>
    </row>
    <row r="312">
      <c r="A312" s="1419"/>
      <c r="B312" s="1699"/>
      <c r="C312" s="1700"/>
      <c r="D312" s="1700"/>
      <c r="E312" s="1691"/>
      <c r="F312" s="1691"/>
      <c r="G312" s="1691"/>
      <c r="H312" s="1691"/>
      <c r="I312" s="1691"/>
      <c r="J312" s="1691"/>
      <c r="K312" s="1691"/>
      <c r="L312" s="1691"/>
      <c r="M312" s="1691"/>
      <c r="N312" s="1691"/>
      <c r="O312" s="1691"/>
      <c r="P312" s="1691"/>
      <c r="Q312" s="1691"/>
      <c r="R312" s="1691"/>
      <c r="S312" s="1691"/>
      <c r="T312" s="1691"/>
      <c r="U312" s="1691"/>
      <c r="V312" s="1691"/>
      <c r="W312" s="1691"/>
      <c r="X312" s="1691"/>
      <c r="Y312" s="1691"/>
      <c r="Z312" s="1691"/>
      <c r="AA312" s="1691"/>
      <c r="AB312" s="1691"/>
      <c r="AC312" s="1691"/>
      <c r="AD312" s="1691"/>
      <c r="AE312" s="1691"/>
      <c r="AF312" s="1691"/>
      <c r="AG312" s="1691"/>
      <c r="AH312" s="1691"/>
      <c r="AI312" s="1691"/>
      <c r="AJ312" s="1691"/>
      <c r="AK312" s="1691"/>
      <c r="AL312" s="1691"/>
      <c r="AM312" s="1691"/>
      <c r="AN312" s="1691"/>
      <c r="AO312" s="1691"/>
      <c r="AP312" s="1691"/>
      <c r="AQ312" s="1691"/>
      <c r="AR312" s="1691"/>
      <c r="AS312" s="1691"/>
      <c r="AT312" s="1691"/>
    </row>
    <row r="313">
      <c r="A313" s="1419"/>
      <c r="B313" s="1697"/>
      <c r="C313" s="1698"/>
      <c r="D313" s="1698"/>
      <c r="E313" s="1689"/>
      <c r="F313" s="1689"/>
      <c r="G313" s="1689"/>
      <c r="H313" s="1689"/>
      <c r="I313" s="1689"/>
      <c r="J313" s="1689"/>
      <c r="K313" s="1689"/>
      <c r="L313" s="1689"/>
      <c r="M313" s="1689"/>
      <c r="N313" s="1689"/>
      <c r="O313" s="1689"/>
      <c r="P313" s="1689"/>
      <c r="Q313" s="1689"/>
      <c r="R313" s="1689"/>
      <c r="S313" s="1689"/>
      <c r="T313" s="1689"/>
      <c r="U313" s="1689"/>
      <c r="V313" s="1689"/>
      <c r="W313" s="1689"/>
      <c r="X313" s="1689"/>
      <c r="Y313" s="1689"/>
      <c r="Z313" s="1689"/>
      <c r="AA313" s="1689"/>
      <c r="AB313" s="1689"/>
      <c r="AC313" s="1689"/>
      <c r="AD313" s="1689"/>
      <c r="AE313" s="1689"/>
      <c r="AF313" s="1689"/>
      <c r="AG313" s="1689"/>
      <c r="AH313" s="1689"/>
      <c r="AI313" s="1689"/>
      <c r="AJ313" s="1689"/>
      <c r="AK313" s="1689"/>
      <c r="AL313" s="1689"/>
      <c r="AM313" s="1689"/>
      <c r="AN313" s="1689"/>
      <c r="AO313" s="1689"/>
      <c r="AP313" s="1689"/>
      <c r="AQ313" s="1689"/>
      <c r="AR313" s="1689"/>
      <c r="AS313" s="1689"/>
      <c r="AT313" s="1689"/>
    </row>
    <row r="314">
      <c r="A314" s="1419"/>
      <c r="B314" s="1699"/>
      <c r="C314" s="1700"/>
      <c r="D314" s="1700"/>
      <c r="E314" s="1691"/>
      <c r="F314" s="1691"/>
      <c r="G314" s="1691"/>
      <c r="H314" s="1691"/>
      <c r="I314" s="1691"/>
      <c r="J314" s="1691"/>
      <c r="K314" s="1691"/>
      <c r="L314" s="1691"/>
      <c r="M314" s="1691"/>
      <c r="N314" s="1691"/>
      <c r="O314" s="1691"/>
      <c r="P314" s="1691"/>
      <c r="Q314" s="1691"/>
      <c r="R314" s="1691"/>
      <c r="S314" s="1691"/>
      <c r="T314" s="1691"/>
      <c r="U314" s="1691"/>
      <c r="V314" s="1691"/>
      <c r="W314" s="1691"/>
      <c r="X314" s="1691"/>
      <c r="Y314" s="1691"/>
      <c r="Z314" s="1691"/>
      <c r="AA314" s="1691"/>
      <c r="AB314" s="1691"/>
      <c r="AC314" s="1691"/>
      <c r="AD314" s="1691"/>
      <c r="AE314" s="1691"/>
      <c r="AF314" s="1691"/>
      <c r="AG314" s="1691"/>
      <c r="AH314" s="1691"/>
      <c r="AI314" s="1691"/>
      <c r="AJ314" s="1691"/>
      <c r="AK314" s="1691"/>
      <c r="AL314" s="1691"/>
      <c r="AM314" s="1691"/>
      <c r="AN314" s="1691"/>
      <c r="AO314" s="1691"/>
      <c r="AP314" s="1691"/>
      <c r="AQ314" s="1691"/>
      <c r="AR314" s="1691"/>
      <c r="AS314" s="1691"/>
      <c r="AT314" s="1691"/>
    </row>
    <row r="315">
      <c r="A315" s="1419"/>
      <c r="B315" s="1697"/>
      <c r="C315" s="1698"/>
      <c r="D315" s="1698"/>
      <c r="E315" s="1689"/>
      <c r="F315" s="1689"/>
      <c r="G315" s="1689"/>
      <c r="H315" s="1689"/>
      <c r="I315" s="1689"/>
      <c r="J315" s="1689"/>
      <c r="K315" s="1689"/>
      <c r="L315" s="1689"/>
      <c r="M315" s="1689"/>
      <c r="N315" s="1689"/>
      <c r="O315" s="1689"/>
      <c r="P315" s="1689"/>
      <c r="Q315" s="1689"/>
      <c r="R315" s="1689"/>
      <c r="S315" s="1689"/>
      <c r="T315" s="1689"/>
      <c r="U315" s="1689"/>
      <c r="V315" s="1689"/>
      <c r="W315" s="1689"/>
      <c r="X315" s="1689"/>
      <c r="Y315" s="1689"/>
      <c r="Z315" s="1689"/>
      <c r="AA315" s="1689"/>
      <c r="AB315" s="1689"/>
      <c r="AC315" s="1689"/>
      <c r="AD315" s="1689"/>
      <c r="AE315" s="1689"/>
      <c r="AF315" s="1689"/>
      <c r="AG315" s="1689"/>
      <c r="AH315" s="1689"/>
      <c r="AI315" s="1689"/>
      <c r="AJ315" s="1689"/>
      <c r="AK315" s="1689"/>
      <c r="AL315" s="1689"/>
      <c r="AM315" s="1689"/>
      <c r="AN315" s="1689"/>
      <c r="AO315" s="1689"/>
      <c r="AP315" s="1689"/>
      <c r="AQ315" s="1689"/>
      <c r="AR315" s="1689"/>
      <c r="AS315" s="1689"/>
      <c r="AT315" s="1689"/>
    </row>
    <row r="316">
      <c r="A316" s="1419"/>
      <c r="B316" s="1699"/>
      <c r="C316" s="1700"/>
      <c r="D316" s="1700"/>
      <c r="E316" s="1691"/>
      <c r="F316" s="1691"/>
      <c r="G316" s="1691"/>
      <c r="H316" s="1691"/>
      <c r="I316" s="1691"/>
      <c r="J316" s="1691"/>
      <c r="K316" s="1691"/>
      <c r="L316" s="1691"/>
      <c r="M316" s="1691"/>
      <c r="N316" s="1691"/>
      <c r="O316" s="1691"/>
      <c r="P316" s="1691"/>
      <c r="Q316" s="1691"/>
      <c r="R316" s="1691"/>
      <c r="S316" s="1691"/>
      <c r="T316" s="1691"/>
      <c r="U316" s="1691"/>
      <c r="V316" s="1691"/>
      <c r="W316" s="1691"/>
      <c r="X316" s="1691"/>
      <c r="Y316" s="1691"/>
      <c r="Z316" s="1691"/>
      <c r="AA316" s="1691"/>
      <c r="AB316" s="1691"/>
      <c r="AC316" s="1691"/>
      <c r="AD316" s="1691"/>
      <c r="AE316" s="1691"/>
      <c r="AF316" s="1691"/>
      <c r="AG316" s="1691"/>
      <c r="AH316" s="1691"/>
      <c r="AI316" s="1691"/>
      <c r="AJ316" s="1691"/>
      <c r="AK316" s="1691"/>
      <c r="AL316" s="1691"/>
      <c r="AM316" s="1691"/>
      <c r="AN316" s="1691"/>
      <c r="AO316" s="1691"/>
      <c r="AP316" s="1691"/>
      <c r="AQ316" s="1691"/>
      <c r="AR316" s="1691"/>
      <c r="AS316" s="1691"/>
      <c r="AT316" s="1691"/>
    </row>
    <row r="317">
      <c r="A317" s="1419"/>
      <c r="B317" s="1697"/>
      <c r="C317" s="1698"/>
      <c r="D317" s="1698"/>
      <c r="E317" s="1689"/>
      <c r="F317" s="1689"/>
      <c r="G317" s="1689"/>
      <c r="H317" s="1689"/>
      <c r="I317" s="1689"/>
      <c r="J317" s="1689"/>
      <c r="K317" s="1689"/>
      <c r="L317" s="1689"/>
      <c r="M317" s="1689"/>
      <c r="N317" s="1689"/>
      <c r="O317" s="1689"/>
      <c r="P317" s="1689"/>
      <c r="Q317" s="1689"/>
      <c r="R317" s="1689"/>
      <c r="S317" s="1689"/>
      <c r="T317" s="1689"/>
      <c r="U317" s="1689"/>
      <c r="V317" s="1689"/>
      <c r="W317" s="1689"/>
      <c r="X317" s="1689"/>
      <c r="Y317" s="1689"/>
      <c r="Z317" s="1689"/>
      <c r="AA317" s="1689"/>
      <c r="AB317" s="1689"/>
      <c r="AC317" s="1689"/>
      <c r="AD317" s="1689"/>
      <c r="AE317" s="1689"/>
      <c r="AF317" s="1689"/>
      <c r="AG317" s="1689"/>
      <c r="AH317" s="1689"/>
      <c r="AI317" s="1689"/>
      <c r="AJ317" s="1689"/>
      <c r="AK317" s="1689"/>
      <c r="AL317" s="1689"/>
      <c r="AM317" s="1689"/>
      <c r="AN317" s="1689"/>
      <c r="AO317" s="1689"/>
      <c r="AP317" s="1689"/>
      <c r="AQ317" s="1689"/>
      <c r="AR317" s="1689"/>
      <c r="AS317" s="1689"/>
      <c r="AT317" s="1689"/>
    </row>
    <row r="318">
      <c r="A318" s="1419"/>
      <c r="B318" s="1699"/>
      <c r="C318" s="1700"/>
      <c r="D318" s="1700"/>
      <c r="E318" s="1691"/>
      <c r="F318" s="1691"/>
      <c r="G318" s="1691"/>
      <c r="H318" s="1691"/>
      <c r="I318" s="1691"/>
      <c r="J318" s="1691"/>
      <c r="K318" s="1691"/>
      <c r="L318" s="1691"/>
      <c r="M318" s="1691"/>
      <c r="N318" s="1691"/>
      <c r="O318" s="1691"/>
      <c r="P318" s="1691"/>
      <c r="Q318" s="1691"/>
      <c r="R318" s="1691"/>
      <c r="S318" s="1691"/>
      <c r="T318" s="1691"/>
      <c r="U318" s="1691"/>
      <c r="V318" s="1691"/>
      <c r="W318" s="1691"/>
      <c r="X318" s="1691"/>
      <c r="Y318" s="1691"/>
      <c r="Z318" s="1691"/>
      <c r="AA318" s="1691"/>
      <c r="AB318" s="1691"/>
      <c r="AC318" s="1691"/>
      <c r="AD318" s="1691"/>
      <c r="AE318" s="1691"/>
      <c r="AF318" s="1691"/>
      <c r="AG318" s="1691"/>
      <c r="AH318" s="1691"/>
      <c r="AI318" s="1691"/>
      <c r="AJ318" s="1691"/>
      <c r="AK318" s="1691"/>
      <c r="AL318" s="1691"/>
      <c r="AM318" s="1691"/>
      <c r="AN318" s="1691"/>
      <c r="AO318" s="1691"/>
      <c r="AP318" s="1691"/>
      <c r="AQ318" s="1691"/>
      <c r="AR318" s="1691"/>
      <c r="AS318" s="1691"/>
      <c r="AT318" s="1691"/>
    </row>
    <row r="319">
      <c r="A319" s="1419"/>
      <c r="B319" s="1697"/>
      <c r="C319" s="1698"/>
      <c r="D319" s="1698"/>
      <c r="E319" s="1689"/>
      <c r="F319" s="1689"/>
      <c r="G319" s="1689"/>
      <c r="H319" s="1689"/>
      <c r="I319" s="1689"/>
      <c r="J319" s="1689"/>
      <c r="K319" s="1689"/>
      <c r="L319" s="1689"/>
      <c r="M319" s="1689"/>
      <c r="N319" s="1689"/>
      <c r="O319" s="1689"/>
      <c r="P319" s="1689"/>
      <c r="Q319" s="1689"/>
      <c r="R319" s="1689"/>
      <c r="S319" s="1689"/>
      <c r="T319" s="1689"/>
      <c r="U319" s="1689"/>
      <c r="V319" s="1689"/>
      <c r="W319" s="1689"/>
      <c r="X319" s="1689"/>
      <c r="Y319" s="1689"/>
      <c r="Z319" s="1689"/>
      <c r="AA319" s="1689"/>
      <c r="AB319" s="1689"/>
      <c r="AC319" s="1689"/>
      <c r="AD319" s="1689"/>
      <c r="AE319" s="1689"/>
      <c r="AF319" s="1689"/>
      <c r="AG319" s="1689"/>
      <c r="AH319" s="1689"/>
      <c r="AI319" s="1689"/>
      <c r="AJ319" s="1689"/>
      <c r="AK319" s="1689"/>
      <c r="AL319" s="1689"/>
      <c r="AM319" s="1689"/>
      <c r="AN319" s="1689"/>
      <c r="AO319" s="1689"/>
      <c r="AP319" s="1689"/>
      <c r="AQ319" s="1689"/>
      <c r="AR319" s="1689"/>
      <c r="AS319" s="1689"/>
      <c r="AT319" s="1689"/>
    </row>
    <row r="320">
      <c r="A320" s="1440" t="s">
        <v>2461</v>
      </c>
      <c r="B320" s="1699"/>
      <c r="C320" s="1700"/>
      <c r="D320" s="1700"/>
      <c r="E320" s="1691"/>
      <c r="F320" s="1691"/>
      <c r="G320" s="1691"/>
      <c r="H320" s="1691"/>
      <c r="I320" s="1691"/>
      <c r="J320" s="1691"/>
      <c r="K320" s="1691"/>
      <c r="L320" s="1691"/>
      <c r="M320" s="1691"/>
      <c r="N320" s="1691"/>
      <c r="O320" s="1691"/>
      <c r="P320" s="1691"/>
      <c r="Q320" s="1691"/>
      <c r="R320" s="1691"/>
      <c r="S320" s="1691"/>
      <c r="T320" s="1691"/>
      <c r="U320" s="1691"/>
      <c r="V320" s="1691"/>
      <c r="W320" s="1691"/>
      <c r="X320" s="1691"/>
      <c r="Y320" s="1691"/>
      <c r="Z320" s="1691"/>
      <c r="AA320" s="1691"/>
      <c r="AB320" s="1691"/>
      <c r="AC320" s="1691"/>
      <c r="AD320" s="1691"/>
      <c r="AE320" s="1691"/>
      <c r="AF320" s="1691"/>
      <c r="AG320" s="1691"/>
      <c r="AH320" s="1691"/>
      <c r="AI320" s="1691"/>
      <c r="AJ320" s="1691"/>
      <c r="AK320" s="1691"/>
      <c r="AL320" s="1691"/>
      <c r="AM320" s="1691"/>
      <c r="AN320" s="1691"/>
      <c r="AO320" s="1691"/>
      <c r="AP320" s="1691"/>
      <c r="AQ320" s="1691"/>
      <c r="AR320" s="1691"/>
      <c r="AS320" s="1691"/>
      <c r="AT320" s="1691"/>
    </row>
    <row r="321">
      <c r="A321" s="1419"/>
      <c r="B321" s="1697"/>
      <c r="C321" s="1698"/>
      <c r="D321" s="1698"/>
      <c r="E321" s="1689"/>
      <c r="F321" s="1689"/>
      <c r="G321" s="1689"/>
      <c r="H321" s="1689"/>
      <c r="I321" s="1689"/>
      <c r="J321" s="1689"/>
      <c r="K321" s="1689"/>
      <c r="L321" s="1689"/>
      <c r="M321" s="1689"/>
      <c r="N321" s="1689"/>
      <c r="O321" s="1689"/>
      <c r="P321" s="1689"/>
      <c r="Q321" s="1689"/>
      <c r="R321" s="1689"/>
      <c r="S321" s="1689"/>
      <c r="T321" s="1689"/>
      <c r="U321" s="1689"/>
      <c r="V321" s="1689"/>
      <c r="W321" s="1689"/>
      <c r="X321" s="1689"/>
      <c r="Y321" s="1689"/>
      <c r="Z321" s="1689"/>
      <c r="AA321" s="1689"/>
      <c r="AB321" s="1689"/>
      <c r="AC321" s="1689"/>
      <c r="AD321" s="1689"/>
      <c r="AE321" s="1689"/>
      <c r="AF321" s="1689"/>
      <c r="AG321" s="1689"/>
      <c r="AH321" s="1689"/>
      <c r="AI321" s="1689"/>
      <c r="AJ321" s="1689"/>
      <c r="AK321" s="1689"/>
      <c r="AL321" s="1689"/>
      <c r="AM321" s="1689"/>
      <c r="AN321" s="1689"/>
      <c r="AO321" s="1689"/>
      <c r="AP321" s="1689"/>
      <c r="AQ321" s="1689"/>
      <c r="AR321" s="1689"/>
      <c r="AS321" s="1689"/>
      <c r="AT321" s="1689"/>
    </row>
    <row r="322">
      <c r="A322" s="1419"/>
      <c r="B322" s="1699"/>
      <c r="C322" s="1700"/>
      <c r="D322" s="1700"/>
      <c r="E322" s="1691"/>
      <c r="F322" s="1691"/>
      <c r="G322" s="1691"/>
      <c r="H322" s="1691"/>
      <c r="I322" s="1691"/>
      <c r="J322" s="1691"/>
      <c r="K322" s="1691"/>
      <c r="L322" s="1691"/>
      <c r="M322" s="1691"/>
      <c r="N322" s="1691"/>
      <c r="O322" s="1691"/>
      <c r="P322" s="1691"/>
      <c r="Q322" s="1691"/>
      <c r="R322" s="1691"/>
      <c r="S322" s="1691"/>
      <c r="T322" s="1691"/>
      <c r="U322" s="1691"/>
      <c r="V322" s="1691"/>
      <c r="W322" s="1691"/>
      <c r="X322" s="1691"/>
      <c r="Y322" s="1691"/>
      <c r="Z322" s="1691"/>
      <c r="AA322" s="1691"/>
      <c r="AB322" s="1691"/>
      <c r="AC322" s="1691"/>
      <c r="AD322" s="1691"/>
      <c r="AE322" s="1691"/>
      <c r="AF322" s="1691"/>
      <c r="AG322" s="1691"/>
      <c r="AH322" s="1691"/>
      <c r="AI322" s="1691"/>
      <c r="AJ322" s="1691"/>
      <c r="AK322" s="1691"/>
      <c r="AL322" s="1691"/>
      <c r="AM322" s="1691"/>
      <c r="AN322" s="1691"/>
      <c r="AO322" s="1691"/>
      <c r="AP322" s="1691"/>
      <c r="AQ322" s="1691"/>
      <c r="AR322" s="1691"/>
      <c r="AS322" s="1691"/>
      <c r="AT322" s="1691"/>
    </row>
    <row r="323">
      <c r="A323" s="1419"/>
      <c r="B323" s="1697"/>
      <c r="C323" s="1698"/>
      <c r="D323" s="1698"/>
      <c r="E323" s="1689"/>
      <c r="F323" s="1689"/>
      <c r="G323" s="1689"/>
      <c r="H323" s="1689"/>
      <c r="I323" s="1689"/>
      <c r="J323" s="1689"/>
      <c r="K323" s="1689"/>
      <c r="L323" s="1689"/>
      <c r="M323" s="1689"/>
      <c r="N323" s="1689"/>
      <c r="O323" s="1689"/>
      <c r="P323" s="1689"/>
      <c r="Q323" s="1689"/>
      <c r="R323" s="1689"/>
      <c r="S323" s="1689"/>
      <c r="T323" s="1689"/>
      <c r="U323" s="1689"/>
      <c r="V323" s="1689"/>
      <c r="W323" s="1689"/>
      <c r="X323" s="1689"/>
      <c r="Y323" s="1689"/>
      <c r="Z323" s="1689"/>
      <c r="AA323" s="1689"/>
      <c r="AB323" s="1689"/>
      <c r="AC323" s="1689"/>
      <c r="AD323" s="1689"/>
      <c r="AE323" s="1689"/>
      <c r="AF323" s="1689"/>
      <c r="AG323" s="1689"/>
      <c r="AH323" s="1689"/>
      <c r="AI323" s="1689"/>
      <c r="AJ323" s="1689"/>
      <c r="AK323" s="1689"/>
      <c r="AL323" s="1689"/>
      <c r="AM323" s="1689"/>
      <c r="AN323" s="1689"/>
      <c r="AO323" s="1689"/>
      <c r="AP323" s="1689"/>
      <c r="AQ323" s="1689"/>
      <c r="AR323" s="1689"/>
      <c r="AS323" s="1689"/>
      <c r="AT323" s="1689"/>
    </row>
    <row r="324">
      <c r="A324" s="1419"/>
      <c r="B324" s="1699"/>
      <c r="C324" s="1700"/>
      <c r="D324" s="1700"/>
      <c r="E324" s="1691"/>
      <c r="F324" s="1691"/>
      <c r="G324" s="1691"/>
      <c r="H324" s="1691"/>
      <c r="I324" s="1691"/>
      <c r="J324" s="1691"/>
      <c r="K324" s="1691"/>
      <c r="L324" s="1691"/>
      <c r="M324" s="1691"/>
      <c r="N324" s="1691"/>
      <c r="O324" s="1691"/>
      <c r="P324" s="1691"/>
      <c r="Q324" s="1691"/>
      <c r="R324" s="1691"/>
      <c r="S324" s="1691"/>
      <c r="T324" s="1691"/>
      <c r="U324" s="1691"/>
      <c r="V324" s="1691"/>
      <c r="W324" s="1691"/>
      <c r="X324" s="1691"/>
      <c r="Y324" s="1691"/>
      <c r="Z324" s="1691"/>
      <c r="AA324" s="1691"/>
      <c r="AB324" s="1691"/>
      <c r="AC324" s="1691"/>
      <c r="AD324" s="1691"/>
      <c r="AE324" s="1691"/>
      <c r="AF324" s="1691"/>
      <c r="AG324" s="1691"/>
      <c r="AH324" s="1691"/>
      <c r="AI324" s="1691"/>
      <c r="AJ324" s="1691"/>
      <c r="AK324" s="1691"/>
      <c r="AL324" s="1691"/>
      <c r="AM324" s="1691"/>
      <c r="AN324" s="1691"/>
      <c r="AO324" s="1691"/>
      <c r="AP324" s="1691"/>
      <c r="AQ324" s="1691"/>
      <c r="AR324" s="1691"/>
      <c r="AS324" s="1691"/>
      <c r="AT324" s="1691"/>
    </row>
    <row r="325">
      <c r="A325" s="1419"/>
      <c r="B325" s="1697"/>
      <c r="C325" s="1698"/>
      <c r="D325" s="1698"/>
      <c r="E325" s="1689"/>
      <c r="F325" s="1689"/>
      <c r="G325" s="1689"/>
      <c r="H325" s="1689"/>
      <c r="I325" s="1689"/>
      <c r="J325" s="1689"/>
      <c r="K325" s="1689"/>
      <c r="L325" s="1689"/>
      <c r="M325" s="1689"/>
      <c r="N325" s="1689"/>
      <c r="O325" s="1689"/>
      <c r="P325" s="1689"/>
      <c r="Q325" s="1689"/>
      <c r="R325" s="1689"/>
      <c r="S325" s="1689"/>
      <c r="T325" s="1689"/>
      <c r="U325" s="1689"/>
      <c r="V325" s="1689"/>
      <c r="W325" s="1689"/>
      <c r="X325" s="1689"/>
      <c r="Y325" s="1689"/>
      <c r="Z325" s="1689"/>
      <c r="AA325" s="1689"/>
      <c r="AB325" s="1689"/>
      <c r="AC325" s="1689"/>
      <c r="AD325" s="1689"/>
      <c r="AE325" s="1689"/>
      <c r="AF325" s="1689"/>
      <c r="AG325" s="1689"/>
      <c r="AH325" s="1689"/>
      <c r="AI325" s="1689"/>
      <c r="AJ325" s="1689"/>
      <c r="AK325" s="1689"/>
      <c r="AL325" s="1689"/>
      <c r="AM325" s="1689"/>
      <c r="AN325" s="1689"/>
      <c r="AO325" s="1689"/>
      <c r="AP325" s="1689"/>
      <c r="AQ325" s="1689"/>
      <c r="AR325" s="1689"/>
      <c r="AS325" s="1689"/>
      <c r="AT325" s="1689"/>
    </row>
    <row r="326">
      <c r="A326" s="1419"/>
      <c r="B326" s="1699"/>
      <c r="C326" s="1700"/>
      <c r="D326" s="1700"/>
      <c r="E326" s="1691"/>
      <c r="F326" s="1691"/>
      <c r="G326" s="1691"/>
      <c r="H326" s="1691"/>
      <c r="I326" s="1691"/>
      <c r="J326" s="1691"/>
      <c r="K326" s="1691"/>
      <c r="L326" s="1691"/>
      <c r="M326" s="1691"/>
      <c r="N326" s="1691"/>
      <c r="O326" s="1691"/>
      <c r="P326" s="1691"/>
      <c r="Q326" s="1691"/>
      <c r="R326" s="1691"/>
      <c r="S326" s="1691"/>
      <c r="T326" s="1691"/>
      <c r="U326" s="1691"/>
      <c r="V326" s="1691"/>
      <c r="W326" s="1691"/>
      <c r="X326" s="1691"/>
      <c r="Y326" s="1691"/>
      <c r="Z326" s="1691"/>
      <c r="AA326" s="1691"/>
      <c r="AB326" s="1691"/>
      <c r="AC326" s="1691"/>
      <c r="AD326" s="1691"/>
      <c r="AE326" s="1691"/>
      <c r="AF326" s="1691"/>
      <c r="AG326" s="1691"/>
      <c r="AH326" s="1691"/>
      <c r="AI326" s="1691"/>
      <c r="AJ326" s="1691"/>
      <c r="AK326" s="1691"/>
      <c r="AL326" s="1691"/>
      <c r="AM326" s="1691"/>
      <c r="AN326" s="1691"/>
      <c r="AO326" s="1691"/>
      <c r="AP326" s="1691"/>
      <c r="AQ326" s="1691"/>
      <c r="AR326" s="1691"/>
      <c r="AS326" s="1691"/>
      <c r="AT326" s="1691"/>
    </row>
    <row r="327">
      <c r="A327" s="1419"/>
      <c r="B327" s="1697"/>
      <c r="C327" s="1698"/>
      <c r="D327" s="1698"/>
      <c r="E327" s="1689"/>
      <c r="F327" s="1689"/>
      <c r="G327" s="1689"/>
      <c r="H327" s="1689"/>
      <c r="I327" s="1689"/>
      <c r="J327" s="1689"/>
      <c r="K327" s="1689"/>
      <c r="L327" s="1689"/>
      <c r="M327" s="1689"/>
      <c r="N327" s="1689"/>
      <c r="O327" s="1689"/>
      <c r="P327" s="1689"/>
      <c r="Q327" s="1689"/>
      <c r="R327" s="1689"/>
      <c r="S327" s="1689"/>
      <c r="T327" s="1689"/>
      <c r="U327" s="1689"/>
      <c r="V327" s="1689"/>
      <c r="W327" s="1689"/>
      <c r="X327" s="1689"/>
      <c r="Y327" s="1689"/>
      <c r="Z327" s="1689"/>
      <c r="AA327" s="1689"/>
      <c r="AB327" s="1689"/>
      <c r="AC327" s="1689"/>
      <c r="AD327" s="1689"/>
      <c r="AE327" s="1689"/>
      <c r="AF327" s="1689"/>
      <c r="AG327" s="1689"/>
      <c r="AH327" s="1689"/>
      <c r="AI327" s="1689"/>
      <c r="AJ327" s="1689"/>
      <c r="AK327" s="1689"/>
      <c r="AL327" s="1689"/>
      <c r="AM327" s="1689"/>
      <c r="AN327" s="1689"/>
      <c r="AO327" s="1689"/>
      <c r="AP327" s="1689"/>
      <c r="AQ327" s="1689"/>
      <c r="AR327" s="1689"/>
      <c r="AS327" s="1689"/>
      <c r="AT327" s="1689"/>
    </row>
    <row r="328">
      <c r="A328" s="1419"/>
      <c r="B328" s="1699"/>
      <c r="C328" s="1700"/>
      <c r="D328" s="1700"/>
      <c r="E328" s="1691"/>
      <c r="F328" s="1691"/>
      <c r="G328" s="1691"/>
      <c r="H328" s="1691"/>
      <c r="I328" s="1691"/>
      <c r="J328" s="1691"/>
      <c r="K328" s="1691"/>
      <c r="L328" s="1691"/>
      <c r="M328" s="1691"/>
      <c r="N328" s="1691"/>
      <c r="O328" s="1691"/>
      <c r="P328" s="1691"/>
      <c r="Q328" s="1691"/>
      <c r="R328" s="1691"/>
      <c r="S328" s="1691"/>
      <c r="T328" s="1691"/>
      <c r="U328" s="1691"/>
      <c r="V328" s="1691"/>
      <c r="W328" s="1691"/>
      <c r="X328" s="1691"/>
      <c r="Y328" s="1691"/>
      <c r="Z328" s="1691"/>
      <c r="AA328" s="1691"/>
      <c r="AB328" s="1691"/>
      <c r="AC328" s="1691"/>
      <c r="AD328" s="1691"/>
      <c r="AE328" s="1691"/>
      <c r="AF328" s="1691"/>
      <c r="AG328" s="1691"/>
      <c r="AH328" s="1691"/>
      <c r="AI328" s="1691"/>
      <c r="AJ328" s="1691"/>
      <c r="AK328" s="1691"/>
      <c r="AL328" s="1691"/>
      <c r="AM328" s="1691"/>
      <c r="AN328" s="1691"/>
      <c r="AO328" s="1691"/>
      <c r="AP328" s="1691"/>
      <c r="AQ328" s="1691"/>
      <c r="AR328" s="1691"/>
      <c r="AS328" s="1691"/>
      <c r="AT328" s="1691"/>
    </row>
    <row r="329">
      <c r="A329" s="1419"/>
      <c r="B329" s="1697"/>
      <c r="C329" s="1698"/>
      <c r="D329" s="1698"/>
      <c r="E329" s="1689"/>
      <c r="F329" s="1689"/>
      <c r="G329" s="1689"/>
      <c r="H329" s="1689"/>
      <c r="I329" s="1689"/>
      <c r="J329" s="1689"/>
      <c r="K329" s="1689"/>
      <c r="L329" s="1689"/>
      <c r="M329" s="1689"/>
      <c r="N329" s="1689"/>
      <c r="O329" s="1689"/>
      <c r="P329" s="1689"/>
      <c r="Q329" s="1689"/>
      <c r="R329" s="1689"/>
      <c r="S329" s="1689"/>
      <c r="T329" s="1689"/>
      <c r="U329" s="1689"/>
      <c r="V329" s="1689"/>
      <c r="W329" s="1689"/>
      <c r="X329" s="1689"/>
      <c r="Y329" s="1689"/>
      <c r="Z329" s="1689"/>
      <c r="AA329" s="1689"/>
      <c r="AB329" s="1689"/>
      <c r="AC329" s="1689"/>
      <c r="AD329" s="1689"/>
      <c r="AE329" s="1689"/>
      <c r="AF329" s="1689"/>
      <c r="AG329" s="1689"/>
      <c r="AH329" s="1689"/>
      <c r="AI329" s="1689"/>
      <c r="AJ329" s="1689"/>
      <c r="AK329" s="1689"/>
      <c r="AL329" s="1689"/>
      <c r="AM329" s="1689"/>
      <c r="AN329" s="1689"/>
      <c r="AO329" s="1689"/>
      <c r="AP329" s="1689"/>
      <c r="AQ329" s="1689"/>
      <c r="AR329" s="1689"/>
      <c r="AS329" s="1689"/>
      <c r="AT329" s="1689"/>
    </row>
    <row r="330">
      <c r="A330" s="1419"/>
      <c r="B330" s="1699"/>
      <c r="C330" s="1700"/>
      <c r="D330" s="1700"/>
      <c r="E330" s="1691"/>
      <c r="F330" s="1691"/>
      <c r="G330" s="1691"/>
      <c r="H330" s="1691"/>
      <c r="I330" s="1691"/>
      <c r="J330" s="1691"/>
      <c r="K330" s="1691"/>
      <c r="L330" s="1691"/>
      <c r="M330" s="1691"/>
      <c r="N330" s="1691"/>
      <c r="O330" s="1691"/>
      <c r="P330" s="1691"/>
      <c r="Q330" s="1691"/>
      <c r="R330" s="1691"/>
      <c r="S330" s="1691"/>
      <c r="T330" s="1691"/>
      <c r="U330" s="1691"/>
      <c r="V330" s="1691"/>
      <c r="W330" s="1691"/>
      <c r="X330" s="1691"/>
      <c r="Y330" s="1691"/>
      <c r="Z330" s="1691"/>
      <c r="AA330" s="1691"/>
      <c r="AB330" s="1691"/>
      <c r="AC330" s="1691"/>
      <c r="AD330" s="1691"/>
      <c r="AE330" s="1691"/>
      <c r="AF330" s="1691"/>
      <c r="AG330" s="1691"/>
      <c r="AH330" s="1691"/>
      <c r="AI330" s="1691"/>
      <c r="AJ330" s="1691"/>
      <c r="AK330" s="1691"/>
      <c r="AL330" s="1691"/>
      <c r="AM330" s="1691"/>
      <c r="AN330" s="1691"/>
      <c r="AO330" s="1691"/>
      <c r="AP330" s="1691"/>
      <c r="AQ330" s="1691"/>
      <c r="AR330" s="1691"/>
      <c r="AS330" s="1691"/>
      <c r="AT330" s="1691"/>
    </row>
    <row r="331">
      <c r="A331" s="1419"/>
      <c r="B331" s="1697"/>
      <c r="C331" s="1698"/>
      <c r="D331" s="1698"/>
      <c r="E331" s="1689"/>
      <c r="F331" s="1689"/>
      <c r="G331" s="1689"/>
      <c r="H331" s="1689"/>
      <c r="I331" s="1689"/>
      <c r="J331" s="1689"/>
      <c r="K331" s="1689"/>
      <c r="L331" s="1689"/>
      <c r="M331" s="1689"/>
      <c r="N331" s="1689"/>
      <c r="O331" s="1689"/>
      <c r="P331" s="1689"/>
      <c r="Q331" s="1689"/>
      <c r="R331" s="1689"/>
      <c r="S331" s="1689"/>
      <c r="T331" s="1689"/>
      <c r="U331" s="1689"/>
      <c r="V331" s="1689"/>
      <c r="W331" s="1689"/>
      <c r="X331" s="1689"/>
      <c r="Y331" s="1689"/>
      <c r="Z331" s="1689"/>
      <c r="AA331" s="1689"/>
      <c r="AB331" s="1689"/>
      <c r="AC331" s="1689"/>
      <c r="AD331" s="1689"/>
      <c r="AE331" s="1689"/>
      <c r="AF331" s="1689"/>
      <c r="AG331" s="1689"/>
      <c r="AH331" s="1689"/>
      <c r="AI331" s="1689"/>
      <c r="AJ331" s="1689"/>
      <c r="AK331" s="1689"/>
      <c r="AL331" s="1689"/>
      <c r="AM331" s="1689"/>
      <c r="AN331" s="1689"/>
      <c r="AO331" s="1689"/>
      <c r="AP331" s="1689"/>
      <c r="AQ331" s="1689"/>
      <c r="AR331" s="1689"/>
      <c r="AS331" s="1689"/>
      <c r="AT331" s="1689"/>
    </row>
    <row r="332">
      <c r="A332" s="1419"/>
      <c r="B332" s="1699"/>
      <c r="C332" s="1700"/>
      <c r="D332" s="1700"/>
      <c r="E332" s="1691"/>
      <c r="F332" s="1691"/>
      <c r="G332" s="1691"/>
      <c r="H332" s="1691"/>
      <c r="I332" s="1691"/>
      <c r="J332" s="1691"/>
      <c r="K332" s="1691"/>
      <c r="L332" s="1691"/>
      <c r="M332" s="1691"/>
      <c r="N332" s="1691"/>
      <c r="O332" s="1691"/>
      <c r="P332" s="1691"/>
      <c r="Q332" s="1691"/>
      <c r="R332" s="1691"/>
      <c r="S332" s="1691"/>
      <c r="T332" s="1691"/>
      <c r="U332" s="1691"/>
      <c r="V332" s="1691"/>
      <c r="W332" s="1691"/>
      <c r="X332" s="1691"/>
      <c r="Y332" s="1691"/>
      <c r="Z332" s="1691"/>
      <c r="AA332" s="1691"/>
      <c r="AB332" s="1691"/>
      <c r="AC332" s="1691"/>
      <c r="AD332" s="1691"/>
      <c r="AE332" s="1691"/>
      <c r="AF332" s="1691"/>
      <c r="AG332" s="1691"/>
      <c r="AH332" s="1691"/>
      <c r="AI332" s="1691"/>
      <c r="AJ332" s="1691"/>
      <c r="AK332" s="1691"/>
      <c r="AL332" s="1691"/>
      <c r="AM332" s="1691"/>
      <c r="AN332" s="1691"/>
      <c r="AO332" s="1691"/>
      <c r="AP332" s="1691"/>
      <c r="AQ332" s="1691"/>
      <c r="AR332" s="1691"/>
      <c r="AS332" s="1691"/>
      <c r="AT332" s="1691"/>
    </row>
    <row r="333">
      <c r="A333" s="1419"/>
      <c r="B333" s="1697"/>
      <c r="C333" s="1698"/>
      <c r="D333" s="1698"/>
      <c r="E333" s="1689"/>
      <c r="F333" s="1689"/>
      <c r="G333" s="1689"/>
      <c r="H333" s="1689"/>
      <c r="I333" s="1689"/>
      <c r="J333" s="1689"/>
      <c r="K333" s="1689"/>
      <c r="L333" s="1689"/>
      <c r="M333" s="1689"/>
      <c r="N333" s="1689"/>
      <c r="O333" s="1689"/>
      <c r="P333" s="1689"/>
      <c r="Q333" s="1689"/>
      <c r="R333" s="1689"/>
      <c r="S333" s="1689"/>
      <c r="T333" s="1689"/>
      <c r="U333" s="1689"/>
      <c r="V333" s="1689"/>
      <c r="W333" s="1689"/>
      <c r="X333" s="1689"/>
      <c r="Y333" s="1689"/>
      <c r="Z333" s="1689"/>
      <c r="AA333" s="1689"/>
      <c r="AB333" s="1689"/>
      <c r="AC333" s="1689"/>
      <c r="AD333" s="1689"/>
      <c r="AE333" s="1689"/>
      <c r="AF333" s="1689"/>
      <c r="AG333" s="1689"/>
      <c r="AH333" s="1689"/>
      <c r="AI333" s="1689"/>
      <c r="AJ333" s="1689"/>
      <c r="AK333" s="1689"/>
      <c r="AL333" s="1689"/>
      <c r="AM333" s="1689"/>
      <c r="AN333" s="1689"/>
      <c r="AO333" s="1689"/>
      <c r="AP333" s="1689"/>
      <c r="AQ333" s="1689"/>
      <c r="AR333" s="1689"/>
      <c r="AS333" s="1689"/>
      <c r="AT333" s="1689"/>
    </row>
    <row r="334">
      <c r="A334" s="1419"/>
      <c r="B334" s="1699"/>
      <c r="C334" s="1700"/>
      <c r="D334" s="1700"/>
      <c r="E334" s="1691"/>
      <c r="F334" s="1691"/>
      <c r="G334" s="1691"/>
      <c r="H334" s="1691"/>
      <c r="I334" s="1691"/>
      <c r="J334" s="1691"/>
      <c r="K334" s="1691"/>
      <c r="L334" s="1691"/>
      <c r="M334" s="1691"/>
      <c r="N334" s="1691"/>
      <c r="O334" s="1691"/>
      <c r="P334" s="1691"/>
      <c r="Q334" s="1691"/>
      <c r="R334" s="1691"/>
      <c r="S334" s="1691"/>
      <c r="T334" s="1691"/>
      <c r="U334" s="1691"/>
      <c r="V334" s="1691"/>
      <c r="W334" s="1691"/>
      <c r="X334" s="1691"/>
      <c r="Y334" s="1691"/>
      <c r="Z334" s="1691"/>
      <c r="AA334" s="1691"/>
      <c r="AB334" s="1691"/>
      <c r="AC334" s="1691"/>
      <c r="AD334" s="1691"/>
      <c r="AE334" s="1691"/>
      <c r="AF334" s="1691"/>
      <c r="AG334" s="1691"/>
      <c r="AH334" s="1691"/>
      <c r="AI334" s="1691"/>
      <c r="AJ334" s="1691"/>
      <c r="AK334" s="1691"/>
      <c r="AL334" s="1691"/>
      <c r="AM334" s="1691"/>
      <c r="AN334" s="1691"/>
      <c r="AO334" s="1691"/>
      <c r="AP334" s="1691"/>
      <c r="AQ334" s="1691"/>
      <c r="AR334" s="1691"/>
      <c r="AS334" s="1691"/>
      <c r="AT334" s="1691"/>
    </row>
    <row r="335">
      <c r="A335" s="1419"/>
      <c r="B335" s="1697"/>
      <c r="C335" s="1698"/>
      <c r="D335" s="1698"/>
      <c r="E335" s="1689"/>
      <c r="F335" s="1689"/>
      <c r="G335" s="1689"/>
      <c r="H335" s="1689"/>
      <c r="I335" s="1689"/>
      <c r="J335" s="1689"/>
      <c r="K335" s="1689"/>
      <c r="L335" s="1689"/>
      <c r="M335" s="1689"/>
      <c r="N335" s="1689"/>
      <c r="O335" s="1689"/>
      <c r="P335" s="1689"/>
      <c r="Q335" s="1689"/>
      <c r="R335" s="1689"/>
      <c r="S335" s="1689"/>
      <c r="T335" s="1689"/>
      <c r="U335" s="1689"/>
      <c r="V335" s="1689"/>
      <c r="W335" s="1689"/>
      <c r="X335" s="1689"/>
      <c r="Y335" s="1689"/>
      <c r="Z335" s="1689"/>
      <c r="AA335" s="1689"/>
      <c r="AB335" s="1689"/>
      <c r="AC335" s="1689"/>
      <c r="AD335" s="1689"/>
      <c r="AE335" s="1689"/>
      <c r="AF335" s="1689"/>
      <c r="AG335" s="1689"/>
      <c r="AH335" s="1689"/>
      <c r="AI335" s="1689"/>
      <c r="AJ335" s="1689"/>
      <c r="AK335" s="1689"/>
      <c r="AL335" s="1689"/>
      <c r="AM335" s="1689"/>
      <c r="AN335" s="1689"/>
      <c r="AO335" s="1689"/>
      <c r="AP335" s="1689"/>
      <c r="AQ335" s="1689"/>
      <c r="AR335" s="1689"/>
      <c r="AS335" s="1689"/>
      <c r="AT335" s="1689"/>
    </row>
    <row r="336">
      <c r="A336" s="1419"/>
      <c r="B336" s="1699"/>
      <c r="C336" s="1700"/>
      <c r="D336" s="1700"/>
      <c r="E336" s="1691"/>
      <c r="F336" s="1691"/>
      <c r="G336" s="1691"/>
      <c r="H336" s="1691"/>
      <c r="I336" s="1691"/>
      <c r="J336" s="1691"/>
      <c r="K336" s="1691"/>
      <c r="L336" s="1691"/>
      <c r="M336" s="1691"/>
      <c r="N336" s="1691"/>
      <c r="O336" s="1691"/>
      <c r="P336" s="1691"/>
      <c r="Q336" s="1691"/>
      <c r="R336" s="1691"/>
      <c r="S336" s="1691"/>
      <c r="T336" s="1691"/>
      <c r="U336" s="1691"/>
      <c r="V336" s="1691"/>
      <c r="W336" s="1691"/>
      <c r="X336" s="1691"/>
      <c r="Y336" s="1691"/>
      <c r="Z336" s="1691"/>
      <c r="AA336" s="1691"/>
      <c r="AB336" s="1691"/>
      <c r="AC336" s="1691"/>
      <c r="AD336" s="1691"/>
      <c r="AE336" s="1691"/>
      <c r="AF336" s="1691"/>
      <c r="AG336" s="1691"/>
      <c r="AH336" s="1691"/>
      <c r="AI336" s="1691"/>
      <c r="AJ336" s="1691"/>
      <c r="AK336" s="1691"/>
      <c r="AL336" s="1691"/>
      <c r="AM336" s="1691"/>
      <c r="AN336" s="1691"/>
      <c r="AO336" s="1691"/>
      <c r="AP336" s="1691"/>
      <c r="AQ336" s="1691"/>
      <c r="AR336" s="1691"/>
      <c r="AS336" s="1691"/>
      <c r="AT336" s="1691"/>
    </row>
    <row r="337">
      <c r="A337" s="1419"/>
      <c r="B337" s="1697"/>
      <c r="C337" s="1698"/>
      <c r="D337" s="1698"/>
      <c r="E337" s="1689"/>
      <c r="F337" s="1689"/>
      <c r="G337" s="1689"/>
      <c r="H337" s="1689"/>
      <c r="I337" s="1689"/>
      <c r="J337" s="1689"/>
      <c r="K337" s="1689"/>
      <c r="L337" s="1689"/>
      <c r="M337" s="1689"/>
      <c r="N337" s="1689"/>
      <c r="O337" s="1689"/>
      <c r="P337" s="1689"/>
      <c r="Q337" s="1689"/>
      <c r="R337" s="1689"/>
      <c r="S337" s="1689"/>
      <c r="T337" s="1689"/>
      <c r="U337" s="1689"/>
      <c r="V337" s="1689"/>
      <c r="W337" s="1689"/>
      <c r="X337" s="1689"/>
      <c r="Y337" s="1689"/>
      <c r="Z337" s="1689"/>
      <c r="AA337" s="1689"/>
      <c r="AB337" s="1689"/>
      <c r="AC337" s="1689"/>
      <c r="AD337" s="1689"/>
      <c r="AE337" s="1689"/>
      <c r="AF337" s="1689"/>
      <c r="AG337" s="1689"/>
      <c r="AH337" s="1689"/>
      <c r="AI337" s="1689"/>
      <c r="AJ337" s="1689"/>
      <c r="AK337" s="1689"/>
      <c r="AL337" s="1689"/>
      <c r="AM337" s="1689"/>
      <c r="AN337" s="1689"/>
      <c r="AO337" s="1689"/>
      <c r="AP337" s="1689"/>
      <c r="AQ337" s="1689"/>
      <c r="AR337" s="1689"/>
      <c r="AS337" s="1689"/>
      <c r="AT337" s="1689"/>
    </row>
    <row r="338">
      <c r="A338" s="1419"/>
      <c r="B338" s="1699"/>
      <c r="C338" s="1700"/>
      <c r="D338" s="1700"/>
      <c r="E338" s="1691"/>
      <c r="F338" s="1691"/>
      <c r="G338" s="1691"/>
      <c r="H338" s="1691"/>
      <c r="I338" s="1691"/>
      <c r="J338" s="1691"/>
      <c r="K338" s="1691"/>
      <c r="L338" s="1691"/>
      <c r="M338" s="1691"/>
      <c r="N338" s="1691"/>
      <c r="O338" s="1691"/>
      <c r="P338" s="1691"/>
      <c r="Q338" s="1691"/>
      <c r="R338" s="1691"/>
      <c r="S338" s="1691"/>
      <c r="T338" s="1691"/>
      <c r="U338" s="1691"/>
      <c r="V338" s="1691"/>
      <c r="W338" s="1691"/>
      <c r="X338" s="1691"/>
      <c r="Y338" s="1691"/>
      <c r="Z338" s="1691"/>
      <c r="AA338" s="1691"/>
      <c r="AB338" s="1691"/>
      <c r="AC338" s="1691"/>
      <c r="AD338" s="1691"/>
      <c r="AE338" s="1691"/>
      <c r="AF338" s="1691"/>
      <c r="AG338" s="1691"/>
      <c r="AH338" s="1691"/>
      <c r="AI338" s="1691"/>
      <c r="AJ338" s="1691"/>
      <c r="AK338" s="1691"/>
      <c r="AL338" s="1691"/>
      <c r="AM338" s="1691"/>
      <c r="AN338" s="1691"/>
      <c r="AO338" s="1691"/>
      <c r="AP338" s="1691"/>
      <c r="AQ338" s="1691"/>
      <c r="AR338" s="1691"/>
      <c r="AS338" s="1691"/>
      <c r="AT338" s="1691"/>
    </row>
    <row r="339">
      <c r="A339" s="1419"/>
      <c r="B339" s="1697"/>
      <c r="C339" s="1698"/>
      <c r="D339" s="1698"/>
      <c r="E339" s="1689"/>
      <c r="F339" s="1689"/>
      <c r="G339" s="1689"/>
      <c r="H339" s="1689"/>
      <c r="I339" s="1689"/>
      <c r="J339" s="1689"/>
      <c r="K339" s="1689"/>
      <c r="L339" s="1689"/>
      <c r="M339" s="1689"/>
      <c r="N339" s="1689"/>
      <c r="O339" s="1689"/>
      <c r="P339" s="1689"/>
      <c r="Q339" s="1689"/>
      <c r="R339" s="1689"/>
      <c r="S339" s="1689"/>
      <c r="T339" s="1689"/>
      <c r="U339" s="1689"/>
      <c r="V339" s="1689"/>
      <c r="W339" s="1689"/>
      <c r="X339" s="1689"/>
      <c r="Y339" s="1689"/>
      <c r="Z339" s="1689"/>
      <c r="AA339" s="1689"/>
      <c r="AB339" s="1689"/>
      <c r="AC339" s="1689"/>
      <c r="AD339" s="1689"/>
      <c r="AE339" s="1689"/>
      <c r="AF339" s="1689"/>
      <c r="AG339" s="1689"/>
      <c r="AH339" s="1689"/>
      <c r="AI339" s="1689"/>
      <c r="AJ339" s="1689"/>
      <c r="AK339" s="1689"/>
      <c r="AL339" s="1689"/>
      <c r="AM339" s="1689"/>
      <c r="AN339" s="1689"/>
      <c r="AO339" s="1689"/>
      <c r="AP339" s="1689"/>
      <c r="AQ339" s="1689"/>
      <c r="AR339" s="1689"/>
      <c r="AS339" s="1689"/>
      <c r="AT339" s="1689"/>
    </row>
    <row r="340">
      <c r="A340" s="1419"/>
      <c r="B340" s="1699"/>
      <c r="C340" s="1700"/>
      <c r="D340" s="1700"/>
      <c r="E340" s="1691"/>
      <c r="F340" s="1691"/>
      <c r="G340" s="1691"/>
      <c r="H340" s="1691"/>
      <c r="I340" s="1691"/>
      <c r="J340" s="1691"/>
      <c r="K340" s="1691"/>
      <c r="L340" s="1691"/>
      <c r="M340" s="1691"/>
      <c r="N340" s="1691"/>
      <c r="O340" s="1691"/>
      <c r="P340" s="1691"/>
      <c r="Q340" s="1691"/>
      <c r="R340" s="1691"/>
      <c r="S340" s="1691"/>
      <c r="T340" s="1691"/>
      <c r="U340" s="1691"/>
      <c r="V340" s="1691"/>
      <c r="W340" s="1691"/>
      <c r="X340" s="1691"/>
      <c r="Y340" s="1691"/>
      <c r="Z340" s="1691"/>
      <c r="AA340" s="1691"/>
      <c r="AB340" s="1691"/>
      <c r="AC340" s="1691"/>
      <c r="AD340" s="1691"/>
      <c r="AE340" s="1691"/>
      <c r="AF340" s="1691"/>
      <c r="AG340" s="1691"/>
      <c r="AH340" s="1691"/>
      <c r="AI340" s="1691"/>
      <c r="AJ340" s="1691"/>
      <c r="AK340" s="1691"/>
      <c r="AL340" s="1691"/>
      <c r="AM340" s="1691"/>
      <c r="AN340" s="1691"/>
      <c r="AO340" s="1691"/>
      <c r="AP340" s="1691"/>
      <c r="AQ340" s="1691"/>
      <c r="AR340" s="1691"/>
      <c r="AS340" s="1691"/>
      <c r="AT340" s="1691"/>
    </row>
    <row r="341">
      <c r="A341" s="1419"/>
      <c r="B341" s="1697"/>
      <c r="C341" s="1698"/>
      <c r="D341" s="1698"/>
      <c r="E341" s="1689"/>
      <c r="F341" s="1689"/>
      <c r="G341" s="1689"/>
      <c r="H341" s="1689"/>
      <c r="I341" s="1689"/>
      <c r="J341" s="1689"/>
      <c r="K341" s="1689"/>
      <c r="L341" s="1689"/>
      <c r="M341" s="1689"/>
      <c r="N341" s="1689"/>
      <c r="O341" s="1689"/>
      <c r="P341" s="1689"/>
      <c r="Q341" s="1689"/>
      <c r="R341" s="1689"/>
      <c r="S341" s="1689"/>
      <c r="T341" s="1689"/>
      <c r="U341" s="1689"/>
      <c r="V341" s="1689"/>
      <c r="W341" s="1689"/>
      <c r="X341" s="1689"/>
      <c r="Y341" s="1689"/>
      <c r="Z341" s="1689"/>
      <c r="AA341" s="1689"/>
      <c r="AB341" s="1689"/>
      <c r="AC341" s="1689"/>
      <c r="AD341" s="1689"/>
      <c r="AE341" s="1689"/>
      <c r="AF341" s="1689"/>
      <c r="AG341" s="1689"/>
      <c r="AH341" s="1689"/>
      <c r="AI341" s="1689"/>
      <c r="AJ341" s="1689"/>
      <c r="AK341" s="1689"/>
      <c r="AL341" s="1689"/>
      <c r="AM341" s="1689"/>
      <c r="AN341" s="1689"/>
      <c r="AO341" s="1689"/>
      <c r="AP341" s="1689"/>
      <c r="AQ341" s="1689"/>
      <c r="AR341" s="1689"/>
      <c r="AS341" s="1689"/>
      <c r="AT341" s="1689"/>
    </row>
    <row r="342">
      <c r="A342" s="1419"/>
      <c r="B342" s="1699"/>
      <c r="C342" s="1700"/>
      <c r="D342" s="1700"/>
      <c r="E342" s="1691"/>
      <c r="F342" s="1691"/>
      <c r="G342" s="1691"/>
      <c r="H342" s="1691"/>
      <c r="I342" s="1691"/>
      <c r="J342" s="1691"/>
      <c r="K342" s="1691"/>
      <c r="L342" s="1691"/>
      <c r="M342" s="1691"/>
      <c r="N342" s="1691"/>
      <c r="O342" s="1691"/>
      <c r="P342" s="1691"/>
      <c r="Q342" s="1691"/>
      <c r="R342" s="1691"/>
      <c r="S342" s="1691"/>
      <c r="T342" s="1691"/>
      <c r="U342" s="1691"/>
      <c r="V342" s="1691"/>
      <c r="W342" s="1691"/>
      <c r="X342" s="1691"/>
      <c r="Y342" s="1691"/>
      <c r="Z342" s="1691"/>
      <c r="AA342" s="1691"/>
      <c r="AB342" s="1691"/>
      <c r="AC342" s="1691"/>
      <c r="AD342" s="1691"/>
      <c r="AE342" s="1691"/>
      <c r="AF342" s="1691"/>
      <c r="AG342" s="1691"/>
      <c r="AH342" s="1691"/>
      <c r="AI342" s="1691"/>
      <c r="AJ342" s="1691"/>
      <c r="AK342" s="1691"/>
      <c r="AL342" s="1691"/>
      <c r="AM342" s="1691"/>
      <c r="AN342" s="1691"/>
      <c r="AO342" s="1691"/>
      <c r="AP342" s="1691"/>
      <c r="AQ342" s="1691"/>
      <c r="AR342" s="1691"/>
      <c r="AS342" s="1691"/>
      <c r="AT342" s="1691"/>
    </row>
    <row r="343">
      <c r="A343" s="1419"/>
      <c r="B343" s="1697"/>
      <c r="C343" s="1698"/>
      <c r="D343" s="1698"/>
      <c r="E343" s="1689"/>
      <c r="F343" s="1689"/>
      <c r="G343" s="1689"/>
      <c r="H343" s="1689"/>
      <c r="I343" s="1689"/>
      <c r="J343" s="1689"/>
      <c r="K343" s="1689"/>
      <c r="L343" s="1689"/>
      <c r="M343" s="1689"/>
      <c r="N343" s="1689"/>
      <c r="O343" s="1689"/>
      <c r="P343" s="1689"/>
      <c r="Q343" s="1689"/>
      <c r="R343" s="1689"/>
      <c r="S343" s="1689"/>
      <c r="T343" s="1689"/>
      <c r="U343" s="1689"/>
      <c r="V343" s="1689"/>
      <c r="W343" s="1689"/>
      <c r="X343" s="1689"/>
      <c r="Y343" s="1689"/>
      <c r="Z343" s="1689"/>
      <c r="AA343" s="1689"/>
      <c r="AB343" s="1689"/>
      <c r="AC343" s="1689"/>
      <c r="AD343" s="1689"/>
      <c r="AE343" s="1689"/>
      <c r="AF343" s="1689"/>
      <c r="AG343" s="1689"/>
      <c r="AH343" s="1689"/>
      <c r="AI343" s="1689"/>
      <c r="AJ343" s="1689"/>
      <c r="AK343" s="1689"/>
      <c r="AL343" s="1689"/>
      <c r="AM343" s="1689"/>
      <c r="AN343" s="1689"/>
      <c r="AO343" s="1689"/>
      <c r="AP343" s="1689"/>
      <c r="AQ343" s="1689"/>
      <c r="AR343" s="1689"/>
      <c r="AS343" s="1689"/>
      <c r="AT343" s="1689"/>
    </row>
    <row r="344">
      <c r="A344" s="1419"/>
      <c r="B344" s="1699"/>
      <c r="C344" s="1700"/>
      <c r="D344" s="1700"/>
      <c r="E344" s="1691"/>
      <c r="F344" s="1691"/>
      <c r="G344" s="1691"/>
      <c r="H344" s="1691"/>
      <c r="I344" s="1691"/>
      <c r="J344" s="1691"/>
      <c r="K344" s="1691"/>
      <c r="L344" s="1691"/>
      <c r="M344" s="1691"/>
      <c r="N344" s="1691"/>
      <c r="O344" s="1691"/>
      <c r="P344" s="1691"/>
      <c r="Q344" s="1691"/>
      <c r="R344" s="1691"/>
      <c r="S344" s="1691"/>
      <c r="T344" s="1691"/>
      <c r="U344" s="1691"/>
      <c r="V344" s="1691"/>
      <c r="W344" s="1691"/>
      <c r="X344" s="1691"/>
      <c r="Y344" s="1691"/>
      <c r="Z344" s="1691"/>
      <c r="AA344" s="1691"/>
      <c r="AB344" s="1691"/>
      <c r="AC344" s="1691"/>
      <c r="AD344" s="1691"/>
      <c r="AE344" s="1691"/>
      <c r="AF344" s="1691"/>
      <c r="AG344" s="1691"/>
      <c r="AH344" s="1691"/>
      <c r="AI344" s="1691"/>
      <c r="AJ344" s="1691"/>
      <c r="AK344" s="1691"/>
      <c r="AL344" s="1691"/>
      <c r="AM344" s="1691"/>
      <c r="AN344" s="1691"/>
      <c r="AO344" s="1691"/>
      <c r="AP344" s="1691"/>
      <c r="AQ344" s="1691"/>
      <c r="AR344" s="1691"/>
      <c r="AS344" s="1691"/>
      <c r="AT344" s="1691"/>
    </row>
    <row r="345">
      <c r="A345" s="1419"/>
      <c r="B345" s="1697"/>
      <c r="C345" s="1698"/>
      <c r="D345" s="1698"/>
      <c r="E345" s="1689"/>
      <c r="F345" s="1689"/>
      <c r="G345" s="1689"/>
      <c r="H345" s="1689"/>
      <c r="I345" s="1689"/>
      <c r="J345" s="1689"/>
      <c r="K345" s="1689"/>
      <c r="L345" s="1689"/>
      <c r="M345" s="1689"/>
      <c r="N345" s="1689"/>
      <c r="O345" s="1689"/>
      <c r="P345" s="1689"/>
      <c r="Q345" s="1689"/>
      <c r="R345" s="1689"/>
      <c r="S345" s="1689"/>
      <c r="T345" s="1689"/>
      <c r="U345" s="1689"/>
      <c r="V345" s="1689"/>
      <c r="W345" s="1689"/>
      <c r="X345" s="1689"/>
      <c r="Y345" s="1689"/>
      <c r="Z345" s="1689"/>
      <c r="AA345" s="1689"/>
      <c r="AB345" s="1689"/>
      <c r="AC345" s="1689"/>
      <c r="AD345" s="1689"/>
      <c r="AE345" s="1689"/>
      <c r="AF345" s="1689"/>
      <c r="AG345" s="1689"/>
      <c r="AH345" s="1689"/>
      <c r="AI345" s="1689"/>
      <c r="AJ345" s="1689"/>
      <c r="AK345" s="1689"/>
      <c r="AL345" s="1689"/>
      <c r="AM345" s="1689"/>
      <c r="AN345" s="1689"/>
      <c r="AO345" s="1689"/>
      <c r="AP345" s="1689"/>
      <c r="AQ345" s="1689"/>
      <c r="AR345" s="1689"/>
      <c r="AS345" s="1689"/>
      <c r="AT345" s="1689"/>
    </row>
    <row r="346">
      <c r="A346" s="1419"/>
      <c r="B346" s="1699"/>
      <c r="C346" s="1700"/>
      <c r="D346" s="1700"/>
      <c r="E346" s="1691"/>
      <c r="F346" s="1691"/>
      <c r="G346" s="1691"/>
      <c r="H346" s="1691"/>
      <c r="I346" s="1691"/>
      <c r="J346" s="1691"/>
      <c r="K346" s="1691"/>
      <c r="L346" s="1691"/>
      <c r="M346" s="1691"/>
      <c r="N346" s="1691"/>
      <c r="O346" s="1691"/>
      <c r="P346" s="1691"/>
      <c r="Q346" s="1691"/>
      <c r="R346" s="1691"/>
      <c r="S346" s="1691"/>
      <c r="T346" s="1691"/>
      <c r="U346" s="1691"/>
      <c r="V346" s="1691"/>
      <c r="W346" s="1691"/>
      <c r="X346" s="1691"/>
      <c r="Y346" s="1691"/>
      <c r="Z346" s="1691"/>
      <c r="AA346" s="1691"/>
      <c r="AB346" s="1691"/>
      <c r="AC346" s="1691"/>
      <c r="AD346" s="1691"/>
      <c r="AE346" s="1691"/>
      <c r="AF346" s="1691"/>
      <c r="AG346" s="1691"/>
      <c r="AH346" s="1691"/>
      <c r="AI346" s="1691"/>
      <c r="AJ346" s="1691"/>
      <c r="AK346" s="1691"/>
      <c r="AL346" s="1691"/>
      <c r="AM346" s="1691"/>
      <c r="AN346" s="1691"/>
      <c r="AO346" s="1691"/>
      <c r="AP346" s="1691"/>
      <c r="AQ346" s="1691"/>
      <c r="AR346" s="1691"/>
      <c r="AS346" s="1691"/>
      <c r="AT346" s="1691"/>
    </row>
    <row r="347">
      <c r="A347" s="1419"/>
      <c r="B347" s="1697"/>
      <c r="C347" s="1698"/>
      <c r="D347" s="1698"/>
      <c r="E347" s="1689"/>
      <c r="F347" s="1689"/>
      <c r="G347" s="1689"/>
      <c r="H347" s="1689"/>
      <c r="I347" s="1689"/>
      <c r="J347" s="1689"/>
      <c r="K347" s="1689"/>
      <c r="L347" s="1689"/>
      <c r="M347" s="1689"/>
      <c r="N347" s="1689"/>
      <c r="O347" s="1689"/>
      <c r="P347" s="1689"/>
      <c r="Q347" s="1689"/>
      <c r="R347" s="1689"/>
      <c r="S347" s="1689"/>
      <c r="T347" s="1689"/>
      <c r="U347" s="1689"/>
      <c r="V347" s="1689"/>
      <c r="W347" s="1689"/>
      <c r="X347" s="1689"/>
      <c r="Y347" s="1689"/>
      <c r="Z347" s="1689"/>
      <c r="AA347" s="1689"/>
      <c r="AB347" s="1689"/>
      <c r="AC347" s="1689"/>
      <c r="AD347" s="1689"/>
      <c r="AE347" s="1689"/>
      <c r="AF347" s="1689"/>
      <c r="AG347" s="1689"/>
      <c r="AH347" s="1689"/>
      <c r="AI347" s="1689"/>
      <c r="AJ347" s="1689"/>
      <c r="AK347" s="1689"/>
      <c r="AL347" s="1689"/>
      <c r="AM347" s="1689"/>
      <c r="AN347" s="1689"/>
      <c r="AO347" s="1689"/>
      <c r="AP347" s="1689"/>
      <c r="AQ347" s="1689"/>
      <c r="AR347" s="1689"/>
      <c r="AS347" s="1689"/>
      <c r="AT347" s="1689"/>
    </row>
    <row r="348">
      <c r="A348" s="1419"/>
      <c r="B348" s="1699"/>
      <c r="C348" s="1700"/>
      <c r="D348" s="1700"/>
      <c r="E348" s="1691"/>
      <c r="F348" s="1691"/>
      <c r="G348" s="1691"/>
      <c r="H348" s="1691"/>
      <c r="I348" s="1691"/>
      <c r="J348" s="1691"/>
      <c r="K348" s="1691"/>
      <c r="L348" s="1691"/>
      <c r="M348" s="1691"/>
      <c r="N348" s="1691"/>
      <c r="O348" s="1691"/>
      <c r="P348" s="1691"/>
      <c r="Q348" s="1691"/>
      <c r="R348" s="1691"/>
      <c r="S348" s="1691"/>
      <c r="T348" s="1691"/>
      <c r="U348" s="1691"/>
      <c r="V348" s="1691"/>
      <c r="W348" s="1691"/>
      <c r="X348" s="1691"/>
      <c r="Y348" s="1691"/>
      <c r="Z348" s="1691"/>
      <c r="AA348" s="1691"/>
      <c r="AB348" s="1691"/>
      <c r="AC348" s="1691"/>
      <c r="AD348" s="1691"/>
      <c r="AE348" s="1691"/>
      <c r="AF348" s="1691"/>
      <c r="AG348" s="1691"/>
      <c r="AH348" s="1691"/>
      <c r="AI348" s="1691"/>
      <c r="AJ348" s="1691"/>
      <c r="AK348" s="1691"/>
      <c r="AL348" s="1691"/>
      <c r="AM348" s="1691"/>
      <c r="AN348" s="1691"/>
      <c r="AO348" s="1691"/>
      <c r="AP348" s="1691"/>
      <c r="AQ348" s="1691"/>
      <c r="AR348" s="1691"/>
      <c r="AS348" s="1691"/>
      <c r="AT348" s="1691"/>
    </row>
    <row r="349">
      <c r="A349" s="1419"/>
      <c r="B349" s="1697"/>
      <c r="C349" s="1698"/>
      <c r="D349" s="1698"/>
      <c r="E349" s="1689"/>
      <c r="F349" s="1689"/>
      <c r="G349" s="1689"/>
      <c r="H349" s="1689"/>
      <c r="I349" s="1689"/>
      <c r="J349" s="1689"/>
      <c r="K349" s="1689"/>
      <c r="L349" s="1689"/>
      <c r="M349" s="1689"/>
      <c r="N349" s="1689"/>
      <c r="O349" s="1689"/>
      <c r="P349" s="1689"/>
      <c r="Q349" s="1689"/>
      <c r="R349" s="1689"/>
      <c r="S349" s="1689"/>
      <c r="T349" s="1689"/>
      <c r="U349" s="1689"/>
      <c r="V349" s="1689"/>
      <c r="W349" s="1689"/>
      <c r="X349" s="1689"/>
      <c r="Y349" s="1689"/>
      <c r="Z349" s="1689"/>
      <c r="AA349" s="1689"/>
      <c r="AB349" s="1689"/>
      <c r="AC349" s="1689"/>
      <c r="AD349" s="1689"/>
      <c r="AE349" s="1689"/>
      <c r="AF349" s="1689"/>
      <c r="AG349" s="1689"/>
      <c r="AH349" s="1689"/>
      <c r="AI349" s="1689"/>
      <c r="AJ349" s="1689"/>
      <c r="AK349" s="1689"/>
      <c r="AL349" s="1689"/>
      <c r="AM349" s="1689"/>
      <c r="AN349" s="1689"/>
      <c r="AO349" s="1689"/>
      <c r="AP349" s="1689"/>
      <c r="AQ349" s="1689"/>
      <c r="AR349" s="1689"/>
      <c r="AS349" s="1689"/>
      <c r="AT349" s="1689"/>
    </row>
    <row r="350">
      <c r="A350" s="1419"/>
      <c r="B350" s="1699"/>
      <c r="C350" s="1700"/>
      <c r="D350" s="1700"/>
      <c r="E350" s="1691"/>
      <c r="F350" s="1691"/>
      <c r="G350" s="1691"/>
      <c r="H350" s="1691"/>
      <c r="I350" s="1691"/>
      <c r="J350" s="1691"/>
      <c r="K350" s="1691"/>
      <c r="L350" s="1691"/>
      <c r="M350" s="1691"/>
      <c r="N350" s="1691"/>
      <c r="O350" s="1691"/>
      <c r="P350" s="1691"/>
      <c r="Q350" s="1691"/>
      <c r="R350" s="1691"/>
      <c r="S350" s="1691"/>
      <c r="T350" s="1691"/>
      <c r="U350" s="1691"/>
      <c r="V350" s="1691"/>
      <c r="W350" s="1691"/>
      <c r="X350" s="1691"/>
      <c r="Y350" s="1691"/>
      <c r="Z350" s="1691"/>
      <c r="AA350" s="1691"/>
      <c r="AB350" s="1691"/>
      <c r="AC350" s="1691"/>
      <c r="AD350" s="1691"/>
      <c r="AE350" s="1691"/>
      <c r="AF350" s="1691"/>
      <c r="AG350" s="1691"/>
      <c r="AH350" s="1691"/>
      <c r="AI350" s="1691"/>
      <c r="AJ350" s="1691"/>
      <c r="AK350" s="1691"/>
      <c r="AL350" s="1691"/>
      <c r="AM350" s="1691"/>
      <c r="AN350" s="1691"/>
      <c r="AO350" s="1691"/>
      <c r="AP350" s="1691"/>
      <c r="AQ350" s="1691"/>
      <c r="AR350" s="1691"/>
      <c r="AS350" s="1691"/>
      <c r="AT350" s="1691"/>
    </row>
    <row r="351">
      <c r="A351" s="1419"/>
      <c r="B351" s="1697"/>
      <c r="C351" s="1698"/>
      <c r="D351" s="1698"/>
      <c r="E351" s="1689"/>
      <c r="F351" s="1689"/>
      <c r="G351" s="1689"/>
      <c r="H351" s="1689"/>
      <c r="I351" s="1689"/>
      <c r="J351" s="1689"/>
      <c r="K351" s="1689"/>
      <c r="L351" s="1689"/>
      <c r="M351" s="1689"/>
      <c r="N351" s="1689"/>
      <c r="O351" s="1689"/>
      <c r="P351" s="1689"/>
      <c r="Q351" s="1689"/>
      <c r="R351" s="1689"/>
      <c r="S351" s="1689"/>
      <c r="T351" s="1689"/>
      <c r="U351" s="1689"/>
      <c r="V351" s="1689"/>
      <c r="W351" s="1689"/>
      <c r="X351" s="1689"/>
      <c r="Y351" s="1689"/>
      <c r="Z351" s="1689"/>
      <c r="AA351" s="1689"/>
      <c r="AB351" s="1689"/>
      <c r="AC351" s="1689"/>
      <c r="AD351" s="1689"/>
      <c r="AE351" s="1689"/>
      <c r="AF351" s="1689"/>
      <c r="AG351" s="1689"/>
      <c r="AH351" s="1689"/>
      <c r="AI351" s="1689"/>
      <c r="AJ351" s="1689"/>
      <c r="AK351" s="1689"/>
      <c r="AL351" s="1689"/>
      <c r="AM351" s="1689"/>
      <c r="AN351" s="1689"/>
      <c r="AO351" s="1689"/>
      <c r="AP351" s="1689"/>
      <c r="AQ351" s="1689"/>
      <c r="AR351" s="1689"/>
      <c r="AS351" s="1689"/>
      <c r="AT351" s="1689"/>
    </row>
    <row r="352">
      <c r="A352" s="1419"/>
      <c r="B352" s="1699"/>
      <c r="C352" s="1700"/>
      <c r="D352" s="1700"/>
      <c r="E352" s="1691"/>
      <c r="F352" s="1691"/>
      <c r="G352" s="1691"/>
      <c r="H352" s="1691"/>
      <c r="I352" s="1691"/>
      <c r="J352" s="1691"/>
      <c r="K352" s="1691"/>
      <c r="L352" s="1691"/>
      <c r="M352" s="1691"/>
      <c r="N352" s="1691"/>
      <c r="O352" s="1691"/>
      <c r="P352" s="1691"/>
      <c r="Q352" s="1691"/>
      <c r="R352" s="1691"/>
      <c r="S352" s="1691"/>
      <c r="T352" s="1691"/>
      <c r="U352" s="1691"/>
      <c r="V352" s="1691"/>
      <c r="W352" s="1691"/>
      <c r="X352" s="1691"/>
      <c r="Y352" s="1691"/>
      <c r="Z352" s="1691"/>
      <c r="AA352" s="1691"/>
      <c r="AB352" s="1691"/>
      <c r="AC352" s="1691"/>
      <c r="AD352" s="1691"/>
      <c r="AE352" s="1691"/>
      <c r="AF352" s="1691"/>
      <c r="AG352" s="1691"/>
      <c r="AH352" s="1691"/>
      <c r="AI352" s="1691"/>
      <c r="AJ352" s="1691"/>
      <c r="AK352" s="1691"/>
      <c r="AL352" s="1691"/>
      <c r="AM352" s="1691"/>
      <c r="AN352" s="1691"/>
      <c r="AO352" s="1691"/>
      <c r="AP352" s="1691"/>
      <c r="AQ352" s="1691"/>
      <c r="AR352" s="1691"/>
      <c r="AS352" s="1691"/>
      <c r="AT352" s="1691"/>
    </row>
    <row r="353">
      <c r="A353" s="1419"/>
      <c r="B353" s="1697"/>
      <c r="C353" s="1698"/>
      <c r="D353" s="1698"/>
      <c r="E353" s="1689"/>
      <c r="F353" s="1689"/>
      <c r="G353" s="1689"/>
      <c r="H353" s="1689"/>
      <c r="I353" s="1689"/>
      <c r="J353" s="1689"/>
      <c r="K353" s="1689"/>
      <c r="L353" s="1689"/>
      <c r="M353" s="1689"/>
      <c r="N353" s="1689"/>
      <c r="O353" s="1689"/>
      <c r="P353" s="1689"/>
      <c r="Q353" s="1689"/>
      <c r="R353" s="1689"/>
      <c r="S353" s="1689"/>
      <c r="T353" s="1689"/>
      <c r="U353" s="1689"/>
      <c r="V353" s="1689"/>
      <c r="W353" s="1689"/>
      <c r="X353" s="1689"/>
      <c r="Y353" s="1689"/>
      <c r="Z353" s="1689"/>
      <c r="AA353" s="1689"/>
      <c r="AB353" s="1689"/>
      <c r="AC353" s="1689"/>
      <c r="AD353" s="1689"/>
      <c r="AE353" s="1689"/>
      <c r="AF353" s="1689"/>
      <c r="AG353" s="1689"/>
      <c r="AH353" s="1689"/>
      <c r="AI353" s="1689"/>
      <c r="AJ353" s="1689"/>
      <c r="AK353" s="1689"/>
      <c r="AL353" s="1689"/>
      <c r="AM353" s="1689"/>
      <c r="AN353" s="1689"/>
      <c r="AO353" s="1689"/>
      <c r="AP353" s="1689"/>
      <c r="AQ353" s="1689"/>
      <c r="AR353" s="1689"/>
      <c r="AS353" s="1689"/>
      <c r="AT353" s="1689"/>
    </row>
    <row r="354">
      <c r="A354" s="1419"/>
      <c r="B354" s="1699"/>
      <c r="C354" s="1700"/>
      <c r="D354" s="1700"/>
      <c r="E354" s="1691"/>
      <c r="F354" s="1691"/>
      <c r="G354" s="1691"/>
      <c r="H354" s="1691"/>
      <c r="I354" s="1691"/>
      <c r="J354" s="1691"/>
      <c r="K354" s="1691"/>
      <c r="L354" s="1691"/>
      <c r="M354" s="1691"/>
      <c r="N354" s="1691"/>
      <c r="O354" s="1691"/>
      <c r="P354" s="1691"/>
      <c r="Q354" s="1691"/>
      <c r="R354" s="1691"/>
      <c r="S354" s="1691"/>
      <c r="T354" s="1691"/>
      <c r="U354" s="1691"/>
      <c r="V354" s="1691"/>
      <c r="W354" s="1691"/>
      <c r="X354" s="1691"/>
      <c r="Y354" s="1691"/>
      <c r="Z354" s="1691"/>
      <c r="AA354" s="1691"/>
      <c r="AB354" s="1691"/>
      <c r="AC354" s="1691"/>
      <c r="AD354" s="1691"/>
      <c r="AE354" s="1691"/>
      <c r="AF354" s="1691"/>
      <c r="AG354" s="1691"/>
      <c r="AH354" s="1691"/>
      <c r="AI354" s="1691"/>
      <c r="AJ354" s="1691"/>
      <c r="AK354" s="1691"/>
      <c r="AL354" s="1691"/>
      <c r="AM354" s="1691"/>
      <c r="AN354" s="1691"/>
      <c r="AO354" s="1691"/>
      <c r="AP354" s="1691"/>
      <c r="AQ354" s="1691"/>
      <c r="AR354" s="1691"/>
      <c r="AS354" s="1691"/>
      <c r="AT354" s="1691"/>
    </row>
    <row r="355">
      <c r="A355" s="1419"/>
      <c r="B355" s="1697"/>
      <c r="C355" s="1698"/>
      <c r="D355" s="1698"/>
      <c r="E355" s="1689"/>
      <c r="F355" s="1689"/>
      <c r="G355" s="1689"/>
      <c r="H355" s="1689"/>
      <c r="I355" s="1689"/>
      <c r="J355" s="1689"/>
      <c r="K355" s="1689"/>
      <c r="L355" s="1689"/>
      <c r="M355" s="1689"/>
      <c r="N355" s="1689"/>
      <c r="O355" s="1689"/>
      <c r="P355" s="1689"/>
      <c r="Q355" s="1689"/>
      <c r="R355" s="1689"/>
      <c r="S355" s="1689"/>
      <c r="T355" s="1689"/>
      <c r="U355" s="1689"/>
      <c r="V355" s="1689"/>
      <c r="W355" s="1689"/>
      <c r="X355" s="1689"/>
      <c r="Y355" s="1689"/>
      <c r="Z355" s="1689"/>
      <c r="AA355" s="1689"/>
      <c r="AB355" s="1689"/>
      <c r="AC355" s="1689"/>
      <c r="AD355" s="1689"/>
      <c r="AE355" s="1689"/>
      <c r="AF355" s="1689"/>
      <c r="AG355" s="1689"/>
      <c r="AH355" s="1689"/>
      <c r="AI355" s="1689"/>
      <c r="AJ355" s="1689"/>
      <c r="AK355" s="1689"/>
      <c r="AL355" s="1689"/>
      <c r="AM355" s="1689"/>
      <c r="AN355" s="1689"/>
      <c r="AO355" s="1689"/>
      <c r="AP355" s="1689"/>
      <c r="AQ355" s="1689"/>
      <c r="AR355" s="1689"/>
      <c r="AS355" s="1689"/>
      <c r="AT355" s="1689"/>
    </row>
    <row r="356">
      <c r="A356" s="1419"/>
      <c r="B356" s="1699"/>
      <c r="C356" s="1700"/>
      <c r="D356" s="1700"/>
      <c r="E356" s="1691"/>
      <c r="F356" s="1691"/>
      <c r="G356" s="1691"/>
      <c r="H356" s="1691"/>
      <c r="I356" s="1691"/>
      <c r="J356" s="1691"/>
      <c r="K356" s="1691"/>
      <c r="L356" s="1691"/>
      <c r="M356" s="1691"/>
      <c r="N356" s="1691"/>
      <c r="O356" s="1691"/>
      <c r="P356" s="1691"/>
      <c r="Q356" s="1691"/>
      <c r="R356" s="1691"/>
      <c r="S356" s="1691"/>
      <c r="T356" s="1691"/>
      <c r="U356" s="1691"/>
      <c r="V356" s="1691"/>
      <c r="W356" s="1691"/>
      <c r="X356" s="1691"/>
      <c r="Y356" s="1691"/>
      <c r="Z356" s="1691"/>
      <c r="AA356" s="1691"/>
      <c r="AB356" s="1691"/>
      <c r="AC356" s="1691"/>
      <c r="AD356" s="1691"/>
      <c r="AE356" s="1691"/>
      <c r="AF356" s="1691"/>
      <c r="AG356" s="1691"/>
      <c r="AH356" s="1691"/>
      <c r="AI356" s="1691"/>
      <c r="AJ356" s="1691"/>
      <c r="AK356" s="1691"/>
      <c r="AL356" s="1691"/>
      <c r="AM356" s="1691"/>
      <c r="AN356" s="1691"/>
      <c r="AO356" s="1691"/>
      <c r="AP356" s="1691"/>
      <c r="AQ356" s="1691"/>
      <c r="AR356" s="1691"/>
      <c r="AS356" s="1691"/>
      <c r="AT356" s="1691"/>
    </row>
    <row r="357">
      <c r="A357" s="1419"/>
      <c r="B357" s="1697"/>
      <c r="C357" s="1698"/>
      <c r="D357" s="1698"/>
      <c r="E357" s="1689"/>
      <c r="F357" s="1689"/>
      <c r="G357" s="1689"/>
      <c r="H357" s="1689"/>
      <c r="I357" s="1689"/>
      <c r="J357" s="1689"/>
      <c r="K357" s="1689"/>
      <c r="L357" s="1689"/>
      <c r="M357" s="1689"/>
      <c r="N357" s="1689"/>
      <c r="O357" s="1689"/>
      <c r="P357" s="1689"/>
      <c r="Q357" s="1689"/>
      <c r="R357" s="1689"/>
      <c r="S357" s="1689"/>
      <c r="T357" s="1689"/>
      <c r="U357" s="1689"/>
      <c r="V357" s="1689"/>
      <c r="W357" s="1689"/>
      <c r="X357" s="1689"/>
      <c r="Y357" s="1689"/>
      <c r="Z357" s="1689"/>
      <c r="AA357" s="1689"/>
      <c r="AB357" s="1689"/>
      <c r="AC357" s="1689"/>
      <c r="AD357" s="1689"/>
      <c r="AE357" s="1689"/>
      <c r="AF357" s="1689"/>
      <c r="AG357" s="1689"/>
      <c r="AH357" s="1689"/>
      <c r="AI357" s="1689"/>
      <c r="AJ357" s="1689"/>
      <c r="AK357" s="1689"/>
      <c r="AL357" s="1689"/>
      <c r="AM357" s="1689"/>
      <c r="AN357" s="1689"/>
      <c r="AO357" s="1689"/>
      <c r="AP357" s="1689"/>
      <c r="AQ357" s="1689"/>
      <c r="AR357" s="1689"/>
      <c r="AS357" s="1689"/>
      <c r="AT357" s="1689"/>
    </row>
    <row r="358">
      <c r="A358" s="1419"/>
      <c r="B358" s="1699"/>
      <c r="C358" s="1700"/>
      <c r="D358" s="1700"/>
      <c r="E358" s="1691"/>
      <c r="F358" s="1691"/>
      <c r="G358" s="1691"/>
      <c r="H358" s="1691"/>
      <c r="I358" s="1691"/>
      <c r="J358" s="1691"/>
      <c r="K358" s="1691"/>
      <c r="L358" s="1691"/>
      <c r="M358" s="1691"/>
      <c r="N358" s="1691"/>
      <c r="O358" s="1691"/>
      <c r="P358" s="1691"/>
      <c r="Q358" s="1691"/>
      <c r="R358" s="1691"/>
      <c r="S358" s="1691"/>
      <c r="T358" s="1691"/>
      <c r="U358" s="1691"/>
      <c r="V358" s="1691"/>
      <c r="W358" s="1691"/>
      <c r="X358" s="1691"/>
      <c r="Y358" s="1691"/>
      <c r="Z358" s="1691"/>
      <c r="AA358" s="1691"/>
      <c r="AB358" s="1691"/>
      <c r="AC358" s="1691"/>
      <c r="AD358" s="1691"/>
      <c r="AE358" s="1691"/>
      <c r="AF358" s="1691"/>
      <c r="AG358" s="1691"/>
      <c r="AH358" s="1691"/>
      <c r="AI358" s="1691"/>
      <c r="AJ358" s="1691"/>
      <c r="AK358" s="1691"/>
      <c r="AL358" s="1691"/>
      <c r="AM358" s="1691"/>
      <c r="AN358" s="1691"/>
      <c r="AO358" s="1691"/>
      <c r="AP358" s="1691"/>
      <c r="AQ358" s="1691"/>
      <c r="AR358" s="1691"/>
      <c r="AS358" s="1691"/>
      <c r="AT358" s="1691"/>
    </row>
    <row r="359">
      <c r="A359" s="1419"/>
      <c r="B359" s="1697"/>
      <c r="C359" s="1698"/>
      <c r="D359" s="1698"/>
      <c r="E359" s="1689"/>
      <c r="F359" s="1689"/>
      <c r="G359" s="1689"/>
      <c r="H359" s="1689"/>
      <c r="I359" s="1689"/>
      <c r="J359" s="1689"/>
      <c r="K359" s="1689"/>
      <c r="L359" s="1689"/>
      <c r="M359" s="1689"/>
      <c r="N359" s="1689"/>
      <c r="O359" s="1689"/>
      <c r="P359" s="1689"/>
      <c r="Q359" s="1689"/>
      <c r="R359" s="1689"/>
      <c r="S359" s="1689"/>
      <c r="T359" s="1689"/>
      <c r="U359" s="1689"/>
      <c r="V359" s="1689"/>
      <c r="W359" s="1689"/>
      <c r="X359" s="1689"/>
      <c r="Y359" s="1689"/>
      <c r="Z359" s="1689"/>
      <c r="AA359" s="1689"/>
      <c r="AB359" s="1689"/>
      <c r="AC359" s="1689"/>
      <c r="AD359" s="1689"/>
      <c r="AE359" s="1689"/>
      <c r="AF359" s="1689"/>
      <c r="AG359" s="1689"/>
      <c r="AH359" s="1689"/>
      <c r="AI359" s="1689"/>
      <c r="AJ359" s="1689"/>
      <c r="AK359" s="1689"/>
      <c r="AL359" s="1689"/>
      <c r="AM359" s="1689"/>
      <c r="AN359" s="1689"/>
      <c r="AO359" s="1689"/>
      <c r="AP359" s="1689"/>
      <c r="AQ359" s="1689"/>
      <c r="AR359" s="1689"/>
      <c r="AS359" s="1689"/>
      <c r="AT359" s="1689"/>
    </row>
    <row r="360">
      <c r="A360" s="1419"/>
      <c r="B360" s="1699"/>
      <c r="C360" s="1700"/>
      <c r="D360" s="1700"/>
      <c r="E360" s="1691"/>
      <c r="F360" s="1691"/>
      <c r="G360" s="1691"/>
      <c r="H360" s="1691"/>
      <c r="I360" s="1691"/>
      <c r="J360" s="1691"/>
      <c r="K360" s="1691"/>
      <c r="L360" s="1691"/>
      <c r="M360" s="1691"/>
      <c r="N360" s="1691"/>
      <c r="O360" s="1691"/>
      <c r="P360" s="1691"/>
      <c r="Q360" s="1691"/>
      <c r="R360" s="1691"/>
      <c r="S360" s="1691"/>
      <c r="T360" s="1691"/>
      <c r="U360" s="1691"/>
      <c r="V360" s="1691"/>
      <c r="W360" s="1691"/>
      <c r="X360" s="1691"/>
      <c r="Y360" s="1691"/>
      <c r="Z360" s="1691"/>
      <c r="AA360" s="1691"/>
      <c r="AB360" s="1691"/>
      <c r="AC360" s="1691"/>
      <c r="AD360" s="1691"/>
      <c r="AE360" s="1691"/>
      <c r="AF360" s="1691"/>
      <c r="AG360" s="1691"/>
      <c r="AH360" s="1691"/>
      <c r="AI360" s="1691"/>
      <c r="AJ360" s="1691"/>
      <c r="AK360" s="1691"/>
      <c r="AL360" s="1691"/>
      <c r="AM360" s="1691"/>
      <c r="AN360" s="1691"/>
      <c r="AO360" s="1691"/>
      <c r="AP360" s="1691"/>
      <c r="AQ360" s="1691"/>
      <c r="AR360" s="1691"/>
      <c r="AS360" s="1691"/>
      <c r="AT360" s="1691"/>
    </row>
    <row r="361">
      <c r="A361" s="1419"/>
      <c r="B361" s="1697"/>
      <c r="C361" s="1698"/>
      <c r="D361" s="1698"/>
      <c r="E361" s="1689"/>
      <c r="F361" s="1689"/>
      <c r="G361" s="1689"/>
      <c r="H361" s="1689"/>
      <c r="I361" s="1689"/>
      <c r="J361" s="1689"/>
      <c r="K361" s="1689"/>
      <c r="L361" s="1689"/>
      <c r="M361" s="1689"/>
      <c r="N361" s="1689"/>
      <c r="O361" s="1689"/>
      <c r="P361" s="1689"/>
      <c r="Q361" s="1689"/>
      <c r="R361" s="1689"/>
      <c r="S361" s="1689"/>
      <c r="T361" s="1689"/>
      <c r="U361" s="1689"/>
      <c r="V361" s="1689"/>
      <c r="W361" s="1689"/>
      <c r="X361" s="1689"/>
      <c r="Y361" s="1689"/>
      <c r="Z361" s="1689"/>
      <c r="AA361" s="1689"/>
      <c r="AB361" s="1689"/>
      <c r="AC361" s="1689"/>
      <c r="AD361" s="1689"/>
      <c r="AE361" s="1689"/>
      <c r="AF361" s="1689"/>
      <c r="AG361" s="1689"/>
      <c r="AH361" s="1689"/>
      <c r="AI361" s="1689"/>
      <c r="AJ361" s="1689"/>
      <c r="AK361" s="1689"/>
      <c r="AL361" s="1689"/>
      <c r="AM361" s="1689"/>
      <c r="AN361" s="1689"/>
      <c r="AO361" s="1689"/>
      <c r="AP361" s="1689"/>
      <c r="AQ361" s="1689"/>
      <c r="AR361" s="1689"/>
      <c r="AS361" s="1689"/>
      <c r="AT361" s="1689"/>
    </row>
    <row r="362">
      <c r="A362" s="1419"/>
      <c r="B362" s="1699"/>
      <c r="C362" s="1700"/>
      <c r="D362" s="1700"/>
      <c r="E362" s="1691"/>
      <c r="F362" s="1691"/>
      <c r="G362" s="1691"/>
      <c r="H362" s="1691"/>
      <c r="I362" s="1691"/>
      <c r="J362" s="1691"/>
      <c r="K362" s="1691"/>
      <c r="L362" s="1691"/>
      <c r="M362" s="1691"/>
      <c r="N362" s="1691"/>
      <c r="O362" s="1691"/>
      <c r="P362" s="1691"/>
      <c r="Q362" s="1691"/>
      <c r="R362" s="1691"/>
      <c r="S362" s="1691"/>
      <c r="T362" s="1691"/>
      <c r="U362" s="1691"/>
      <c r="V362" s="1691"/>
      <c r="W362" s="1691"/>
      <c r="X362" s="1691"/>
      <c r="Y362" s="1691"/>
      <c r="Z362" s="1691"/>
      <c r="AA362" s="1691"/>
      <c r="AB362" s="1691"/>
      <c r="AC362" s="1691"/>
      <c r="AD362" s="1691"/>
      <c r="AE362" s="1691"/>
      <c r="AF362" s="1691"/>
      <c r="AG362" s="1691"/>
      <c r="AH362" s="1691"/>
      <c r="AI362" s="1691"/>
      <c r="AJ362" s="1691"/>
      <c r="AK362" s="1691"/>
      <c r="AL362" s="1691"/>
      <c r="AM362" s="1691"/>
      <c r="AN362" s="1691"/>
      <c r="AO362" s="1691"/>
      <c r="AP362" s="1691"/>
      <c r="AQ362" s="1691"/>
      <c r="AR362" s="1691"/>
      <c r="AS362" s="1691"/>
      <c r="AT362" s="1691"/>
    </row>
    <row r="363">
      <c r="A363" s="1419"/>
      <c r="B363" s="1697"/>
      <c r="C363" s="1698"/>
      <c r="D363" s="1698"/>
      <c r="E363" s="1689"/>
      <c r="F363" s="1689"/>
      <c r="G363" s="1689"/>
      <c r="H363" s="1689"/>
      <c r="I363" s="1689"/>
      <c r="J363" s="1689"/>
      <c r="K363" s="1689"/>
      <c r="L363" s="1689"/>
      <c r="M363" s="1689"/>
      <c r="N363" s="1689"/>
      <c r="O363" s="1689"/>
      <c r="P363" s="1689"/>
      <c r="Q363" s="1689"/>
      <c r="R363" s="1689"/>
      <c r="S363" s="1689"/>
      <c r="T363" s="1689"/>
      <c r="U363" s="1689"/>
      <c r="V363" s="1689"/>
      <c r="W363" s="1689"/>
      <c r="X363" s="1689"/>
      <c r="Y363" s="1689"/>
      <c r="Z363" s="1689"/>
      <c r="AA363" s="1689"/>
      <c r="AB363" s="1689"/>
      <c r="AC363" s="1689"/>
      <c r="AD363" s="1689"/>
      <c r="AE363" s="1689"/>
      <c r="AF363" s="1689"/>
      <c r="AG363" s="1689"/>
      <c r="AH363" s="1689"/>
      <c r="AI363" s="1689"/>
      <c r="AJ363" s="1689"/>
      <c r="AK363" s="1689"/>
      <c r="AL363" s="1689"/>
      <c r="AM363" s="1689"/>
      <c r="AN363" s="1689"/>
      <c r="AO363" s="1689"/>
      <c r="AP363" s="1689"/>
      <c r="AQ363" s="1689"/>
      <c r="AR363" s="1689"/>
      <c r="AS363" s="1689"/>
      <c r="AT363" s="1689"/>
    </row>
    <row r="364">
      <c r="A364" s="1419"/>
      <c r="B364" s="1699"/>
      <c r="C364" s="1700"/>
      <c r="D364" s="1700"/>
      <c r="E364" s="1691"/>
      <c r="F364" s="1691"/>
      <c r="G364" s="1691"/>
      <c r="H364" s="1691"/>
      <c r="I364" s="1691"/>
      <c r="J364" s="1691"/>
      <c r="K364" s="1691"/>
      <c r="L364" s="1691"/>
      <c r="M364" s="1691"/>
      <c r="N364" s="1691"/>
      <c r="O364" s="1691"/>
      <c r="P364" s="1691"/>
      <c r="Q364" s="1691"/>
      <c r="R364" s="1691"/>
      <c r="S364" s="1691"/>
      <c r="T364" s="1691"/>
      <c r="U364" s="1691"/>
      <c r="V364" s="1691"/>
      <c r="W364" s="1691"/>
      <c r="X364" s="1691"/>
      <c r="Y364" s="1691"/>
      <c r="Z364" s="1691"/>
      <c r="AA364" s="1691"/>
      <c r="AB364" s="1691"/>
      <c r="AC364" s="1691"/>
      <c r="AD364" s="1691"/>
      <c r="AE364" s="1691"/>
      <c r="AF364" s="1691"/>
      <c r="AG364" s="1691"/>
      <c r="AH364" s="1691"/>
      <c r="AI364" s="1691"/>
      <c r="AJ364" s="1691"/>
      <c r="AK364" s="1691"/>
      <c r="AL364" s="1691"/>
      <c r="AM364" s="1691"/>
      <c r="AN364" s="1691"/>
      <c r="AO364" s="1691"/>
      <c r="AP364" s="1691"/>
      <c r="AQ364" s="1691"/>
      <c r="AR364" s="1691"/>
      <c r="AS364" s="1691"/>
      <c r="AT364" s="1691"/>
    </row>
    <row r="365">
      <c r="A365" s="1419"/>
      <c r="B365" s="1697"/>
      <c r="C365" s="1698"/>
      <c r="D365" s="1698"/>
      <c r="E365" s="1689"/>
      <c r="F365" s="1689"/>
      <c r="G365" s="1689"/>
      <c r="H365" s="1689"/>
      <c r="I365" s="1689"/>
      <c r="J365" s="1689"/>
      <c r="K365" s="1689"/>
      <c r="L365" s="1689"/>
      <c r="M365" s="1689"/>
      <c r="N365" s="1689"/>
      <c r="O365" s="1689"/>
      <c r="P365" s="1689"/>
      <c r="Q365" s="1689"/>
      <c r="R365" s="1689"/>
      <c r="S365" s="1689"/>
      <c r="T365" s="1689"/>
      <c r="U365" s="1689"/>
      <c r="V365" s="1689"/>
      <c r="W365" s="1689"/>
      <c r="X365" s="1689"/>
      <c r="Y365" s="1689"/>
      <c r="Z365" s="1689"/>
      <c r="AA365" s="1689"/>
      <c r="AB365" s="1689"/>
      <c r="AC365" s="1689"/>
      <c r="AD365" s="1689"/>
      <c r="AE365" s="1689"/>
      <c r="AF365" s="1689"/>
      <c r="AG365" s="1689"/>
      <c r="AH365" s="1689"/>
      <c r="AI365" s="1689"/>
      <c r="AJ365" s="1689"/>
      <c r="AK365" s="1689"/>
      <c r="AL365" s="1689"/>
      <c r="AM365" s="1689"/>
      <c r="AN365" s="1689"/>
      <c r="AO365" s="1689"/>
      <c r="AP365" s="1689"/>
      <c r="AQ365" s="1689"/>
      <c r="AR365" s="1689"/>
      <c r="AS365" s="1689"/>
      <c r="AT365" s="1689"/>
    </row>
    <row r="366">
      <c r="A366" s="1419"/>
      <c r="B366" s="1699"/>
      <c r="C366" s="1700"/>
      <c r="D366" s="1700"/>
      <c r="E366" s="1691"/>
      <c r="F366" s="1691"/>
      <c r="G366" s="1691"/>
      <c r="H366" s="1691"/>
      <c r="I366" s="1691"/>
      <c r="J366" s="1691"/>
      <c r="K366" s="1691"/>
      <c r="L366" s="1691"/>
      <c r="M366" s="1691"/>
      <c r="N366" s="1691"/>
      <c r="O366" s="1691"/>
      <c r="P366" s="1691"/>
      <c r="Q366" s="1691"/>
      <c r="R366" s="1691"/>
      <c r="S366" s="1691"/>
      <c r="T366" s="1691"/>
      <c r="U366" s="1691"/>
      <c r="V366" s="1691"/>
      <c r="W366" s="1691"/>
      <c r="X366" s="1691"/>
      <c r="Y366" s="1691"/>
      <c r="Z366" s="1691"/>
      <c r="AA366" s="1691"/>
      <c r="AB366" s="1691"/>
      <c r="AC366" s="1691"/>
      <c r="AD366" s="1691"/>
      <c r="AE366" s="1691"/>
      <c r="AF366" s="1691"/>
      <c r="AG366" s="1691"/>
      <c r="AH366" s="1691"/>
      <c r="AI366" s="1691"/>
      <c r="AJ366" s="1691"/>
      <c r="AK366" s="1691"/>
      <c r="AL366" s="1691"/>
      <c r="AM366" s="1691"/>
      <c r="AN366" s="1691"/>
      <c r="AO366" s="1691"/>
      <c r="AP366" s="1691"/>
      <c r="AQ366" s="1691"/>
      <c r="AR366" s="1691"/>
      <c r="AS366" s="1691"/>
      <c r="AT366" s="1691"/>
    </row>
    <row r="367">
      <c r="A367" s="1419"/>
      <c r="B367" s="1697"/>
      <c r="C367" s="1698"/>
      <c r="D367" s="1698"/>
      <c r="E367" s="1689"/>
      <c r="F367" s="1689"/>
      <c r="G367" s="1689"/>
      <c r="H367" s="1689"/>
      <c r="I367" s="1689"/>
      <c r="J367" s="1689"/>
      <c r="K367" s="1689"/>
      <c r="L367" s="1689"/>
      <c r="M367" s="1689"/>
      <c r="N367" s="1689"/>
      <c r="O367" s="1689"/>
      <c r="P367" s="1689"/>
      <c r="Q367" s="1689"/>
      <c r="R367" s="1689"/>
      <c r="S367" s="1689"/>
      <c r="T367" s="1689"/>
      <c r="U367" s="1689"/>
      <c r="V367" s="1689"/>
      <c r="W367" s="1689"/>
      <c r="X367" s="1689"/>
      <c r="Y367" s="1689"/>
      <c r="Z367" s="1689"/>
      <c r="AA367" s="1689"/>
      <c r="AB367" s="1689"/>
      <c r="AC367" s="1689"/>
      <c r="AD367" s="1689"/>
      <c r="AE367" s="1689"/>
      <c r="AF367" s="1689"/>
      <c r="AG367" s="1689"/>
      <c r="AH367" s="1689"/>
      <c r="AI367" s="1689"/>
      <c r="AJ367" s="1689"/>
      <c r="AK367" s="1689"/>
      <c r="AL367" s="1689"/>
      <c r="AM367" s="1689"/>
      <c r="AN367" s="1689"/>
      <c r="AO367" s="1689"/>
      <c r="AP367" s="1689"/>
      <c r="AQ367" s="1689"/>
      <c r="AR367" s="1689"/>
      <c r="AS367" s="1689"/>
      <c r="AT367" s="1689"/>
    </row>
    <row r="368">
      <c r="A368" s="1419"/>
      <c r="B368" s="1699"/>
      <c r="C368" s="1700"/>
      <c r="D368" s="1700"/>
      <c r="E368" s="1691"/>
      <c r="F368" s="1691"/>
      <c r="G368" s="1691"/>
      <c r="H368" s="1691"/>
      <c r="I368" s="1691"/>
      <c r="J368" s="1691"/>
      <c r="K368" s="1691"/>
      <c r="L368" s="1691"/>
      <c r="M368" s="1691"/>
      <c r="N368" s="1691"/>
      <c r="O368" s="1691"/>
      <c r="P368" s="1691"/>
      <c r="Q368" s="1691"/>
      <c r="R368" s="1691"/>
      <c r="S368" s="1691"/>
      <c r="T368" s="1691"/>
      <c r="U368" s="1691"/>
      <c r="V368" s="1691"/>
      <c r="W368" s="1691"/>
      <c r="X368" s="1691"/>
      <c r="Y368" s="1691"/>
      <c r="Z368" s="1691"/>
      <c r="AA368" s="1691"/>
      <c r="AB368" s="1691"/>
      <c r="AC368" s="1691"/>
      <c r="AD368" s="1691"/>
      <c r="AE368" s="1691"/>
      <c r="AF368" s="1691"/>
      <c r="AG368" s="1691"/>
      <c r="AH368" s="1691"/>
      <c r="AI368" s="1691"/>
      <c r="AJ368" s="1691"/>
      <c r="AK368" s="1691"/>
      <c r="AL368" s="1691"/>
      <c r="AM368" s="1691"/>
      <c r="AN368" s="1691"/>
      <c r="AO368" s="1691"/>
      <c r="AP368" s="1691"/>
      <c r="AQ368" s="1691"/>
      <c r="AR368" s="1691"/>
      <c r="AS368" s="1691"/>
      <c r="AT368" s="1691"/>
    </row>
    <row r="369">
      <c r="A369" s="1419"/>
      <c r="B369" s="1697"/>
      <c r="C369" s="1698"/>
      <c r="D369" s="1698"/>
      <c r="E369" s="1689"/>
      <c r="F369" s="1689"/>
      <c r="G369" s="1689"/>
      <c r="H369" s="1689"/>
      <c r="I369" s="1689"/>
      <c r="J369" s="1689"/>
      <c r="K369" s="1689"/>
      <c r="L369" s="1689"/>
      <c r="M369" s="1689"/>
      <c r="N369" s="1689"/>
      <c r="O369" s="1689"/>
      <c r="P369" s="1689"/>
      <c r="Q369" s="1689"/>
      <c r="R369" s="1689"/>
      <c r="S369" s="1689"/>
      <c r="T369" s="1689"/>
      <c r="U369" s="1689"/>
      <c r="V369" s="1689"/>
      <c r="W369" s="1689"/>
      <c r="X369" s="1689"/>
      <c r="Y369" s="1689"/>
      <c r="Z369" s="1689"/>
      <c r="AA369" s="1689"/>
      <c r="AB369" s="1689"/>
      <c r="AC369" s="1689"/>
      <c r="AD369" s="1689"/>
      <c r="AE369" s="1689"/>
      <c r="AF369" s="1689"/>
      <c r="AG369" s="1689"/>
      <c r="AH369" s="1689"/>
      <c r="AI369" s="1689"/>
      <c r="AJ369" s="1689"/>
      <c r="AK369" s="1689"/>
      <c r="AL369" s="1689"/>
      <c r="AM369" s="1689"/>
      <c r="AN369" s="1689"/>
      <c r="AO369" s="1689"/>
      <c r="AP369" s="1689"/>
      <c r="AQ369" s="1689"/>
      <c r="AR369" s="1689"/>
      <c r="AS369" s="1689"/>
      <c r="AT369" s="1689"/>
    </row>
    <row r="370">
      <c r="A370" s="1419"/>
      <c r="B370" s="1699"/>
      <c r="C370" s="1700"/>
      <c r="D370" s="1700"/>
      <c r="E370" s="1691"/>
      <c r="F370" s="1691"/>
      <c r="G370" s="1691"/>
      <c r="H370" s="1691"/>
      <c r="I370" s="1691"/>
      <c r="J370" s="1691"/>
      <c r="K370" s="1691"/>
      <c r="L370" s="1691"/>
      <c r="M370" s="1691"/>
      <c r="N370" s="1691"/>
      <c r="O370" s="1691"/>
      <c r="P370" s="1691"/>
      <c r="Q370" s="1691"/>
      <c r="R370" s="1691"/>
      <c r="S370" s="1691"/>
      <c r="T370" s="1691"/>
      <c r="U370" s="1691"/>
      <c r="V370" s="1691"/>
      <c r="W370" s="1691"/>
      <c r="X370" s="1691"/>
      <c r="Y370" s="1691"/>
      <c r="Z370" s="1691"/>
      <c r="AA370" s="1691"/>
      <c r="AB370" s="1691"/>
      <c r="AC370" s="1691"/>
      <c r="AD370" s="1691"/>
      <c r="AE370" s="1691"/>
      <c r="AF370" s="1691"/>
      <c r="AG370" s="1691"/>
      <c r="AH370" s="1691"/>
      <c r="AI370" s="1691"/>
      <c r="AJ370" s="1691"/>
      <c r="AK370" s="1691"/>
      <c r="AL370" s="1691"/>
      <c r="AM370" s="1691"/>
      <c r="AN370" s="1691"/>
      <c r="AO370" s="1691"/>
      <c r="AP370" s="1691"/>
      <c r="AQ370" s="1691"/>
      <c r="AR370" s="1691"/>
      <c r="AS370" s="1691"/>
      <c r="AT370" s="1691"/>
    </row>
    <row r="371">
      <c r="A371" s="1419"/>
      <c r="B371" s="1697"/>
      <c r="C371" s="1698"/>
      <c r="D371" s="1698"/>
      <c r="E371" s="1689"/>
      <c r="F371" s="1689"/>
      <c r="G371" s="1689"/>
      <c r="H371" s="1689"/>
      <c r="I371" s="1689"/>
      <c r="J371" s="1689"/>
      <c r="K371" s="1689"/>
      <c r="L371" s="1689"/>
      <c r="M371" s="1689"/>
      <c r="N371" s="1689"/>
      <c r="O371" s="1689"/>
      <c r="P371" s="1689"/>
      <c r="Q371" s="1689"/>
      <c r="R371" s="1689"/>
      <c r="S371" s="1689"/>
      <c r="T371" s="1689"/>
      <c r="U371" s="1689"/>
      <c r="V371" s="1689"/>
      <c r="W371" s="1689"/>
      <c r="X371" s="1689"/>
      <c r="Y371" s="1689"/>
      <c r="Z371" s="1689"/>
      <c r="AA371" s="1689"/>
      <c r="AB371" s="1689"/>
      <c r="AC371" s="1689"/>
      <c r="AD371" s="1689"/>
      <c r="AE371" s="1689"/>
      <c r="AF371" s="1689"/>
      <c r="AG371" s="1689"/>
      <c r="AH371" s="1689"/>
      <c r="AI371" s="1689"/>
      <c r="AJ371" s="1689"/>
      <c r="AK371" s="1689"/>
      <c r="AL371" s="1689"/>
      <c r="AM371" s="1689"/>
      <c r="AN371" s="1689"/>
      <c r="AO371" s="1689"/>
      <c r="AP371" s="1689"/>
      <c r="AQ371" s="1689"/>
      <c r="AR371" s="1689"/>
      <c r="AS371" s="1689"/>
      <c r="AT371" s="1689"/>
    </row>
    <row r="372">
      <c r="A372" s="1419"/>
      <c r="B372" s="1699"/>
      <c r="C372" s="1700"/>
      <c r="D372" s="1700"/>
      <c r="E372" s="1691"/>
      <c r="F372" s="1691"/>
      <c r="G372" s="1691"/>
      <c r="H372" s="1691"/>
      <c r="I372" s="1691"/>
      <c r="J372" s="1691"/>
      <c r="K372" s="1691"/>
      <c r="L372" s="1691"/>
      <c r="M372" s="1691"/>
      <c r="N372" s="1691"/>
      <c r="O372" s="1691"/>
      <c r="P372" s="1691"/>
      <c r="Q372" s="1691"/>
      <c r="R372" s="1691"/>
      <c r="S372" s="1691"/>
      <c r="T372" s="1691"/>
      <c r="U372" s="1691"/>
      <c r="V372" s="1691"/>
      <c r="W372" s="1691"/>
      <c r="X372" s="1691"/>
      <c r="Y372" s="1691"/>
      <c r="Z372" s="1691"/>
      <c r="AA372" s="1691"/>
      <c r="AB372" s="1691"/>
      <c r="AC372" s="1691"/>
      <c r="AD372" s="1691"/>
      <c r="AE372" s="1691"/>
      <c r="AF372" s="1691"/>
      <c r="AG372" s="1691"/>
      <c r="AH372" s="1691"/>
      <c r="AI372" s="1691"/>
      <c r="AJ372" s="1691"/>
      <c r="AK372" s="1691"/>
      <c r="AL372" s="1691"/>
      <c r="AM372" s="1691"/>
      <c r="AN372" s="1691"/>
      <c r="AO372" s="1691"/>
      <c r="AP372" s="1691"/>
      <c r="AQ372" s="1691"/>
      <c r="AR372" s="1691"/>
      <c r="AS372" s="1691"/>
      <c r="AT372" s="1691"/>
    </row>
    <row r="373">
      <c r="A373" s="1419"/>
      <c r="B373" s="1697"/>
      <c r="C373" s="1698"/>
      <c r="D373" s="1698"/>
      <c r="E373" s="1689"/>
      <c r="F373" s="1689"/>
      <c r="G373" s="1689"/>
      <c r="H373" s="1689"/>
      <c r="I373" s="1689"/>
      <c r="J373" s="1689"/>
      <c r="K373" s="1689"/>
      <c r="L373" s="1689"/>
      <c r="M373" s="1689"/>
      <c r="N373" s="1689"/>
      <c r="O373" s="1689"/>
      <c r="P373" s="1689"/>
      <c r="Q373" s="1689"/>
      <c r="R373" s="1689"/>
      <c r="S373" s="1689"/>
      <c r="T373" s="1689"/>
      <c r="U373" s="1689"/>
      <c r="V373" s="1689"/>
      <c r="W373" s="1689"/>
      <c r="X373" s="1689"/>
      <c r="Y373" s="1689"/>
      <c r="Z373" s="1689"/>
      <c r="AA373" s="1689"/>
      <c r="AB373" s="1689"/>
      <c r="AC373" s="1689"/>
      <c r="AD373" s="1689"/>
      <c r="AE373" s="1689"/>
      <c r="AF373" s="1689"/>
      <c r="AG373" s="1689"/>
      <c r="AH373" s="1689"/>
      <c r="AI373" s="1689"/>
      <c r="AJ373" s="1689"/>
      <c r="AK373" s="1689"/>
      <c r="AL373" s="1689"/>
      <c r="AM373" s="1689"/>
      <c r="AN373" s="1689"/>
      <c r="AO373" s="1689"/>
      <c r="AP373" s="1689"/>
      <c r="AQ373" s="1689"/>
      <c r="AR373" s="1689"/>
      <c r="AS373" s="1689"/>
      <c r="AT373" s="1689"/>
    </row>
    <row r="374">
      <c r="A374" s="1419"/>
      <c r="B374" s="1699"/>
      <c r="C374" s="1700"/>
      <c r="D374" s="1700"/>
      <c r="E374" s="1691"/>
      <c r="F374" s="1691"/>
      <c r="G374" s="1691"/>
      <c r="H374" s="1691"/>
      <c r="I374" s="1691"/>
      <c r="J374" s="1691"/>
      <c r="K374" s="1691"/>
      <c r="L374" s="1691"/>
      <c r="M374" s="1691"/>
      <c r="N374" s="1691"/>
      <c r="O374" s="1691"/>
      <c r="P374" s="1691"/>
      <c r="Q374" s="1691"/>
      <c r="R374" s="1691"/>
      <c r="S374" s="1691"/>
      <c r="T374" s="1691"/>
      <c r="U374" s="1691"/>
      <c r="V374" s="1691"/>
      <c r="W374" s="1691"/>
      <c r="X374" s="1691"/>
      <c r="Y374" s="1691"/>
      <c r="Z374" s="1691"/>
      <c r="AA374" s="1691"/>
      <c r="AB374" s="1691"/>
      <c r="AC374" s="1691"/>
      <c r="AD374" s="1691"/>
      <c r="AE374" s="1691"/>
      <c r="AF374" s="1691"/>
      <c r="AG374" s="1691"/>
      <c r="AH374" s="1691"/>
      <c r="AI374" s="1691"/>
      <c r="AJ374" s="1691"/>
      <c r="AK374" s="1691"/>
      <c r="AL374" s="1691"/>
      <c r="AM374" s="1691"/>
      <c r="AN374" s="1691"/>
      <c r="AO374" s="1691"/>
      <c r="AP374" s="1691"/>
      <c r="AQ374" s="1691"/>
      <c r="AR374" s="1691"/>
      <c r="AS374" s="1691"/>
      <c r="AT374" s="1691"/>
    </row>
    <row r="375">
      <c r="A375" s="1419"/>
      <c r="B375" s="1697"/>
      <c r="C375" s="1698"/>
      <c r="D375" s="1698"/>
      <c r="E375" s="1689"/>
      <c r="F375" s="1689"/>
      <c r="G375" s="1689"/>
      <c r="H375" s="1689"/>
      <c r="I375" s="1689"/>
      <c r="J375" s="1689"/>
      <c r="K375" s="1689"/>
      <c r="L375" s="1689"/>
      <c r="M375" s="1689"/>
      <c r="N375" s="1689"/>
      <c r="O375" s="1689"/>
      <c r="P375" s="1689"/>
      <c r="Q375" s="1689"/>
      <c r="R375" s="1689"/>
      <c r="S375" s="1689"/>
      <c r="T375" s="1689"/>
      <c r="U375" s="1689"/>
      <c r="V375" s="1689"/>
      <c r="W375" s="1689"/>
      <c r="X375" s="1689"/>
      <c r="Y375" s="1689"/>
      <c r="Z375" s="1689"/>
      <c r="AA375" s="1689"/>
      <c r="AB375" s="1689"/>
      <c r="AC375" s="1689"/>
      <c r="AD375" s="1689"/>
      <c r="AE375" s="1689"/>
      <c r="AF375" s="1689"/>
      <c r="AG375" s="1689"/>
      <c r="AH375" s="1689"/>
      <c r="AI375" s="1689"/>
      <c r="AJ375" s="1689"/>
      <c r="AK375" s="1689"/>
      <c r="AL375" s="1689"/>
      <c r="AM375" s="1689"/>
      <c r="AN375" s="1689"/>
      <c r="AO375" s="1689"/>
      <c r="AP375" s="1689"/>
      <c r="AQ375" s="1689"/>
      <c r="AR375" s="1689"/>
      <c r="AS375" s="1689"/>
      <c r="AT375" s="1689"/>
    </row>
    <row r="376">
      <c r="A376" s="1419"/>
      <c r="B376" s="1699"/>
      <c r="C376" s="1700"/>
      <c r="D376" s="1700"/>
      <c r="E376" s="1691"/>
      <c r="F376" s="1691"/>
      <c r="G376" s="1691"/>
      <c r="H376" s="1691"/>
      <c r="I376" s="1691"/>
      <c r="J376" s="1691"/>
      <c r="K376" s="1691"/>
      <c r="L376" s="1691"/>
      <c r="M376" s="1691"/>
      <c r="N376" s="1691"/>
      <c r="O376" s="1691"/>
      <c r="P376" s="1691"/>
      <c r="Q376" s="1691"/>
      <c r="R376" s="1691"/>
      <c r="S376" s="1691"/>
      <c r="T376" s="1691"/>
      <c r="U376" s="1691"/>
      <c r="V376" s="1691"/>
      <c r="W376" s="1691"/>
      <c r="X376" s="1691"/>
      <c r="Y376" s="1691"/>
      <c r="Z376" s="1691"/>
      <c r="AA376" s="1691"/>
      <c r="AB376" s="1691"/>
      <c r="AC376" s="1691"/>
      <c r="AD376" s="1691"/>
      <c r="AE376" s="1691"/>
      <c r="AF376" s="1691"/>
      <c r="AG376" s="1691"/>
      <c r="AH376" s="1691"/>
      <c r="AI376" s="1691"/>
      <c r="AJ376" s="1691"/>
      <c r="AK376" s="1691"/>
      <c r="AL376" s="1691"/>
      <c r="AM376" s="1691"/>
      <c r="AN376" s="1691"/>
      <c r="AO376" s="1691"/>
      <c r="AP376" s="1691"/>
      <c r="AQ376" s="1691"/>
      <c r="AR376" s="1691"/>
      <c r="AS376" s="1691"/>
      <c r="AT376" s="1691"/>
    </row>
    <row r="377">
      <c r="A377" s="1419"/>
      <c r="B377" s="1697"/>
      <c r="C377" s="1698"/>
      <c r="D377" s="1698"/>
      <c r="E377" s="1689"/>
      <c r="F377" s="1689"/>
      <c r="G377" s="1689"/>
      <c r="H377" s="1689"/>
      <c r="I377" s="1689"/>
      <c r="J377" s="1689"/>
      <c r="K377" s="1689"/>
      <c r="L377" s="1689"/>
      <c r="M377" s="1689"/>
      <c r="N377" s="1689"/>
      <c r="O377" s="1689"/>
      <c r="P377" s="1689"/>
      <c r="Q377" s="1689"/>
      <c r="R377" s="1689"/>
      <c r="S377" s="1689"/>
      <c r="T377" s="1689"/>
      <c r="U377" s="1689"/>
      <c r="V377" s="1689"/>
      <c r="W377" s="1689"/>
      <c r="X377" s="1689"/>
      <c r="Y377" s="1689"/>
      <c r="Z377" s="1689"/>
      <c r="AA377" s="1689"/>
      <c r="AB377" s="1689"/>
      <c r="AC377" s="1689"/>
      <c r="AD377" s="1689"/>
      <c r="AE377" s="1689"/>
      <c r="AF377" s="1689"/>
      <c r="AG377" s="1689"/>
      <c r="AH377" s="1689"/>
      <c r="AI377" s="1689"/>
      <c r="AJ377" s="1689"/>
      <c r="AK377" s="1689"/>
      <c r="AL377" s="1689"/>
      <c r="AM377" s="1689"/>
      <c r="AN377" s="1689"/>
      <c r="AO377" s="1689"/>
      <c r="AP377" s="1689"/>
      <c r="AQ377" s="1689"/>
      <c r="AR377" s="1689"/>
      <c r="AS377" s="1689"/>
      <c r="AT377" s="1689"/>
    </row>
    <row r="378">
      <c r="A378" s="1419"/>
      <c r="B378" s="1699"/>
      <c r="C378" s="1700"/>
      <c r="D378" s="1700"/>
      <c r="E378" s="1691"/>
      <c r="F378" s="1691"/>
      <c r="G378" s="1691"/>
      <c r="H378" s="1691"/>
      <c r="I378" s="1691"/>
      <c r="J378" s="1691"/>
      <c r="K378" s="1691"/>
      <c r="L378" s="1691"/>
      <c r="M378" s="1691"/>
      <c r="N378" s="1691"/>
      <c r="O378" s="1691"/>
      <c r="P378" s="1691"/>
      <c r="Q378" s="1691"/>
      <c r="R378" s="1691"/>
      <c r="S378" s="1691"/>
      <c r="T378" s="1691"/>
      <c r="U378" s="1691"/>
      <c r="V378" s="1691"/>
      <c r="W378" s="1691"/>
      <c r="X378" s="1691"/>
      <c r="Y378" s="1691"/>
      <c r="Z378" s="1691"/>
      <c r="AA378" s="1691"/>
      <c r="AB378" s="1691"/>
      <c r="AC378" s="1691"/>
      <c r="AD378" s="1691"/>
      <c r="AE378" s="1691"/>
      <c r="AF378" s="1691"/>
      <c r="AG378" s="1691"/>
      <c r="AH378" s="1691"/>
      <c r="AI378" s="1691"/>
      <c r="AJ378" s="1691"/>
      <c r="AK378" s="1691"/>
      <c r="AL378" s="1691"/>
      <c r="AM378" s="1691"/>
      <c r="AN378" s="1691"/>
      <c r="AO378" s="1691"/>
      <c r="AP378" s="1691"/>
      <c r="AQ378" s="1691"/>
      <c r="AR378" s="1691"/>
      <c r="AS378" s="1691"/>
      <c r="AT378" s="1691"/>
    </row>
    <row r="379">
      <c r="A379" s="1419"/>
      <c r="B379" s="1697"/>
      <c r="C379" s="1698"/>
      <c r="D379" s="1698"/>
      <c r="E379" s="1689"/>
      <c r="F379" s="1689"/>
      <c r="G379" s="1689"/>
      <c r="H379" s="1689"/>
      <c r="I379" s="1689"/>
      <c r="J379" s="1689"/>
      <c r="K379" s="1689"/>
      <c r="L379" s="1689"/>
      <c r="M379" s="1689"/>
      <c r="N379" s="1689"/>
      <c r="O379" s="1689"/>
      <c r="P379" s="1689"/>
      <c r="Q379" s="1689"/>
      <c r="R379" s="1689"/>
      <c r="S379" s="1689"/>
      <c r="T379" s="1689"/>
      <c r="U379" s="1689"/>
      <c r="V379" s="1689"/>
      <c r="W379" s="1689"/>
      <c r="X379" s="1689"/>
      <c r="Y379" s="1689"/>
      <c r="Z379" s="1689"/>
      <c r="AA379" s="1689"/>
      <c r="AB379" s="1689"/>
      <c r="AC379" s="1689"/>
      <c r="AD379" s="1689"/>
      <c r="AE379" s="1689"/>
      <c r="AF379" s="1689"/>
      <c r="AG379" s="1689"/>
      <c r="AH379" s="1689"/>
      <c r="AI379" s="1689"/>
      <c r="AJ379" s="1689"/>
      <c r="AK379" s="1689"/>
      <c r="AL379" s="1689"/>
      <c r="AM379" s="1689"/>
      <c r="AN379" s="1689"/>
      <c r="AO379" s="1689"/>
      <c r="AP379" s="1689"/>
      <c r="AQ379" s="1689"/>
      <c r="AR379" s="1689"/>
      <c r="AS379" s="1689"/>
      <c r="AT379" s="1689"/>
    </row>
    <row r="380">
      <c r="A380" s="1419"/>
      <c r="B380" s="1699"/>
      <c r="C380" s="1700"/>
      <c r="D380" s="1700"/>
      <c r="E380" s="1691"/>
      <c r="F380" s="1691"/>
      <c r="G380" s="1691"/>
      <c r="H380" s="1691"/>
      <c r="I380" s="1691"/>
      <c r="J380" s="1691"/>
      <c r="K380" s="1691"/>
      <c r="L380" s="1691"/>
      <c r="M380" s="1691"/>
      <c r="N380" s="1691"/>
      <c r="O380" s="1691"/>
      <c r="P380" s="1691"/>
      <c r="Q380" s="1691"/>
      <c r="R380" s="1691"/>
      <c r="S380" s="1691"/>
      <c r="T380" s="1691"/>
      <c r="U380" s="1691"/>
      <c r="V380" s="1691"/>
      <c r="W380" s="1691"/>
      <c r="X380" s="1691"/>
      <c r="Y380" s="1691"/>
      <c r="Z380" s="1691"/>
      <c r="AA380" s="1691"/>
      <c r="AB380" s="1691"/>
      <c r="AC380" s="1691"/>
      <c r="AD380" s="1691"/>
      <c r="AE380" s="1691"/>
      <c r="AF380" s="1691"/>
      <c r="AG380" s="1691"/>
      <c r="AH380" s="1691"/>
      <c r="AI380" s="1691"/>
      <c r="AJ380" s="1691"/>
      <c r="AK380" s="1691"/>
      <c r="AL380" s="1691"/>
      <c r="AM380" s="1691"/>
      <c r="AN380" s="1691"/>
      <c r="AO380" s="1691"/>
      <c r="AP380" s="1691"/>
      <c r="AQ380" s="1691"/>
      <c r="AR380" s="1691"/>
      <c r="AS380" s="1691"/>
      <c r="AT380" s="1691"/>
    </row>
    <row r="381">
      <c r="A381" s="1419"/>
      <c r="B381" s="1697"/>
      <c r="C381" s="1698"/>
      <c r="D381" s="1698"/>
      <c r="E381" s="1689"/>
      <c r="F381" s="1689"/>
      <c r="G381" s="1689"/>
      <c r="H381" s="1689"/>
      <c r="I381" s="1689"/>
      <c r="J381" s="1689"/>
      <c r="K381" s="1689"/>
      <c r="L381" s="1689"/>
      <c r="M381" s="1689"/>
      <c r="N381" s="1689"/>
      <c r="O381" s="1689"/>
      <c r="P381" s="1689"/>
      <c r="Q381" s="1689"/>
      <c r="R381" s="1689"/>
      <c r="S381" s="1689"/>
      <c r="T381" s="1689"/>
      <c r="U381" s="1689"/>
      <c r="V381" s="1689"/>
      <c r="W381" s="1689"/>
      <c r="X381" s="1689"/>
      <c r="Y381" s="1689"/>
      <c r="Z381" s="1689"/>
      <c r="AA381" s="1689"/>
      <c r="AB381" s="1689"/>
      <c r="AC381" s="1689"/>
      <c r="AD381" s="1689"/>
      <c r="AE381" s="1689"/>
      <c r="AF381" s="1689"/>
      <c r="AG381" s="1689"/>
      <c r="AH381" s="1689"/>
      <c r="AI381" s="1689"/>
      <c r="AJ381" s="1689"/>
      <c r="AK381" s="1689"/>
      <c r="AL381" s="1689"/>
      <c r="AM381" s="1689"/>
      <c r="AN381" s="1689"/>
      <c r="AO381" s="1689"/>
      <c r="AP381" s="1689"/>
      <c r="AQ381" s="1689"/>
      <c r="AR381" s="1689"/>
      <c r="AS381" s="1689"/>
      <c r="AT381" s="1689"/>
    </row>
    <row r="382">
      <c r="A382" s="1419"/>
      <c r="B382" s="1699"/>
      <c r="C382" s="1700"/>
      <c r="D382" s="1700"/>
      <c r="E382" s="1691"/>
      <c r="F382" s="1691"/>
      <c r="G382" s="1691"/>
      <c r="H382" s="1691"/>
      <c r="I382" s="1691"/>
      <c r="J382" s="1691"/>
      <c r="K382" s="1691"/>
      <c r="L382" s="1691"/>
      <c r="M382" s="1691"/>
      <c r="N382" s="1691"/>
      <c r="O382" s="1691"/>
      <c r="P382" s="1691"/>
      <c r="Q382" s="1691"/>
      <c r="R382" s="1691"/>
      <c r="S382" s="1691"/>
      <c r="T382" s="1691"/>
      <c r="U382" s="1691"/>
      <c r="V382" s="1691"/>
      <c r="W382" s="1691"/>
      <c r="X382" s="1691"/>
      <c r="Y382" s="1691"/>
      <c r="Z382" s="1691"/>
      <c r="AA382" s="1691"/>
      <c r="AB382" s="1691"/>
      <c r="AC382" s="1691"/>
      <c r="AD382" s="1691"/>
      <c r="AE382" s="1691"/>
      <c r="AF382" s="1691"/>
      <c r="AG382" s="1691"/>
      <c r="AH382" s="1691"/>
      <c r="AI382" s="1691"/>
      <c r="AJ382" s="1691"/>
      <c r="AK382" s="1691"/>
      <c r="AL382" s="1691"/>
      <c r="AM382" s="1691"/>
      <c r="AN382" s="1691"/>
      <c r="AO382" s="1691"/>
      <c r="AP382" s="1691"/>
      <c r="AQ382" s="1691"/>
      <c r="AR382" s="1691"/>
      <c r="AS382" s="1691"/>
      <c r="AT382" s="1691"/>
    </row>
    <row r="383">
      <c r="A383" s="1419"/>
      <c r="B383" s="1697"/>
      <c r="C383" s="1698"/>
      <c r="D383" s="1698"/>
      <c r="E383" s="1689"/>
      <c r="F383" s="1689"/>
      <c r="G383" s="1689"/>
      <c r="H383" s="1689"/>
      <c r="I383" s="1689"/>
      <c r="J383" s="1689"/>
      <c r="K383" s="1689"/>
      <c r="L383" s="1689"/>
      <c r="M383" s="1689"/>
      <c r="N383" s="1689"/>
      <c r="O383" s="1689"/>
      <c r="P383" s="1689"/>
      <c r="Q383" s="1689"/>
      <c r="R383" s="1689"/>
      <c r="S383" s="1689"/>
      <c r="T383" s="1689"/>
      <c r="U383" s="1689"/>
      <c r="V383" s="1689"/>
      <c r="W383" s="1689"/>
      <c r="X383" s="1689"/>
      <c r="Y383" s="1689"/>
      <c r="Z383" s="1689"/>
      <c r="AA383" s="1689"/>
      <c r="AB383" s="1689"/>
      <c r="AC383" s="1689"/>
      <c r="AD383" s="1689"/>
      <c r="AE383" s="1689"/>
      <c r="AF383" s="1689"/>
      <c r="AG383" s="1689"/>
      <c r="AH383" s="1689"/>
      <c r="AI383" s="1689"/>
      <c r="AJ383" s="1689"/>
      <c r="AK383" s="1689"/>
      <c r="AL383" s="1689"/>
      <c r="AM383" s="1689"/>
      <c r="AN383" s="1689"/>
      <c r="AO383" s="1689"/>
      <c r="AP383" s="1689"/>
      <c r="AQ383" s="1689"/>
      <c r="AR383" s="1689"/>
      <c r="AS383" s="1689"/>
      <c r="AT383" s="1689"/>
    </row>
    <row r="384">
      <c r="A384" s="1419"/>
      <c r="B384" s="1699"/>
      <c r="C384" s="1700"/>
      <c r="D384" s="1700"/>
      <c r="E384" s="1691"/>
      <c r="F384" s="1691"/>
      <c r="G384" s="1691"/>
      <c r="H384" s="1691"/>
      <c r="I384" s="1691"/>
      <c r="J384" s="1691"/>
      <c r="K384" s="1691"/>
      <c r="L384" s="1691"/>
      <c r="M384" s="1691"/>
      <c r="N384" s="1691"/>
      <c r="O384" s="1691"/>
      <c r="P384" s="1691"/>
      <c r="Q384" s="1691"/>
      <c r="R384" s="1691"/>
      <c r="S384" s="1691"/>
      <c r="T384" s="1691"/>
      <c r="U384" s="1691"/>
      <c r="V384" s="1691"/>
      <c r="W384" s="1691"/>
      <c r="X384" s="1691"/>
      <c r="Y384" s="1691"/>
      <c r="Z384" s="1691"/>
      <c r="AA384" s="1691"/>
      <c r="AB384" s="1691"/>
      <c r="AC384" s="1691"/>
      <c r="AD384" s="1691"/>
      <c r="AE384" s="1691"/>
      <c r="AF384" s="1691"/>
      <c r="AG384" s="1691"/>
      <c r="AH384" s="1691"/>
      <c r="AI384" s="1691"/>
      <c r="AJ384" s="1691"/>
      <c r="AK384" s="1691"/>
      <c r="AL384" s="1691"/>
      <c r="AM384" s="1691"/>
      <c r="AN384" s="1691"/>
      <c r="AO384" s="1691"/>
      <c r="AP384" s="1691"/>
      <c r="AQ384" s="1691"/>
      <c r="AR384" s="1691"/>
      <c r="AS384" s="1691"/>
      <c r="AT384" s="1691"/>
    </row>
    <row r="385">
      <c r="A385" s="1419"/>
      <c r="B385" s="1697"/>
      <c r="C385" s="1698"/>
      <c r="D385" s="1698"/>
      <c r="E385" s="1689"/>
      <c r="F385" s="1689"/>
      <c r="G385" s="1689"/>
      <c r="H385" s="1689"/>
      <c r="I385" s="1689"/>
      <c r="J385" s="1689"/>
      <c r="K385" s="1689"/>
      <c r="L385" s="1689"/>
      <c r="M385" s="1689"/>
      <c r="N385" s="1689"/>
      <c r="O385" s="1689"/>
      <c r="P385" s="1689"/>
      <c r="Q385" s="1689"/>
      <c r="R385" s="1689"/>
      <c r="S385" s="1689"/>
      <c r="T385" s="1689"/>
      <c r="U385" s="1689"/>
      <c r="V385" s="1689"/>
      <c r="W385" s="1689"/>
      <c r="X385" s="1689"/>
      <c r="Y385" s="1689"/>
      <c r="Z385" s="1689"/>
      <c r="AA385" s="1689"/>
      <c r="AB385" s="1689"/>
      <c r="AC385" s="1689"/>
      <c r="AD385" s="1689"/>
      <c r="AE385" s="1689"/>
      <c r="AF385" s="1689"/>
      <c r="AG385" s="1689"/>
      <c r="AH385" s="1689"/>
      <c r="AI385" s="1689"/>
      <c r="AJ385" s="1689"/>
      <c r="AK385" s="1689"/>
      <c r="AL385" s="1689"/>
      <c r="AM385" s="1689"/>
      <c r="AN385" s="1689"/>
      <c r="AO385" s="1689"/>
      <c r="AP385" s="1689"/>
      <c r="AQ385" s="1689"/>
      <c r="AR385" s="1689"/>
      <c r="AS385" s="1689"/>
      <c r="AT385" s="1689"/>
    </row>
    <row r="386">
      <c r="A386" s="1419"/>
      <c r="B386" s="1699"/>
      <c r="C386" s="1700"/>
      <c r="D386" s="1700"/>
      <c r="E386" s="1691"/>
      <c r="F386" s="1691"/>
      <c r="G386" s="1691"/>
      <c r="H386" s="1691"/>
      <c r="I386" s="1691"/>
      <c r="J386" s="1691"/>
      <c r="K386" s="1691"/>
      <c r="L386" s="1691"/>
      <c r="M386" s="1691"/>
      <c r="N386" s="1691"/>
      <c r="O386" s="1691"/>
      <c r="P386" s="1691"/>
      <c r="Q386" s="1691"/>
      <c r="R386" s="1691"/>
      <c r="S386" s="1691"/>
      <c r="T386" s="1691"/>
      <c r="U386" s="1691"/>
      <c r="V386" s="1691"/>
      <c r="W386" s="1691"/>
      <c r="X386" s="1691"/>
      <c r="Y386" s="1691"/>
      <c r="Z386" s="1691"/>
      <c r="AA386" s="1691"/>
      <c r="AB386" s="1691"/>
      <c r="AC386" s="1691"/>
      <c r="AD386" s="1691"/>
      <c r="AE386" s="1691"/>
      <c r="AF386" s="1691"/>
      <c r="AG386" s="1691"/>
      <c r="AH386" s="1691"/>
      <c r="AI386" s="1691"/>
      <c r="AJ386" s="1691"/>
      <c r="AK386" s="1691"/>
      <c r="AL386" s="1691"/>
      <c r="AM386" s="1691"/>
      <c r="AN386" s="1691"/>
      <c r="AO386" s="1691"/>
      <c r="AP386" s="1691"/>
      <c r="AQ386" s="1691"/>
      <c r="AR386" s="1691"/>
      <c r="AS386" s="1691"/>
      <c r="AT386" s="1691"/>
    </row>
    <row r="387">
      <c r="A387" s="1419"/>
      <c r="B387" s="1697"/>
      <c r="C387" s="1698"/>
      <c r="D387" s="1698"/>
      <c r="E387" s="1689"/>
      <c r="F387" s="1689"/>
      <c r="G387" s="1689"/>
      <c r="H387" s="1689"/>
      <c r="I387" s="1689"/>
      <c r="J387" s="1689"/>
      <c r="K387" s="1689"/>
      <c r="L387" s="1689"/>
      <c r="M387" s="1689"/>
      <c r="N387" s="1689"/>
      <c r="O387" s="1689"/>
      <c r="P387" s="1689"/>
      <c r="Q387" s="1689"/>
      <c r="R387" s="1689"/>
      <c r="S387" s="1689"/>
      <c r="T387" s="1689"/>
      <c r="U387" s="1689"/>
      <c r="V387" s="1689"/>
      <c r="W387" s="1689"/>
      <c r="X387" s="1689"/>
      <c r="Y387" s="1689"/>
      <c r="Z387" s="1689"/>
      <c r="AA387" s="1689"/>
      <c r="AB387" s="1689"/>
      <c r="AC387" s="1689"/>
      <c r="AD387" s="1689"/>
      <c r="AE387" s="1689"/>
      <c r="AF387" s="1689"/>
      <c r="AG387" s="1689"/>
      <c r="AH387" s="1689"/>
      <c r="AI387" s="1689"/>
      <c r="AJ387" s="1689"/>
      <c r="AK387" s="1689"/>
      <c r="AL387" s="1689"/>
      <c r="AM387" s="1689"/>
      <c r="AN387" s="1689"/>
      <c r="AO387" s="1689"/>
      <c r="AP387" s="1689"/>
      <c r="AQ387" s="1689"/>
      <c r="AR387" s="1689"/>
      <c r="AS387" s="1689"/>
      <c r="AT387" s="1689"/>
    </row>
    <row r="388">
      <c r="A388" s="1419"/>
      <c r="B388" s="1699"/>
      <c r="C388" s="1700"/>
      <c r="D388" s="1700"/>
      <c r="E388" s="1691"/>
      <c r="F388" s="1691"/>
      <c r="G388" s="1691"/>
      <c r="H388" s="1691"/>
      <c r="I388" s="1691"/>
      <c r="J388" s="1691"/>
      <c r="K388" s="1691"/>
      <c r="L388" s="1691"/>
      <c r="M388" s="1691"/>
      <c r="N388" s="1691"/>
      <c r="O388" s="1691"/>
      <c r="P388" s="1691"/>
      <c r="Q388" s="1691"/>
      <c r="R388" s="1691"/>
      <c r="S388" s="1691"/>
      <c r="T388" s="1691"/>
      <c r="U388" s="1691"/>
      <c r="V388" s="1691"/>
      <c r="W388" s="1691"/>
      <c r="X388" s="1691"/>
      <c r="Y388" s="1691"/>
      <c r="Z388" s="1691"/>
      <c r="AA388" s="1691"/>
      <c r="AB388" s="1691"/>
      <c r="AC388" s="1691"/>
      <c r="AD388" s="1691"/>
      <c r="AE388" s="1691"/>
      <c r="AF388" s="1691"/>
      <c r="AG388" s="1691"/>
      <c r="AH388" s="1691"/>
      <c r="AI388" s="1691"/>
      <c r="AJ388" s="1691"/>
      <c r="AK388" s="1691"/>
      <c r="AL388" s="1691"/>
      <c r="AM388" s="1691"/>
      <c r="AN388" s="1691"/>
      <c r="AO388" s="1691"/>
      <c r="AP388" s="1691"/>
      <c r="AQ388" s="1691"/>
      <c r="AR388" s="1691"/>
      <c r="AS388" s="1691"/>
      <c r="AT388" s="1691"/>
    </row>
    <row r="389">
      <c r="A389" s="1419"/>
      <c r="B389" s="1697"/>
      <c r="C389" s="1698"/>
      <c r="D389" s="1698"/>
      <c r="E389" s="1689"/>
      <c r="F389" s="1689"/>
      <c r="G389" s="1689"/>
      <c r="H389" s="1689"/>
      <c r="I389" s="1689"/>
      <c r="J389" s="1689"/>
      <c r="K389" s="1689"/>
      <c r="L389" s="1689"/>
      <c r="M389" s="1689"/>
      <c r="N389" s="1689"/>
      <c r="O389" s="1689"/>
      <c r="P389" s="1689"/>
      <c r="Q389" s="1689"/>
      <c r="R389" s="1689"/>
      <c r="S389" s="1689"/>
      <c r="T389" s="1689"/>
      <c r="U389" s="1689"/>
      <c r="V389" s="1689"/>
      <c r="W389" s="1689"/>
      <c r="X389" s="1689"/>
      <c r="Y389" s="1689"/>
      <c r="Z389" s="1689"/>
      <c r="AA389" s="1689"/>
      <c r="AB389" s="1689"/>
      <c r="AC389" s="1689"/>
      <c r="AD389" s="1689"/>
      <c r="AE389" s="1689"/>
      <c r="AF389" s="1689"/>
      <c r="AG389" s="1689"/>
      <c r="AH389" s="1689"/>
      <c r="AI389" s="1689"/>
      <c r="AJ389" s="1689"/>
      <c r="AK389" s="1689"/>
      <c r="AL389" s="1689"/>
      <c r="AM389" s="1689"/>
      <c r="AN389" s="1689"/>
      <c r="AO389" s="1689"/>
      <c r="AP389" s="1689"/>
      <c r="AQ389" s="1689"/>
      <c r="AR389" s="1689"/>
      <c r="AS389" s="1689"/>
      <c r="AT389" s="1689"/>
    </row>
    <row r="390">
      <c r="A390" s="1419"/>
      <c r="B390" s="1699"/>
      <c r="C390" s="1700"/>
      <c r="D390" s="1700"/>
      <c r="E390" s="1691"/>
      <c r="F390" s="1691"/>
      <c r="G390" s="1691"/>
      <c r="H390" s="1691"/>
      <c r="I390" s="1691"/>
      <c r="J390" s="1691"/>
      <c r="K390" s="1691"/>
      <c r="L390" s="1691"/>
      <c r="M390" s="1691"/>
      <c r="N390" s="1691"/>
      <c r="O390" s="1691"/>
      <c r="P390" s="1691"/>
      <c r="Q390" s="1691"/>
      <c r="R390" s="1691"/>
      <c r="S390" s="1691"/>
      <c r="T390" s="1691"/>
      <c r="U390" s="1691"/>
      <c r="V390" s="1691"/>
      <c r="W390" s="1691"/>
      <c r="X390" s="1691"/>
      <c r="Y390" s="1691"/>
      <c r="Z390" s="1691"/>
      <c r="AA390" s="1691"/>
      <c r="AB390" s="1691"/>
      <c r="AC390" s="1691"/>
      <c r="AD390" s="1691"/>
      <c r="AE390" s="1691"/>
      <c r="AF390" s="1691"/>
      <c r="AG390" s="1691"/>
      <c r="AH390" s="1691"/>
      <c r="AI390" s="1691"/>
      <c r="AJ390" s="1691"/>
      <c r="AK390" s="1691"/>
      <c r="AL390" s="1691"/>
      <c r="AM390" s="1691"/>
      <c r="AN390" s="1691"/>
      <c r="AO390" s="1691"/>
      <c r="AP390" s="1691"/>
      <c r="AQ390" s="1691"/>
      <c r="AR390" s="1691"/>
      <c r="AS390" s="1691"/>
      <c r="AT390" s="1691"/>
    </row>
    <row r="391">
      <c r="A391" s="1419"/>
      <c r="B391" s="1697"/>
      <c r="C391" s="1698"/>
      <c r="D391" s="1698"/>
      <c r="E391" s="1689"/>
      <c r="F391" s="1689"/>
      <c r="G391" s="1689"/>
      <c r="H391" s="1689"/>
      <c r="I391" s="1689"/>
      <c r="J391" s="1689"/>
      <c r="K391" s="1689"/>
      <c r="L391" s="1689"/>
      <c r="M391" s="1689"/>
      <c r="N391" s="1689"/>
      <c r="O391" s="1689"/>
      <c r="P391" s="1689"/>
      <c r="Q391" s="1689"/>
      <c r="R391" s="1689"/>
      <c r="S391" s="1689"/>
      <c r="T391" s="1689"/>
      <c r="U391" s="1689"/>
      <c r="V391" s="1689"/>
      <c r="W391" s="1689"/>
      <c r="X391" s="1689"/>
      <c r="Y391" s="1689"/>
      <c r="Z391" s="1689"/>
      <c r="AA391" s="1689"/>
      <c r="AB391" s="1689"/>
      <c r="AC391" s="1689"/>
      <c r="AD391" s="1689"/>
      <c r="AE391" s="1689"/>
      <c r="AF391" s="1689"/>
      <c r="AG391" s="1689"/>
      <c r="AH391" s="1689"/>
      <c r="AI391" s="1689"/>
      <c r="AJ391" s="1689"/>
      <c r="AK391" s="1689"/>
      <c r="AL391" s="1689"/>
      <c r="AM391" s="1689"/>
      <c r="AN391" s="1689"/>
      <c r="AO391" s="1689"/>
      <c r="AP391" s="1689"/>
      <c r="AQ391" s="1689"/>
      <c r="AR391" s="1689"/>
      <c r="AS391" s="1689"/>
      <c r="AT391" s="1689"/>
    </row>
    <row r="392">
      <c r="A392" s="1419"/>
      <c r="B392" s="1699"/>
      <c r="C392" s="1700"/>
      <c r="D392" s="1700"/>
      <c r="E392" s="1691"/>
      <c r="F392" s="1691"/>
      <c r="G392" s="1691"/>
      <c r="H392" s="1691"/>
      <c r="I392" s="1691"/>
      <c r="J392" s="1691"/>
      <c r="K392" s="1691"/>
      <c r="L392" s="1691"/>
      <c r="M392" s="1691"/>
      <c r="N392" s="1691"/>
      <c r="O392" s="1691"/>
      <c r="P392" s="1691"/>
      <c r="Q392" s="1691"/>
      <c r="R392" s="1691"/>
      <c r="S392" s="1691"/>
      <c r="T392" s="1691"/>
      <c r="U392" s="1691"/>
      <c r="V392" s="1691"/>
      <c r="W392" s="1691"/>
      <c r="X392" s="1691"/>
      <c r="Y392" s="1691"/>
      <c r="Z392" s="1691"/>
      <c r="AA392" s="1691"/>
      <c r="AB392" s="1691"/>
      <c r="AC392" s="1691"/>
      <c r="AD392" s="1691"/>
      <c r="AE392" s="1691"/>
      <c r="AF392" s="1691"/>
      <c r="AG392" s="1691"/>
      <c r="AH392" s="1691"/>
      <c r="AI392" s="1691"/>
      <c r="AJ392" s="1691"/>
      <c r="AK392" s="1691"/>
      <c r="AL392" s="1691"/>
      <c r="AM392" s="1691"/>
      <c r="AN392" s="1691"/>
      <c r="AO392" s="1691"/>
      <c r="AP392" s="1691"/>
      <c r="AQ392" s="1691"/>
      <c r="AR392" s="1691"/>
      <c r="AS392" s="1691"/>
      <c r="AT392" s="1691"/>
    </row>
    <row r="393">
      <c r="A393" s="1419"/>
      <c r="B393" s="1697"/>
      <c r="C393" s="1698"/>
      <c r="D393" s="1698"/>
      <c r="E393" s="1689"/>
      <c r="F393" s="1689"/>
      <c r="G393" s="1689"/>
      <c r="H393" s="1689"/>
      <c r="I393" s="1689"/>
      <c r="J393" s="1689"/>
      <c r="K393" s="1689"/>
      <c r="L393" s="1689"/>
      <c r="M393" s="1689"/>
      <c r="N393" s="1689"/>
      <c r="O393" s="1689"/>
      <c r="P393" s="1689"/>
      <c r="Q393" s="1689"/>
      <c r="R393" s="1689"/>
      <c r="S393" s="1689"/>
      <c r="T393" s="1689"/>
      <c r="U393" s="1689"/>
      <c r="V393" s="1689"/>
      <c r="W393" s="1689"/>
      <c r="X393" s="1689"/>
      <c r="Y393" s="1689"/>
      <c r="Z393" s="1689"/>
      <c r="AA393" s="1689"/>
      <c r="AB393" s="1689"/>
      <c r="AC393" s="1689"/>
      <c r="AD393" s="1689"/>
      <c r="AE393" s="1689"/>
      <c r="AF393" s="1689"/>
      <c r="AG393" s="1689"/>
      <c r="AH393" s="1689"/>
      <c r="AI393" s="1689"/>
      <c r="AJ393" s="1689"/>
      <c r="AK393" s="1689"/>
      <c r="AL393" s="1689"/>
      <c r="AM393" s="1689"/>
      <c r="AN393" s="1689"/>
      <c r="AO393" s="1689"/>
      <c r="AP393" s="1689"/>
      <c r="AQ393" s="1689"/>
      <c r="AR393" s="1689"/>
      <c r="AS393" s="1689"/>
      <c r="AT393" s="1689"/>
    </row>
    <row r="394">
      <c r="A394" s="1419"/>
      <c r="B394" s="1699"/>
      <c r="C394" s="1700"/>
      <c r="D394" s="1700"/>
      <c r="E394" s="1691"/>
      <c r="F394" s="1691"/>
      <c r="G394" s="1691"/>
      <c r="H394" s="1691"/>
      <c r="I394" s="1691"/>
      <c r="J394" s="1691"/>
      <c r="K394" s="1691"/>
      <c r="L394" s="1691"/>
      <c r="M394" s="1691"/>
      <c r="N394" s="1691"/>
      <c r="O394" s="1691"/>
      <c r="P394" s="1691"/>
      <c r="Q394" s="1691"/>
      <c r="R394" s="1691"/>
      <c r="S394" s="1691"/>
      <c r="T394" s="1691"/>
      <c r="U394" s="1691"/>
      <c r="V394" s="1691"/>
      <c r="W394" s="1691"/>
      <c r="X394" s="1691"/>
      <c r="Y394" s="1691"/>
      <c r="Z394" s="1691"/>
      <c r="AA394" s="1691"/>
      <c r="AB394" s="1691"/>
      <c r="AC394" s="1691"/>
      <c r="AD394" s="1691"/>
      <c r="AE394" s="1691"/>
      <c r="AF394" s="1691"/>
      <c r="AG394" s="1691"/>
      <c r="AH394" s="1691"/>
      <c r="AI394" s="1691"/>
      <c r="AJ394" s="1691"/>
      <c r="AK394" s="1691"/>
      <c r="AL394" s="1691"/>
      <c r="AM394" s="1691"/>
      <c r="AN394" s="1691"/>
      <c r="AO394" s="1691"/>
      <c r="AP394" s="1691"/>
      <c r="AQ394" s="1691"/>
      <c r="AR394" s="1691"/>
      <c r="AS394" s="1691"/>
      <c r="AT394" s="1691"/>
    </row>
    <row r="395">
      <c r="A395" s="1419"/>
      <c r="B395" s="1697"/>
      <c r="C395" s="1698"/>
      <c r="D395" s="1698"/>
      <c r="E395" s="1689"/>
      <c r="F395" s="1689"/>
      <c r="G395" s="1689"/>
      <c r="H395" s="1689"/>
      <c r="I395" s="1689"/>
      <c r="J395" s="1689"/>
      <c r="K395" s="1689"/>
      <c r="L395" s="1689"/>
      <c r="M395" s="1689"/>
      <c r="N395" s="1689"/>
      <c r="O395" s="1689"/>
      <c r="P395" s="1689"/>
      <c r="Q395" s="1689"/>
      <c r="R395" s="1689"/>
      <c r="S395" s="1689"/>
      <c r="T395" s="1689"/>
      <c r="U395" s="1689"/>
      <c r="V395" s="1689"/>
      <c r="W395" s="1689"/>
      <c r="X395" s="1689"/>
      <c r="Y395" s="1689"/>
      <c r="Z395" s="1689"/>
      <c r="AA395" s="1689"/>
      <c r="AB395" s="1689"/>
      <c r="AC395" s="1689"/>
      <c r="AD395" s="1689"/>
      <c r="AE395" s="1689"/>
      <c r="AF395" s="1689"/>
      <c r="AG395" s="1689"/>
      <c r="AH395" s="1689"/>
      <c r="AI395" s="1689"/>
      <c r="AJ395" s="1689"/>
      <c r="AK395" s="1689"/>
      <c r="AL395" s="1689"/>
      <c r="AM395" s="1689"/>
      <c r="AN395" s="1689"/>
      <c r="AO395" s="1689"/>
      <c r="AP395" s="1689"/>
      <c r="AQ395" s="1689"/>
      <c r="AR395" s="1689"/>
      <c r="AS395" s="1689"/>
      <c r="AT395" s="1689"/>
    </row>
    <row r="396">
      <c r="A396" s="1419"/>
      <c r="B396" s="1699"/>
      <c r="C396" s="1700"/>
      <c r="D396" s="1700"/>
      <c r="E396" s="1691"/>
      <c r="F396" s="1691"/>
      <c r="G396" s="1691"/>
      <c r="H396" s="1691"/>
      <c r="I396" s="1691"/>
      <c r="J396" s="1691"/>
      <c r="K396" s="1691"/>
      <c r="L396" s="1691"/>
      <c r="M396" s="1691"/>
      <c r="N396" s="1691"/>
      <c r="O396" s="1691"/>
      <c r="P396" s="1691"/>
      <c r="Q396" s="1691"/>
      <c r="R396" s="1691"/>
      <c r="S396" s="1691"/>
      <c r="T396" s="1691"/>
      <c r="U396" s="1691"/>
      <c r="V396" s="1691"/>
      <c r="W396" s="1691"/>
      <c r="X396" s="1691"/>
      <c r="Y396" s="1691"/>
      <c r="Z396" s="1691"/>
      <c r="AA396" s="1691"/>
      <c r="AB396" s="1691"/>
      <c r="AC396" s="1691"/>
      <c r="AD396" s="1691"/>
      <c r="AE396" s="1691"/>
      <c r="AF396" s="1691"/>
      <c r="AG396" s="1691"/>
      <c r="AH396" s="1691"/>
      <c r="AI396" s="1691"/>
      <c r="AJ396" s="1691"/>
      <c r="AK396" s="1691"/>
      <c r="AL396" s="1691"/>
      <c r="AM396" s="1691"/>
      <c r="AN396" s="1691"/>
      <c r="AO396" s="1691"/>
      <c r="AP396" s="1691"/>
      <c r="AQ396" s="1691"/>
      <c r="AR396" s="1691"/>
      <c r="AS396" s="1691"/>
      <c r="AT396" s="1691"/>
    </row>
    <row r="397">
      <c r="A397" s="1419"/>
      <c r="B397" s="1697"/>
      <c r="C397" s="1698"/>
      <c r="D397" s="1698"/>
      <c r="E397" s="1689"/>
      <c r="F397" s="1689"/>
      <c r="G397" s="1689"/>
      <c r="H397" s="1689"/>
      <c r="I397" s="1689"/>
      <c r="J397" s="1689"/>
      <c r="K397" s="1689"/>
      <c r="L397" s="1689"/>
      <c r="M397" s="1689"/>
      <c r="N397" s="1689"/>
      <c r="O397" s="1689"/>
      <c r="P397" s="1689"/>
      <c r="Q397" s="1689"/>
      <c r="R397" s="1689"/>
      <c r="S397" s="1689"/>
      <c r="T397" s="1689"/>
      <c r="U397" s="1689"/>
      <c r="V397" s="1689"/>
      <c r="W397" s="1689"/>
      <c r="X397" s="1689"/>
      <c r="Y397" s="1689"/>
      <c r="Z397" s="1689"/>
      <c r="AA397" s="1689"/>
      <c r="AB397" s="1689"/>
      <c r="AC397" s="1689"/>
      <c r="AD397" s="1689"/>
      <c r="AE397" s="1689"/>
      <c r="AF397" s="1689"/>
      <c r="AG397" s="1689"/>
      <c r="AH397" s="1689"/>
      <c r="AI397" s="1689"/>
      <c r="AJ397" s="1689"/>
      <c r="AK397" s="1689"/>
      <c r="AL397" s="1689"/>
      <c r="AM397" s="1689"/>
      <c r="AN397" s="1689"/>
      <c r="AO397" s="1689"/>
      <c r="AP397" s="1689"/>
      <c r="AQ397" s="1689"/>
      <c r="AR397" s="1689"/>
      <c r="AS397" s="1689"/>
      <c r="AT397" s="1689"/>
    </row>
    <row r="398">
      <c r="A398" s="1419"/>
      <c r="B398" s="1699"/>
      <c r="C398" s="1700"/>
      <c r="D398" s="1700"/>
      <c r="E398" s="1691"/>
      <c r="F398" s="1691"/>
      <c r="G398" s="1691"/>
      <c r="H398" s="1691"/>
      <c r="I398" s="1691"/>
      <c r="J398" s="1691"/>
      <c r="K398" s="1691"/>
      <c r="L398" s="1691"/>
      <c r="M398" s="1691"/>
      <c r="N398" s="1691"/>
      <c r="O398" s="1691"/>
      <c r="P398" s="1691"/>
      <c r="Q398" s="1691"/>
      <c r="R398" s="1691"/>
      <c r="S398" s="1691"/>
      <c r="T398" s="1691"/>
      <c r="U398" s="1691"/>
      <c r="V398" s="1691"/>
      <c r="W398" s="1691"/>
      <c r="X398" s="1691"/>
      <c r="Y398" s="1691"/>
      <c r="Z398" s="1691"/>
      <c r="AA398" s="1691"/>
      <c r="AB398" s="1691"/>
      <c r="AC398" s="1691"/>
      <c r="AD398" s="1691"/>
      <c r="AE398" s="1691"/>
      <c r="AF398" s="1691"/>
      <c r="AG398" s="1691"/>
      <c r="AH398" s="1691"/>
      <c r="AI398" s="1691"/>
      <c r="AJ398" s="1691"/>
      <c r="AK398" s="1691"/>
      <c r="AL398" s="1691"/>
      <c r="AM398" s="1691"/>
      <c r="AN398" s="1691"/>
      <c r="AO398" s="1691"/>
      <c r="AP398" s="1691"/>
      <c r="AQ398" s="1691"/>
      <c r="AR398" s="1691"/>
      <c r="AS398" s="1691"/>
      <c r="AT398" s="1691"/>
    </row>
    <row r="399">
      <c r="A399" s="1419"/>
      <c r="B399" s="1697"/>
      <c r="C399" s="1698"/>
      <c r="D399" s="1698"/>
      <c r="E399" s="1689"/>
      <c r="F399" s="1689"/>
      <c r="G399" s="1689"/>
      <c r="H399" s="1689"/>
      <c r="I399" s="1689"/>
      <c r="J399" s="1689"/>
      <c r="K399" s="1689"/>
      <c r="L399" s="1689"/>
      <c r="M399" s="1689"/>
      <c r="N399" s="1689"/>
      <c r="O399" s="1689"/>
      <c r="P399" s="1689"/>
      <c r="Q399" s="1689"/>
      <c r="R399" s="1689"/>
      <c r="S399" s="1689"/>
      <c r="T399" s="1689"/>
      <c r="U399" s="1689"/>
      <c r="V399" s="1689"/>
      <c r="W399" s="1689"/>
      <c r="X399" s="1689"/>
      <c r="Y399" s="1689"/>
      <c r="Z399" s="1689"/>
      <c r="AA399" s="1689"/>
      <c r="AB399" s="1689"/>
      <c r="AC399" s="1689"/>
      <c r="AD399" s="1689"/>
      <c r="AE399" s="1689"/>
      <c r="AF399" s="1689"/>
      <c r="AG399" s="1689"/>
      <c r="AH399" s="1689"/>
      <c r="AI399" s="1689"/>
      <c r="AJ399" s="1689"/>
      <c r="AK399" s="1689"/>
      <c r="AL399" s="1689"/>
      <c r="AM399" s="1689"/>
      <c r="AN399" s="1689"/>
      <c r="AO399" s="1689"/>
      <c r="AP399" s="1689"/>
      <c r="AQ399" s="1689"/>
      <c r="AR399" s="1689"/>
      <c r="AS399" s="1689"/>
      <c r="AT399" s="1689"/>
    </row>
    <row r="400">
      <c r="A400" s="1419"/>
      <c r="B400" s="1699"/>
      <c r="C400" s="1700"/>
      <c r="D400" s="1700"/>
      <c r="E400" s="1691"/>
      <c r="F400" s="1691"/>
      <c r="G400" s="1691"/>
      <c r="H400" s="1691"/>
      <c r="I400" s="1691"/>
      <c r="J400" s="1691"/>
      <c r="K400" s="1691"/>
      <c r="L400" s="1691"/>
      <c r="M400" s="1691"/>
      <c r="N400" s="1691"/>
      <c r="O400" s="1691"/>
      <c r="P400" s="1691"/>
      <c r="Q400" s="1691"/>
      <c r="R400" s="1691"/>
      <c r="S400" s="1691"/>
      <c r="T400" s="1691"/>
      <c r="U400" s="1691"/>
      <c r="V400" s="1691"/>
      <c r="W400" s="1691"/>
      <c r="X400" s="1691"/>
      <c r="Y400" s="1691"/>
      <c r="Z400" s="1691"/>
      <c r="AA400" s="1691"/>
      <c r="AB400" s="1691"/>
      <c r="AC400" s="1691"/>
      <c r="AD400" s="1691"/>
      <c r="AE400" s="1691"/>
      <c r="AF400" s="1691"/>
      <c r="AG400" s="1691"/>
      <c r="AH400" s="1691"/>
      <c r="AI400" s="1691"/>
      <c r="AJ400" s="1691"/>
      <c r="AK400" s="1691"/>
      <c r="AL400" s="1691"/>
      <c r="AM400" s="1691"/>
      <c r="AN400" s="1691"/>
      <c r="AO400" s="1691"/>
      <c r="AP400" s="1691"/>
      <c r="AQ400" s="1691"/>
      <c r="AR400" s="1691"/>
      <c r="AS400" s="1691"/>
      <c r="AT400" s="1691"/>
    </row>
    <row r="401">
      <c r="A401" s="1440" t="s">
        <v>2461</v>
      </c>
      <c r="B401" s="1697"/>
      <c r="C401" s="1698"/>
      <c r="D401" s="1698"/>
      <c r="E401" s="1689"/>
      <c r="F401" s="1689"/>
      <c r="G401" s="1689"/>
      <c r="H401" s="1689"/>
      <c r="I401" s="1689"/>
      <c r="J401" s="1689"/>
      <c r="K401" s="1689"/>
      <c r="L401" s="1689"/>
      <c r="M401" s="1689"/>
      <c r="N401" s="1689"/>
      <c r="O401" s="1689"/>
      <c r="P401" s="1689"/>
      <c r="Q401" s="1689"/>
      <c r="R401" s="1689"/>
      <c r="S401" s="1689"/>
      <c r="T401" s="1689"/>
      <c r="U401" s="1689"/>
      <c r="V401" s="1689"/>
      <c r="W401" s="1689"/>
      <c r="X401" s="1689"/>
      <c r="Y401" s="1689"/>
      <c r="Z401" s="1689"/>
      <c r="AA401" s="1689"/>
      <c r="AB401" s="1689"/>
      <c r="AC401" s="1689"/>
      <c r="AD401" s="1689"/>
      <c r="AE401" s="1689"/>
      <c r="AF401" s="1689"/>
      <c r="AG401" s="1689"/>
      <c r="AH401" s="1689"/>
      <c r="AI401" s="1689"/>
      <c r="AJ401" s="1689"/>
      <c r="AK401" s="1689"/>
      <c r="AL401" s="1689"/>
      <c r="AM401" s="1689"/>
      <c r="AN401" s="1689"/>
      <c r="AO401" s="1689"/>
      <c r="AP401" s="1689"/>
      <c r="AQ401" s="1689"/>
      <c r="AR401" s="1689"/>
      <c r="AS401" s="1689"/>
      <c r="AT401" s="1689"/>
    </row>
    <row r="402">
      <c r="A402" s="1419"/>
      <c r="B402" s="1699"/>
      <c r="C402" s="1700"/>
      <c r="D402" s="1700"/>
      <c r="E402" s="1691"/>
      <c r="F402" s="1691"/>
      <c r="G402" s="1691"/>
      <c r="H402" s="1691"/>
      <c r="I402" s="1691"/>
      <c r="J402" s="1691"/>
      <c r="K402" s="1691"/>
      <c r="L402" s="1691"/>
      <c r="M402" s="1691"/>
      <c r="N402" s="1691"/>
      <c r="O402" s="1691"/>
      <c r="P402" s="1691"/>
      <c r="Q402" s="1691"/>
      <c r="R402" s="1691"/>
      <c r="S402" s="1691"/>
      <c r="T402" s="1691"/>
      <c r="U402" s="1691"/>
      <c r="V402" s="1691"/>
      <c r="W402" s="1691"/>
      <c r="X402" s="1691"/>
      <c r="Y402" s="1691"/>
      <c r="Z402" s="1691"/>
      <c r="AA402" s="1691"/>
      <c r="AB402" s="1691"/>
      <c r="AC402" s="1691"/>
      <c r="AD402" s="1691"/>
      <c r="AE402" s="1691"/>
      <c r="AF402" s="1691"/>
      <c r="AG402" s="1691"/>
      <c r="AH402" s="1691"/>
      <c r="AI402" s="1691"/>
      <c r="AJ402" s="1691"/>
      <c r="AK402" s="1691"/>
      <c r="AL402" s="1691"/>
      <c r="AM402" s="1691"/>
      <c r="AN402" s="1691"/>
      <c r="AO402" s="1691"/>
      <c r="AP402" s="1691"/>
      <c r="AQ402" s="1691"/>
      <c r="AR402" s="1691"/>
      <c r="AS402" s="1691"/>
      <c r="AT402" s="1691"/>
    </row>
    <row r="403">
      <c r="A403" s="1419"/>
      <c r="B403" s="1697"/>
      <c r="C403" s="1698"/>
      <c r="D403" s="1698"/>
      <c r="E403" s="1689"/>
      <c r="F403" s="1689"/>
      <c r="G403" s="1689"/>
      <c r="H403" s="1689"/>
      <c r="I403" s="1689"/>
      <c r="J403" s="1689"/>
      <c r="K403" s="1689"/>
      <c r="L403" s="1689"/>
      <c r="M403" s="1689"/>
      <c r="N403" s="1689"/>
      <c r="O403" s="1689"/>
      <c r="P403" s="1689"/>
      <c r="Q403" s="1689"/>
      <c r="R403" s="1689"/>
      <c r="S403" s="1689"/>
      <c r="T403" s="1689"/>
      <c r="U403" s="1689"/>
      <c r="V403" s="1689"/>
      <c r="W403" s="1689"/>
      <c r="X403" s="1689"/>
      <c r="Y403" s="1689"/>
      <c r="Z403" s="1689"/>
      <c r="AA403" s="1689"/>
      <c r="AB403" s="1689"/>
      <c r="AC403" s="1689"/>
      <c r="AD403" s="1689"/>
      <c r="AE403" s="1689"/>
      <c r="AF403" s="1689"/>
      <c r="AG403" s="1689"/>
      <c r="AH403" s="1689"/>
      <c r="AI403" s="1689"/>
      <c r="AJ403" s="1689"/>
      <c r="AK403" s="1689"/>
      <c r="AL403" s="1689"/>
      <c r="AM403" s="1689"/>
      <c r="AN403" s="1689"/>
      <c r="AO403" s="1689"/>
      <c r="AP403" s="1689"/>
      <c r="AQ403" s="1689"/>
      <c r="AR403" s="1689"/>
      <c r="AS403" s="1689"/>
      <c r="AT403" s="1689"/>
    </row>
    <row r="404">
      <c r="A404" s="1419"/>
      <c r="B404" s="1699"/>
      <c r="C404" s="1700"/>
      <c r="D404" s="1700"/>
      <c r="E404" s="1691"/>
      <c r="F404" s="1691"/>
      <c r="G404" s="1691"/>
      <c r="H404" s="1691"/>
      <c r="I404" s="1691"/>
      <c r="J404" s="1691"/>
      <c r="K404" s="1691"/>
      <c r="L404" s="1691"/>
      <c r="M404" s="1691"/>
      <c r="N404" s="1691"/>
      <c r="O404" s="1691"/>
      <c r="P404" s="1691"/>
      <c r="Q404" s="1691"/>
      <c r="R404" s="1691"/>
      <c r="S404" s="1691"/>
      <c r="T404" s="1691"/>
      <c r="U404" s="1691"/>
      <c r="V404" s="1691"/>
      <c r="W404" s="1691"/>
      <c r="X404" s="1691"/>
      <c r="Y404" s="1691"/>
      <c r="Z404" s="1691"/>
      <c r="AA404" s="1691"/>
      <c r="AB404" s="1691"/>
      <c r="AC404" s="1691"/>
      <c r="AD404" s="1691"/>
      <c r="AE404" s="1691"/>
      <c r="AF404" s="1691"/>
      <c r="AG404" s="1691"/>
      <c r="AH404" s="1691"/>
      <c r="AI404" s="1691"/>
      <c r="AJ404" s="1691"/>
      <c r="AK404" s="1691"/>
      <c r="AL404" s="1691"/>
      <c r="AM404" s="1691"/>
      <c r="AN404" s="1691"/>
      <c r="AO404" s="1691"/>
      <c r="AP404" s="1691"/>
      <c r="AQ404" s="1691"/>
      <c r="AR404" s="1691"/>
      <c r="AS404" s="1691"/>
      <c r="AT404" s="1691"/>
    </row>
    <row r="405">
      <c r="A405" s="1419"/>
      <c r="B405" s="1697"/>
      <c r="C405" s="1698"/>
      <c r="D405" s="1698"/>
      <c r="E405" s="1689"/>
      <c r="F405" s="1689"/>
      <c r="G405" s="1689"/>
      <c r="H405" s="1689"/>
      <c r="I405" s="1689"/>
      <c r="J405" s="1689"/>
      <c r="K405" s="1689"/>
      <c r="L405" s="1689"/>
      <c r="M405" s="1689"/>
      <c r="N405" s="1689"/>
      <c r="O405" s="1689"/>
      <c r="P405" s="1689"/>
      <c r="Q405" s="1689"/>
      <c r="R405" s="1689"/>
      <c r="S405" s="1689"/>
      <c r="T405" s="1689"/>
      <c r="U405" s="1689"/>
      <c r="V405" s="1689"/>
      <c r="W405" s="1689"/>
      <c r="X405" s="1689"/>
      <c r="Y405" s="1689"/>
      <c r="Z405" s="1689"/>
      <c r="AA405" s="1689"/>
      <c r="AB405" s="1689"/>
      <c r="AC405" s="1689"/>
      <c r="AD405" s="1689"/>
      <c r="AE405" s="1689"/>
      <c r="AF405" s="1689"/>
      <c r="AG405" s="1689"/>
      <c r="AH405" s="1689"/>
      <c r="AI405" s="1689"/>
      <c r="AJ405" s="1689"/>
      <c r="AK405" s="1689"/>
      <c r="AL405" s="1689"/>
      <c r="AM405" s="1689"/>
      <c r="AN405" s="1689"/>
      <c r="AO405" s="1689"/>
      <c r="AP405" s="1689"/>
      <c r="AQ405" s="1689"/>
      <c r="AR405" s="1689"/>
      <c r="AS405" s="1689"/>
      <c r="AT405" s="1689"/>
    </row>
    <row r="406">
      <c r="A406" s="1419"/>
      <c r="B406" s="1699"/>
      <c r="C406" s="1700"/>
      <c r="D406" s="1700"/>
      <c r="E406" s="1691"/>
      <c r="F406" s="1691"/>
      <c r="G406" s="1691"/>
      <c r="H406" s="1691"/>
      <c r="I406" s="1691"/>
      <c r="J406" s="1691"/>
      <c r="K406" s="1691"/>
      <c r="L406" s="1691"/>
      <c r="M406" s="1691"/>
      <c r="N406" s="1691"/>
      <c r="O406" s="1691"/>
      <c r="P406" s="1691"/>
      <c r="Q406" s="1691"/>
      <c r="R406" s="1691"/>
      <c r="S406" s="1691"/>
      <c r="T406" s="1691"/>
      <c r="U406" s="1691"/>
      <c r="V406" s="1691"/>
      <c r="W406" s="1691"/>
      <c r="X406" s="1691"/>
      <c r="Y406" s="1691"/>
      <c r="Z406" s="1691"/>
      <c r="AA406" s="1691"/>
      <c r="AB406" s="1691"/>
      <c r="AC406" s="1691"/>
      <c r="AD406" s="1691"/>
      <c r="AE406" s="1691"/>
      <c r="AF406" s="1691"/>
      <c r="AG406" s="1691"/>
      <c r="AH406" s="1691"/>
      <c r="AI406" s="1691"/>
      <c r="AJ406" s="1691"/>
      <c r="AK406" s="1691"/>
      <c r="AL406" s="1691"/>
      <c r="AM406" s="1691"/>
      <c r="AN406" s="1691"/>
      <c r="AO406" s="1691"/>
      <c r="AP406" s="1691"/>
      <c r="AQ406" s="1691"/>
      <c r="AR406" s="1691"/>
      <c r="AS406" s="1691"/>
      <c r="AT406" s="1691"/>
    </row>
    <row r="407">
      <c r="A407" s="1419"/>
      <c r="B407" s="1697"/>
      <c r="C407" s="1698"/>
      <c r="D407" s="1698"/>
      <c r="E407" s="1689"/>
      <c r="F407" s="1689"/>
      <c r="G407" s="1689"/>
      <c r="H407" s="1689"/>
      <c r="I407" s="1689"/>
      <c r="J407" s="1689"/>
      <c r="K407" s="1689"/>
      <c r="L407" s="1689"/>
      <c r="M407" s="1689"/>
      <c r="N407" s="1689"/>
      <c r="O407" s="1689"/>
      <c r="P407" s="1689"/>
      <c r="Q407" s="1689"/>
      <c r="R407" s="1689"/>
      <c r="S407" s="1689"/>
      <c r="T407" s="1689"/>
      <c r="U407" s="1689"/>
      <c r="V407" s="1689"/>
      <c r="W407" s="1689"/>
      <c r="X407" s="1689"/>
      <c r="Y407" s="1689"/>
      <c r="Z407" s="1689"/>
      <c r="AA407" s="1689"/>
      <c r="AB407" s="1689"/>
      <c r="AC407" s="1689"/>
      <c r="AD407" s="1689"/>
      <c r="AE407" s="1689"/>
      <c r="AF407" s="1689"/>
      <c r="AG407" s="1689"/>
      <c r="AH407" s="1689"/>
      <c r="AI407" s="1689"/>
      <c r="AJ407" s="1689"/>
      <c r="AK407" s="1689"/>
      <c r="AL407" s="1689"/>
      <c r="AM407" s="1689"/>
      <c r="AN407" s="1689"/>
      <c r="AO407" s="1689"/>
      <c r="AP407" s="1689"/>
      <c r="AQ407" s="1689"/>
      <c r="AR407" s="1689"/>
      <c r="AS407" s="1689"/>
      <c r="AT407" s="1689"/>
    </row>
    <row r="408">
      <c r="A408" s="1419"/>
      <c r="B408" s="1699"/>
      <c r="C408" s="1700"/>
      <c r="D408" s="1700"/>
      <c r="E408" s="1691"/>
      <c r="F408" s="1691"/>
      <c r="G408" s="1691"/>
      <c r="H408" s="1691"/>
      <c r="I408" s="1691"/>
      <c r="J408" s="1691"/>
      <c r="K408" s="1691"/>
      <c r="L408" s="1691"/>
      <c r="M408" s="1691"/>
      <c r="N408" s="1691"/>
      <c r="O408" s="1691"/>
      <c r="P408" s="1691"/>
      <c r="Q408" s="1691"/>
      <c r="R408" s="1691"/>
      <c r="S408" s="1691"/>
      <c r="T408" s="1691"/>
      <c r="U408" s="1691"/>
      <c r="V408" s="1691"/>
      <c r="W408" s="1691"/>
      <c r="X408" s="1691"/>
      <c r="Y408" s="1691"/>
      <c r="Z408" s="1691"/>
      <c r="AA408" s="1691"/>
      <c r="AB408" s="1691"/>
      <c r="AC408" s="1691"/>
      <c r="AD408" s="1691"/>
      <c r="AE408" s="1691"/>
      <c r="AF408" s="1691"/>
      <c r="AG408" s="1691"/>
      <c r="AH408" s="1691"/>
      <c r="AI408" s="1691"/>
      <c r="AJ408" s="1691"/>
      <c r="AK408" s="1691"/>
      <c r="AL408" s="1691"/>
      <c r="AM408" s="1691"/>
      <c r="AN408" s="1691"/>
      <c r="AO408" s="1691"/>
      <c r="AP408" s="1691"/>
      <c r="AQ408" s="1691"/>
      <c r="AR408" s="1691"/>
      <c r="AS408" s="1691"/>
      <c r="AT408" s="1691"/>
    </row>
    <row r="409">
      <c r="A409" s="1419"/>
      <c r="B409" s="1697"/>
      <c r="C409" s="1698"/>
      <c r="D409" s="1698"/>
      <c r="E409" s="1689"/>
      <c r="F409" s="1689"/>
      <c r="G409" s="1689"/>
      <c r="H409" s="1689"/>
      <c r="I409" s="1689"/>
      <c r="J409" s="1689"/>
      <c r="K409" s="1689"/>
      <c r="L409" s="1689"/>
      <c r="M409" s="1689"/>
      <c r="N409" s="1689"/>
      <c r="O409" s="1689"/>
      <c r="P409" s="1689"/>
      <c r="Q409" s="1689"/>
      <c r="R409" s="1689"/>
      <c r="S409" s="1689"/>
      <c r="T409" s="1689"/>
      <c r="U409" s="1689"/>
      <c r="V409" s="1689"/>
      <c r="W409" s="1689"/>
      <c r="X409" s="1689"/>
      <c r="Y409" s="1689"/>
      <c r="Z409" s="1689"/>
      <c r="AA409" s="1689"/>
      <c r="AB409" s="1689"/>
      <c r="AC409" s="1689"/>
      <c r="AD409" s="1689"/>
      <c r="AE409" s="1689"/>
      <c r="AF409" s="1689"/>
      <c r="AG409" s="1689"/>
      <c r="AH409" s="1689"/>
      <c r="AI409" s="1689"/>
      <c r="AJ409" s="1689"/>
      <c r="AK409" s="1689"/>
      <c r="AL409" s="1689"/>
      <c r="AM409" s="1689"/>
      <c r="AN409" s="1689"/>
      <c r="AO409" s="1689"/>
      <c r="AP409" s="1689"/>
      <c r="AQ409" s="1689"/>
      <c r="AR409" s="1689"/>
      <c r="AS409" s="1689"/>
      <c r="AT409" s="1689"/>
    </row>
    <row r="410">
      <c r="A410" s="1419"/>
      <c r="B410" s="1699"/>
      <c r="C410" s="1700"/>
      <c r="D410" s="1700"/>
      <c r="E410" s="1691"/>
      <c r="F410" s="1691"/>
      <c r="G410" s="1691"/>
      <c r="H410" s="1691"/>
      <c r="I410" s="1691"/>
      <c r="J410" s="1691"/>
      <c r="K410" s="1691"/>
      <c r="L410" s="1691"/>
      <c r="M410" s="1691"/>
      <c r="N410" s="1691"/>
      <c r="O410" s="1691"/>
      <c r="P410" s="1691"/>
      <c r="Q410" s="1691"/>
      <c r="R410" s="1691"/>
      <c r="S410" s="1691"/>
      <c r="T410" s="1691"/>
      <c r="U410" s="1691"/>
      <c r="V410" s="1691"/>
      <c r="W410" s="1691"/>
      <c r="X410" s="1691"/>
      <c r="Y410" s="1691"/>
      <c r="Z410" s="1691"/>
      <c r="AA410" s="1691"/>
      <c r="AB410" s="1691"/>
      <c r="AC410" s="1691"/>
      <c r="AD410" s="1691"/>
      <c r="AE410" s="1691"/>
      <c r="AF410" s="1691"/>
      <c r="AG410" s="1691"/>
      <c r="AH410" s="1691"/>
      <c r="AI410" s="1691"/>
      <c r="AJ410" s="1691"/>
      <c r="AK410" s="1691"/>
      <c r="AL410" s="1691"/>
      <c r="AM410" s="1691"/>
      <c r="AN410" s="1691"/>
      <c r="AO410" s="1691"/>
      <c r="AP410" s="1691"/>
      <c r="AQ410" s="1691"/>
      <c r="AR410" s="1691"/>
      <c r="AS410" s="1691"/>
      <c r="AT410" s="1691"/>
    </row>
    <row r="411">
      <c r="A411" s="1419"/>
      <c r="B411" s="1697"/>
      <c r="C411" s="1698"/>
      <c r="D411" s="1698"/>
      <c r="E411" s="1689"/>
      <c r="F411" s="1689"/>
      <c r="G411" s="1689"/>
      <c r="H411" s="1689"/>
      <c r="I411" s="1689"/>
      <c r="J411" s="1689"/>
      <c r="K411" s="1689"/>
      <c r="L411" s="1689"/>
      <c r="M411" s="1689"/>
      <c r="N411" s="1689"/>
      <c r="O411" s="1689"/>
      <c r="P411" s="1689"/>
      <c r="Q411" s="1689"/>
      <c r="R411" s="1689"/>
      <c r="S411" s="1689"/>
      <c r="T411" s="1689"/>
      <c r="U411" s="1689"/>
      <c r="V411" s="1689"/>
      <c r="W411" s="1689"/>
      <c r="X411" s="1689"/>
      <c r="Y411" s="1689"/>
      <c r="Z411" s="1689"/>
      <c r="AA411" s="1689"/>
      <c r="AB411" s="1689"/>
      <c r="AC411" s="1689"/>
      <c r="AD411" s="1689"/>
      <c r="AE411" s="1689"/>
      <c r="AF411" s="1689"/>
      <c r="AG411" s="1689"/>
      <c r="AH411" s="1689"/>
      <c r="AI411" s="1689"/>
      <c r="AJ411" s="1689"/>
      <c r="AK411" s="1689"/>
      <c r="AL411" s="1689"/>
      <c r="AM411" s="1689"/>
      <c r="AN411" s="1689"/>
      <c r="AO411" s="1689"/>
      <c r="AP411" s="1689"/>
      <c r="AQ411" s="1689"/>
      <c r="AR411" s="1689"/>
      <c r="AS411" s="1689"/>
      <c r="AT411" s="1689"/>
    </row>
    <row r="412">
      <c r="A412" s="1419"/>
      <c r="B412" s="1699"/>
      <c r="C412" s="1700"/>
      <c r="D412" s="1700"/>
      <c r="E412" s="1691"/>
      <c r="F412" s="1691"/>
      <c r="G412" s="1691"/>
      <c r="H412" s="1691"/>
      <c r="I412" s="1691"/>
      <c r="J412" s="1691"/>
      <c r="K412" s="1691"/>
      <c r="L412" s="1691"/>
      <c r="M412" s="1691"/>
      <c r="N412" s="1691"/>
      <c r="O412" s="1691"/>
      <c r="P412" s="1691"/>
      <c r="Q412" s="1691"/>
      <c r="R412" s="1691"/>
      <c r="S412" s="1691"/>
      <c r="T412" s="1691"/>
      <c r="U412" s="1691"/>
      <c r="V412" s="1691"/>
      <c r="W412" s="1691"/>
      <c r="X412" s="1691"/>
      <c r="Y412" s="1691"/>
      <c r="Z412" s="1691"/>
      <c r="AA412" s="1691"/>
      <c r="AB412" s="1691"/>
      <c r="AC412" s="1691"/>
      <c r="AD412" s="1691"/>
      <c r="AE412" s="1691"/>
      <c r="AF412" s="1691"/>
      <c r="AG412" s="1691"/>
      <c r="AH412" s="1691"/>
      <c r="AI412" s="1691"/>
      <c r="AJ412" s="1691"/>
      <c r="AK412" s="1691"/>
      <c r="AL412" s="1691"/>
      <c r="AM412" s="1691"/>
      <c r="AN412" s="1691"/>
      <c r="AO412" s="1691"/>
      <c r="AP412" s="1691"/>
      <c r="AQ412" s="1691"/>
      <c r="AR412" s="1691"/>
      <c r="AS412" s="1691"/>
      <c r="AT412" s="1691"/>
    </row>
    <row r="413">
      <c r="A413" s="1419"/>
      <c r="B413" s="1697"/>
      <c r="C413" s="1698"/>
      <c r="D413" s="1698"/>
      <c r="E413" s="1689"/>
      <c r="F413" s="1689"/>
      <c r="G413" s="1689"/>
      <c r="H413" s="1689"/>
      <c r="I413" s="1689"/>
      <c r="J413" s="1689"/>
      <c r="K413" s="1689"/>
      <c r="L413" s="1689"/>
      <c r="M413" s="1689"/>
      <c r="N413" s="1689"/>
      <c r="O413" s="1689"/>
      <c r="P413" s="1689"/>
      <c r="Q413" s="1689"/>
      <c r="R413" s="1689"/>
      <c r="S413" s="1689"/>
      <c r="T413" s="1689"/>
      <c r="U413" s="1689"/>
      <c r="V413" s="1689"/>
      <c r="W413" s="1689"/>
      <c r="X413" s="1689"/>
      <c r="Y413" s="1689"/>
      <c r="Z413" s="1689"/>
      <c r="AA413" s="1689"/>
      <c r="AB413" s="1689"/>
      <c r="AC413" s="1689"/>
      <c r="AD413" s="1689"/>
      <c r="AE413" s="1689"/>
      <c r="AF413" s="1689"/>
      <c r="AG413" s="1689"/>
      <c r="AH413" s="1689"/>
      <c r="AI413" s="1689"/>
      <c r="AJ413" s="1689"/>
      <c r="AK413" s="1689"/>
      <c r="AL413" s="1689"/>
      <c r="AM413" s="1689"/>
      <c r="AN413" s="1689"/>
      <c r="AO413" s="1689"/>
      <c r="AP413" s="1689"/>
      <c r="AQ413" s="1689"/>
      <c r="AR413" s="1689"/>
      <c r="AS413" s="1689"/>
      <c r="AT413" s="1689"/>
    </row>
    <row r="414">
      <c r="A414" s="1419"/>
      <c r="B414" s="1699"/>
      <c r="C414" s="1700"/>
      <c r="D414" s="1700"/>
      <c r="E414" s="1691"/>
      <c r="F414" s="1691"/>
      <c r="G414" s="1691"/>
      <c r="H414" s="1691"/>
      <c r="I414" s="1691"/>
      <c r="J414" s="1691"/>
      <c r="K414" s="1691"/>
      <c r="L414" s="1691"/>
      <c r="M414" s="1691"/>
      <c r="N414" s="1691"/>
      <c r="O414" s="1691"/>
      <c r="P414" s="1691"/>
      <c r="Q414" s="1691"/>
      <c r="R414" s="1691"/>
      <c r="S414" s="1691"/>
      <c r="T414" s="1691"/>
      <c r="U414" s="1691"/>
      <c r="V414" s="1691"/>
      <c r="W414" s="1691"/>
      <c r="X414" s="1691"/>
      <c r="Y414" s="1691"/>
      <c r="Z414" s="1691"/>
      <c r="AA414" s="1691"/>
      <c r="AB414" s="1691"/>
      <c r="AC414" s="1691"/>
      <c r="AD414" s="1691"/>
      <c r="AE414" s="1691"/>
      <c r="AF414" s="1691"/>
      <c r="AG414" s="1691"/>
      <c r="AH414" s="1691"/>
      <c r="AI414" s="1691"/>
      <c r="AJ414" s="1691"/>
      <c r="AK414" s="1691"/>
      <c r="AL414" s="1691"/>
      <c r="AM414" s="1691"/>
      <c r="AN414" s="1691"/>
      <c r="AO414" s="1691"/>
      <c r="AP414" s="1691"/>
      <c r="AQ414" s="1691"/>
      <c r="AR414" s="1691"/>
      <c r="AS414" s="1691"/>
      <c r="AT414" s="1691"/>
    </row>
    <row r="415">
      <c r="A415" s="1419"/>
      <c r="B415" s="1697"/>
      <c r="C415" s="1698"/>
      <c r="D415" s="1698"/>
      <c r="E415" s="1689"/>
      <c r="F415" s="1689"/>
      <c r="G415" s="1689"/>
      <c r="H415" s="1689"/>
      <c r="I415" s="1689"/>
      <c r="J415" s="1689"/>
      <c r="K415" s="1689"/>
      <c r="L415" s="1689"/>
      <c r="M415" s="1689"/>
      <c r="N415" s="1689"/>
      <c r="O415" s="1689"/>
      <c r="P415" s="1689"/>
      <c r="Q415" s="1689"/>
      <c r="R415" s="1689"/>
      <c r="S415" s="1689"/>
      <c r="T415" s="1689"/>
      <c r="U415" s="1689"/>
      <c r="V415" s="1689"/>
      <c r="W415" s="1689"/>
      <c r="X415" s="1689"/>
      <c r="Y415" s="1689"/>
      <c r="Z415" s="1689"/>
      <c r="AA415" s="1689"/>
      <c r="AB415" s="1689"/>
      <c r="AC415" s="1689"/>
      <c r="AD415" s="1689"/>
      <c r="AE415" s="1689"/>
      <c r="AF415" s="1689"/>
      <c r="AG415" s="1689"/>
      <c r="AH415" s="1689"/>
      <c r="AI415" s="1689"/>
      <c r="AJ415" s="1689"/>
      <c r="AK415" s="1689"/>
      <c r="AL415" s="1689"/>
      <c r="AM415" s="1689"/>
      <c r="AN415" s="1689"/>
      <c r="AO415" s="1689"/>
      <c r="AP415" s="1689"/>
      <c r="AQ415" s="1689"/>
      <c r="AR415" s="1689"/>
      <c r="AS415" s="1689"/>
      <c r="AT415" s="1689"/>
    </row>
    <row r="416">
      <c r="A416" s="1419"/>
      <c r="B416" s="1699"/>
      <c r="C416" s="1700"/>
      <c r="D416" s="1700"/>
      <c r="E416" s="1691"/>
      <c r="F416" s="1691"/>
      <c r="G416" s="1691"/>
      <c r="H416" s="1691"/>
      <c r="I416" s="1691"/>
      <c r="J416" s="1691"/>
      <c r="K416" s="1691"/>
      <c r="L416" s="1691"/>
      <c r="M416" s="1691"/>
      <c r="N416" s="1691"/>
      <c r="O416" s="1691"/>
      <c r="P416" s="1691"/>
      <c r="Q416" s="1691"/>
      <c r="R416" s="1691"/>
      <c r="S416" s="1691"/>
      <c r="T416" s="1691"/>
      <c r="U416" s="1691"/>
      <c r="V416" s="1691"/>
      <c r="W416" s="1691"/>
      <c r="X416" s="1691"/>
      <c r="Y416" s="1691"/>
      <c r="Z416" s="1691"/>
      <c r="AA416" s="1691"/>
      <c r="AB416" s="1691"/>
      <c r="AC416" s="1691"/>
      <c r="AD416" s="1691"/>
      <c r="AE416" s="1691"/>
      <c r="AF416" s="1691"/>
      <c r="AG416" s="1691"/>
      <c r="AH416" s="1691"/>
      <c r="AI416" s="1691"/>
      <c r="AJ416" s="1691"/>
      <c r="AK416" s="1691"/>
      <c r="AL416" s="1691"/>
      <c r="AM416" s="1691"/>
      <c r="AN416" s="1691"/>
      <c r="AO416" s="1691"/>
      <c r="AP416" s="1691"/>
      <c r="AQ416" s="1691"/>
      <c r="AR416" s="1691"/>
      <c r="AS416" s="1691"/>
      <c r="AT416" s="1691"/>
    </row>
    <row r="417">
      <c r="A417" s="1419"/>
      <c r="B417" s="1697"/>
      <c r="C417" s="1698"/>
      <c r="D417" s="1698"/>
      <c r="E417" s="1689"/>
      <c r="F417" s="1689"/>
      <c r="G417" s="1689"/>
      <c r="H417" s="1689"/>
      <c r="I417" s="1689"/>
      <c r="J417" s="1689"/>
      <c r="K417" s="1689"/>
      <c r="L417" s="1689"/>
      <c r="M417" s="1689"/>
      <c r="N417" s="1689"/>
      <c r="O417" s="1689"/>
      <c r="P417" s="1689"/>
      <c r="Q417" s="1689"/>
      <c r="R417" s="1689"/>
      <c r="S417" s="1689"/>
      <c r="T417" s="1689"/>
      <c r="U417" s="1689"/>
      <c r="V417" s="1689"/>
      <c r="W417" s="1689"/>
      <c r="X417" s="1689"/>
      <c r="Y417" s="1689"/>
      <c r="Z417" s="1689"/>
      <c r="AA417" s="1689"/>
      <c r="AB417" s="1689"/>
      <c r="AC417" s="1689"/>
      <c r="AD417" s="1689"/>
      <c r="AE417" s="1689"/>
      <c r="AF417" s="1689"/>
      <c r="AG417" s="1689"/>
      <c r="AH417" s="1689"/>
      <c r="AI417" s="1689"/>
      <c r="AJ417" s="1689"/>
      <c r="AK417" s="1689"/>
      <c r="AL417" s="1689"/>
      <c r="AM417" s="1689"/>
      <c r="AN417" s="1689"/>
      <c r="AO417" s="1689"/>
      <c r="AP417" s="1689"/>
      <c r="AQ417" s="1689"/>
      <c r="AR417" s="1689"/>
      <c r="AS417" s="1689"/>
      <c r="AT417" s="1689"/>
    </row>
    <row r="418">
      <c r="A418" s="1419"/>
      <c r="B418" s="1699"/>
      <c r="C418" s="1700"/>
      <c r="D418" s="1700"/>
      <c r="E418" s="1691"/>
      <c r="F418" s="1691"/>
      <c r="G418" s="1691"/>
      <c r="H418" s="1691"/>
      <c r="I418" s="1691"/>
      <c r="J418" s="1691"/>
      <c r="K418" s="1691"/>
      <c r="L418" s="1691"/>
      <c r="M418" s="1691"/>
      <c r="N418" s="1691"/>
      <c r="O418" s="1691"/>
      <c r="P418" s="1691"/>
      <c r="Q418" s="1691"/>
      <c r="R418" s="1691"/>
      <c r="S418" s="1691"/>
      <c r="T418" s="1691"/>
      <c r="U418" s="1691"/>
      <c r="V418" s="1691"/>
      <c r="W418" s="1691"/>
      <c r="X418" s="1691"/>
      <c r="Y418" s="1691"/>
      <c r="Z418" s="1691"/>
      <c r="AA418" s="1691"/>
      <c r="AB418" s="1691"/>
      <c r="AC418" s="1691"/>
      <c r="AD418" s="1691"/>
      <c r="AE418" s="1691"/>
      <c r="AF418" s="1691"/>
      <c r="AG418" s="1691"/>
      <c r="AH418" s="1691"/>
      <c r="AI418" s="1691"/>
      <c r="AJ418" s="1691"/>
      <c r="AK418" s="1691"/>
      <c r="AL418" s="1691"/>
      <c r="AM418" s="1691"/>
      <c r="AN418" s="1691"/>
      <c r="AO418" s="1691"/>
      <c r="AP418" s="1691"/>
      <c r="AQ418" s="1691"/>
      <c r="AR418" s="1691"/>
      <c r="AS418" s="1691"/>
      <c r="AT418" s="1691"/>
    </row>
    <row r="419">
      <c r="A419" s="1419"/>
      <c r="B419" s="1697"/>
      <c r="C419" s="1698"/>
      <c r="D419" s="1698"/>
      <c r="E419" s="1689"/>
      <c r="F419" s="1689"/>
      <c r="G419" s="1689"/>
      <c r="H419" s="1689"/>
      <c r="I419" s="1689"/>
      <c r="J419" s="1689"/>
      <c r="K419" s="1689"/>
      <c r="L419" s="1689"/>
      <c r="M419" s="1689"/>
      <c r="N419" s="1689"/>
      <c r="O419" s="1689"/>
      <c r="P419" s="1689"/>
      <c r="Q419" s="1689"/>
      <c r="R419" s="1689"/>
      <c r="S419" s="1689"/>
      <c r="T419" s="1689"/>
      <c r="U419" s="1689"/>
      <c r="V419" s="1689"/>
      <c r="W419" s="1689"/>
      <c r="X419" s="1689"/>
      <c r="Y419" s="1689"/>
      <c r="Z419" s="1689"/>
      <c r="AA419" s="1689"/>
      <c r="AB419" s="1689"/>
      <c r="AC419" s="1689"/>
      <c r="AD419" s="1689"/>
      <c r="AE419" s="1689"/>
      <c r="AF419" s="1689"/>
      <c r="AG419" s="1689"/>
      <c r="AH419" s="1689"/>
      <c r="AI419" s="1689"/>
      <c r="AJ419" s="1689"/>
      <c r="AK419" s="1689"/>
      <c r="AL419" s="1689"/>
      <c r="AM419" s="1689"/>
      <c r="AN419" s="1689"/>
      <c r="AO419" s="1689"/>
      <c r="AP419" s="1689"/>
      <c r="AQ419" s="1689"/>
      <c r="AR419" s="1689"/>
      <c r="AS419" s="1689"/>
      <c r="AT419" s="1689"/>
    </row>
    <row r="420">
      <c r="A420" s="1419"/>
      <c r="B420" s="1699"/>
      <c r="C420" s="1700"/>
      <c r="D420" s="1700"/>
      <c r="E420" s="1691"/>
      <c r="F420" s="1691"/>
      <c r="G420" s="1691"/>
      <c r="H420" s="1691"/>
      <c r="I420" s="1691"/>
      <c r="J420" s="1691"/>
      <c r="K420" s="1691"/>
      <c r="L420" s="1691"/>
      <c r="M420" s="1691"/>
      <c r="N420" s="1691"/>
      <c r="O420" s="1691"/>
      <c r="P420" s="1691"/>
      <c r="Q420" s="1691"/>
      <c r="R420" s="1691"/>
      <c r="S420" s="1691"/>
      <c r="T420" s="1691"/>
      <c r="U420" s="1691"/>
      <c r="V420" s="1691"/>
      <c r="W420" s="1691"/>
      <c r="X420" s="1691"/>
      <c r="Y420" s="1691"/>
      <c r="Z420" s="1691"/>
      <c r="AA420" s="1691"/>
      <c r="AB420" s="1691"/>
      <c r="AC420" s="1691"/>
      <c r="AD420" s="1691"/>
      <c r="AE420" s="1691"/>
      <c r="AF420" s="1691"/>
      <c r="AG420" s="1691"/>
      <c r="AH420" s="1691"/>
      <c r="AI420" s="1691"/>
      <c r="AJ420" s="1691"/>
      <c r="AK420" s="1691"/>
      <c r="AL420" s="1691"/>
      <c r="AM420" s="1691"/>
      <c r="AN420" s="1691"/>
      <c r="AO420" s="1691"/>
      <c r="AP420" s="1691"/>
      <c r="AQ420" s="1691"/>
      <c r="AR420" s="1691"/>
      <c r="AS420" s="1691"/>
      <c r="AT420" s="1691"/>
    </row>
    <row r="421">
      <c r="A421" s="1419"/>
      <c r="B421" s="1697"/>
      <c r="C421" s="1698"/>
      <c r="D421" s="1698"/>
      <c r="E421" s="1689"/>
      <c r="F421" s="1689"/>
      <c r="G421" s="1689"/>
      <c r="H421" s="1689"/>
      <c r="I421" s="1689"/>
      <c r="J421" s="1689"/>
      <c r="K421" s="1689"/>
      <c r="L421" s="1689"/>
      <c r="M421" s="1689"/>
      <c r="N421" s="1689"/>
      <c r="O421" s="1689"/>
      <c r="P421" s="1689"/>
      <c r="Q421" s="1689"/>
      <c r="R421" s="1689"/>
      <c r="S421" s="1689"/>
      <c r="T421" s="1689"/>
      <c r="U421" s="1689"/>
      <c r="V421" s="1689"/>
      <c r="W421" s="1689"/>
      <c r="X421" s="1689"/>
      <c r="Y421" s="1689"/>
      <c r="Z421" s="1689"/>
      <c r="AA421" s="1689"/>
      <c r="AB421" s="1689"/>
      <c r="AC421" s="1689"/>
      <c r="AD421" s="1689"/>
      <c r="AE421" s="1689"/>
      <c r="AF421" s="1689"/>
      <c r="AG421" s="1689"/>
      <c r="AH421" s="1689"/>
      <c r="AI421" s="1689"/>
      <c r="AJ421" s="1689"/>
      <c r="AK421" s="1689"/>
      <c r="AL421" s="1689"/>
      <c r="AM421" s="1689"/>
      <c r="AN421" s="1689"/>
      <c r="AO421" s="1689"/>
      <c r="AP421" s="1689"/>
      <c r="AQ421" s="1689"/>
      <c r="AR421" s="1689"/>
      <c r="AS421" s="1689"/>
      <c r="AT421" s="1689"/>
    </row>
    <row r="422">
      <c r="A422" s="1419"/>
      <c r="B422" s="1699"/>
      <c r="C422" s="1700"/>
      <c r="D422" s="1700"/>
      <c r="E422" s="1691"/>
      <c r="F422" s="1691"/>
      <c r="G422" s="1691"/>
      <c r="H422" s="1691"/>
      <c r="I422" s="1691"/>
      <c r="J422" s="1691"/>
      <c r="K422" s="1691"/>
      <c r="L422" s="1691"/>
      <c r="M422" s="1691"/>
      <c r="N422" s="1691"/>
      <c r="O422" s="1691"/>
      <c r="P422" s="1691"/>
      <c r="Q422" s="1691"/>
      <c r="R422" s="1691"/>
      <c r="S422" s="1691"/>
      <c r="T422" s="1691"/>
      <c r="U422" s="1691"/>
      <c r="V422" s="1691"/>
      <c r="W422" s="1691"/>
      <c r="X422" s="1691"/>
      <c r="Y422" s="1691"/>
      <c r="Z422" s="1691"/>
      <c r="AA422" s="1691"/>
      <c r="AB422" s="1691"/>
      <c r="AC422" s="1691"/>
      <c r="AD422" s="1691"/>
      <c r="AE422" s="1691"/>
      <c r="AF422" s="1691"/>
      <c r="AG422" s="1691"/>
      <c r="AH422" s="1691"/>
      <c r="AI422" s="1691"/>
      <c r="AJ422" s="1691"/>
      <c r="AK422" s="1691"/>
      <c r="AL422" s="1691"/>
      <c r="AM422" s="1691"/>
      <c r="AN422" s="1691"/>
      <c r="AO422" s="1691"/>
      <c r="AP422" s="1691"/>
      <c r="AQ422" s="1691"/>
      <c r="AR422" s="1691"/>
      <c r="AS422" s="1691"/>
      <c r="AT422" s="1691"/>
    </row>
    <row r="423">
      <c r="A423" s="1419"/>
      <c r="B423" s="1697"/>
      <c r="C423" s="1698"/>
      <c r="D423" s="1698"/>
      <c r="E423" s="1689"/>
      <c r="F423" s="1689"/>
      <c r="G423" s="1689"/>
      <c r="H423" s="1689"/>
      <c r="I423" s="1689"/>
      <c r="J423" s="1689"/>
      <c r="K423" s="1689"/>
      <c r="L423" s="1689"/>
      <c r="M423" s="1689"/>
      <c r="N423" s="1689"/>
      <c r="O423" s="1689"/>
      <c r="P423" s="1689"/>
      <c r="Q423" s="1689"/>
      <c r="R423" s="1689"/>
      <c r="S423" s="1689"/>
      <c r="T423" s="1689"/>
      <c r="U423" s="1689"/>
      <c r="V423" s="1689"/>
      <c r="W423" s="1689"/>
      <c r="X423" s="1689"/>
      <c r="Y423" s="1689"/>
      <c r="Z423" s="1689"/>
      <c r="AA423" s="1689"/>
      <c r="AB423" s="1689"/>
      <c r="AC423" s="1689"/>
      <c r="AD423" s="1689"/>
      <c r="AE423" s="1689"/>
      <c r="AF423" s="1689"/>
      <c r="AG423" s="1689"/>
      <c r="AH423" s="1689"/>
      <c r="AI423" s="1689"/>
      <c r="AJ423" s="1689"/>
      <c r="AK423" s="1689"/>
      <c r="AL423" s="1689"/>
      <c r="AM423" s="1689"/>
      <c r="AN423" s="1689"/>
      <c r="AO423" s="1689"/>
      <c r="AP423" s="1689"/>
      <c r="AQ423" s="1689"/>
      <c r="AR423" s="1689"/>
      <c r="AS423" s="1689"/>
      <c r="AT423" s="1689"/>
    </row>
    <row r="424">
      <c r="A424" s="1419"/>
      <c r="B424" s="1699"/>
      <c r="C424" s="1700"/>
      <c r="D424" s="1700"/>
      <c r="E424" s="1691"/>
      <c r="F424" s="1691"/>
      <c r="G424" s="1691"/>
      <c r="H424" s="1691"/>
      <c r="I424" s="1691"/>
      <c r="J424" s="1691"/>
      <c r="K424" s="1691"/>
      <c r="L424" s="1691"/>
      <c r="M424" s="1691"/>
      <c r="N424" s="1691"/>
      <c r="O424" s="1691"/>
      <c r="P424" s="1691"/>
      <c r="Q424" s="1691"/>
      <c r="R424" s="1691"/>
      <c r="S424" s="1691"/>
      <c r="T424" s="1691"/>
      <c r="U424" s="1691"/>
      <c r="V424" s="1691"/>
      <c r="W424" s="1691"/>
      <c r="X424" s="1691"/>
      <c r="Y424" s="1691"/>
      <c r="Z424" s="1691"/>
      <c r="AA424" s="1691"/>
      <c r="AB424" s="1691"/>
      <c r="AC424" s="1691"/>
      <c r="AD424" s="1691"/>
      <c r="AE424" s="1691"/>
      <c r="AF424" s="1691"/>
      <c r="AG424" s="1691"/>
      <c r="AH424" s="1691"/>
      <c r="AI424" s="1691"/>
      <c r="AJ424" s="1691"/>
      <c r="AK424" s="1691"/>
      <c r="AL424" s="1691"/>
      <c r="AM424" s="1691"/>
      <c r="AN424" s="1691"/>
      <c r="AO424" s="1691"/>
      <c r="AP424" s="1691"/>
      <c r="AQ424" s="1691"/>
      <c r="AR424" s="1691"/>
      <c r="AS424" s="1691"/>
      <c r="AT424" s="1691"/>
    </row>
    <row r="425">
      <c r="A425" s="1419"/>
      <c r="B425" s="1697"/>
      <c r="C425" s="1698"/>
      <c r="D425" s="1698"/>
      <c r="E425" s="1689"/>
      <c r="F425" s="1689"/>
      <c r="G425" s="1689"/>
      <c r="H425" s="1689"/>
      <c r="I425" s="1689"/>
      <c r="J425" s="1689"/>
      <c r="K425" s="1689"/>
      <c r="L425" s="1689"/>
      <c r="M425" s="1689"/>
      <c r="N425" s="1689"/>
      <c r="O425" s="1689"/>
      <c r="P425" s="1689"/>
      <c r="Q425" s="1689"/>
      <c r="R425" s="1689"/>
      <c r="S425" s="1689"/>
      <c r="T425" s="1689"/>
      <c r="U425" s="1689"/>
      <c r="V425" s="1689"/>
      <c r="W425" s="1689"/>
      <c r="X425" s="1689"/>
      <c r="Y425" s="1689"/>
      <c r="Z425" s="1689"/>
      <c r="AA425" s="1689"/>
      <c r="AB425" s="1689"/>
      <c r="AC425" s="1689"/>
      <c r="AD425" s="1689"/>
      <c r="AE425" s="1689"/>
      <c r="AF425" s="1689"/>
      <c r="AG425" s="1689"/>
      <c r="AH425" s="1689"/>
      <c r="AI425" s="1689"/>
      <c r="AJ425" s="1689"/>
      <c r="AK425" s="1689"/>
      <c r="AL425" s="1689"/>
      <c r="AM425" s="1689"/>
      <c r="AN425" s="1689"/>
      <c r="AO425" s="1689"/>
      <c r="AP425" s="1689"/>
      <c r="AQ425" s="1689"/>
      <c r="AR425" s="1689"/>
      <c r="AS425" s="1689"/>
      <c r="AT425" s="1689"/>
    </row>
    <row r="426">
      <c r="A426" s="1419"/>
      <c r="B426" s="1699"/>
      <c r="C426" s="1700"/>
      <c r="D426" s="1700"/>
      <c r="E426" s="1691"/>
      <c r="F426" s="1691"/>
      <c r="G426" s="1691"/>
      <c r="H426" s="1691"/>
      <c r="I426" s="1691"/>
      <c r="J426" s="1691"/>
      <c r="K426" s="1691"/>
      <c r="L426" s="1691"/>
      <c r="M426" s="1691"/>
      <c r="N426" s="1691"/>
      <c r="O426" s="1691"/>
      <c r="P426" s="1691"/>
      <c r="Q426" s="1691"/>
      <c r="R426" s="1691"/>
      <c r="S426" s="1691"/>
      <c r="T426" s="1691"/>
      <c r="U426" s="1691"/>
      <c r="V426" s="1691"/>
      <c r="W426" s="1691"/>
      <c r="X426" s="1691"/>
      <c r="Y426" s="1691"/>
      <c r="Z426" s="1691"/>
      <c r="AA426" s="1691"/>
      <c r="AB426" s="1691"/>
      <c r="AC426" s="1691"/>
      <c r="AD426" s="1691"/>
      <c r="AE426" s="1691"/>
      <c r="AF426" s="1691"/>
      <c r="AG426" s="1691"/>
      <c r="AH426" s="1691"/>
      <c r="AI426" s="1691"/>
      <c r="AJ426" s="1691"/>
      <c r="AK426" s="1691"/>
      <c r="AL426" s="1691"/>
      <c r="AM426" s="1691"/>
      <c r="AN426" s="1691"/>
      <c r="AO426" s="1691"/>
      <c r="AP426" s="1691"/>
      <c r="AQ426" s="1691"/>
      <c r="AR426" s="1691"/>
      <c r="AS426" s="1691"/>
      <c r="AT426" s="1691"/>
    </row>
    <row r="427">
      <c r="A427" s="1419"/>
      <c r="B427" s="1697"/>
      <c r="C427" s="1698"/>
      <c r="D427" s="1698"/>
      <c r="E427" s="1689"/>
      <c r="F427" s="1689"/>
      <c r="G427" s="1689"/>
      <c r="H427" s="1689"/>
      <c r="I427" s="1689"/>
      <c r="J427" s="1689"/>
      <c r="K427" s="1689"/>
      <c r="L427" s="1689"/>
      <c r="M427" s="1689"/>
      <c r="N427" s="1689"/>
      <c r="O427" s="1689"/>
      <c r="P427" s="1689"/>
      <c r="Q427" s="1689"/>
      <c r="R427" s="1689"/>
      <c r="S427" s="1689"/>
      <c r="T427" s="1689"/>
      <c r="U427" s="1689"/>
      <c r="V427" s="1689"/>
      <c r="W427" s="1689"/>
      <c r="X427" s="1689"/>
      <c r="Y427" s="1689"/>
      <c r="Z427" s="1689"/>
      <c r="AA427" s="1689"/>
      <c r="AB427" s="1689"/>
      <c r="AC427" s="1689"/>
      <c r="AD427" s="1689"/>
      <c r="AE427" s="1689"/>
      <c r="AF427" s="1689"/>
      <c r="AG427" s="1689"/>
      <c r="AH427" s="1689"/>
      <c r="AI427" s="1689"/>
      <c r="AJ427" s="1689"/>
      <c r="AK427" s="1689"/>
      <c r="AL427" s="1689"/>
      <c r="AM427" s="1689"/>
      <c r="AN427" s="1689"/>
      <c r="AO427" s="1689"/>
      <c r="AP427" s="1689"/>
      <c r="AQ427" s="1689"/>
      <c r="AR427" s="1689"/>
      <c r="AS427" s="1689"/>
      <c r="AT427" s="1689"/>
    </row>
    <row r="428">
      <c r="A428" s="1419"/>
      <c r="B428" s="1699"/>
      <c r="C428" s="1700"/>
      <c r="D428" s="1700"/>
      <c r="E428" s="1691"/>
      <c r="F428" s="1691"/>
      <c r="G428" s="1691"/>
      <c r="H428" s="1691"/>
      <c r="I428" s="1691"/>
      <c r="J428" s="1691"/>
      <c r="K428" s="1691"/>
      <c r="L428" s="1691"/>
      <c r="M428" s="1691"/>
      <c r="N428" s="1691"/>
      <c r="O428" s="1691"/>
      <c r="P428" s="1691"/>
      <c r="Q428" s="1691"/>
      <c r="R428" s="1691"/>
      <c r="S428" s="1691"/>
      <c r="T428" s="1691"/>
      <c r="U428" s="1691"/>
      <c r="V428" s="1691"/>
      <c r="W428" s="1691"/>
      <c r="X428" s="1691"/>
      <c r="Y428" s="1691"/>
      <c r="Z428" s="1691"/>
      <c r="AA428" s="1691"/>
      <c r="AB428" s="1691"/>
      <c r="AC428" s="1691"/>
      <c r="AD428" s="1691"/>
      <c r="AE428" s="1691"/>
      <c r="AF428" s="1691"/>
      <c r="AG428" s="1691"/>
      <c r="AH428" s="1691"/>
      <c r="AI428" s="1691"/>
      <c r="AJ428" s="1691"/>
      <c r="AK428" s="1691"/>
      <c r="AL428" s="1691"/>
      <c r="AM428" s="1691"/>
      <c r="AN428" s="1691"/>
      <c r="AO428" s="1691"/>
      <c r="AP428" s="1691"/>
      <c r="AQ428" s="1691"/>
      <c r="AR428" s="1691"/>
      <c r="AS428" s="1691"/>
      <c r="AT428" s="1691"/>
    </row>
    <row r="429">
      <c r="A429" s="1419"/>
      <c r="B429" s="1697"/>
      <c r="C429" s="1698"/>
      <c r="D429" s="1698"/>
      <c r="E429" s="1689"/>
      <c r="F429" s="1689"/>
      <c r="G429" s="1689"/>
      <c r="H429" s="1689"/>
      <c r="I429" s="1689"/>
      <c r="J429" s="1689"/>
      <c r="K429" s="1689"/>
      <c r="L429" s="1689"/>
      <c r="M429" s="1689"/>
      <c r="N429" s="1689"/>
      <c r="O429" s="1689"/>
      <c r="P429" s="1689"/>
      <c r="Q429" s="1689"/>
      <c r="R429" s="1689"/>
      <c r="S429" s="1689"/>
      <c r="T429" s="1689"/>
      <c r="U429" s="1689"/>
      <c r="V429" s="1689"/>
      <c r="W429" s="1689"/>
      <c r="X429" s="1689"/>
      <c r="Y429" s="1689"/>
      <c r="Z429" s="1689"/>
      <c r="AA429" s="1689"/>
      <c r="AB429" s="1689"/>
      <c r="AC429" s="1689"/>
      <c r="AD429" s="1689"/>
      <c r="AE429" s="1689"/>
      <c r="AF429" s="1689"/>
      <c r="AG429" s="1689"/>
      <c r="AH429" s="1689"/>
      <c r="AI429" s="1689"/>
      <c r="AJ429" s="1689"/>
      <c r="AK429" s="1689"/>
      <c r="AL429" s="1689"/>
      <c r="AM429" s="1689"/>
      <c r="AN429" s="1689"/>
      <c r="AO429" s="1689"/>
      <c r="AP429" s="1689"/>
      <c r="AQ429" s="1689"/>
      <c r="AR429" s="1689"/>
      <c r="AS429" s="1689"/>
      <c r="AT429" s="1689"/>
    </row>
    <row r="430">
      <c r="A430" s="1419"/>
      <c r="B430" s="1699"/>
      <c r="C430" s="1700"/>
      <c r="D430" s="1700"/>
      <c r="E430" s="1691"/>
      <c r="F430" s="1691"/>
      <c r="G430" s="1691"/>
      <c r="H430" s="1691"/>
      <c r="I430" s="1691"/>
      <c r="J430" s="1691"/>
      <c r="K430" s="1691"/>
      <c r="L430" s="1691"/>
      <c r="M430" s="1691"/>
      <c r="N430" s="1691"/>
      <c r="O430" s="1691"/>
      <c r="P430" s="1691"/>
      <c r="Q430" s="1691"/>
      <c r="R430" s="1691"/>
      <c r="S430" s="1691"/>
      <c r="T430" s="1691"/>
      <c r="U430" s="1691"/>
      <c r="V430" s="1691"/>
      <c r="W430" s="1691"/>
      <c r="X430" s="1691"/>
      <c r="Y430" s="1691"/>
      <c r="Z430" s="1691"/>
      <c r="AA430" s="1691"/>
      <c r="AB430" s="1691"/>
      <c r="AC430" s="1691"/>
      <c r="AD430" s="1691"/>
      <c r="AE430" s="1691"/>
      <c r="AF430" s="1691"/>
      <c r="AG430" s="1691"/>
      <c r="AH430" s="1691"/>
      <c r="AI430" s="1691"/>
      <c r="AJ430" s="1691"/>
      <c r="AK430" s="1691"/>
      <c r="AL430" s="1691"/>
      <c r="AM430" s="1691"/>
      <c r="AN430" s="1691"/>
      <c r="AO430" s="1691"/>
      <c r="AP430" s="1691"/>
      <c r="AQ430" s="1691"/>
      <c r="AR430" s="1691"/>
      <c r="AS430" s="1691"/>
      <c r="AT430" s="1691"/>
    </row>
    <row r="431">
      <c r="A431" s="1419"/>
      <c r="B431" s="1697"/>
      <c r="C431" s="1698"/>
      <c r="D431" s="1698"/>
      <c r="E431" s="1689"/>
      <c r="F431" s="1689"/>
      <c r="G431" s="1689"/>
      <c r="H431" s="1689"/>
      <c r="I431" s="1689"/>
      <c r="J431" s="1689"/>
      <c r="K431" s="1689"/>
      <c r="L431" s="1689"/>
      <c r="M431" s="1689"/>
      <c r="N431" s="1689"/>
      <c r="O431" s="1689"/>
      <c r="P431" s="1689"/>
      <c r="Q431" s="1689"/>
      <c r="R431" s="1689"/>
      <c r="S431" s="1689"/>
      <c r="T431" s="1689"/>
      <c r="U431" s="1689"/>
      <c r="V431" s="1689"/>
      <c r="W431" s="1689"/>
      <c r="X431" s="1689"/>
      <c r="Y431" s="1689"/>
      <c r="Z431" s="1689"/>
      <c r="AA431" s="1689"/>
      <c r="AB431" s="1689"/>
      <c r="AC431" s="1689"/>
      <c r="AD431" s="1689"/>
      <c r="AE431" s="1689"/>
      <c r="AF431" s="1689"/>
      <c r="AG431" s="1689"/>
      <c r="AH431" s="1689"/>
      <c r="AI431" s="1689"/>
      <c r="AJ431" s="1689"/>
      <c r="AK431" s="1689"/>
      <c r="AL431" s="1689"/>
      <c r="AM431" s="1689"/>
      <c r="AN431" s="1689"/>
      <c r="AO431" s="1689"/>
      <c r="AP431" s="1689"/>
      <c r="AQ431" s="1689"/>
      <c r="AR431" s="1689"/>
      <c r="AS431" s="1689"/>
      <c r="AT431" s="1689"/>
    </row>
    <row r="432">
      <c r="A432" s="1419"/>
      <c r="B432" s="1699"/>
      <c r="C432" s="1700"/>
      <c r="D432" s="1700"/>
      <c r="E432" s="1691"/>
      <c r="F432" s="1691"/>
      <c r="G432" s="1691"/>
      <c r="H432" s="1691"/>
      <c r="I432" s="1691"/>
      <c r="J432" s="1691"/>
      <c r="K432" s="1691"/>
      <c r="L432" s="1691"/>
      <c r="M432" s="1691"/>
      <c r="N432" s="1691"/>
      <c r="O432" s="1691"/>
      <c r="P432" s="1691"/>
      <c r="Q432" s="1691"/>
      <c r="R432" s="1691"/>
      <c r="S432" s="1691"/>
      <c r="T432" s="1691"/>
      <c r="U432" s="1691"/>
      <c r="V432" s="1691"/>
      <c r="W432" s="1691"/>
      <c r="X432" s="1691"/>
      <c r="Y432" s="1691"/>
      <c r="Z432" s="1691"/>
      <c r="AA432" s="1691"/>
      <c r="AB432" s="1691"/>
      <c r="AC432" s="1691"/>
      <c r="AD432" s="1691"/>
      <c r="AE432" s="1691"/>
      <c r="AF432" s="1691"/>
      <c r="AG432" s="1691"/>
      <c r="AH432" s="1691"/>
      <c r="AI432" s="1691"/>
      <c r="AJ432" s="1691"/>
      <c r="AK432" s="1691"/>
      <c r="AL432" s="1691"/>
      <c r="AM432" s="1691"/>
      <c r="AN432" s="1691"/>
      <c r="AO432" s="1691"/>
      <c r="AP432" s="1691"/>
      <c r="AQ432" s="1691"/>
      <c r="AR432" s="1691"/>
      <c r="AS432" s="1691"/>
      <c r="AT432" s="1691"/>
    </row>
    <row r="433">
      <c r="A433" s="1419"/>
      <c r="B433" s="1697"/>
      <c r="C433" s="1698"/>
      <c r="D433" s="1698"/>
      <c r="E433" s="1689"/>
      <c r="F433" s="1689"/>
      <c r="G433" s="1689"/>
      <c r="H433" s="1689"/>
      <c r="I433" s="1689"/>
      <c r="J433" s="1689"/>
      <c r="K433" s="1689"/>
      <c r="L433" s="1689"/>
      <c r="M433" s="1689"/>
      <c r="N433" s="1689"/>
      <c r="O433" s="1689"/>
      <c r="P433" s="1689"/>
      <c r="Q433" s="1689"/>
      <c r="R433" s="1689"/>
      <c r="S433" s="1689"/>
      <c r="T433" s="1689"/>
      <c r="U433" s="1689"/>
      <c r="V433" s="1689"/>
      <c r="W433" s="1689"/>
      <c r="X433" s="1689"/>
      <c r="Y433" s="1689"/>
      <c r="Z433" s="1689"/>
      <c r="AA433" s="1689"/>
      <c r="AB433" s="1689"/>
      <c r="AC433" s="1689"/>
      <c r="AD433" s="1689"/>
      <c r="AE433" s="1689"/>
      <c r="AF433" s="1689"/>
      <c r="AG433" s="1689"/>
      <c r="AH433" s="1689"/>
      <c r="AI433" s="1689"/>
      <c r="AJ433" s="1689"/>
      <c r="AK433" s="1689"/>
      <c r="AL433" s="1689"/>
      <c r="AM433" s="1689"/>
      <c r="AN433" s="1689"/>
      <c r="AO433" s="1689"/>
      <c r="AP433" s="1689"/>
      <c r="AQ433" s="1689"/>
      <c r="AR433" s="1689"/>
      <c r="AS433" s="1689"/>
      <c r="AT433" s="1689"/>
    </row>
    <row r="434">
      <c r="A434" s="1419"/>
      <c r="B434" s="1699"/>
      <c r="C434" s="1700"/>
      <c r="D434" s="1700"/>
      <c r="E434" s="1691"/>
      <c r="F434" s="1691"/>
      <c r="G434" s="1691"/>
      <c r="H434" s="1691"/>
      <c r="I434" s="1691"/>
      <c r="J434" s="1691"/>
      <c r="K434" s="1691"/>
      <c r="L434" s="1691"/>
      <c r="M434" s="1691"/>
      <c r="N434" s="1691"/>
      <c r="O434" s="1691"/>
      <c r="P434" s="1691"/>
      <c r="Q434" s="1691"/>
      <c r="R434" s="1691"/>
      <c r="S434" s="1691"/>
      <c r="T434" s="1691"/>
      <c r="U434" s="1691"/>
      <c r="V434" s="1691"/>
      <c r="W434" s="1691"/>
      <c r="X434" s="1691"/>
      <c r="Y434" s="1691"/>
      <c r="Z434" s="1691"/>
      <c r="AA434" s="1691"/>
      <c r="AB434" s="1691"/>
      <c r="AC434" s="1691"/>
      <c r="AD434" s="1691"/>
      <c r="AE434" s="1691"/>
      <c r="AF434" s="1691"/>
      <c r="AG434" s="1691"/>
      <c r="AH434" s="1691"/>
      <c r="AI434" s="1691"/>
      <c r="AJ434" s="1691"/>
      <c r="AK434" s="1691"/>
      <c r="AL434" s="1691"/>
      <c r="AM434" s="1691"/>
      <c r="AN434" s="1691"/>
      <c r="AO434" s="1691"/>
      <c r="AP434" s="1691"/>
      <c r="AQ434" s="1691"/>
      <c r="AR434" s="1691"/>
      <c r="AS434" s="1691"/>
      <c r="AT434" s="1691"/>
    </row>
    <row r="435">
      <c r="A435" s="1419"/>
      <c r="B435" s="1697"/>
      <c r="C435" s="1698"/>
      <c r="D435" s="1698"/>
      <c r="E435" s="1689"/>
      <c r="F435" s="1689"/>
      <c r="G435" s="1689"/>
      <c r="H435" s="1689"/>
      <c r="I435" s="1689"/>
      <c r="J435" s="1689"/>
      <c r="K435" s="1689"/>
      <c r="L435" s="1689"/>
      <c r="M435" s="1689"/>
      <c r="N435" s="1689"/>
      <c r="O435" s="1689"/>
      <c r="P435" s="1689"/>
      <c r="Q435" s="1689"/>
      <c r="R435" s="1689"/>
      <c r="S435" s="1689"/>
      <c r="T435" s="1689"/>
      <c r="U435" s="1689"/>
      <c r="V435" s="1689"/>
      <c r="W435" s="1689"/>
      <c r="X435" s="1689"/>
      <c r="Y435" s="1689"/>
      <c r="Z435" s="1689"/>
      <c r="AA435" s="1689"/>
      <c r="AB435" s="1689"/>
      <c r="AC435" s="1689"/>
      <c r="AD435" s="1689"/>
      <c r="AE435" s="1689"/>
      <c r="AF435" s="1689"/>
      <c r="AG435" s="1689"/>
      <c r="AH435" s="1689"/>
      <c r="AI435" s="1689"/>
      <c r="AJ435" s="1689"/>
      <c r="AK435" s="1689"/>
      <c r="AL435" s="1689"/>
      <c r="AM435" s="1689"/>
      <c r="AN435" s="1689"/>
      <c r="AO435" s="1689"/>
      <c r="AP435" s="1689"/>
      <c r="AQ435" s="1689"/>
      <c r="AR435" s="1689"/>
      <c r="AS435" s="1689"/>
      <c r="AT435" s="1689"/>
    </row>
    <row r="436">
      <c r="A436" s="1419"/>
      <c r="B436" s="1699"/>
      <c r="C436" s="1700"/>
      <c r="D436" s="1700"/>
      <c r="E436" s="1691"/>
      <c r="F436" s="1691"/>
      <c r="G436" s="1691"/>
      <c r="H436" s="1691"/>
      <c r="I436" s="1691"/>
      <c r="J436" s="1691"/>
      <c r="K436" s="1691"/>
      <c r="L436" s="1691"/>
      <c r="M436" s="1691"/>
      <c r="N436" s="1691"/>
      <c r="O436" s="1691"/>
      <c r="P436" s="1691"/>
      <c r="Q436" s="1691"/>
      <c r="R436" s="1691"/>
      <c r="S436" s="1691"/>
      <c r="T436" s="1691"/>
      <c r="U436" s="1691"/>
      <c r="V436" s="1691"/>
      <c r="W436" s="1691"/>
      <c r="X436" s="1691"/>
      <c r="Y436" s="1691"/>
      <c r="Z436" s="1691"/>
      <c r="AA436" s="1691"/>
      <c r="AB436" s="1691"/>
      <c r="AC436" s="1691"/>
      <c r="AD436" s="1691"/>
      <c r="AE436" s="1691"/>
      <c r="AF436" s="1691"/>
      <c r="AG436" s="1691"/>
      <c r="AH436" s="1691"/>
      <c r="AI436" s="1691"/>
      <c r="AJ436" s="1691"/>
      <c r="AK436" s="1691"/>
      <c r="AL436" s="1691"/>
      <c r="AM436" s="1691"/>
      <c r="AN436" s="1691"/>
      <c r="AO436" s="1691"/>
      <c r="AP436" s="1691"/>
      <c r="AQ436" s="1691"/>
      <c r="AR436" s="1691"/>
      <c r="AS436" s="1691"/>
      <c r="AT436" s="1691"/>
    </row>
    <row r="437">
      <c r="A437" s="1419"/>
      <c r="B437" s="1697"/>
      <c r="C437" s="1698"/>
      <c r="D437" s="1698"/>
      <c r="E437" s="1689"/>
      <c r="F437" s="1689"/>
      <c r="G437" s="1689"/>
      <c r="H437" s="1689"/>
      <c r="I437" s="1689"/>
      <c r="J437" s="1689"/>
      <c r="K437" s="1689"/>
      <c r="L437" s="1689"/>
      <c r="M437" s="1689"/>
      <c r="N437" s="1689"/>
      <c r="O437" s="1689"/>
      <c r="P437" s="1689"/>
      <c r="Q437" s="1689"/>
      <c r="R437" s="1689"/>
      <c r="S437" s="1689"/>
      <c r="T437" s="1689"/>
      <c r="U437" s="1689"/>
      <c r="V437" s="1689"/>
      <c r="W437" s="1689"/>
      <c r="X437" s="1689"/>
      <c r="Y437" s="1689"/>
      <c r="Z437" s="1689"/>
      <c r="AA437" s="1689"/>
      <c r="AB437" s="1689"/>
      <c r="AC437" s="1689"/>
      <c r="AD437" s="1689"/>
      <c r="AE437" s="1689"/>
      <c r="AF437" s="1689"/>
      <c r="AG437" s="1689"/>
      <c r="AH437" s="1689"/>
      <c r="AI437" s="1689"/>
      <c r="AJ437" s="1689"/>
      <c r="AK437" s="1689"/>
      <c r="AL437" s="1689"/>
      <c r="AM437" s="1689"/>
      <c r="AN437" s="1689"/>
      <c r="AO437" s="1689"/>
      <c r="AP437" s="1689"/>
      <c r="AQ437" s="1689"/>
      <c r="AR437" s="1689"/>
      <c r="AS437" s="1689"/>
      <c r="AT437" s="1689"/>
    </row>
    <row r="438">
      <c r="A438" s="1419"/>
      <c r="B438" s="1699"/>
      <c r="C438" s="1700"/>
      <c r="D438" s="1700"/>
      <c r="E438" s="1691"/>
      <c r="F438" s="1691"/>
      <c r="G438" s="1691"/>
      <c r="H438" s="1691"/>
      <c r="I438" s="1691"/>
      <c r="J438" s="1691"/>
      <c r="K438" s="1691"/>
      <c r="L438" s="1691"/>
      <c r="M438" s="1691"/>
      <c r="N438" s="1691"/>
      <c r="O438" s="1691"/>
      <c r="P438" s="1691"/>
      <c r="Q438" s="1691"/>
      <c r="R438" s="1691"/>
      <c r="S438" s="1691"/>
      <c r="T438" s="1691"/>
      <c r="U438" s="1691"/>
      <c r="V438" s="1691"/>
      <c r="W438" s="1691"/>
      <c r="X438" s="1691"/>
      <c r="Y438" s="1691"/>
      <c r="Z438" s="1691"/>
      <c r="AA438" s="1691"/>
      <c r="AB438" s="1691"/>
      <c r="AC438" s="1691"/>
      <c r="AD438" s="1691"/>
      <c r="AE438" s="1691"/>
      <c r="AF438" s="1691"/>
      <c r="AG438" s="1691"/>
      <c r="AH438" s="1691"/>
      <c r="AI438" s="1691"/>
      <c r="AJ438" s="1691"/>
      <c r="AK438" s="1691"/>
      <c r="AL438" s="1691"/>
      <c r="AM438" s="1691"/>
      <c r="AN438" s="1691"/>
      <c r="AO438" s="1691"/>
      <c r="AP438" s="1691"/>
      <c r="AQ438" s="1691"/>
      <c r="AR438" s="1691"/>
      <c r="AS438" s="1691"/>
      <c r="AT438" s="1691"/>
    </row>
    <row r="439">
      <c r="A439" s="1419"/>
      <c r="B439" s="1697"/>
      <c r="C439" s="1698"/>
      <c r="D439" s="1698"/>
      <c r="E439" s="1689"/>
      <c r="F439" s="1689"/>
      <c r="G439" s="1689"/>
      <c r="H439" s="1689"/>
      <c r="I439" s="1689"/>
      <c r="J439" s="1689"/>
      <c r="K439" s="1689"/>
      <c r="L439" s="1689"/>
      <c r="M439" s="1689"/>
      <c r="N439" s="1689"/>
      <c r="O439" s="1689"/>
      <c r="P439" s="1689"/>
      <c r="Q439" s="1689"/>
      <c r="R439" s="1689"/>
      <c r="S439" s="1689"/>
      <c r="T439" s="1689"/>
      <c r="U439" s="1689"/>
      <c r="V439" s="1689"/>
      <c r="W439" s="1689"/>
      <c r="X439" s="1689"/>
      <c r="Y439" s="1689"/>
      <c r="Z439" s="1689"/>
      <c r="AA439" s="1689"/>
      <c r="AB439" s="1689"/>
      <c r="AC439" s="1689"/>
      <c r="AD439" s="1689"/>
      <c r="AE439" s="1689"/>
      <c r="AF439" s="1689"/>
      <c r="AG439" s="1689"/>
      <c r="AH439" s="1689"/>
      <c r="AI439" s="1689"/>
      <c r="AJ439" s="1689"/>
      <c r="AK439" s="1689"/>
      <c r="AL439" s="1689"/>
      <c r="AM439" s="1689"/>
      <c r="AN439" s="1689"/>
      <c r="AO439" s="1689"/>
      <c r="AP439" s="1689"/>
      <c r="AQ439" s="1689"/>
      <c r="AR439" s="1689"/>
      <c r="AS439" s="1689"/>
      <c r="AT439" s="1689"/>
    </row>
    <row r="440">
      <c r="A440" s="1419"/>
      <c r="B440" s="1699"/>
      <c r="C440" s="1700"/>
      <c r="D440" s="1700"/>
      <c r="E440" s="1691"/>
      <c r="F440" s="1691"/>
      <c r="G440" s="1691"/>
      <c r="H440" s="1691"/>
      <c r="I440" s="1691"/>
      <c r="J440" s="1691"/>
      <c r="K440" s="1691"/>
      <c r="L440" s="1691"/>
      <c r="M440" s="1691"/>
      <c r="N440" s="1691"/>
      <c r="O440" s="1691"/>
      <c r="P440" s="1691"/>
      <c r="Q440" s="1691"/>
      <c r="R440" s="1691"/>
      <c r="S440" s="1691"/>
      <c r="T440" s="1691"/>
      <c r="U440" s="1691"/>
      <c r="V440" s="1691"/>
      <c r="W440" s="1691"/>
      <c r="X440" s="1691"/>
      <c r="Y440" s="1691"/>
      <c r="Z440" s="1691"/>
      <c r="AA440" s="1691"/>
      <c r="AB440" s="1691"/>
      <c r="AC440" s="1691"/>
      <c r="AD440" s="1691"/>
      <c r="AE440" s="1691"/>
      <c r="AF440" s="1691"/>
      <c r="AG440" s="1691"/>
      <c r="AH440" s="1691"/>
      <c r="AI440" s="1691"/>
      <c r="AJ440" s="1691"/>
      <c r="AK440" s="1691"/>
      <c r="AL440" s="1691"/>
      <c r="AM440" s="1691"/>
      <c r="AN440" s="1691"/>
      <c r="AO440" s="1691"/>
      <c r="AP440" s="1691"/>
      <c r="AQ440" s="1691"/>
      <c r="AR440" s="1691"/>
      <c r="AS440" s="1691"/>
      <c r="AT440" s="1691"/>
    </row>
    <row r="441">
      <c r="A441" s="1419"/>
      <c r="B441" s="1697"/>
      <c r="C441" s="1698"/>
      <c r="D441" s="1698"/>
      <c r="E441" s="1689"/>
      <c r="F441" s="1689"/>
      <c r="G441" s="1689"/>
      <c r="H441" s="1689"/>
      <c r="I441" s="1689"/>
      <c r="J441" s="1689"/>
      <c r="K441" s="1689"/>
      <c r="L441" s="1689"/>
      <c r="M441" s="1689"/>
      <c r="N441" s="1689"/>
      <c r="O441" s="1689"/>
      <c r="P441" s="1689"/>
      <c r="Q441" s="1689"/>
      <c r="R441" s="1689"/>
      <c r="S441" s="1689"/>
      <c r="T441" s="1689"/>
      <c r="U441" s="1689"/>
      <c r="V441" s="1689"/>
      <c r="W441" s="1689"/>
      <c r="X441" s="1689"/>
      <c r="Y441" s="1689"/>
      <c r="Z441" s="1689"/>
      <c r="AA441" s="1689"/>
      <c r="AB441" s="1689"/>
      <c r="AC441" s="1689"/>
      <c r="AD441" s="1689"/>
      <c r="AE441" s="1689"/>
      <c r="AF441" s="1689"/>
      <c r="AG441" s="1689"/>
      <c r="AH441" s="1689"/>
      <c r="AI441" s="1689"/>
      <c r="AJ441" s="1689"/>
      <c r="AK441" s="1689"/>
      <c r="AL441" s="1689"/>
      <c r="AM441" s="1689"/>
      <c r="AN441" s="1689"/>
      <c r="AO441" s="1689"/>
      <c r="AP441" s="1689"/>
      <c r="AQ441" s="1689"/>
      <c r="AR441" s="1689"/>
      <c r="AS441" s="1689"/>
      <c r="AT441" s="1689"/>
    </row>
    <row r="442">
      <c r="A442" s="1419"/>
      <c r="B442" s="1699"/>
      <c r="C442" s="1700"/>
      <c r="D442" s="1700"/>
      <c r="E442" s="1691"/>
      <c r="F442" s="1691"/>
      <c r="G442" s="1691"/>
      <c r="H442" s="1691"/>
      <c r="I442" s="1691"/>
      <c r="J442" s="1691"/>
      <c r="K442" s="1691"/>
      <c r="L442" s="1691"/>
      <c r="M442" s="1691"/>
      <c r="N442" s="1691"/>
      <c r="O442" s="1691"/>
      <c r="P442" s="1691"/>
      <c r="Q442" s="1691"/>
      <c r="R442" s="1691"/>
      <c r="S442" s="1691"/>
      <c r="T442" s="1691"/>
      <c r="U442" s="1691"/>
      <c r="V442" s="1691"/>
      <c r="W442" s="1691"/>
      <c r="X442" s="1691"/>
      <c r="Y442" s="1691"/>
      <c r="Z442" s="1691"/>
      <c r="AA442" s="1691"/>
      <c r="AB442" s="1691"/>
      <c r="AC442" s="1691"/>
      <c r="AD442" s="1691"/>
      <c r="AE442" s="1691"/>
      <c r="AF442" s="1691"/>
      <c r="AG442" s="1691"/>
      <c r="AH442" s="1691"/>
      <c r="AI442" s="1691"/>
      <c r="AJ442" s="1691"/>
      <c r="AK442" s="1691"/>
      <c r="AL442" s="1691"/>
      <c r="AM442" s="1691"/>
      <c r="AN442" s="1691"/>
      <c r="AO442" s="1691"/>
      <c r="AP442" s="1691"/>
      <c r="AQ442" s="1691"/>
      <c r="AR442" s="1691"/>
      <c r="AS442" s="1691"/>
      <c r="AT442" s="1691"/>
    </row>
    <row r="443">
      <c r="A443" s="1419"/>
      <c r="B443" s="1697"/>
      <c r="C443" s="1698"/>
      <c r="D443" s="1698"/>
      <c r="E443" s="1689"/>
      <c r="F443" s="1689"/>
      <c r="G443" s="1689"/>
      <c r="H443" s="1689"/>
      <c r="I443" s="1689"/>
      <c r="J443" s="1689"/>
      <c r="K443" s="1689"/>
      <c r="L443" s="1689"/>
      <c r="M443" s="1689"/>
      <c r="N443" s="1689"/>
      <c r="O443" s="1689"/>
      <c r="P443" s="1689"/>
      <c r="Q443" s="1689"/>
      <c r="R443" s="1689"/>
      <c r="S443" s="1689"/>
      <c r="T443" s="1689"/>
      <c r="U443" s="1689"/>
      <c r="V443" s="1689"/>
      <c r="W443" s="1689"/>
      <c r="X443" s="1689"/>
      <c r="Y443" s="1689"/>
      <c r="Z443" s="1689"/>
      <c r="AA443" s="1689"/>
      <c r="AB443" s="1689"/>
      <c r="AC443" s="1689"/>
      <c r="AD443" s="1689"/>
      <c r="AE443" s="1689"/>
      <c r="AF443" s="1689"/>
      <c r="AG443" s="1689"/>
      <c r="AH443" s="1689"/>
      <c r="AI443" s="1689"/>
      <c r="AJ443" s="1689"/>
      <c r="AK443" s="1689"/>
      <c r="AL443" s="1689"/>
      <c r="AM443" s="1689"/>
      <c r="AN443" s="1689"/>
      <c r="AO443" s="1689"/>
      <c r="AP443" s="1689"/>
      <c r="AQ443" s="1689"/>
      <c r="AR443" s="1689"/>
      <c r="AS443" s="1689"/>
      <c r="AT443" s="1689"/>
    </row>
    <row r="444">
      <c r="A444" s="1419"/>
      <c r="B444" s="1699"/>
      <c r="C444" s="1700"/>
      <c r="D444" s="1700"/>
      <c r="E444" s="1691"/>
      <c r="F444" s="1691"/>
      <c r="G444" s="1691"/>
      <c r="H444" s="1691"/>
      <c r="I444" s="1691"/>
      <c r="J444" s="1691"/>
      <c r="K444" s="1691"/>
      <c r="L444" s="1691"/>
      <c r="M444" s="1691"/>
      <c r="N444" s="1691"/>
      <c r="O444" s="1691"/>
      <c r="P444" s="1691"/>
      <c r="Q444" s="1691"/>
      <c r="R444" s="1691"/>
      <c r="S444" s="1691"/>
      <c r="T444" s="1691"/>
      <c r="U444" s="1691"/>
      <c r="V444" s="1691"/>
      <c r="W444" s="1691"/>
      <c r="X444" s="1691"/>
      <c r="Y444" s="1691"/>
      <c r="Z444" s="1691"/>
      <c r="AA444" s="1691"/>
      <c r="AB444" s="1691"/>
      <c r="AC444" s="1691"/>
      <c r="AD444" s="1691"/>
      <c r="AE444" s="1691"/>
      <c r="AF444" s="1691"/>
      <c r="AG444" s="1691"/>
      <c r="AH444" s="1691"/>
      <c r="AI444" s="1691"/>
      <c r="AJ444" s="1691"/>
      <c r="AK444" s="1691"/>
      <c r="AL444" s="1691"/>
      <c r="AM444" s="1691"/>
      <c r="AN444" s="1691"/>
      <c r="AO444" s="1691"/>
      <c r="AP444" s="1691"/>
      <c r="AQ444" s="1691"/>
      <c r="AR444" s="1691"/>
      <c r="AS444" s="1691"/>
      <c r="AT444" s="1691"/>
    </row>
    <row r="445">
      <c r="A445" s="1419"/>
      <c r="B445" s="1697"/>
      <c r="C445" s="1698"/>
      <c r="D445" s="1698"/>
      <c r="E445" s="1689"/>
      <c r="F445" s="1689"/>
      <c r="G445" s="1689"/>
      <c r="H445" s="1689"/>
      <c r="I445" s="1689"/>
      <c r="J445" s="1689"/>
      <c r="K445" s="1689"/>
      <c r="L445" s="1689"/>
      <c r="M445" s="1689"/>
      <c r="N445" s="1689"/>
      <c r="O445" s="1689"/>
      <c r="P445" s="1689"/>
      <c r="Q445" s="1689"/>
      <c r="R445" s="1689"/>
      <c r="S445" s="1689"/>
      <c r="T445" s="1689"/>
      <c r="U445" s="1689"/>
      <c r="V445" s="1689"/>
      <c r="W445" s="1689"/>
      <c r="X445" s="1689"/>
      <c r="Y445" s="1689"/>
      <c r="Z445" s="1689"/>
      <c r="AA445" s="1689"/>
      <c r="AB445" s="1689"/>
      <c r="AC445" s="1689"/>
      <c r="AD445" s="1689"/>
      <c r="AE445" s="1689"/>
      <c r="AF445" s="1689"/>
      <c r="AG445" s="1689"/>
      <c r="AH445" s="1689"/>
      <c r="AI445" s="1689"/>
      <c r="AJ445" s="1689"/>
      <c r="AK445" s="1689"/>
      <c r="AL445" s="1689"/>
      <c r="AM445" s="1689"/>
      <c r="AN445" s="1689"/>
      <c r="AO445" s="1689"/>
      <c r="AP445" s="1689"/>
      <c r="AQ445" s="1689"/>
      <c r="AR445" s="1689"/>
      <c r="AS445" s="1689"/>
      <c r="AT445" s="1689"/>
    </row>
    <row r="446">
      <c r="A446" s="1419"/>
      <c r="B446" s="1699"/>
      <c r="C446" s="1700"/>
      <c r="D446" s="1700"/>
      <c r="E446" s="1691"/>
      <c r="F446" s="1691"/>
      <c r="G446" s="1691"/>
      <c r="H446" s="1691"/>
      <c r="I446" s="1691"/>
      <c r="J446" s="1691"/>
      <c r="K446" s="1691"/>
      <c r="L446" s="1691"/>
      <c r="M446" s="1691"/>
      <c r="N446" s="1691"/>
      <c r="O446" s="1691"/>
      <c r="P446" s="1691"/>
      <c r="Q446" s="1691"/>
      <c r="R446" s="1691"/>
      <c r="S446" s="1691"/>
      <c r="T446" s="1691"/>
      <c r="U446" s="1691"/>
      <c r="V446" s="1691"/>
      <c r="W446" s="1691"/>
      <c r="X446" s="1691"/>
      <c r="Y446" s="1691"/>
      <c r="Z446" s="1691"/>
      <c r="AA446" s="1691"/>
      <c r="AB446" s="1691"/>
      <c r="AC446" s="1691"/>
      <c r="AD446" s="1691"/>
      <c r="AE446" s="1691"/>
      <c r="AF446" s="1691"/>
      <c r="AG446" s="1691"/>
      <c r="AH446" s="1691"/>
      <c r="AI446" s="1691"/>
      <c r="AJ446" s="1691"/>
      <c r="AK446" s="1691"/>
      <c r="AL446" s="1691"/>
      <c r="AM446" s="1691"/>
      <c r="AN446" s="1691"/>
      <c r="AO446" s="1691"/>
      <c r="AP446" s="1691"/>
      <c r="AQ446" s="1691"/>
      <c r="AR446" s="1691"/>
      <c r="AS446" s="1691"/>
      <c r="AT446" s="1691"/>
    </row>
    <row r="447">
      <c r="A447" s="1419"/>
      <c r="B447" s="1697"/>
      <c r="C447" s="1698"/>
      <c r="D447" s="1698"/>
      <c r="E447" s="1689"/>
      <c r="F447" s="1689"/>
      <c r="G447" s="1689"/>
      <c r="H447" s="1689"/>
      <c r="I447" s="1689"/>
      <c r="J447" s="1689"/>
      <c r="K447" s="1689"/>
      <c r="L447" s="1689"/>
      <c r="M447" s="1689"/>
      <c r="N447" s="1689"/>
      <c r="O447" s="1689"/>
      <c r="P447" s="1689"/>
      <c r="Q447" s="1689"/>
      <c r="R447" s="1689"/>
      <c r="S447" s="1689"/>
      <c r="T447" s="1689"/>
      <c r="U447" s="1689"/>
      <c r="V447" s="1689"/>
      <c r="W447" s="1689"/>
      <c r="X447" s="1689"/>
      <c r="Y447" s="1689"/>
      <c r="Z447" s="1689"/>
      <c r="AA447" s="1689"/>
      <c r="AB447" s="1689"/>
      <c r="AC447" s="1689"/>
      <c r="AD447" s="1689"/>
      <c r="AE447" s="1689"/>
      <c r="AF447" s="1689"/>
      <c r="AG447" s="1689"/>
      <c r="AH447" s="1689"/>
      <c r="AI447" s="1689"/>
      <c r="AJ447" s="1689"/>
      <c r="AK447" s="1689"/>
      <c r="AL447" s="1689"/>
      <c r="AM447" s="1689"/>
      <c r="AN447" s="1689"/>
      <c r="AO447" s="1689"/>
      <c r="AP447" s="1689"/>
      <c r="AQ447" s="1689"/>
      <c r="AR447" s="1689"/>
      <c r="AS447" s="1689"/>
      <c r="AT447" s="1689"/>
    </row>
    <row r="448">
      <c r="A448" s="1419"/>
      <c r="B448" s="1699"/>
      <c r="C448" s="1700"/>
      <c r="D448" s="1700"/>
      <c r="E448" s="1691"/>
      <c r="F448" s="1691"/>
      <c r="G448" s="1691"/>
      <c r="H448" s="1691"/>
      <c r="I448" s="1691"/>
      <c r="J448" s="1691"/>
      <c r="K448" s="1691"/>
      <c r="L448" s="1691"/>
      <c r="M448" s="1691"/>
      <c r="N448" s="1691"/>
      <c r="O448" s="1691"/>
      <c r="P448" s="1691"/>
      <c r="Q448" s="1691"/>
      <c r="R448" s="1691"/>
      <c r="S448" s="1691"/>
      <c r="T448" s="1691"/>
      <c r="U448" s="1691"/>
      <c r="V448" s="1691"/>
      <c r="W448" s="1691"/>
      <c r="X448" s="1691"/>
      <c r="Y448" s="1691"/>
      <c r="Z448" s="1691"/>
      <c r="AA448" s="1691"/>
      <c r="AB448" s="1691"/>
      <c r="AC448" s="1691"/>
      <c r="AD448" s="1691"/>
      <c r="AE448" s="1691"/>
      <c r="AF448" s="1691"/>
      <c r="AG448" s="1691"/>
      <c r="AH448" s="1691"/>
      <c r="AI448" s="1691"/>
      <c r="AJ448" s="1691"/>
      <c r="AK448" s="1691"/>
      <c r="AL448" s="1691"/>
      <c r="AM448" s="1691"/>
      <c r="AN448" s="1691"/>
      <c r="AO448" s="1691"/>
      <c r="AP448" s="1691"/>
      <c r="AQ448" s="1691"/>
      <c r="AR448" s="1691"/>
      <c r="AS448" s="1691"/>
      <c r="AT448" s="1691"/>
    </row>
    <row r="449">
      <c r="A449" s="1419"/>
      <c r="B449" s="1697"/>
      <c r="C449" s="1698"/>
      <c r="D449" s="1698"/>
      <c r="E449" s="1689"/>
      <c r="F449" s="1689"/>
      <c r="G449" s="1689"/>
      <c r="H449" s="1689"/>
      <c r="I449" s="1689"/>
      <c r="J449" s="1689"/>
      <c r="K449" s="1689"/>
      <c r="L449" s="1689"/>
      <c r="M449" s="1689"/>
      <c r="N449" s="1689"/>
      <c r="O449" s="1689"/>
      <c r="P449" s="1689"/>
      <c r="Q449" s="1689"/>
      <c r="R449" s="1689"/>
      <c r="S449" s="1689"/>
      <c r="T449" s="1689"/>
      <c r="U449" s="1689"/>
      <c r="V449" s="1689"/>
      <c r="W449" s="1689"/>
      <c r="X449" s="1689"/>
      <c r="Y449" s="1689"/>
      <c r="Z449" s="1689"/>
      <c r="AA449" s="1689"/>
      <c r="AB449" s="1689"/>
      <c r="AC449" s="1689"/>
      <c r="AD449" s="1689"/>
      <c r="AE449" s="1689"/>
      <c r="AF449" s="1689"/>
      <c r="AG449" s="1689"/>
      <c r="AH449" s="1689"/>
      <c r="AI449" s="1689"/>
      <c r="AJ449" s="1689"/>
      <c r="AK449" s="1689"/>
      <c r="AL449" s="1689"/>
      <c r="AM449" s="1689"/>
      <c r="AN449" s="1689"/>
      <c r="AO449" s="1689"/>
      <c r="AP449" s="1689"/>
      <c r="AQ449" s="1689"/>
      <c r="AR449" s="1689"/>
      <c r="AS449" s="1689"/>
      <c r="AT449" s="1689"/>
    </row>
    <row r="450">
      <c r="A450" s="1419"/>
      <c r="B450" s="1699"/>
      <c r="C450" s="1700"/>
      <c r="D450" s="1700"/>
      <c r="E450" s="1691"/>
      <c r="F450" s="1691"/>
      <c r="G450" s="1691"/>
      <c r="H450" s="1691"/>
      <c r="I450" s="1691"/>
      <c r="J450" s="1691"/>
      <c r="K450" s="1691"/>
      <c r="L450" s="1691"/>
      <c r="M450" s="1691"/>
      <c r="N450" s="1691"/>
      <c r="O450" s="1691"/>
      <c r="P450" s="1691"/>
      <c r="Q450" s="1691"/>
      <c r="R450" s="1691"/>
      <c r="S450" s="1691"/>
      <c r="T450" s="1691"/>
      <c r="U450" s="1691"/>
      <c r="V450" s="1691"/>
      <c r="W450" s="1691"/>
      <c r="X450" s="1691"/>
      <c r="Y450" s="1691"/>
      <c r="Z450" s="1691"/>
      <c r="AA450" s="1691"/>
      <c r="AB450" s="1691"/>
      <c r="AC450" s="1691"/>
      <c r="AD450" s="1691"/>
      <c r="AE450" s="1691"/>
      <c r="AF450" s="1691"/>
      <c r="AG450" s="1691"/>
      <c r="AH450" s="1691"/>
      <c r="AI450" s="1691"/>
      <c r="AJ450" s="1691"/>
      <c r="AK450" s="1691"/>
      <c r="AL450" s="1691"/>
      <c r="AM450" s="1691"/>
      <c r="AN450" s="1691"/>
      <c r="AO450" s="1691"/>
      <c r="AP450" s="1691"/>
      <c r="AQ450" s="1691"/>
      <c r="AR450" s="1691"/>
      <c r="AS450" s="1691"/>
      <c r="AT450" s="1691"/>
    </row>
    <row r="451">
      <c r="A451" s="1440" t="s">
        <v>2461</v>
      </c>
      <c r="B451" s="1697"/>
      <c r="C451" s="1698"/>
      <c r="D451" s="1698"/>
      <c r="E451" s="1689"/>
      <c r="F451" s="1689"/>
      <c r="G451" s="1689"/>
      <c r="H451" s="1689"/>
      <c r="I451" s="1689"/>
      <c r="J451" s="1689"/>
      <c r="K451" s="1689"/>
      <c r="L451" s="1689"/>
      <c r="M451" s="1689"/>
      <c r="N451" s="1689"/>
      <c r="O451" s="1689"/>
      <c r="P451" s="1689"/>
      <c r="Q451" s="1689"/>
      <c r="R451" s="1689"/>
      <c r="S451" s="1689"/>
      <c r="T451" s="1689"/>
      <c r="U451" s="1689"/>
      <c r="V451" s="1689"/>
      <c r="W451" s="1689"/>
      <c r="X451" s="1689"/>
      <c r="Y451" s="1689"/>
      <c r="Z451" s="1689"/>
      <c r="AA451" s="1689"/>
      <c r="AB451" s="1689"/>
      <c r="AC451" s="1689"/>
      <c r="AD451" s="1689"/>
      <c r="AE451" s="1689"/>
      <c r="AF451" s="1689"/>
      <c r="AG451" s="1689"/>
      <c r="AH451" s="1689"/>
      <c r="AI451" s="1689"/>
      <c r="AJ451" s="1689"/>
      <c r="AK451" s="1689"/>
      <c r="AL451" s="1689"/>
      <c r="AM451" s="1689"/>
      <c r="AN451" s="1689"/>
      <c r="AO451" s="1689"/>
      <c r="AP451" s="1689"/>
      <c r="AQ451" s="1689"/>
      <c r="AR451" s="1689"/>
      <c r="AS451" s="1689"/>
      <c r="AT451" s="1689"/>
    </row>
    <row r="452">
      <c r="A452" s="1419"/>
      <c r="B452" s="1699"/>
      <c r="C452" s="1700"/>
      <c r="D452" s="1700"/>
      <c r="E452" s="1691"/>
      <c r="F452" s="1691"/>
      <c r="G452" s="1691"/>
      <c r="H452" s="1691"/>
      <c r="I452" s="1691"/>
      <c r="J452" s="1691"/>
      <c r="K452" s="1691"/>
      <c r="L452" s="1691"/>
      <c r="M452" s="1691"/>
      <c r="N452" s="1691"/>
      <c r="O452" s="1691"/>
      <c r="P452" s="1691"/>
      <c r="Q452" s="1691"/>
      <c r="R452" s="1691"/>
      <c r="S452" s="1691"/>
      <c r="T452" s="1691"/>
      <c r="U452" s="1691"/>
      <c r="V452" s="1691"/>
      <c r="W452" s="1691"/>
      <c r="X452" s="1691"/>
      <c r="Y452" s="1691"/>
      <c r="Z452" s="1691"/>
      <c r="AA452" s="1691"/>
      <c r="AB452" s="1691"/>
      <c r="AC452" s="1691"/>
      <c r="AD452" s="1691"/>
      <c r="AE452" s="1691"/>
      <c r="AF452" s="1691"/>
      <c r="AG452" s="1691"/>
      <c r="AH452" s="1691"/>
      <c r="AI452" s="1691"/>
      <c r="AJ452" s="1691"/>
      <c r="AK452" s="1691"/>
      <c r="AL452" s="1691"/>
      <c r="AM452" s="1691"/>
      <c r="AN452" s="1691"/>
      <c r="AO452" s="1691"/>
      <c r="AP452" s="1691"/>
      <c r="AQ452" s="1691"/>
      <c r="AR452" s="1691"/>
      <c r="AS452" s="1691"/>
      <c r="AT452" s="1691"/>
    </row>
    <row r="453">
      <c r="A453" s="1419"/>
      <c r="B453" s="1697"/>
      <c r="C453" s="1698"/>
      <c r="D453" s="1698"/>
      <c r="E453" s="1689"/>
      <c r="F453" s="1689"/>
      <c r="G453" s="1689"/>
      <c r="H453" s="1689"/>
      <c r="I453" s="1689"/>
      <c r="J453" s="1689"/>
      <c r="K453" s="1689"/>
      <c r="L453" s="1689"/>
      <c r="M453" s="1689"/>
      <c r="N453" s="1689"/>
      <c r="O453" s="1689"/>
      <c r="P453" s="1689"/>
      <c r="Q453" s="1689"/>
      <c r="R453" s="1689"/>
      <c r="S453" s="1689"/>
      <c r="T453" s="1689"/>
      <c r="U453" s="1689"/>
      <c r="V453" s="1689"/>
      <c r="W453" s="1689"/>
      <c r="X453" s="1689"/>
      <c r="Y453" s="1689"/>
      <c r="Z453" s="1689"/>
      <c r="AA453" s="1689"/>
      <c r="AB453" s="1689"/>
      <c r="AC453" s="1689"/>
      <c r="AD453" s="1689"/>
      <c r="AE453" s="1689"/>
      <c r="AF453" s="1689"/>
      <c r="AG453" s="1689"/>
      <c r="AH453" s="1689"/>
      <c r="AI453" s="1689"/>
      <c r="AJ453" s="1689"/>
      <c r="AK453" s="1689"/>
      <c r="AL453" s="1689"/>
      <c r="AM453" s="1689"/>
      <c r="AN453" s="1689"/>
      <c r="AO453" s="1689"/>
      <c r="AP453" s="1689"/>
      <c r="AQ453" s="1689"/>
      <c r="AR453" s="1689"/>
      <c r="AS453" s="1689"/>
      <c r="AT453" s="1689"/>
    </row>
    <row r="454">
      <c r="A454" s="1419"/>
      <c r="B454" s="1699"/>
      <c r="C454" s="1700"/>
      <c r="D454" s="1700"/>
      <c r="E454" s="1691"/>
      <c r="F454" s="1691"/>
      <c r="G454" s="1691"/>
      <c r="H454" s="1691"/>
      <c r="I454" s="1691"/>
      <c r="J454" s="1691"/>
      <c r="K454" s="1691"/>
      <c r="L454" s="1691"/>
      <c r="M454" s="1691"/>
      <c r="N454" s="1691"/>
      <c r="O454" s="1691"/>
      <c r="P454" s="1691"/>
      <c r="Q454" s="1691"/>
      <c r="R454" s="1691"/>
      <c r="S454" s="1691"/>
      <c r="T454" s="1691"/>
      <c r="U454" s="1691"/>
      <c r="V454" s="1691"/>
      <c r="W454" s="1691"/>
      <c r="X454" s="1691"/>
      <c r="Y454" s="1691"/>
      <c r="Z454" s="1691"/>
      <c r="AA454" s="1691"/>
      <c r="AB454" s="1691"/>
      <c r="AC454" s="1691"/>
      <c r="AD454" s="1691"/>
      <c r="AE454" s="1691"/>
      <c r="AF454" s="1691"/>
      <c r="AG454" s="1691"/>
      <c r="AH454" s="1691"/>
      <c r="AI454" s="1691"/>
      <c r="AJ454" s="1691"/>
      <c r="AK454" s="1691"/>
      <c r="AL454" s="1691"/>
      <c r="AM454" s="1691"/>
      <c r="AN454" s="1691"/>
      <c r="AO454" s="1691"/>
      <c r="AP454" s="1691"/>
      <c r="AQ454" s="1691"/>
      <c r="AR454" s="1691"/>
      <c r="AS454" s="1691"/>
      <c r="AT454" s="1691"/>
    </row>
    <row r="455">
      <c r="A455" s="1419"/>
      <c r="B455" s="1697"/>
      <c r="C455" s="1698"/>
      <c r="D455" s="1698"/>
      <c r="E455" s="1689"/>
      <c r="F455" s="1689"/>
      <c r="G455" s="1689"/>
      <c r="H455" s="1689"/>
      <c r="I455" s="1689"/>
      <c r="J455" s="1689"/>
      <c r="K455" s="1689"/>
      <c r="L455" s="1689"/>
      <c r="M455" s="1689"/>
      <c r="N455" s="1689"/>
      <c r="O455" s="1689"/>
      <c r="P455" s="1689"/>
      <c r="Q455" s="1689"/>
      <c r="R455" s="1689"/>
      <c r="S455" s="1689"/>
      <c r="T455" s="1689"/>
      <c r="U455" s="1689"/>
      <c r="V455" s="1689"/>
      <c r="W455" s="1689"/>
      <c r="X455" s="1689"/>
      <c r="Y455" s="1689"/>
      <c r="Z455" s="1689"/>
      <c r="AA455" s="1689"/>
      <c r="AB455" s="1689"/>
      <c r="AC455" s="1689"/>
      <c r="AD455" s="1689"/>
      <c r="AE455" s="1689"/>
      <c r="AF455" s="1689"/>
      <c r="AG455" s="1689"/>
      <c r="AH455" s="1689"/>
      <c r="AI455" s="1689"/>
      <c r="AJ455" s="1689"/>
      <c r="AK455" s="1689"/>
      <c r="AL455" s="1689"/>
      <c r="AM455" s="1689"/>
      <c r="AN455" s="1689"/>
      <c r="AO455" s="1689"/>
      <c r="AP455" s="1689"/>
      <c r="AQ455" s="1689"/>
      <c r="AR455" s="1689"/>
      <c r="AS455" s="1689"/>
      <c r="AT455" s="1689"/>
    </row>
    <row r="456">
      <c r="A456" s="1419"/>
      <c r="B456" s="1699"/>
      <c r="C456" s="1700"/>
      <c r="D456" s="1700"/>
      <c r="E456" s="1691"/>
      <c r="F456" s="1691"/>
      <c r="G456" s="1691"/>
      <c r="H456" s="1691"/>
      <c r="I456" s="1691"/>
      <c r="J456" s="1691"/>
      <c r="K456" s="1691"/>
      <c r="L456" s="1691"/>
      <c r="M456" s="1691"/>
      <c r="N456" s="1691"/>
      <c r="O456" s="1691"/>
      <c r="P456" s="1691"/>
      <c r="Q456" s="1691"/>
      <c r="R456" s="1691"/>
      <c r="S456" s="1691"/>
      <c r="T456" s="1691"/>
      <c r="U456" s="1691"/>
      <c r="V456" s="1691"/>
      <c r="W456" s="1691"/>
      <c r="X456" s="1691"/>
      <c r="Y456" s="1691"/>
      <c r="Z456" s="1691"/>
      <c r="AA456" s="1691"/>
      <c r="AB456" s="1691"/>
      <c r="AC456" s="1691"/>
      <c r="AD456" s="1691"/>
      <c r="AE456" s="1691"/>
      <c r="AF456" s="1691"/>
      <c r="AG456" s="1691"/>
      <c r="AH456" s="1691"/>
      <c r="AI456" s="1691"/>
      <c r="AJ456" s="1691"/>
      <c r="AK456" s="1691"/>
      <c r="AL456" s="1691"/>
      <c r="AM456" s="1691"/>
      <c r="AN456" s="1691"/>
      <c r="AO456" s="1691"/>
      <c r="AP456" s="1691"/>
      <c r="AQ456" s="1691"/>
      <c r="AR456" s="1691"/>
      <c r="AS456" s="1691"/>
      <c r="AT456" s="1691"/>
    </row>
    <row r="457">
      <c r="A457" s="1419"/>
      <c r="B457" s="1697"/>
      <c r="C457" s="1698"/>
      <c r="D457" s="1698"/>
      <c r="E457" s="1689"/>
      <c r="F457" s="1689"/>
      <c r="G457" s="1689"/>
      <c r="H457" s="1689"/>
      <c r="I457" s="1689"/>
      <c r="J457" s="1689"/>
      <c r="K457" s="1689"/>
      <c r="L457" s="1689"/>
      <c r="M457" s="1689"/>
      <c r="N457" s="1689"/>
      <c r="O457" s="1689"/>
      <c r="P457" s="1689"/>
      <c r="Q457" s="1689"/>
      <c r="R457" s="1689"/>
      <c r="S457" s="1689"/>
      <c r="T457" s="1689"/>
      <c r="U457" s="1689"/>
      <c r="V457" s="1689"/>
      <c r="W457" s="1689"/>
      <c r="X457" s="1689"/>
      <c r="Y457" s="1689"/>
      <c r="Z457" s="1689"/>
      <c r="AA457" s="1689"/>
      <c r="AB457" s="1689"/>
      <c r="AC457" s="1689"/>
      <c r="AD457" s="1689"/>
      <c r="AE457" s="1689"/>
      <c r="AF457" s="1689"/>
      <c r="AG457" s="1689"/>
      <c r="AH457" s="1689"/>
      <c r="AI457" s="1689"/>
      <c r="AJ457" s="1689"/>
      <c r="AK457" s="1689"/>
      <c r="AL457" s="1689"/>
      <c r="AM457" s="1689"/>
      <c r="AN457" s="1689"/>
      <c r="AO457" s="1689"/>
      <c r="AP457" s="1689"/>
      <c r="AQ457" s="1689"/>
      <c r="AR457" s="1689"/>
      <c r="AS457" s="1689"/>
      <c r="AT457" s="1689"/>
    </row>
    <row r="458">
      <c r="A458" s="1419"/>
      <c r="B458" s="1699"/>
      <c r="C458" s="1700"/>
      <c r="D458" s="1700"/>
      <c r="E458" s="1691"/>
      <c r="F458" s="1691"/>
      <c r="G458" s="1691"/>
      <c r="H458" s="1691"/>
      <c r="I458" s="1691"/>
      <c r="J458" s="1691"/>
      <c r="K458" s="1691"/>
      <c r="L458" s="1691"/>
      <c r="M458" s="1691"/>
      <c r="N458" s="1691"/>
      <c r="O458" s="1691"/>
      <c r="P458" s="1691"/>
      <c r="Q458" s="1691"/>
      <c r="R458" s="1691"/>
      <c r="S458" s="1691"/>
      <c r="T458" s="1691"/>
      <c r="U458" s="1691"/>
      <c r="V458" s="1691"/>
      <c r="W458" s="1691"/>
      <c r="X458" s="1691"/>
      <c r="Y458" s="1691"/>
      <c r="Z458" s="1691"/>
      <c r="AA458" s="1691"/>
      <c r="AB458" s="1691"/>
      <c r="AC458" s="1691"/>
      <c r="AD458" s="1691"/>
      <c r="AE458" s="1691"/>
      <c r="AF458" s="1691"/>
      <c r="AG458" s="1691"/>
      <c r="AH458" s="1691"/>
      <c r="AI458" s="1691"/>
      <c r="AJ458" s="1691"/>
      <c r="AK458" s="1691"/>
      <c r="AL458" s="1691"/>
      <c r="AM458" s="1691"/>
      <c r="AN458" s="1691"/>
      <c r="AO458" s="1691"/>
      <c r="AP458" s="1691"/>
      <c r="AQ458" s="1691"/>
      <c r="AR458" s="1691"/>
      <c r="AS458" s="1691"/>
      <c r="AT458" s="1691"/>
    </row>
    <row r="459">
      <c r="A459" s="1419"/>
      <c r="B459" s="1697"/>
      <c r="C459" s="1698"/>
      <c r="D459" s="1698"/>
      <c r="E459" s="1689"/>
      <c r="F459" s="1689"/>
      <c r="G459" s="1689"/>
      <c r="H459" s="1689"/>
      <c r="I459" s="1689"/>
      <c r="J459" s="1689"/>
      <c r="K459" s="1689"/>
      <c r="L459" s="1689"/>
      <c r="M459" s="1689"/>
      <c r="N459" s="1689"/>
      <c r="O459" s="1689"/>
      <c r="P459" s="1689"/>
      <c r="Q459" s="1689"/>
      <c r="R459" s="1689"/>
      <c r="S459" s="1689"/>
      <c r="T459" s="1689"/>
      <c r="U459" s="1689"/>
      <c r="V459" s="1689"/>
      <c r="W459" s="1689"/>
      <c r="X459" s="1689"/>
      <c r="Y459" s="1689"/>
      <c r="Z459" s="1689"/>
      <c r="AA459" s="1689"/>
      <c r="AB459" s="1689"/>
      <c r="AC459" s="1689"/>
      <c r="AD459" s="1689"/>
      <c r="AE459" s="1689"/>
      <c r="AF459" s="1689"/>
      <c r="AG459" s="1689"/>
      <c r="AH459" s="1689"/>
      <c r="AI459" s="1689"/>
      <c r="AJ459" s="1689"/>
      <c r="AK459" s="1689"/>
      <c r="AL459" s="1689"/>
      <c r="AM459" s="1689"/>
      <c r="AN459" s="1689"/>
      <c r="AO459" s="1689"/>
      <c r="AP459" s="1689"/>
      <c r="AQ459" s="1689"/>
      <c r="AR459" s="1689"/>
      <c r="AS459" s="1689"/>
      <c r="AT459" s="1689"/>
    </row>
    <row r="460">
      <c r="A460" s="1419"/>
      <c r="B460" s="1699"/>
      <c r="C460" s="1700"/>
      <c r="D460" s="1700"/>
      <c r="E460" s="1691"/>
      <c r="F460" s="1691"/>
      <c r="G460" s="1691"/>
      <c r="H460" s="1691"/>
      <c r="I460" s="1691"/>
      <c r="J460" s="1691"/>
      <c r="K460" s="1691"/>
      <c r="L460" s="1691"/>
      <c r="M460" s="1691"/>
      <c r="N460" s="1691"/>
      <c r="O460" s="1691"/>
      <c r="P460" s="1691"/>
      <c r="Q460" s="1691"/>
      <c r="R460" s="1691"/>
      <c r="S460" s="1691"/>
      <c r="T460" s="1691"/>
      <c r="U460" s="1691"/>
      <c r="V460" s="1691"/>
      <c r="W460" s="1691"/>
      <c r="X460" s="1691"/>
      <c r="Y460" s="1691"/>
      <c r="Z460" s="1691"/>
      <c r="AA460" s="1691"/>
      <c r="AB460" s="1691"/>
      <c r="AC460" s="1691"/>
      <c r="AD460" s="1691"/>
      <c r="AE460" s="1691"/>
      <c r="AF460" s="1691"/>
      <c r="AG460" s="1691"/>
      <c r="AH460" s="1691"/>
      <c r="AI460" s="1691"/>
      <c r="AJ460" s="1691"/>
      <c r="AK460" s="1691"/>
      <c r="AL460" s="1691"/>
      <c r="AM460" s="1691"/>
      <c r="AN460" s="1691"/>
      <c r="AO460" s="1691"/>
      <c r="AP460" s="1691"/>
      <c r="AQ460" s="1691"/>
      <c r="AR460" s="1691"/>
      <c r="AS460" s="1691"/>
      <c r="AT460" s="1691"/>
    </row>
    <row r="461">
      <c r="A461" s="1419"/>
      <c r="B461" s="1697"/>
      <c r="C461" s="1698"/>
      <c r="D461" s="1698"/>
      <c r="E461" s="1689"/>
      <c r="F461" s="1689"/>
      <c r="G461" s="1689"/>
      <c r="H461" s="1689"/>
      <c r="I461" s="1689"/>
      <c r="J461" s="1689"/>
      <c r="K461" s="1689"/>
      <c r="L461" s="1689"/>
      <c r="M461" s="1689"/>
      <c r="N461" s="1689"/>
      <c r="O461" s="1689"/>
      <c r="P461" s="1689"/>
      <c r="Q461" s="1689"/>
      <c r="R461" s="1689"/>
      <c r="S461" s="1689"/>
      <c r="T461" s="1689"/>
      <c r="U461" s="1689"/>
      <c r="V461" s="1689"/>
      <c r="W461" s="1689"/>
      <c r="X461" s="1689"/>
      <c r="Y461" s="1689"/>
      <c r="Z461" s="1689"/>
      <c r="AA461" s="1689"/>
      <c r="AB461" s="1689"/>
      <c r="AC461" s="1689"/>
      <c r="AD461" s="1689"/>
      <c r="AE461" s="1689"/>
      <c r="AF461" s="1689"/>
      <c r="AG461" s="1689"/>
      <c r="AH461" s="1689"/>
      <c r="AI461" s="1689"/>
      <c r="AJ461" s="1689"/>
      <c r="AK461" s="1689"/>
      <c r="AL461" s="1689"/>
      <c r="AM461" s="1689"/>
      <c r="AN461" s="1689"/>
      <c r="AO461" s="1689"/>
      <c r="AP461" s="1689"/>
      <c r="AQ461" s="1689"/>
      <c r="AR461" s="1689"/>
      <c r="AS461" s="1689"/>
      <c r="AT461" s="1689"/>
    </row>
    <row r="462">
      <c r="A462" s="1419"/>
      <c r="B462" s="1699"/>
      <c r="C462" s="1700"/>
      <c r="D462" s="1700"/>
      <c r="E462" s="1691"/>
      <c r="F462" s="1691"/>
      <c r="G462" s="1691"/>
      <c r="H462" s="1691"/>
      <c r="I462" s="1691"/>
      <c r="J462" s="1691"/>
      <c r="K462" s="1691"/>
      <c r="L462" s="1691"/>
      <c r="M462" s="1691"/>
      <c r="N462" s="1691"/>
      <c r="O462" s="1691"/>
      <c r="P462" s="1691"/>
      <c r="Q462" s="1691"/>
      <c r="R462" s="1691"/>
      <c r="S462" s="1691"/>
      <c r="T462" s="1691"/>
      <c r="U462" s="1691"/>
      <c r="V462" s="1691"/>
      <c r="W462" s="1691"/>
      <c r="X462" s="1691"/>
      <c r="Y462" s="1691"/>
      <c r="Z462" s="1691"/>
      <c r="AA462" s="1691"/>
      <c r="AB462" s="1691"/>
      <c r="AC462" s="1691"/>
      <c r="AD462" s="1691"/>
      <c r="AE462" s="1691"/>
      <c r="AF462" s="1691"/>
      <c r="AG462" s="1691"/>
      <c r="AH462" s="1691"/>
      <c r="AI462" s="1691"/>
      <c r="AJ462" s="1691"/>
      <c r="AK462" s="1691"/>
      <c r="AL462" s="1691"/>
      <c r="AM462" s="1691"/>
      <c r="AN462" s="1691"/>
      <c r="AO462" s="1691"/>
      <c r="AP462" s="1691"/>
      <c r="AQ462" s="1691"/>
      <c r="AR462" s="1691"/>
      <c r="AS462" s="1691"/>
      <c r="AT462" s="1691"/>
    </row>
    <row r="463">
      <c r="A463" s="1419"/>
      <c r="B463" s="1697"/>
      <c r="C463" s="1698"/>
      <c r="D463" s="1698"/>
      <c r="E463" s="1689"/>
      <c r="F463" s="1689"/>
      <c r="G463" s="1689"/>
      <c r="H463" s="1689"/>
      <c r="I463" s="1689"/>
      <c r="J463" s="1689"/>
      <c r="K463" s="1689"/>
      <c r="L463" s="1689"/>
      <c r="M463" s="1689"/>
      <c r="N463" s="1689"/>
      <c r="O463" s="1689"/>
      <c r="P463" s="1689"/>
      <c r="Q463" s="1689"/>
      <c r="R463" s="1689"/>
      <c r="S463" s="1689"/>
      <c r="T463" s="1689"/>
      <c r="U463" s="1689"/>
      <c r="V463" s="1689"/>
      <c r="W463" s="1689"/>
      <c r="X463" s="1689"/>
      <c r="Y463" s="1689"/>
      <c r="Z463" s="1689"/>
      <c r="AA463" s="1689"/>
      <c r="AB463" s="1689"/>
      <c r="AC463" s="1689"/>
      <c r="AD463" s="1689"/>
      <c r="AE463" s="1689"/>
      <c r="AF463" s="1689"/>
      <c r="AG463" s="1689"/>
      <c r="AH463" s="1689"/>
      <c r="AI463" s="1689"/>
      <c r="AJ463" s="1689"/>
      <c r="AK463" s="1689"/>
      <c r="AL463" s="1689"/>
      <c r="AM463" s="1689"/>
      <c r="AN463" s="1689"/>
      <c r="AO463" s="1689"/>
      <c r="AP463" s="1689"/>
      <c r="AQ463" s="1689"/>
      <c r="AR463" s="1689"/>
      <c r="AS463" s="1689"/>
      <c r="AT463" s="1689"/>
    </row>
    <row r="464">
      <c r="A464" s="1419"/>
      <c r="B464" s="1699"/>
      <c r="C464" s="1700"/>
      <c r="D464" s="1700"/>
      <c r="E464" s="1691"/>
      <c r="F464" s="1691"/>
      <c r="G464" s="1691"/>
      <c r="H464" s="1691"/>
      <c r="I464" s="1691"/>
      <c r="J464" s="1691"/>
      <c r="K464" s="1691"/>
      <c r="L464" s="1691"/>
      <c r="M464" s="1691"/>
      <c r="N464" s="1691"/>
      <c r="O464" s="1691"/>
      <c r="P464" s="1691"/>
      <c r="Q464" s="1691"/>
      <c r="R464" s="1691"/>
      <c r="S464" s="1691"/>
      <c r="T464" s="1691"/>
      <c r="U464" s="1691"/>
      <c r="V464" s="1691"/>
      <c r="W464" s="1691"/>
      <c r="X464" s="1691"/>
      <c r="Y464" s="1691"/>
      <c r="Z464" s="1691"/>
      <c r="AA464" s="1691"/>
      <c r="AB464" s="1691"/>
      <c r="AC464" s="1691"/>
      <c r="AD464" s="1691"/>
      <c r="AE464" s="1691"/>
      <c r="AF464" s="1691"/>
      <c r="AG464" s="1691"/>
      <c r="AH464" s="1691"/>
      <c r="AI464" s="1691"/>
      <c r="AJ464" s="1691"/>
      <c r="AK464" s="1691"/>
      <c r="AL464" s="1691"/>
      <c r="AM464" s="1691"/>
      <c r="AN464" s="1691"/>
      <c r="AO464" s="1691"/>
      <c r="AP464" s="1691"/>
      <c r="AQ464" s="1691"/>
      <c r="AR464" s="1691"/>
      <c r="AS464" s="1691"/>
      <c r="AT464" s="1691"/>
    </row>
    <row r="465">
      <c r="A465" s="1419"/>
      <c r="B465" s="1697"/>
      <c r="C465" s="1698"/>
      <c r="D465" s="1698"/>
      <c r="E465" s="1689"/>
      <c r="F465" s="1689"/>
      <c r="G465" s="1689"/>
      <c r="H465" s="1689"/>
      <c r="I465" s="1689"/>
      <c r="J465" s="1689"/>
      <c r="K465" s="1689"/>
      <c r="L465" s="1689"/>
      <c r="M465" s="1689"/>
      <c r="N465" s="1689"/>
      <c r="O465" s="1689"/>
      <c r="P465" s="1689"/>
      <c r="Q465" s="1689"/>
      <c r="R465" s="1689"/>
      <c r="S465" s="1689"/>
      <c r="T465" s="1689"/>
      <c r="U465" s="1689"/>
      <c r="V465" s="1689"/>
      <c r="W465" s="1689"/>
      <c r="X465" s="1689"/>
      <c r="Y465" s="1689"/>
      <c r="Z465" s="1689"/>
      <c r="AA465" s="1689"/>
      <c r="AB465" s="1689"/>
      <c r="AC465" s="1689"/>
      <c r="AD465" s="1689"/>
      <c r="AE465" s="1689"/>
      <c r="AF465" s="1689"/>
      <c r="AG465" s="1689"/>
      <c r="AH465" s="1689"/>
      <c r="AI465" s="1689"/>
      <c r="AJ465" s="1689"/>
      <c r="AK465" s="1689"/>
      <c r="AL465" s="1689"/>
      <c r="AM465" s="1689"/>
      <c r="AN465" s="1689"/>
      <c r="AO465" s="1689"/>
      <c r="AP465" s="1689"/>
      <c r="AQ465" s="1689"/>
      <c r="AR465" s="1689"/>
      <c r="AS465" s="1689"/>
      <c r="AT465" s="1689"/>
    </row>
    <row r="466">
      <c r="A466" s="1419"/>
      <c r="B466" s="1699"/>
      <c r="C466" s="1700"/>
      <c r="D466" s="1700"/>
      <c r="E466" s="1691"/>
      <c r="F466" s="1691"/>
      <c r="G466" s="1691"/>
      <c r="H466" s="1691"/>
      <c r="I466" s="1691"/>
      <c r="J466" s="1691"/>
      <c r="K466" s="1691"/>
      <c r="L466" s="1691"/>
      <c r="M466" s="1691"/>
      <c r="N466" s="1691"/>
      <c r="O466" s="1691"/>
      <c r="P466" s="1691"/>
      <c r="Q466" s="1691"/>
      <c r="R466" s="1691"/>
      <c r="S466" s="1691"/>
      <c r="T466" s="1691"/>
      <c r="U466" s="1691"/>
      <c r="V466" s="1691"/>
      <c r="W466" s="1691"/>
      <c r="X466" s="1691"/>
      <c r="Y466" s="1691"/>
      <c r="Z466" s="1691"/>
      <c r="AA466" s="1691"/>
      <c r="AB466" s="1691"/>
      <c r="AC466" s="1691"/>
      <c r="AD466" s="1691"/>
      <c r="AE466" s="1691"/>
      <c r="AF466" s="1691"/>
      <c r="AG466" s="1691"/>
      <c r="AH466" s="1691"/>
      <c r="AI466" s="1691"/>
      <c r="AJ466" s="1691"/>
      <c r="AK466" s="1691"/>
      <c r="AL466" s="1691"/>
      <c r="AM466" s="1691"/>
      <c r="AN466" s="1691"/>
      <c r="AO466" s="1691"/>
      <c r="AP466" s="1691"/>
      <c r="AQ466" s="1691"/>
      <c r="AR466" s="1691"/>
      <c r="AS466" s="1691"/>
      <c r="AT466" s="1691"/>
    </row>
    <row r="467">
      <c r="A467" s="1419"/>
      <c r="B467" s="1697"/>
      <c r="C467" s="1698"/>
      <c r="D467" s="1698"/>
      <c r="E467" s="1689"/>
      <c r="F467" s="1689"/>
      <c r="G467" s="1689"/>
      <c r="H467" s="1689"/>
      <c r="I467" s="1689"/>
      <c r="J467" s="1689"/>
      <c r="K467" s="1689"/>
      <c r="L467" s="1689"/>
      <c r="M467" s="1689"/>
      <c r="N467" s="1689"/>
      <c r="O467" s="1689"/>
      <c r="P467" s="1689"/>
      <c r="Q467" s="1689"/>
      <c r="R467" s="1689"/>
      <c r="S467" s="1689"/>
      <c r="T467" s="1689"/>
      <c r="U467" s="1689"/>
      <c r="V467" s="1689"/>
      <c r="W467" s="1689"/>
      <c r="X467" s="1689"/>
      <c r="Y467" s="1689"/>
      <c r="Z467" s="1689"/>
      <c r="AA467" s="1689"/>
      <c r="AB467" s="1689"/>
      <c r="AC467" s="1689"/>
      <c r="AD467" s="1689"/>
      <c r="AE467" s="1689"/>
      <c r="AF467" s="1689"/>
      <c r="AG467" s="1689"/>
      <c r="AH467" s="1689"/>
      <c r="AI467" s="1689"/>
      <c r="AJ467" s="1689"/>
      <c r="AK467" s="1689"/>
      <c r="AL467" s="1689"/>
      <c r="AM467" s="1689"/>
      <c r="AN467" s="1689"/>
      <c r="AO467" s="1689"/>
      <c r="AP467" s="1689"/>
      <c r="AQ467" s="1689"/>
      <c r="AR467" s="1689"/>
      <c r="AS467" s="1689"/>
      <c r="AT467" s="1689"/>
    </row>
    <row r="468">
      <c r="A468" s="1419"/>
      <c r="B468" s="1699"/>
      <c r="C468" s="1700"/>
      <c r="D468" s="1700"/>
      <c r="E468" s="1691"/>
      <c r="F468" s="1691"/>
      <c r="G468" s="1691"/>
      <c r="H468" s="1691"/>
      <c r="I468" s="1691"/>
      <c r="J468" s="1691"/>
      <c r="K468" s="1691"/>
      <c r="L468" s="1691"/>
      <c r="M468" s="1691"/>
      <c r="N468" s="1691"/>
      <c r="O468" s="1691"/>
      <c r="P468" s="1691"/>
      <c r="Q468" s="1691"/>
      <c r="R468" s="1691"/>
      <c r="S468" s="1691"/>
      <c r="T468" s="1691"/>
      <c r="U468" s="1691"/>
      <c r="V468" s="1691"/>
      <c r="W468" s="1691"/>
      <c r="X468" s="1691"/>
      <c r="Y468" s="1691"/>
      <c r="Z468" s="1691"/>
      <c r="AA468" s="1691"/>
      <c r="AB468" s="1691"/>
      <c r="AC468" s="1691"/>
      <c r="AD468" s="1691"/>
      <c r="AE468" s="1691"/>
      <c r="AF468" s="1691"/>
      <c r="AG468" s="1691"/>
      <c r="AH468" s="1691"/>
      <c r="AI468" s="1691"/>
      <c r="AJ468" s="1691"/>
      <c r="AK468" s="1691"/>
      <c r="AL468" s="1691"/>
      <c r="AM468" s="1691"/>
      <c r="AN468" s="1691"/>
      <c r="AO468" s="1691"/>
      <c r="AP468" s="1691"/>
      <c r="AQ468" s="1691"/>
      <c r="AR468" s="1691"/>
      <c r="AS468" s="1691"/>
      <c r="AT468" s="1691"/>
    </row>
    <row r="469">
      <c r="A469" s="1419"/>
      <c r="B469" s="1697"/>
      <c r="C469" s="1698"/>
      <c r="D469" s="1698"/>
      <c r="E469" s="1689"/>
      <c r="F469" s="1689"/>
      <c r="G469" s="1689"/>
      <c r="H469" s="1689"/>
      <c r="I469" s="1689"/>
      <c r="J469" s="1689"/>
      <c r="K469" s="1689"/>
      <c r="L469" s="1689"/>
      <c r="M469" s="1689"/>
      <c r="N469" s="1689"/>
      <c r="O469" s="1689"/>
      <c r="P469" s="1689"/>
      <c r="Q469" s="1689"/>
      <c r="R469" s="1689"/>
      <c r="S469" s="1689"/>
      <c r="T469" s="1689"/>
      <c r="U469" s="1689"/>
      <c r="V469" s="1689"/>
      <c r="W469" s="1689"/>
      <c r="X469" s="1689"/>
      <c r="Y469" s="1689"/>
      <c r="Z469" s="1689"/>
      <c r="AA469" s="1689"/>
      <c r="AB469" s="1689"/>
      <c r="AC469" s="1689"/>
      <c r="AD469" s="1689"/>
      <c r="AE469" s="1689"/>
      <c r="AF469" s="1689"/>
      <c r="AG469" s="1689"/>
      <c r="AH469" s="1689"/>
      <c r="AI469" s="1689"/>
      <c r="AJ469" s="1689"/>
      <c r="AK469" s="1689"/>
      <c r="AL469" s="1689"/>
      <c r="AM469" s="1689"/>
      <c r="AN469" s="1689"/>
      <c r="AO469" s="1689"/>
      <c r="AP469" s="1689"/>
      <c r="AQ469" s="1689"/>
      <c r="AR469" s="1689"/>
      <c r="AS469" s="1689"/>
      <c r="AT469" s="1689"/>
    </row>
    <row r="470">
      <c r="A470" s="1419"/>
      <c r="B470" s="1699"/>
      <c r="C470" s="1700"/>
      <c r="D470" s="1700"/>
      <c r="E470" s="1691"/>
      <c r="F470" s="1691"/>
      <c r="G470" s="1691"/>
      <c r="H470" s="1691"/>
      <c r="I470" s="1691"/>
      <c r="J470" s="1691"/>
      <c r="K470" s="1691"/>
      <c r="L470" s="1691"/>
      <c r="M470" s="1691"/>
      <c r="N470" s="1691"/>
      <c r="O470" s="1691"/>
      <c r="P470" s="1691"/>
      <c r="Q470" s="1691"/>
      <c r="R470" s="1691"/>
      <c r="S470" s="1691"/>
      <c r="T470" s="1691"/>
      <c r="U470" s="1691"/>
      <c r="V470" s="1691"/>
      <c r="W470" s="1691"/>
      <c r="X470" s="1691"/>
      <c r="Y470" s="1691"/>
      <c r="Z470" s="1691"/>
      <c r="AA470" s="1691"/>
      <c r="AB470" s="1691"/>
      <c r="AC470" s="1691"/>
      <c r="AD470" s="1691"/>
      <c r="AE470" s="1691"/>
      <c r="AF470" s="1691"/>
      <c r="AG470" s="1691"/>
      <c r="AH470" s="1691"/>
      <c r="AI470" s="1691"/>
      <c r="AJ470" s="1691"/>
      <c r="AK470" s="1691"/>
      <c r="AL470" s="1691"/>
      <c r="AM470" s="1691"/>
      <c r="AN470" s="1691"/>
      <c r="AO470" s="1691"/>
      <c r="AP470" s="1691"/>
      <c r="AQ470" s="1691"/>
      <c r="AR470" s="1691"/>
      <c r="AS470" s="1691"/>
      <c r="AT470" s="1691"/>
    </row>
    <row r="471">
      <c r="A471" s="1419"/>
      <c r="B471" s="1697"/>
      <c r="C471" s="1698"/>
      <c r="D471" s="1698"/>
      <c r="E471" s="1689"/>
      <c r="F471" s="1689"/>
      <c r="G471" s="1689"/>
      <c r="H471" s="1689"/>
      <c r="I471" s="1689"/>
      <c r="J471" s="1689"/>
      <c r="K471" s="1689"/>
      <c r="L471" s="1689"/>
      <c r="M471" s="1689"/>
      <c r="N471" s="1689"/>
      <c r="O471" s="1689"/>
      <c r="P471" s="1689"/>
      <c r="Q471" s="1689"/>
      <c r="R471" s="1689"/>
      <c r="S471" s="1689"/>
      <c r="T471" s="1689"/>
      <c r="U471" s="1689"/>
      <c r="V471" s="1689"/>
      <c r="W471" s="1689"/>
      <c r="X471" s="1689"/>
      <c r="Y471" s="1689"/>
      <c r="Z471" s="1689"/>
      <c r="AA471" s="1689"/>
      <c r="AB471" s="1689"/>
      <c r="AC471" s="1689"/>
      <c r="AD471" s="1689"/>
      <c r="AE471" s="1689"/>
      <c r="AF471" s="1689"/>
      <c r="AG471" s="1689"/>
      <c r="AH471" s="1689"/>
      <c r="AI471" s="1689"/>
      <c r="AJ471" s="1689"/>
      <c r="AK471" s="1689"/>
      <c r="AL471" s="1689"/>
      <c r="AM471" s="1689"/>
      <c r="AN471" s="1689"/>
      <c r="AO471" s="1689"/>
      <c r="AP471" s="1689"/>
      <c r="AQ471" s="1689"/>
      <c r="AR471" s="1689"/>
      <c r="AS471" s="1689"/>
      <c r="AT471" s="1689"/>
    </row>
    <row r="472">
      <c r="A472" s="1419"/>
      <c r="B472" s="1699"/>
      <c r="C472" s="1700"/>
      <c r="D472" s="1700"/>
      <c r="E472" s="1691"/>
      <c r="F472" s="1691"/>
      <c r="G472" s="1691"/>
      <c r="H472" s="1691"/>
      <c r="I472" s="1691"/>
      <c r="J472" s="1691"/>
      <c r="K472" s="1691"/>
      <c r="L472" s="1691"/>
      <c r="M472" s="1691"/>
      <c r="N472" s="1691"/>
      <c r="O472" s="1691"/>
      <c r="P472" s="1691"/>
      <c r="Q472" s="1691"/>
      <c r="R472" s="1691"/>
      <c r="S472" s="1691"/>
      <c r="T472" s="1691"/>
      <c r="U472" s="1691"/>
      <c r="V472" s="1691"/>
      <c r="W472" s="1691"/>
      <c r="X472" s="1691"/>
      <c r="Y472" s="1691"/>
      <c r="Z472" s="1691"/>
      <c r="AA472" s="1691"/>
      <c r="AB472" s="1691"/>
      <c r="AC472" s="1691"/>
      <c r="AD472" s="1691"/>
      <c r="AE472" s="1691"/>
      <c r="AF472" s="1691"/>
      <c r="AG472" s="1691"/>
      <c r="AH472" s="1691"/>
      <c r="AI472" s="1691"/>
      <c r="AJ472" s="1691"/>
      <c r="AK472" s="1691"/>
      <c r="AL472" s="1691"/>
      <c r="AM472" s="1691"/>
      <c r="AN472" s="1691"/>
      <c r="AO472" s="1691"/>
      <c r="AP472" s="1691"/>
      <c r="AQ472" s="1691"/>
      <c r="AR472" s="1691"/>
      <c r="AS472" s="1691"/>
      <c r="AT472" s="1691"/>
    </row>
    <row r="473">
      <c r="A473" s="1419"/>
      <c r="B473" s="1697"/>
      <c r="C473" s="1698"/>
      <c r="D473" s="1698"/>
      <c r="E473" s="1689"/>
      <c r="F473" s="1689"/>
      <c r="G473" s="1689"/>
      <c r="H473" s="1689"/>
      <c r="I473" s="1689"/>
      <c r="J473" s="1689"/>
      <c r="K473" s="1689"/>
      <c r="L473" s="1689"/>
      <c r="M473" s="1689"/>
      <c r="N473" s="1689"/>
      <c r="O473" s="1689"/>
      <c r="P473" s="1689"/>
      <c r="Q473" s="1689"/>
      <c r="R473" s="1689"/>
      <c r="S473" s="1689"/>
      <c r="T473" s="1689"/>
      <c r="U473" s="1689"/>
      <c r="V473" s="1689"/>
      <c r="W473" s="1689"/>
      <c r="X473" s="1689"/>
      <c r="Y473" s="1689"/>
      <c r="Z473" s="1689"/>
      <c r="AA473" s="1689"/>
      <c r="AB473" s="1689"/>
      <c r="AC473" s="1689"/>
      <c r="AD473" s="1689"/>
      <c r="AE473" s="1689"/>
      <c r="AF473" s="1689"/>
      <c r="AG473" s="1689"/>
      <c r="AH473" s="1689"/>
      <c r="AI473" s="1689"/>
      <c r="AJ473" s="1689"/>
      <c r="AK473" s="1689"/>
      <c r="AL473" s="1689"/>
      <c r="AM473" s="1689"/>
      <c r="AN473" s="1689"/>
      <c r="AO473" s="1689"/>
      <c r="AP473" s="1689"/>
      <c r="AQ473" s="1689"/>
      <c r="AR473" s="1689"/>
      <c r="AS473" s="1689"/>
      <c r="AT473" s="1689"/>
    </row>
    <row r="474">
      <c r="A474" s="1419"/>
      <c r="B474" s="1699"/>
      <c r="C474" s="1700"/>
      <c r="D474" s="1700"/>
      <c r="E474" s="1691"/>
      <c r="F474" s="1691"/>
      <c r="G474" s="1691"/>
      <c r="H474" s="1691"/>
      <c r="I474" s="1691"/>
      <c r="J474" s="1691"/>
      <c r="K474" s="1691"/>
      <c r="L474" s="1691"/>
      <c r="M474" s="1691"/>
      <c r="N474" s="1691"/>
      <c r="O474" s="1691"/>
      <c r="P474" s="1691"/>
      <c r="Q474" s="1691"/>
      <c r="R474" s="1691"/>
      <c r="S474" s="1691"/>
      <c r="T474" s="1691"/>
      <c r="U474" s="1691"/>
      <c r="V474" s="1691"/>
      <c r="W474" s="1691"/>
      <c r="X474" s="1691"/>
      <c r="Y474" s="1691"/>
      <c r="Z474" s="1691"/>
      <c r="AA474" s="1691"/>
      <c r="AB474" s="1691"/>
      <c r="AC474" s="1691"/>
      <c r="AD474" s="1691"/>
      <c r="AE474" s="1691"/>
      <c r="AF474" s="1691"/>
      <c r="AG474" s="1691"/>
      <c r="AH474" s="1691"/>
      <c r="AI474" s="1691"/>
      <c r="AJ474" s="1691"/>
      <c r="AK474" s="1691"/>
      <c r="AL474" s="1691"/>
      <c r="AM474" s="1691"/>
      <c r="AN474" s="1691"/>
      <c r="AO474" s="1691"/>
      <c r="AP474" s="1691"/>
      <c r="AQ474" s="1691"/>
      <c r="AR474" s="1691"/>
      <c r="AS474" s="1691"/>
      <c r="AT474" s="1691"/>
    </row>
    <row r="475">
      <c r="A475" s="1419"/>
      <c r="B475" s="1697"/>
      <c r="C475" s="1698"/>
      <c r="D475" s="1698"/>
      <c r="E475" s="1689"/>
      <c r="F475" s="1689"/>
      <c r="G475" s="1689"/>
      <c r="H475" s="1689"/>
      <c r="I475" s="1689"/>
      <c r="J475" s="1689"/>
      <c r="K475" s="1689"/>
      <c r="L475" s="1689"/>
      <c r="M475" s="1689"/>
      <c r="N475" s="1689"/>
      <c r="O475" s="1689"/>
      <c r="P475" s="1689"/>
      <c r="Q475" s="1689"/>
      <c r="R475" s="1689"/>
      <c r="S475" s="1689"/>
      <c r="T475" s="1689"/>
      <c r="U475" s="1689"/>
      <c r="V475" s="1689"/>
      <c r="W475" s="1689"/>
      <c r="X475" s="1689"/>
      <c r="Y475" s="1689"/>
      <c r="Z475" s="1689"/>
      <c r="AA475" s="1689"/>
      <c r="AB475" s="1689"/>
      <c r="AC475" s="1689"/>
      <c r="AD475" s="1689"/>
      <c r="AE475" s="1689"/>
      <c r="AF475" s="1689"/>
      <c r="AG475" s="1689"/>
      <c r="AH475" s="1689"/>
      <c r="AI475" s="1689"/>
      <c r="AJ475" s="1689"/>
      <c r="AK475" s="1689"/>
      <c r="AL475" s="1689"/>
      <c r="AM475" s="1689"/>
      <c r="AN475" s="1689"/>
      <c r="AO475" s="1689"/>
      <c r="AP475" s="1689"/>
      <c r="AQ475" s="1689"/>
      <c r="AR475" s="1689"/>
      <c r="AS475" s="1689"/>
      <c r="AT475" s="1689"/>
    </row>
    <row r="476">
      <c r="A476" s="1419"/>
      <c r="B476" s="1699"/>
      <c r="C476" s="1700"/>
      <c r="D476" s="1700"/>
      <c r="E476" s="1691"/>
      <c r="F476" s="1691"/>
      <c r="G476" s="1691"/>
      <c r="H476" s="1691"/>
      <c r="I476" s="1691"/>
      <c r="J476" s="1691"/>
      <c r="K476" s="1691"/>
      <c r="L476" s="1691"/>
      <c r="M476" s="1691"/>
      <c r="N476" s="1691"/>
      <c r="O476" s="1691"/>
      <c r="P476" s="1691"/>
      <c r="Q476" s="1691"/>
      <c r="R476" s="1691"/>
      <c r="S476" s="1691"/>
      <c r="T476" s="1691"/>
      <c r="U476" s="1691"/>
      <c r="V476" s="1691"/>
      <c r="W476" s="1691"/>
      <c r="X476" s="1691"/>
      <c r="Y476" s="1691"/>
      <c r="Z476" s="1691"/>
      <c r="AA476" s="1691"/>
      <c r="AB476" s="1691"/>
      <c r="AC476" s="1691"/>
      <c r="AD476" s="1691"/>
      <c r="AE476" s="1691"/>
      <c r="AF476" s="1691"/>
      <c r="AG476" s="1691"/>
      <c r="AH476" s="1691"/>
      <c r="AI476" s="1691"/>
      <c r="AJ476" s="1691"/>
      <c r="AK476" s="1691"/>
      <c r="AL476" s="1691"/>
      <c r="AM476" s="1691"/>
      <c r="AN476" s="1691"/>
      <c r="AO476" s="1691"/>
      <c r="AP476" s="1691"/>
      <c r="AQ476" s="1691"/>
      <c r="AR476" s="1691"/>
      <c r="AS476" s="1691"/>
      <c r="AT476" s="1691"/>
    </row>
    <row r="477">
      <c r="A477" s="1419"/>
      <c r="B477" s="1697"/>
      <c r="C477" s="1698"/>
      <c r="D477" s="1698"/>
      <c r="E477" s="1689"/>
      <c r="F477" s="1689"/>
      <c r="G477" s="1689"/>
      <c r="H477" s="1689"/>
      <c r="I477" s="1689"/>
      <c r="J477" s="1689"/>
      <c r="K477" s="1689"/>
      <c r="L477" s="1689"/>
      <c r="M477" s="1689"/>
      <c r="N477" s="1689"/>
      <c r="O477" s="1689"/>
      <c r="P477" s="1689"/>
      <c r="Q477" s="1689"/>
      <c r="R477" s="1689"/>
      <c r="S477" s="1689"/>
      <c r="T477" s="1689"/>
      <c r="U477" s="1689"/>
      <c r="V477" s="1689"/>
      <c r="W477" s="1689"/>
      <c r="X477" s="1689"/>
      <c r="Y477" s="1689"/>
      <c r="Z477" s="1689"/>
      <c r="AA477" s="1689"/>
      <c r="AB477" s="1689"/>
      <c r="AC477" s="1689"/>
      <c r="AD477" s="1689"/>
      <c r="AE477" s="1689"/>
      <c r="AF477" s="1689"/>
      <c r="AG477" s="1689"/>
      <c r="AH477" s="1689"/>
      <c r="AI477" s="1689"/>
      <c r="AJ477" s="1689"/>
      <c r="AK477" s="1689"/>
      <c r="AL477" s="1689"/>
      <c r="AM477" s="1689"/>
      <c r="AN477" s="1689"/>
      <c r="AO477" s="1689"/>
      <c r="AP477" s="1689"/>
      <c r="AQ477" s="1689"/>
      <c r="AR477" s="1689"/>
      <c r="AS477" s="1689"/>
      <c r="AT477" s="1689"/>
    </row>
    <row r="478">
      <c r="A478" s="1419"/>
      <c r="B478" s="1699"/>
      <c r="C478" s="1700"/>
      <c r="D478" s="1700"/>
      <c r="E478" s="1691"/>
      <c r="F478" s="1691"/>
      <c r="G478" s="1691"/>
      <c r="H478" s="1691"/>
      <c r="I478" s="1691"/>
      <c r="J478" s="1691"/>
      <c r="K478" s="1691"/>
      <c r="L478" s="1691"/>
      <c r="M478" s="1691"/>
      <c r="N478" s="1691"/>
      <c r="O478" s="1691"/>
      <c r="P478" s="1691"/>
      <c r="Q478" s="1691"/>
      <c r="R478" s="1691"/>
      <c r="S478" s="1691"/>
      <c r="T478" s="1691"/>
      <c r="U478" s="1691"/>
      <c r="V478" s="1691"/>
      <c r="W478" s="1691"/>
      <c r="X478" s="1691"/>
      <c r="Y478" s="1691"/>
      <c r="Z478" s="1691"/>
      <c r="AA478" s="1691"/>
      <c r="AB478" s="1691"/>
      <c r="AC478" s="1691"/>
      <c r="AD478" s="1691"/>
      <c r="AE478" s="1691"/>
      <c r="AF478" s="1691"/>
      <c r="AG478" s="1691"/>
      <c r="AH478" s="1691"/>
      <c r="AI478" s="1691"/>
      <c r="AJ478" s="1691"/>
      <c r="AK478" s="1691"/>
      <c r="AL478" s="1691"/>
      <c r="AM478" s="1691"/>
      <c r="AN478" s="1691"/>
      <c r="AO478" s="1691"/>
      <c r="AP478" s="1691"/>
      <c r="AQ478" s="1691"/>
      <c r="AR478" s="1691"/>
      <c r="AS478" s="1691"/>
      <c r="AT478" s="1691"/>
    </row>
    <row r="479">
      <c r="A479" s="1419"/>
      <c r="B479" s="1697"/>
      <c r="C479" s="1698"/>
      <c r="D479" s="1698"/>
      <c r="E479" s="1689"/>
      <c r="F479" s="1689"/>
      <c r="G479" s="1689"/>
      <c r="H479" s="1689"/>
      <c r="I479" s="1689"/>
      <c r="J479" s="1689"/>
      <c r="K479" s="1689"/>
      <c r="L479" s="1689"/>
      <c r="M479" s="1689"/>
      <c r="N479" s="1689"/>
      <c r="O479" s="1689"/>
      <c r="P479" s="1689"/>
      <c r="Q479" s="1689"/>
      <c r="R479" s="1689"/>
      <c r="S479" s="1689"/>
      <c r="T479" s="1689"/>
      <c r="U479" s="1689"/>
      <c r="V479" s="1689"/>
      <c r="W479" s="1689"/>
      <c r="X479" s="1689"/>
      <c r="Y479" s="1689"/>
      <c r="Z479" s="1689"/>
      <c r="AA479" s="1689"/>
      <c r="AB479" s="1689"/>
      <c r="AC479" s="1689"/>
      <c r="AD479" s="1689"/>
      <c r="AE479" s="1689"/>
      <c r="AF479" s="1689"/>
      <c r="AG479" s="1689"/>
      <c r="AH479" s="1689"/>
      <c r="AI479" s="1689"/>
      <c r="AJ479" s="1689"/>
      <c r="AK479" s="1689"/>
      <c r="AL479" s="1689"/>
      <c r="AM479" s="1689"/>
      <c r="AN479" s="1689"/>
      <c r="AO479" s="1689"/>
      <c r="AP479" s="1689"/>
      <c r="AQ479" s="1689"/>
      <c r="AR479" s="1689"/>
      <c r="AS479" s="1689"/>
      <c r="AT479" s="1689"/>
    </row>
    <row r="480">
      <c r="A480" s="1419"/>
      <c r="B480" s="1699"/>
      <c r="C480" s="1700"/>
      <c r="D480" s="1700"/>
      <c r="E480" s="1691"/>
      <c r="F480" s="1691"/>
      <c r="G480" s="1691"/>
      <c r="H480" s="1691"/>
      <c r="I480" s="1691"/>
      <c r="J480" s="1691"/>
      <c r="K480" s="1691"/>
      <c r="L480" s="1691"/>
      <c r="M480" s="1691"/>
      <c r="N480" s="1691"/>
      <c r="O480" s="1691"/>
      <c r="P480" s="1691"/>
      <c r="Q480" s="1691"/>
      <c r="R480" s="1691"/>
      <c r="S480" s="1691"/>
      <c r="T480" s="1691"/>
      <c r="U480" s="1691"/>
      <c r="V480" s="1691"/>
      <c r="W480" s="1691"/>
      <c r="X480" s="1691"/>
      <c r="Y480" s="1691"/>
      <c r="Z480" s="1691"/>
      <c r="AA480" s="1691"/>
      <c r="AB480" s="1691"/>
      <c r="AC480" s="1691"/>
      <c r="AD480" s="1691"/>
      <c r="AE480" s="1691"/>
      <c r="AF480" s="1691"/>
      <c r="AG480" s="1691"/>
      <c r="AH480" s="1691"/>
      <c r="AI480" s="1691"/>
      <c r="AJ480" s="1691"/>
      <c r="AK480" s="1691"/>
      <c r="AL480" s="1691"/>
      <c r="AM480" s="1691"/>
      <c r="AN480" s="1691"/>
      <c r="AO480" s="1691"/>
      <c r="AP480" s="1691"/>
      <c r="AQ480" s="1691"/>
      <c r="AR480" s="1691"/>
      <c r="AS480" s="1691"/>
      <c r="AT480" s="1691"/>
    </row>
    <row r="481">
      <c r="A481" s="1419"/>
      <c r="B481" s="1697"/>
      <c r="C481" s="1698"/>
      <c r="D481" s="1698"/>
      <c r="E481" s="1689"/>
      <c r="F481" s="1689"/>
      <c r="G481" s="1689"/>
      <c r="H481" s="1689"/>
      <c r="I481" s="1689"/>
      <c r="J481" s="1689"/>
      <c r="K481" s="1689"/>
      <c r="L481" s="1689"/>
      <c r="M481" s="1689"/>
      <c r="N481" s="1689"/>
      <c r="O481" s="1689"/>
      <c r="P481" s="1689"/>
      <c r="Q481" s="1689"/>
      <c r="R481" s="1689"/>
      <c r="S481" s="1689"/>
      <c r="T481" s="1689"/>
      <c r="U481" s="1689"/>
      <c r="V481" s="1689"/>
      <c r="W481" s="1689"/>
      <c r="X481" s="1689"/>
      <c r="Y481" s="1689"/>
      <c r="Z481" s="1689"/>
      <c r="AA481" s="1689"/>
      <c r="AB481" s="1689"/>
      <c r="AC481" s="1689"/>
      <c r="AD481" s="1689"/>
      <c r="AE481" s="1689"/>
      <c r="AF481" s="1689"/>
      <c r="AG481" s="1689"/>
      <c r="AH481" s="1689"/>
      <c r="AI481" s="1689"/>
      <c r="AJ481" s="1689"/>
      <c r="AK481" s="1689"/>
      <c r="AL481" s="1689"/>
      <c r="AM481" s="1689"/>
      <c r="AN481" s="1689"/>
      <c r="AO481" s="1689"/>
      <c r="AP481" s="1689"/>
      <c r="AQ481" s="1689"/>
      <c r="AR481" s="1689"/>
      <c r="AS481" s="1689"/>
      <c r="AT481" s="1689"/>
    </row>
    <row r="482">
      <c r="A482" s="1419"/>
      <c r="B482" s="1699"/>
      <c r="C482" s="1700"/>
      <c r="D482" s="1700"/>
      <c r="E482" s="1691"/>
      <c r="F482" s="1691"/>
      <c r="G482" s="1691"/>
      <c r="H482" s="1691"/>
      <c r="I482" s="1691"/>
      <c r="J482" s="1691"/>
      <c r="K482" s="1691"/>
      <c r="L482" s="1691"/>
      <c r="M482" s="1691"/>
      <c r="N482" s="1691"/>
      <c r="O482" s="1691"/>
      <c r="P482" s="1691"/>
      <c r="Q482" s="1691"/>
      <c r="R482" s="1691"/>
      <c r="S482" s="1691"/>
      <c r="T482" s="1691"/>
      <c r="U482" s="1691"/>
      <c r="V482" s="1691"/>
      <c r="W482" s="1691"/>
      <c r="X482" s="1691"/>
      <c r="Y482" s="1691"/>
      <c r="Z482" s="1691"/>
      <c r="AA482" s="1691"/>
      <c r="AB482" s="1691"/>
      <c r="AC482" s="1691"/>
      <c r="AD482" s="1691"/>
      <c r="AE482" s="1691"/>
      <c r="AF482" s="1691"/>
      <c r="AG482" s="1691"/>
      <c r="AH482" s="1691"/>
      <c r="AI482" s="1691"/>
      <c r="AJ482" s="1691"/>
      <c r="AK482" s="1691"/>
      <c r="AL482" s="1691"/>
      <c r="AM482" s="1691"/>
      <c r="AN482" s="1691"/>
      <c r="AO482" s="1691"/>
      <c r="AP482" s="1691"/>
      <c r="AQ482" s="1691"/>
      <c r="AR482" s="1691"/>
      <c r="AS482" s="1691"/>
      <c r="AT482" s="1691"/>
    </row>
    <row r="483">
      <c r="A483" s="1419"/>
      <c r="B483" s="1697"/>
      <c r="C483" s="1698"/>
      <c r="D483" s="1698"/>
      <c r="E483" s="1689"/>
      <c r="F483" s="1689"/>
      <c r="G483" s="1689"/>
      <c r="H483" s="1689"/>
      <c r="I483" s="1689"/>
      <c r="J483" s="1689"/>
      <c r="K483" s="1689"/>
      <c r="L483" s="1689"/>
      <c r="M483" s="1689"/>
      <c r="N483" s="1689"/>
      <c r="O483" s="1689"/>
      <c r="P483" s="1689"/>
      <c r="Q483" s="1689"/>
      <c r="R483" s="1689"/>
      <c r="S483" s="1689"/>
      <c r="T483" s="1689"/>
      <c r="U483" s="1689"/>
      <c r="V483" s="1689"/>
      <c r="W483" s="1689"/>
      <c r="X483" s="1689"/>
      <c r="Y483" s="1689"/>
      <c r="Z483" s="1689"/>
      <c r="AA483" s="1689"/>
      <c r="AB483" s="1689"/>
      <c r="AC483" s="1689"/>
      <c r="AD483" s="1689"/>
      <c r="AE483" s="1689"/>
      <c r="AF483" s="1689"/>
      <c r="AG483" s="1689"/>
      <c r="AH483" s="1689"/>
      <c r="AI483" s="1689"/>
      <c r="AJ483" s="1689"/>
      <c r="AK483" s="1689"/>
      <c r="AL483" s="1689"/>
      <c r="AM483" s="1689"/>
      <c r="AN483" s="1689"/>
      <c r="AO483" s="1689"/>
      <c r="AP483" s="1689"/>
      <c r="AQ483" s="1689"/>
      <c r="AR483" s="1689"/>
      <c r="AS483" s="1689"/>
      <c r="AT483" s="1689"/>
    </row>
    <row r="484">
      <c r="A484" s="1419"/>
      <c r="B484" s="1699"/>
      <c r="C484" s="1700"/>
      <c r="D484" s="1700"/>
      <c r="E484" s="1691"/>
      <c r="F484" s="1691"/>
      <c r="G484" s="1691"/>
      <c r="H484" s="1691"/>
      <c r="I484" s="1691"/>
      <c r="J484" s="1691"/>
      <c r="K484" s="1691"/>
      <c r="L484" s="1691"/>
      <c r="M484" s="1691"/>
      <c r="N484" s="1691"/>
      <c r="O484" s="1691"/>
      <c r="P484" s="1691"/>
      <c r="Q484" s="1691"/>
      <c r="R484" s="1691"/>
      <c r="S484" s="1691"/>
      <c r="T484" s="1691"/>
      <c r="U484" s="1691"/>
      <c r="V484" s="1691"/>
      <c r="W484" s="1691"/>
      <c r="X484" s="1691"/>
      <c r="Y484" s="1691"/>
      <c r="Z484" s="1691"/>
      <c r="AA484" s="1691"/>
      <c r="AB484" s="1691"/>
      <c r="AC484" s="1691"/>
      <c r="AD484" s="1691"/>
      <c r="AE484" s="1691"/>
      <c r="AF484" s="1691"/>
      <c r="AG484" s="1691"/>
      <c r="AH484" s="1691"/>
      <c r="AI484" s="1691"/>
      <c r="AJ484" s="1691"/>
      <c r="AK484" s="1691"/>
      <c r="AL484" s="1691"/>
      <c r="AM484" s="1691"/>
      <c r="AN484" s="1691"/>
      <c r="AO484" s="1691"/>
      <c r="AP484" s="1691"/>
      <c r="AQ484" s="1691"/>
      <c r="AR484" s="1691"/>
      <c r="AS484" s="1691"/>
      <c r="AT484" s="1691"/>
    </row>
    <row r="485">
      <c r="A485" s="1419"/>
      <c r="B485" s="1697"/>
      <c r="C485" s="1698"/>
      <c r="D485" s="1698"/>
      <c r="E485" s="1689"/>
      <c r="F485" s="1689"/>
      <c r="G485" s="1689"/>
      <c r="H485" s="1689"/>
      <c r="I485" s="1689"/>
      <c r="J485" s="1689"/>
      <c r="K485" s="1689"/>
      <c r="L485" s="1689"/>
      <c r="M485" s="1689"/>
      <c r="N485" s="1689"/>
      <c r="O485" s="1689"/>
      <c r="P485" s="1689"/>
      <c r="Q485" s="1689"/>
      <c r="R485" s="1689"/>
      <c r="S485" s="1689"/>
      <c r="T485" s="1689"/>
      <c r="U485" s="1689"/>
      <c r="V485" s="1689"/>
      <c r="W485" s="1689"/>
      <c r="X485" s="1689"/>
      <c r="Y485" s="1689"/>
      <c r="Z485" s="1689"/>
      <c r="AA485" s="1689"/>
      <c r="AB485" s="1689"/>
      <c r="AC485" s="1689"/>
      <c r="AD485" s="1689"/>
      <c r="AE485" s="1689"/>
      <c r="AF485" s="1689"/>
      <c r="AG485" s="1689"/>
      <c r="AH485" s="1689"/>
      <c r="AI485" s="1689"/>
      <c r="AJ485" s="1689"/>
      <c r="AK485" s="1689"/>
      <c r="AL485" s="1689"/>
      <c r="AM485" s="1689"/>
      <c r="AN485" s="1689"/>
      <c r="AO485" s="1689"/>
      <c r="AP485" s="1689"/>
      <c r="AQ485" s="1689"/>
      <c r="AR485" s="1689"/>
      <c r="AS485" s="1689"/>
      <c r="AT485" s="1689"/>
    </row>
    <row r="486">
      <c r="A486" s="1419"/>
      <c r="B486" s="1699"/>
      <c r="C486" s="1700"/>
      <c r="D486" s="1700"/>
      <c r="E486" s="1691"/>
      <c r="F486" s="1691"/>
      <c r="G486" s="1691"/>
      <c r="H486" s="1691"/>
      <c r="I486" s="1691"/>
      <c r="J486" s="1691"/>
      <c r="K486" s="1691"/>
      <c r="L486" s="1691"/>
      <c r="M486" s="1691"/>
      <c r="N486" s="1691"/>
      <c r="O486" s="1691"/>
      <c r="P486" s="1691"/>
      <c r="Q486" s="1691"/>
      <c r="R486" s="1691"/>
      <c r="S486" s="1691"/>
      <c r="T486" s="1691"/>
      <c r="U486" s="1691"/>
      <c r="V486" s="1691"/>
      <c r="W486" s="1691"/>
      <c r="X486" s="1691"/>
      <c r="Y486" s="1691"/>
      <c r="Z486" s="1691"/>
      <c r="AA486" s="1691"/>
      <c r="AB486" s="1691"/>
      <c r="AC486" s="1691"/>
      <c r="AD486" s="1691"/>
      <c r="AE486" s="1691"/>
      <c r="AF486" s="1691"/>
      <c r="AG486" s="1691"/>
      <c r="AH486" s="1691"/>
      <c r="AI486" s="1691"/>
      <c r="AJ486" s="1691"/>
      <c r="AK486" s="1691"/>
      <c r="AL486" s="1691"/>
      <c r="AM486" s="1691"/>
      <c r="AN486" s="1691"/>
      <c r="AO486" s="1691"/>
      <c r="AP486" s="1691"/>
      <c r="AQ486" s="1691"/>
      <c r="AR486" s="1691"/>
      <c r="AS486" s="1691"/>
      <c r="AT486" s="1691"/>
    </row>
    <row r="487">
      <c r="A487" s="1419"/>
      <c r="B487" s="1697"/>
      <c r="C487" s="1698"/>
      <c r="D487" s="1698"/>
      <c r="E487" s="1689"/>
      <c r="F487" s="1689"/>
      <c r="G487" s="1689"/>
      <c r="H487" s="1689"/>
      <c r="I487" s="1689"/>
      <c r="J487" s="1689"/>
      <c r="K487" s="1689"/>
      <c r="L487" s="1689"/>
      <c r="M487" s="1689"/>
      <c r="N487" s="1689"/>
      <c r="O487" s="1689"/>
      <c r="P487" s="1689"/>
      <c r="Q487" s="1689"/>
      <c r="R487" s="1689"/>
      <c r="S487" s="1689"/>
      <c r="T487" s="1689"/>
      <c r="U487" s="1689"/>
      <c r="V487" s="1689"/>
      <c r="W487" s="1689"/>
      <c r="X487" s="1689"/>
      <c r="Y487" s="1689"/>
      <c r="Z487" s="1689"/>
      <c r="AA487" s="1689"/>
      <c r="AB487" s="1689"/>
      <c r="AC487" s="1689"/>
      <c r="AD487" s="1689"/>
      <c r="AE487" s="1689"/>
      <c r="AF487" s="1689"/>
      <c r="AG487" s="1689"/>
      <c r="AH487" s="1689"/>
      <c r="AI487" s="1689"/>
      <c r="AJ487" s="1689"/>
      <c r="AK487" s="1689"/>
      <c r="AL487" s="1689"/>
      <c r="AM487" s="1689"/>
      <c r="AN487" s="1689"/>
      <c r="AO487" s="1689"/>
      <c r="AP487" s="1689"/>
      <c r="AQ487" s="1689"/>
      <c r="AR487" s="1689"/>
      <c r="AS487" s="1689"/>
      <c r="AT487" s="1689"/>
    </row>
    <row r="488">
      <c r="A488" s="1419"/>
      <c r="B488" s="1699"/>
      <c r="C488" s="1700"/>
      <c r="D488" s="1700"/>
      <c r="E488" s="1691"/>
      <c r="F488" s="1691"/>
      <c r="G488" s="1691"/>
      <c r="H488" s="1691"/>
      <c r="I488" s="1691"/>
      <c r="J488" s="1691"/>
      <c r="K488" s="1691"/>
      <c r="L488" s="1691"/>
      <c r="M488" s="1691"/>
      <c r="N488" s="1691"/>
      <c r="O488" s="1691"/>
      <c r="P488" s="1691"/>
      <c r="Q488" s="1691"/>
      <c r="R488" s="1691"/>
      <c r="S488" s="1691"/>
      <c r="T488" s="1691"/>
      <c r="U488" s="1691"/>
      <c r="V488" s="1691"/>
      <c r="W488" s="1691"/>
      <c r="X488" s="1691"/>
      <c r="Y488" s="1691"/>
      <c r="Z488" s="1691"/>
      <c r="AA488" s="1691"/>
      <c r="AB488" s="1691"/>
      <c r="AC488" s="1691"/>
      <c r="AD488" s="1691"/>
      <c r="AE488" s="1691"/>
      <c r="AF488" s="1691"/>
      <c r="AG488" s="1691"/>
      <c r="AH488" s="1691"/>
      <c r="AI488" s="1691"/>
      <c r="AJ488" s="1691"/>
      <c r="AK488" s="1691"/>
      <c r="AL488" s="1691"/>
      <c r="AM488" s="1691"/>
      <c r="AN488" s="1691"/>
      <c r="AO488" s="1691"/>
      <c r="AP488" s="1691"/>
      <c r="AQ488" s="1691"/>
      <c r="AR488" s="1691"/>
      <c r="AS488" s="1691"/>
      <c r="AT488" s="1691"/>
    </row>
    <row r="489">
      <c r="A489" s="1419"/>
      <c r="B489" s="1697"/>
      <c r="C489" s="1698"/>
      <c r="D489" s="1698"/>
      <c r="E489" s="1689"/>
      <c r="F489" s="1689"/>
      <c r="G489" s="1689"/>
      <c r="H489" s="1689"/>
      <c r="I489" s="1689"/>
      <c r="J489" s="1689"/>
      <c r="K489" s="1689"/>
      <c r="L489" s="1689"/>
      <c r="M489" s="1689"/>
      <c r="N489" s="1689"/>
      <c r="O489" s="1689"/>
      <c r="P489" s="1689"/>
      <c r="Q489" s="1689"/>
      <c r="R489" s="1689"/>
      <c r="S489" s="1689"/>
      <c r="T489" s="1689"/>
      <c r="U489" s="1689"/>
      <c r="V489" s="1689"/>
      <c r="W489" s="1689"/>
      <c r="X489" s="1689"/>
      <c r="Y489" s="1689"/>
      <c r="Z489" s="1689"/>
      <c r="AA489" s="1689"/>
      <c r="AB489" s="1689"/>
      <c r="AC489" s="1689"/>
      <c r="AD489" s="1689"/>
      <c r="AE489" s="1689"/>
      <c r="AF489" s="1689"/>
      <c r="AG489" s="1689"/>
      <c r="AH489" s="1689"/>
      <c r="AI489" s="1689"/>
      <c r="AJ489" s="1689"/>
      <c r="AK489" s="1689"/>
      <c r="AL489" s="1689"/>
      <c r="AM489" s="1689"/>
      <c r="AN489" s="1689"/>
      <c r="AO489" s="1689"/>
      <c r="AP489" s="1689"/>
      <c r="AQ489" s="1689"/>
      <c r="AR489" s="1689"/>
      <c r="AS489" s="1689"/>
      <c r="AT489" s="1689"/>
    </row>
    <row r="490">
      <c r="A490" s="1419"/>
      <c r="B490" s="1699"/>
      <c r="C490" s="1700"/>
      <c r="D490" s="1700"/>
      <c r="E490" s="1691"/>
      <c r="F490" s="1691"/>
      <c r="G490" s="1691"/>
      <c r="H490" s="1691"/>
      <c r="I490" s="1691"/>
      <c r="J490" s="1691"/>
      <c r="K490" s="1691"/>
      <c r="L490" s="1691"/>
      <c r="M490" s="1691"/>
      <c r="N490" s="1691"/>
      <c r="O490" s="1691"/>
      <c r="P490" s="1691"/>
      <c r="Q490" s="1691"/>
      <c r="R490" s="1691"/>
      <c r="S490" s="1691"/>
      <c r="T490" s="1691"/>
      <c r="U490" s="1691"/>
      <c r="V490" s="1691"/>
      <c r="W490" s="1691"/>
      <c r="X490" s="1691"/>
      <c r="Y490" s="1691"/>
      <c r="Z490" s="1691"/>
      <c r="AA490" s="1691"/>
      <c r="AB490" s="1691"/>
      <c r="AC490" s="1691"/>
      <c r="AD490" s="1691"/>
      <c r="AE490" s="1691"/>
      <c r="AF490" s="1691"/>
      <c r="AG490" s="1691"/>
      <c r="AH490" s="1691"/>
      <c r="AI490" s="1691"/>
      <c r="AJ490" s="1691"/>
      <c r="AK490" s="1691"/>
      <c r="AL490" s="1691"/>
      <c r="AM490" s="1691"/>
      <c r="AN490" s="1691"/>
      <c r="AO490" s="1691"/>
      <c r="AP490" s="1691"/>
      <c r="AQ490" s="1691"/>
      <c r="AR490" s="1691"/>
      <c r="AS490" s="1691"/>
      <c r="AT490" s="1691"/>
    </row>
    <row r="491">
      <c r="A491" s="1419"/>
      <c r="B491" s="1697"/>
      <c r="C491" s="1698"/>
      <c r="D491" s="1698"/>
      <c r="E491" s="1689"/>
      <c r="F491" s="1689"/>
      <c r="G491" s="1689"/>
      <c r="H491" s="1689"/>
      <c r="I491" s="1689"/>
      <c r="J491" s="1689"/>
      <c r="K491" s="1689"/>
      <c r="L491" s="1689"/>
      <c r="M491" s="1689"/>
      <c r="N491" s="1689"/>
      <c r="O491" s="1689"/>
      <c r="P491" s="1689"/>
      <c r="Q491" s="1689"/>
      <c r="R491" s="1689"/>
      <c r="S491" s="1689"/>
      <c r="T491" s="1689"/>
      <c r="U491" s="1689"/>
      <c r="V491" s="1689"/>
      <c r="W491" s="1689"/>
      <c r="X491" s="1689"/>
      <c r="Y491" s="1689"/>
      <c r="Z491" s="1689"/>
      <c r="AA491" s="1689"/>
      <c r="AB491" s="1689"/>
      <c r="AC491" s="1689"/>
      <c r="AD491" s="1689"/>
      <c r="AE491" s="1689"/>
      <c r="AF491" s="1689"/>
      <c r="AG491" s="1689"/>
      <c r="AH491" s="1689"/>
      <c r="AI491" s="1689"/>
      <c r="AJ491" s="1689"/>
      <c r="AK491" s="1689"/>
      <c r="AL491" s="1689"/>
      <c r="AM491" s="1689"/>
      <c r="AN491" s="1689"/>
      <c r="AO491" s="1689"/>
      <c r="AP491" s="1689"/>
      <c r="AQ491" s="1689"/>
      <c r="AR491" s="1689"/>
      <c r="AS491" s="1689"/>
      <c r="AT491" s="1689"/>
    </row>
    <row r="492">
      <c r="A492" s="1419"/>
      <c r="B492" s="1699"/>
      <c r="C492" s="1700"/>
      <c r="D492" s="1700"/>
      <c r="E492" s="1691"/>
      <c r="F492" s="1691"/>
      <c r="G492" s="1691"/>
      <c r="H492" s="1691"/>
      <c r="I492" s="1691"/>
      <c r="J492" s="1691"/>
      <c r="K492" s="1691"/>
      <c r="L492" s="1691"/>
      <c r="M492" s="1691"/>
      <c r="N492" s="1691"/>
      <c r="O492" s="1691"/>
      <c r="P492" s="1691"/>
      <c r="Q492" s="1691"/>
      <c r="R492" s="1691"/>
      <c r="S492" s="1691"/>
      <c r="T492" s="1691"/>
      <c r="U492" s="1691"/>
      <c r="V492" s="1691"/>
      <c r="W492" s="1691"/>
      <c r="X492" s="1691"/>
      <c r="Y492" s="1691"/>
      <c r="Z492" s="1691"/>
      <c r="AA492" s="1691"/>
      <c r="AB492" s="1691"/>
      <c r="AC492" s="1691"/>
      <c r="AD492" s="1691"/>
      <c r="AE492" s="1691"/>
      <c r="AF492" s="1691"/>
      <c r="AG492" s="1691"/>
      <c r="AH492" s="1691"/>
      <c r="AI492" s="1691"/>
      <c r="AJ492" s="1691"/>
      <c r="AK492" s="1691"/>
      <c r="AL492" s="1691"/>
      <c r="AM492" s="1691"/>
      <c r="AN492" s="1691"/>
      <c r="AO492" s="1691"/>
      <c r="AP492" s="1691"/>
      <c r="AQ492" s="1691"/>
      <c r="AR492" s="1691"/>
      <c r="AS492" s="1691"/>
      <c r="AT492" s="1691"/>
    </row>
    <row r="493">
      <c r="A493" s="1419"/>
      <c r="B493" s="1697"/>
      <c r="C493" s="1698"/>
      <c r="D493" s="1698"/>
      <c r="E493" s="1689"/>
      <c r="F493" s="1689"/>
      <c r="G493" s="1689"/>
      <c r="H493" s="1689"/>
      <c r="I493" s="1689"/>
      <c r="J493" s="1689"/>
      <c r="K493" s="1689"/>
      <c r="L493" s="1689"/>
      <c r="M493" s="1689"/>
      <c r="N493" s="1689"/>
      <c r="O493" s="1689"/>
      <c r="P493" s="1689"/>
      <c r="Q493" s="1689"/>
      <c r="R493" s="1689"/>
      <c r="S493" s="1689"/>
      <c r="T493" s="1689"/>
      <c r="U493" s="1689"/>
      <c r="V493" s="1689"/>
      <c r="W493" s="1689"/>
      <c r="X493" s="1689"/>
      <c r="Y493" s="1689"/>
      <c r="Z493" s="1689"/>
      <c r="AA493" s="1689"/>
      <c r="AB493" s="1689"/>
      <c r="AC493" s="1689"/>
      <c r="AD493" s="1689"/>
      <c r="AE493" s="1689"/>
      <c r="AF493" s="1689"/>
      <c r="AG493" s="1689"/>
      <c r="AH493" s="1689"/>
      <c r="AI493" s="1689"/>
      <c r="AJ493" s="1689"/>
      <c r="AK493" s="1689"/>
      <c r="AL493" s="1689"/>
      <c r="AM493" s="1689"/>
      <c r="AN493" s="1689"/>
      <c r="AO493" s="1689"/>
      <c r="AP493" s="1689"/>
      <c r="AQ493" s="1689"/>
      <c r="AR493" s="1689"/>
      <c r="AS493" s="1689"/>
      <c r="AT493" s="1689"/>
    </row>
    <row r="494">
      <c r="A494" s="1419"/>
      <c r="B494" s="1699"/>
      <c r="C494" s="1700"/>
      <c r="D494" s="1700"/>
      <c r="E494" s="1691"/>
      <c r="F494" s="1691"/>
      <c r="G494" s="1691"/>
      <c r="H494" s="1691"/>
      <c r="I494" s="1691"/>
      <c r="J494" s="1691"/>
      <c r="K494" s="1691"/>
      <c r="L494" s="1691"/>
      <c r="M494" s="1691"/>
      <c r="N494" s="1691"/>
      <c r="O494" s="1691"/>
      <c r="P494" s="1691"/>
      <c r="Q494" s="1691"/>
      <c r="R494" s="1691"/>
      <c r="S494" s="1691"/>
      <c r="T494" s="1691"/>
      <c r="U494" s="1691"/>
      <c r="V494" s="1691"/>
      <c r="W494" s="1691"/>
      <c r="X494" s="1691"/>
      <c r="Y494" s="1691"/>
      <c r="Z494" s="1691"/>
      <c r="AA494" s="1691"/>
      <c r="AB494" s="1691"/>
      <c r="AC494" s="1691"/>
      <c r="AD494" s="1691"/>
      <c r="AE494" s="1691"/>
      <c r="AF494" s="1691"/>
      <c r="AG494" s="1691"/>
      <c r="AH494" s="1691"/>
      <c r="AI494" s="1691"/>
      <c r="AJ494" s="1691"/>
      <c r="AK494" s="1691"/>
      <c r="AL494" s="1691"/>
      <c r="AM494" s="1691"/>
      <c r="AN494" s="1691"/>
      <c r="AO494" s="1691"/>
      <c r="AP494" s="1691"/>
      <c r="AQ494" s="1691"/>
      <c r="AR494" s="1691"/>
      <c r="AS494" s="1691"/>
      <c r="AT494" s="1691"/>
    </row>
    <row r="495">
      <c r="A495" s="1419"/>
      <c r="B495" s="1697"/>
      <c r="C495" s="1698"/>
      <c r="D495" s="1698"/>
      <c r="E495" s="1689"/>
      <c r="F495" s="1689"/>
      <c r="G495" s="1689"/>
      <c r="H495" s="1689"/>
      <c r="I495" s="1689"/>
      <c r="J495" s="1689"/>
      <c r="K495" s="1689"/>
      <c r="L495" s="1689"/>
      <c r="M495" s="1689"/>
      <c r="N495" s="1689"/>
      <c r="O495" s="1689"/>
      <c r="P495" s="1689"/>
      <c r="Q495" s="1689"/>
      <c r="R495" s="1689"/>
      <c r="S495" s="1689"/>
      <c r="T495" s="1689"/>
      <c r="U495" s="1689"/>
      <c r="V495" s="1689"/>
      <c r="W495" s="1689"/>
      <c r="X495" s="1689"/>
      <c r="Y495" s="1689"/>
      <c r="Z495" s="1689"/>
      <c r="AA495" s="1689"/>
      <c r="AB495" s="1689"/>
      <c r="AC495" s="1689"/>
      <c r="AD495" s="1689"/>
      <c r="AE495" s="1689"/>
      <c r="AF495" s="1689"/>
      <c r="AG495" s="1689"/>
      <c r="AH495" s="1689"/>
      <c r="AI495" s="1689"/>
      <c r="AJ495" s="1689"/>
      <c r="AK495" s="1689"/>
      <c r="AL495" s="1689"/>
      <c r="AM495" s="1689"/>
      <c r="AN495" s="1689"/>
      <c r="AO495" s="1689"/>
      <c r="AP495" s="1689"/>
      <c r="AQ495" s="1689"/>
      <c r="AR495" s="1689"/>
      <c r="AS495" s="1689"/>
      <c r="AT495" s="1689"/>
    </row>
    <row r="496">
      <c r="A496" s="1419"/>
      <c r="B496" s="1699"/>
      <c r="C496" s="1700"/>
      <c r="D496" s="1700"/>
      <c r="E496" s="1691"/>
      <c r="F496" s="1691"/>
      <c r="G496" s="1691"/>
      <c r="H496" s="1691"/>
      <c r="I496" s="1691"/>
      <c r="J496" s="1691"/>
      <c r="K496" s="1691"/>
      <c r="L496" s="1691"/>
      <c r="M496" s="1691"/>
      <c r="N496" s="1691"/>
      <c r="O496" s="1691"/>
      <c r="P496" s="1691"/>
      <c r="Q496" s="1691"/>
      <c r="R496" s="1691"/>
      <c r="S496" s="1691"/>
      <c r="T496" s="1691"/>
      <c r="U496" s="1691"/>
      <c r="V496" s="1691"/>
      <c r="W496" s="1691"/>
      <c r="X496" s="1691"/>
      <c r="Y496" s="1691"/>
      <c r="Z496" s="1691"/>
      <c r="AA496" s="1691"/>
      <c r="AB496" s="1691"/>
      <c r="AC496" s="1691"/>
      <c r="AD496" s="1691"/>
      <c r="AE496" s="1691"/>
      <c r="AF496" s="1691"/>
      <c r="AG496" s="1691"/>
      <c r="AH496" s="1691"/>
      <c r="AI496" s="1691"/>
      <c r="AJ496" s="1691"/>
      <c r="AK496" s="1691"/>
      <c r="AL496" s="1691"/>
      <c r="AM496" s="1691"/>
      <c r="AN496" s="1691"/>
      <c r="AO496" s="1691"/>
      <c r="AP496" s="1691"/>
      <c r="AQ496" s="1691"/>
      <c r="AR496" s="1691"/>
      <c r="AS496" s="1691"/>
      <c r="AT496" s="1691"/>
    </row>
    <row r="497">
      <c r="A497" s="1419"/>
      <c r="B497" s="1697"/>
      <c r="C497" s="1698"/>
      <c r="D497" s="1698"/>
      <c r="E497" s="1689"/>
      <c r="F497" s="1689"/>
      <c r="G497" s="1689"/>
      <c r="H497" s="1689"/>
      <c r="I497" s="1689"/>
      <c r="J497" s="1689"/>
      <c r="K497" s="1689"/>
      <c r="L497" s="1689"/>
      <c r="M497" s="1689"/>
      <c r="N497" s="1689"/>
      <c r="O497" s="1689"/>
      <c r="P497" s="1689"/>
      <c r="Q497" s="1689"/>
      <c r="R497" s="1689"/>
      <c r="S497" s="1689"/>
      <c r="T497" s="1689"/>
      <c r="U497" s="1689"/>
      <c r="V497" s="1689"/>
      <c r="W497" s="1689"/>
      <c r="X497" s="1689"/>
      <c r="Y497" s="1689"/>
      <c r="Z497" s="1689"/>
      <c r="AA497" s="1689"/>
      <c r="AB497" s="1689"/>
      <c r="AC497" s="1689"/>
      <c r="AD497" s="1689"/>
      <c r="AE497" s="1689"/>
      <c r="AF497" s="1689"/>
      <c r="AG497" s="1689"/>
      <c r="AH497" s="1689"/>
      <c r="AI497" s="1689"/>
      <c r="AJ497" s="1689"/>
      <c r="AK497" s="1689"/>
      <c r="AL497" s="1689"/>
      <c r="AM497" s="1689"/>
      <c r="AN497" s="1689"/>
      <c r="AO497" s="1689"/>
      <c r="AP497" s="1689"/>
      <c r="AQ497" s="1689"/>
      <c r="AR497" s="1689"/>
      <c r="AS497" s="1689"/>
      <c r="AT497" s="1689"/>
    </row>
    <row r="498">
      <c r="A498" s="1419"/>
      <c r="B498" s="1699"/>
      <c r="C498" s="1700"/>
      <c r="D498" s="1700"/>
      <c r="E498" s="1691"/>
      <c r="F498" s="1691"/>
      <c r="G498" s="1691"/>
      <c r="H498" s="1691"/>
      <c r="I498" s="1691"/>
      <c r="J498" s="1691"/>
      <c r="K498" s="1691"/>
      <c r="L498" s="1691"/>
      <c r="M498" s="1691"/>
      <c r="N498" s="1691"/>
      <c r="O498" s="1691"/>
      <c r="P498" s="1691"/>
      <c r="Q498" s="1691"/>
      <c r="R498" s="1691"/>
      <c r="S498" s="1691"/>
      <c r="T498" s="1691"/>
      <c r="U498" s="1691"/>
      <c r="V498" s="1691"/>
      <c r="W498" s="1691"/>
      <c r="X498" s="1691"/>
      <c r="Y498" s="1691"/>
      <c r="Z498" s="1691"/>
      <c r="AA498" s="1691"/>
      <c r="AB498" s="1691"/>
      <c r="AC498" s="1691"/>
      <c r="AD498" s="1691"/>
      <c r="AE498" s="1691"/>
      <c r="AF498" s="1691"/>
      <c r="AG498" s="1691"/>
      <c r="AH498" s="1691"/>
      <c r="AI498" s="1691"/>
      <c r="AJ498" s="1691"/>
      <c r="AK498" s="1691"/>
      <c r="AL498" s="1691"/>
      <c r="AM498" s="1691"/>
      <c r="AN498" s="1691"/>
      <c r="AO498" s="1691"/>
      <c r="AP498" s="1691"/>
      <c r="AQ498" s="1691"/>
      <c r="AR498" s="1691"/>
      <c r="AS498" s="1691"/>
      <c r="AT498" s="1691"/>
    </row>
    <row r="499">
      <c r="A499" s="1419"/>
      <c r="B499" s="1697"/>
      <c r="C499" s="1698"/>
      <c r="D499" s="1698"/>
      <c r="E499" s="1689"/>
      <c r="F499" s="1689"/>
      <c r="G499" s="1689"/>
      <c r="H499" s="1689"/>
      <c r="I499" s="1689"/>
      <c r="J499" s="1689"/>
      <c r="K499" s="1689"/>
      <c r="L499" s="1689"/>
      <c r="M499" s="1689"/>
      <c r="N499" s="1689"/>
      <c r="O499" s="1689"/>
      <c r="P499" s="1689"/>
      <c r="Q499" s="1689"/>
      <c r="R499" s="1689"/>
      <c r="S499" s="1689"/>
      <c r="T499" s="1689"/>
      <c r="U499" s="1689"/>
      <c r="V499" s="1689"/>
      <c r="W499" s="1689"/>
      <c r="X499" s="1689"/>
      <c r="Y499" s="1689"/>
      <c r="Z499" s="1689"/>
      <c r="AA499" s="1689"/>
      <c r="AB499" s="1689"/>
      <c r="AC499" s="1689"/>
      <c r="AD499" s="1689"/>
      <c r="AE499" s="1689"/>
      <c r="AF499" s="1689"/>
      <c r="AG499" s="1689"/>
      <c r="AH499" s="1689"/>
      <c r="AI499" s="1689"/>
      <c r="AJ499" s="1689"/>
      <c r="AK499" s="1689"/>
      <c r="AL499" s="1689"/>
      <c r="AM499" s="1689"/>
      <c r="AN499" s="1689"/>
      <c r="AO499" s="1689"/>
      <c r="AP499" s="1689"/>
      <c r="AQ499" s="1689"/>
      <c r="AR499" s="1689"/>
      <c r="AS499" s="1689"/>
      <c r="AT499" s="1689"/>
    </row>
    <row r="500">
      <c r="A500" s="1419"/>
      <c r="B500" s="1699"/>
      <c r="C500" s="1700"/>
      <c r="D500" s="1700"/>
      <c r="E500" s="1691"/>
      <c r="F500" s="1691"/>
      <c r="G500" s="1691"/>
      <c r="H500" s="1691"/>
      <c r="I500" s="1691"/>
      <c r="J500" s="1691"/>
      <c r="K500" s="1691"/>
      <c r="L500" s="1691"/>
      <c r="M500" s="1691"/>
      <c r="N500" s="1691"/>
      <c r="O500" s="1691"/>
      <c r="P500" s="1691"/>
      <c r="Q500" s="1691"/>
      <c r="R500" s="1691"/>
      <c r="S500" s="1691"/>
      <c r="T500" s="1691"/>
      <c r="U500" s="1691"/>
      <c r="V500" s="1691"/>
      <c r="W500" s="1691"/>
      <c r="X500" s="1691"/>
      <c r="Y500" s="1691"/>
      <c r="Z500" s="1691"/>
      <c r="AA500" s="1691"/>
      <c r="AB500" s="1691"/>
      <c r="AC500" s="1691"/>
      <c r="AD500" s="1691"/>
      <c r="AE500" s="1691"/>
      <c r="AF500" s="1691"/>
      <c r="AG500" s="1691"/>
      <c r="AH500" s="1691"/>
      <c r="AI500" s="1691"/>
      <c r="AJ500" s="1691"/>
      <c r="AK500" s="1691"/>
      <c r="AL500" s="1691"/>
      <c r="AM500" s="1691"/>
      <c r="AN500" s="1691"/>
      <c r="AO500" s="1691"/>
      <c r="AP500" s="1691"/>
      <c r="AQ500" s="1691"/>
      <c r="AR500" s="1691"/>
      <c r="AS500" s="1691"/>
      <c r="AT500" s="1691"/>
    </row>
    <row r="501">
      <c r="A501" s="1419"/>
      <c r="B501" s="1697"/>
      <c r="C501" s="1698"/>
      <c r="D501" s="1698"/>
      <c r="E501" s="1689"/>
      <c r="F501" s="1689"/>
      <c r="G501" s="1689"/>
      <c r="H501" s="1689"/>
      <c r="I501" s="1689"/>
      <c r="J501" s="1689"/>
      <c r="K501" s="1689"/>
      <c r="L501" s="1689"/>
      <c r="M501" s="1689"/>
      <c r="N501" s="1689"/>
      <c r="O501" s="1689"/>
      <c r="P501" s="1689"/>
      <c r="Q501" s="1689"/>
      <c r="R501" s="1689"/>
      <c r="S501" s="1689"/>
      <c r="T501" s="1689"/>
      <c r="U501" s="1689"/>
      <c r="V501" s="1689"/>
      <c r="W501" s="1689"/>
      <c r="X501" s="1689"/>
      <c r="Y501" s="1689"/>
      <c r="Z501" s="1689"/>
      <c r="AA501" s="1689"/>
      <c r="AB501" s="1689"/>
      <c r="AC501" s="1689"/>
      <c r="AD501" s="1689"/>
      <c r="AE501" s="1689"/>
      <c r="AF501" s="1689"/>
      <c r="AG501" s="1689"/>
      <c r="AH501" s="1689"/>
      <c r="AI501" s="1689"/>
      <c r="AJ501" s="1689"/>
      <c r="AK501" s="1689"/>
      <c r="AL501" s="1689"/>
      <c r="AM501" s="1689"/>
      <c r="AN501" s="1689"/>
      <c r="AO501" s="1689"/>
      <c r="AP501" s="1689"/>
      <c r="AQ501" s="1689"/>
      <c r="AR501" s="1689"/>
      <c r="AS501" s="1689"/>
      <c r="AT501" s="1689"/>
    </row>
    <row r="502">
      <c r="A502" s="1419"/>
      <c r="B502" s="1701"/>
      <c r="C502" s="1702"/>
      <c r="D502" s="1702"/>
      <c r="E502" s="1703"/>
      <c r="F502" s="1703"/>
      <c r="G502" s="1703"/>
      <c r="H502" s="1703"/>
      <c r="I502" s="1703"/>
      <c r="J502" s="1703"/>
      <c r="K502" s="1703"/>
      <c r="L502" s="1703"/>
      <c r="M502" s="1703"/>
      <c r="N502" s="1703"/>
      <c r="O502" s="1703"/>
      <c r="P502" s="1703"/>
      <c r="Q502" s="1703"/>
      <c r="R502" s="1703"/>
      <c r="S502" s="1703"/>
      <c r="T502" s="1703"/>
      <c r="U502" s="1703"/>
      <c r="V502" s="1703"/>
      <c r="W502" s="1703"/>
      <c r="X502" s="1703"/>
      <c r="Y502" s="1703"/>
      <c r="Z502" s="1704"/>
      <c r="AA502" s="1704"/>
      <c r="AB502" s="1704"/>
      <c r="AC502" s="1704"/>
      <c r="AD502" s="1704"/>
      <c r="AE502" s="1704"/>
      <c r="AF502" s="1704"/>
      <c r="AG502" s="1704"/>
      <c r="AH502" s="1704"/>
      <c r="AI502" s="1704"/>
      <c r="AJ502" s="1704"/>
      <c r="AK502" s="1704"/>
      <c r="AL502" s="1704"/>
      <c r="AM502" s="1704"/>
      <c r="AN502" s="1704"/>
      <c r="AO502" s="1704"/>
      <c r="AP502" s="1704"/>
      <c r="AQ502" s="1704"/>
      <c r="AR502" s="1704"/>
      <c r="AS502" s="1704"/>
      <c r="AT502" s="1704"/>
    </row>
    <row r="503">
      <c r="A503" s="1419"/>
      <c r="B503" s="1705"/>
      <c r="C503" s="1702"/>
      <c r="D503" s="1702"/>
      <c r="E503" s="1703"/>
      <c r="F503" s="1703"/>
      <c r="G503" s="1703"/>
      <c r="H503" s="1703"/>
      <c r="I503" s="1703"/>
      <c r="J503" s="1703"/>
      <c r="K503" s="1703"/>
      <c r="L503" s="1703"/>
      <c r="M503" s="1703"/>
      <c r="N503" s="1703"/>
      <c r="O503" s="1703"/>
      <c r="P503" s="1703"/>
      <c r="Q503" s="1703"/>
      <c r="R503" s="1703"/>
      <c r="S503" s="1703"/>
      <c r="T503" s="1703"/>
      <c r="U503" s="1703"/>
      <c r="V503" s="1703"/>
      <c r="W503" s="1703"/>
      <c r="X503" s="1703"/>
      <c r="Y503" s="1703"/>
      <c r="Z503" s="1704"/>
      <c r="AA503" s="1704"/>
      <c r="AB503" s="1704"/>
      <c r="AC503" s="1704"/>
      <c r="AD503" s="1704"/>
      <c r="AE503" s="1704"/>
      <c r="AF503" s="1704"/>
      <c r="AG503" s="1704"/>
      <c r="AH503" s="1704"/>
      <c r="AI503" s="1704"/>
      <c r="AJ503" s="1704"/>
      <c r="AK503" s="1704"/>
      <c r="AL503" s="1704"/>
      <c r="AM503" s="1704"/>
      <c r="AN503" s="1704"/>
      <c r="AO503" s="1704"/>
      <c r="AP503" s="1704"/>
      <c r="AQ503" s="1704"/>
      <c r="AR503" s="1704"/>
      <c r="AS503" s="1704"/>
      <c r="AT503" s="1704"/>
    </row>
    <row r="504">
      <c r="A504" s="1419"/>
      <c r="B504" s="1705"/>
      <c r="C504" s="1702"/>
      <c r="D504" s="1702"/>
      <c r="E504" s="1703"/>
      <c r="F504" s="1703"/>
      <c r="G504" s="1703"/>
      <c r="H504" s="1703"/>
      <c r="I504" s="1703"/>
      <c r="J504" s="1703"/>
      <c r="K504" s="1703"/>
      <c r="L504" s="1703"/>
      <c r="M504" s="1703"/>
      <c r="N504" s="1703"/>
      <c r="O504" s="1703"/>
      <c r="P504" s="1703"/>
      <c r="Q504" s="1703"/>
      <c r="R504" s="1703"/>
      <c r="S504" s="1703"/>
      <c r="T504" s="1703"/>
      <c r="U504" s="1703"/>
      <c r="V504" s="1703"/>
      <c r="W504" s="1703"/>
      <c r="X504" s="1703"/>
      <c r="Y504" s="1703"/>
      <c r="Z504" s="1704"/>
      <c r="AA504" s="1704"/>
      <c r="AB504" s="1704"/>
      <c r="AC504" s="1704"/>
      <c r="AD504" s="1704"/>
      <c r="AE504" s="1704"/>
      <c r="AF504" s="1704"/>
      <c r="AG504" s="1704"/>
      <c r="AH504" s="1704"/>
      <c r="AI504" s="1704"/>
      <c r="AJ504" s="1704"/>
      <c r="AK504" s="1704"/>
      <c r="AL504" s="1704"/>
      <c r="AM504" s="1704"/>
      <c r="AN504" s="1704"/>
      <c r="AO504" s="1704"/>
      <c r="AP504" s="1704"/>
      <c r="AQ504" s="1704"/>
      <c r="AR504" s="1704"/>
      <c r="AS504" s="1704"/>
      <c r="AT504" s="1704"/>
    </row>
    <row r="505">
      <c r="A505" s="1419"/>
      <c r="B505" s="1705"/>
      <c r="C505" s="1702"/>
      <c r="D505" s="1702"/>
      <c r="E505" s="1703"/>
      <c r="F505" s="1703"/>
      <c r="G505" s="1703"/>
      <c r="H505" s="1703"/>
      <c r="I505" s="1703"/>
      <c r="J505" s="1703"/>
      <c r="K505" s="1703"/>
      <c r="L505" s="1703"/>
      <c r="M505" s="1703"/>
      <c r="N505" s="1703"/>
      <c r="O505" s="1703"/>
      <c r="P505" s="1703"/>
      <c r="Q505" s="1703"/>
      <c r="R505" s="1703"/>
      <c r="S505" s="1703"/>
      <c r="T505" s="1703"/>
      <c r="U505" s="1703"/>
      <c r="V505" s="1703"/>
      <c r="W505" s="1703"/>
      <c r="X505" s="1703"/>
      <c r="Y505" s="1703"/>
      <c r="Z505" s="1704"/>
      <c r="AA505" s="1704"/>
      <c r="AB505" s="1704"/>
      <c r="AC505" s="1704"/>
      <c r="AD505" s="1704"/>
      <c r="AE505" s="1704"/>
      <c r="AF505" s="1704"/>
      <c r="AG505" s="1704"/>
      <c r="AH505" s="1704"/>
      <c r="AI505" s="1704"/>
      <c r="AJ505" s="1704"/>
      <c r="AK505" s="1704"/>
      <c r="AL505" s="1704"/>
      <c r="AM505" s="1704"/>
      <c r="AN505" s="1704"/>
      <c r="AO505" s="1704"/>
      <c r="AP505" s="1704"/>
      <c r="AQ505" s="1704"/>
      <c r="AR505" s="1704"/>
      <c r="AS505" s="1704"/>
      <c r="AT505" s="1704"/>
    </row>
    <row r="506">
      <c r="A506" s="1419"/>
      <c r="B506" s="1705"/>
      <c r="C506" s="1702"/>
      <c r="D506" s="1702"/>
      <c r="E506" s="1703"/>
      <c r="F506" s="1703"/>
      <c r="G506" s="1703"/>
      <c r="H506" s="1703"/>
      <c r="I506" s="1703"/>
      <c r="J506" s="1703"/>
      <c r="K506" s="1703"/>
      <c r="L506" s="1703"/>
      <c r="M506" s="1703"/>
      <c r="N506" s="1703"/>
      <c r="O506" s="1703"/>
      <c r="P506" s="1703"/>
      <c r="Q506" s="1703"/>
      <c r="R506" s="1703"/>
      <c r="S506" s="1703"/>
      <c r="T506" s="1703"/>
      <c r="U506" s="1703"/>
      <c r="V506" s="1703"/>
      <c r="W506" s="1703"/>
      <c r="X506" s="1703"/>
      <c r="Y506" s="1703"/>
      <c r="Z506" s="1704"/>
      <c r="AA506" s="1704"/>
      <c r="AB506" s="1704"/>
      <c r="AC506" s="1704"/>
      <c r="AD506" s="1704"/>
      <c r="AE506" s="1704"/>
      <c r="AF506" s="1704"/>
      <c r="AG506" s="1704"/>
      <c r="AH506" s="1704"/>
      <c r="AI506" s="1704"/>
      <c r="AJ506" s="1704"/>
      <c r="AK506" s="1704"/>
      <c r="AL506" s="1704"/>
      <c r="AM506" s="1704"/>
      <c r="AN506" s="1704"/>
      <c r="AO506" s="1704"/>
      <c r="AP506" s="1704"/>
      <c r="AQ506" s="1704"/>
      <c r="AR506" s="1704"/>
      <c r="AS506" s="1704"/>
      <c r="AT506" s="1704"/>
    </row>
    <row r="507">
      <c r="A507" s="1419"/>
      <c r="B507" s="1705"/>
      <c r="C507" s="1702"/>
      <c r="D507" s="1702"/>
      <c r="E507" s="1703"/>
      <c r="F507" s="1703"/>
      <c r="G507" s="1703"/>
      <c r="H507" s="1703"/>
      <c r="I507" s="1703"/>
      <c r="J507" s="1703"/>
      <c r="K507" s="1703"/>
      <c r="L507" s="1703"/>
      <c r="M507" s="1703"/>
      <c r="N507" s="1703"/>
      <c r="O507" s="1703"/>
      <c r="P507" s="1703"/>
      <c r="Q507" s="1703"/>
      <c r="R507" s="1703"/>
      <c r="S507" s="1703"/>
      <c r="T507" s="1703"/>
      <c r="U507" s="1703"/>
      <c r="V507" s="1703"/>
      <c r="W507" s="1703"/>
      <c r="X507" s="1703"/>
      <c r="Y507" s="1703"/>
      <c r="Z507" s="1704"/>
      <c r="AA507" s="1704"/>
      <c r="AB507" s="1704"/>
      <c r="AC507" s="1704"/>
      <c r="AD507" s="1704"/>
      <c r="AE507" s="1704"/>
      <c r="AF507" s="1704"/>
      <c r="AG507" s="1704"/>
      <c r="AH507" s="1704"/>
      <c r="AI507" s="1704"/>
      <c r="AJ507" s="1704"/>
      <c r="AK507" s="1704"/>
      <c r="AL507" s="1704"/>
      <c r="AM507" s="1704"/>
      <c r="AN507" s="1704"/>
      <c r="AO507" s="1704"/>
      <c r="AP507" s="1704"/>
      <c r="AQ507" s="1704"/>
      <c r="AR507" s="1704"/>
      <c r="AS507" s="1704"/>
      <c r="AT507" s="1704"/>
    </row>
    <row r="508">
      <c r="A508" s="1419"/>
      <c r="B508" s="1706"/>
      <c r="C508" s="1702"/>
      <c r="D508" s="1702"/>
      <c r="E508" s="1703"/>
      <c r="F508" s="1703"/>
      <c r="G508" s="1703"/>
      <c r="H508" s="1703"/>
      <c r="I508" s="1703"/>
      <c r="J508" s="1703"/>
      <c r="K508" s="1703"/>
      <c r="L508" s="1703"/>
      <c r="M508" s="1703"/>
      <c r="N508" s="1703"/>
      <c r="O508" s="1703"/>
      <c r="P508" s="1703"/>
      <c r="Q508" s="1703"/>
      <c r="R508" s="1703"/>
      <c r="S508" s="1703"/>
      <c r="T508" s="1703"/>
      <c r="U508" s="1703"/>
      <c r="V508" s="1703"/>
      <c r="W508" s="1703"/>
      <c r="X508" s="1703"/>
      <c r="Y508" s="1703"/>
      <c r="Z508" s="1704"/>
      <c r="AA508" s="1704"/>
      <c r="AB508" s="1704"/>
      <c r="AC508" s="1704"/>
      <c r="AD508" s="1704"/>
      <c r="AE508" s="1704"/>
      <c r="AF508" s="1704"/>
      <c r="AG508" s="1704"/>
      <c r="AH508" s="1704"/>
      <c r="AI508" s="1704"/>
      <c r="AJ508" s="1704"/>
      <c r="AK508" s="1704"/>
      <c r="AL508" s="1704"/>
      <c r="AM508" s="1704"/>
      <c r="AN508" s="1704"/>
      <c r="AO508" s="1704"/>
      <c r="AP508" s="1704"/>
      <c r="AQ508" s="1704"/>
      <c r="AR508" s="1704"/>
      <c r="AS508" s="1704"/>
      <c r="AT508" s="1704"/>
    </row>
    <row r="509">
      <c r="A509" s="1419"/>
      <c r="B509" s="1701"/>
      <c r="C509" s="1702"/>
      <c r="D509" s="1702"/>
      <c r="E509" s="1703"/>
      <c r="F509" s="1703"/>
      <c r="G509" s="1703"/>
      <c r="H509" s="1703"/>
      <c r="I509" s="1703"/>
      <c r="J509" s="1703"/>
      <c r="K509" s="1703"/>
      <c r="L509" s="1703"/>
      <c r="M509" s="1703"/>
      <c r="N509" s="1703"/>
      <c r="O509" s="1703"/>
      <c r="P509" s="1703"/>
      <c r="Q509" s="1703"/>
      <c r="R509" s="1703"/>
      <c r="S509" s="1703"/>
      <c r="T509" s="1703"/>
      <c r="U509" s="1703"/>
      <c r="V509" s="1703"/>
      <c r="W509" s="1703"/>
      <c r="X509" s="1703"/>
      <c r="Y509" s="1703"/>
      <c r="Z509" s="1704"/>
      <c r="AA509" s="1704"/>
      <c r="AB509" s="1704"/>
      <c r="AC509" s="1704"/>
      <c r="AD509" s="1704"/>
      <c r="AE509" s="1704"/>
      <c r="AF509" s="1704"/>
      <c r="AG509" s="1704"/>
      <c r="AH509" s="1704"/>
      <c r="AI509" s="1704"/>
      <c r="AJ509" s="1704"/>
      <c r="AK509" s="1704"/>
      <c r="AL509" s="1704"/>
      <c r="AM509" s="1704"/>
      <c r="AN509" s="1704"/>
      <c r="AO509" s="1704"/>
      <c r="AP509" s="1704"/>
      <c r="AQ509" s="1704"/>
      <c r="AR509" s="1704"/>
      <c r="AS509" s="1704"/>
      <c r="AT509" s="1704"/>
    </row>
    <row r="510">
      <c r="A510" s="1419"/>
      <c r="B510" s="1701"/>
      <c r="C510" s="1702"/>
      <c r="D510" s="1702"/>
      <c r="E510" s="1703"/>
      <c r="F510" s="1703"/>
      <c r="G510" s="1703"/>
      <c r="H510" s="1703"/>
      <c r="I510" s="1703"/>
      <c r="J510" s="1703"/>
      <c r="K510" s="1703"/>
      <c r="L510" s="1703"/>
      <c r="M510" s="1703"/>
      <c r="N510" s="1703"/>
      <c r="O510" s="1703"/>
      <c r="P510" s="1703"/>
      <c r="Q510" s="1703"/>
      <c r="R510" s="1703"/>
      <c r="S510" s="1703"/>
      <c r="T510" s="1703"/>
      <c r="U510" s="1703"/>
      <c r="V510" s="1703"/>
      <c r="W510" s="1703"/>
      <c r="X510" s="1703"/>
      <c r="Y510" s="1703"/>
      <c r="Z510" s="1704"/>
      <c r="AA510" s="1704"/>
      <c r="AB510" s="1704"/>
      <c r="AC510" s="1704"/>
      <c r="AD510" s="1704"/>
      <c r="AE510" s="1704"/>
      <c r="AF510" s="1704"/>
      <c r="AG510" s="1704"/>
      <c r="AH510" s="1704"/>
      <c r="AI510" s="1704"/>
      <c r="AJ510" s="1704"/>
      <c r="AK510" s="1704"/>
      <c r="AL510" s="1704"/>
      <c r="AM510" s="1704"/>
      <c r="AN510" s="1704"/>
      <c r="AO510" s="1704"/>
      <c r="AP510" s="1704"/>
      <c r="AQ510" s="1704"/>
      <c r="AR510" s="1704"/>
      <c r="AS510" s="1704"/>
      <c r="AT510" s="1704"/>
    </row>
    <row r="511">
      <c r="A511" s="1419"/>
      <c r="B511" s="1701"/>
      <c r="C511" s="1702"/>
      <c r="D511" s="1702"/>
      <c r="E511" s="1703"/>
      <c r="F511" s="1703"/>
      <c r="G511" s="1703"/>
      <c r="H511" s="1703"/>
      <c r="I511" s="1703"/>
      <c r="J511" s="1703"/>
      <c r="K511" s="1703"/>
      <c r="L511" s="1703"/>
      <c r="M511" s="1703"/>
      <c r="N511" s="1703"/>
      <c r="O511" s="1703"/>
      <c r="P511" s="1703"/>
      <c r="Q511" s="1703"/>
      <c r="R511" s="1703"/>
      <c r="S511" s="1703"/>
      <c r="T511" s="1703"/>
      <c r="U511" s="1703"/>
      <c r="V511" s="1703"/>
      <c r="W511" s="1703"/>
      <c r="X511" s="1703"/>
      <c r="Y511" s="1703"/>
      <c r="Z511" s="1704"/>
      <c r="AA511" s="1704"/>
      <c r="AB511" s="1704"/>
      <c r="AC511" s="1704"/>
      <c r="AD511" s="1704"/>
      <c r="AE511" s="1704"/>
      <c r="AF511" s="1704"/>
      <c r="AG511" s="1704"/>
      <c r="AH511" s="1704"/>
      <c r="AI511" s="1704"/>
      <c r="AJ511" s="1704"/>
      <c r="AK511" s="1704"/>
      <c r="AL511" s="1704"/>
      <c r="AM511" s="1704"/>
      <c r="AN511" s="1704"/>
      <c r="AO511" s="1704"/>
      <c r="AP511" s="1704"/>
      <c r="AQ511" s="1704"/>
      <c r="AR511" s="1704"/>
      <c r="AS511" s="1704"/>
      <c r="AT511" s="1704"/>
    </row>
    <row r="512">
      <c r="A512" s="1440" t="s">
        <v>2461</v>
      </c>
      <c r="B512" s="1701"/>
      <c r="C512" s="1702"/>
      <c r="D512" s="1702"/>
      <c r="E512" s="1703"/>
      <c r="F512" s="1703"/>
      <c r="G512" s="1703"/>
      <c r="H512" s="1703"/>
      <c r="I512" s="1703"/>
      <c r="J512" s="1703"/>
      <c r="K512" s="1703"/>
      <c r="L512" s="1703"/>
      <c r="M512" s="1703"/>
      <c r="N512" s="1703"/>
      <c r="O512" s="1703"/>
      <c r="P512" s="1703"/>
      <c r="Q512" s="1703"/>
      <c r="R512" s="1703"/>
      <c r="S512" s="1703"/>
      <c r="T512" s="1703"/>
      <c r="U512" s="1703"/>
      <c r="V512" s="1703"/>
      <c r="W512" s="1703"/>
      <c r="X512" s="1703"/>
      <c r="Y512" s="1703"/>
      <c r="Z512" s="1707"/>
      <c r="AA512" s="1707"/>
      <c r="AB512" s="1707"/>
      <c r="AC512" s="1707"/>
      <c r="AD512" s="1707"/>
      <c r="AE512" s="1707"/>
      <c r="AF512" s="1707"/>
      <c r="AG512" s="1707"/>
      <c r="AH512" s="1707"/>
      <c r="AI512" s="1707"/>
      <c r="AJ512" s="1707"/>
      <c r="AK512" s="1707"/>
      <c r="AL512" s="1707"/>
      <c r="AM512" s="1707"/>
      <c r="AN512" s="1707"/>
      <c r="AO512" s="1707"/>
      <c r="AP512" s="1707"/>
      <c r="AQ512" s="1707"/>
      <c r="AR512" s="1707"/>
      <c r="AS512" s="1707"/>
      <c r="AT512" s="1707"/>
    </row>
    <row r="513">
      <c r="A513" s="1461" t="s">
        <v>2461</v>
      </c>
      <c r="B513" s="1708"/>
      <c r="C513" s="1709"/>
      <c r="D513" s="1709"/>
      <c r="E513" s="1710"/>
      <c r="F513" s="1710"/>
      <c r="G513" s="1710"/>
      <c r="H513" s="1710"/>
      <c r="I513" s="1710"/>
      <c r="J513" s="1710"/>
      <c r="K513" s="1710"/>
      <c r="L513" s="1710"/>
      <c r="M513" s="1711"/>
      <c r="N513" s="1711"/>
      <c r="O513" s="1711"/>
      <c r="P513" s="1711"/>
      <c r="Q513" s="1711"/>
      <c r="R513" s="1711"/>
      <c r="S513" s="1711"/>
      <c r="T513" s="1711"/>
      <c r="U513" s="1711"/>
      <c r="V513" s="1711"/>
      <c r="W513" s="1711"/>
      <c r="X513" s="1711"/>
      <c r="Y513" s="1711"/>
      <c r="Z513" s="1711"/>
      <c r="AA513" s="1711"/>
      <c r="AB513" s="1711"/>
      <c r="AC513" s="1711"/>
      <c r="AD513" s="1711"/>
      <c r="AE513" s="1711"/>
      <c r="AF513" s="1711"/>
      <c r="AG513" s="1711"/>
      <c r="AH513" s="1711"/>
      <c r="AI513" s="1711"/>
      <c r="AJ513" s="1711"/>
      <c r="AK513" s="1711"/>
      <c r="AL513" s="1711"/>
      <c r="AM513" s="1711"/>
      <c r="AN513" s="1711"/>
      <c r="AO513" s="1711"/>
      <c r="AP513" s="1711"/>
      <c r="AQ513" s="1711"/>
      <c r="AR513" s="1711"/>
      <c r="AS513" s="1711"/>
      <c r="AT513" s="1711"/>
    </row>
    <row r="514">
      <c r="A514" s="1461" t="s">
        <v>2461</v>
      </c>
      <c r="B514" s="1708"/>
      <c r="C514" s="1709"/>
      <c r="D514" s="1709"/>
      <c r="E514" s="1710"/>
      <c r="F514" s="1710"/>
      <c r="G514" s="1710"/>
      <c r="H514" s="1710"/>
      <c r="I514" s="1710"/>
      <c r="J514" s="1710"/>
      <c r="K514" s="1710"/>
      <c r="L514" s="1710"/>
      <c r="M514" s="1711"/>
      <c r="N514" s="1711"/>
      <c r="O514" s="1711"/>
      <c r="P514" s="1711"/>
      <c r="Q514" s="1711"/>
      <c r="R514" s="1711"/>
      <c r="S514" s="1711"/>
      <c r="T514" s="1711"/>
      <c r="U514" s="1711"/>
      <c r="V514" s="1711"/>
      <c r="W514" s="1711"/>
      <c r="X514" s="1711"/>
      <c r="Y514" s="1711"/>
      <c r="Z514" s="1711"/>
      <c r="AA514" s="1711"/>
      <c r="AB514" s="1711"/>
      <c r="AC514" s="1711"/>
      <c r="AD514" s="1711"/>
      <c r="AE514" s="1711"/>
      <c r="AF514" s="1711"/>
      <c r="AG514" s="1711"/>
      <c r="AH514" s="1711"/>
      <c r="AI514" s="1711"/>
      <c r="AJ514" s="1711"/>
      <c r="AK514" s="1711"/>
      <c r="AL514" s="1711"/>
      <c r="AM514" s="1711"/>
      <c r="AN514" s="1711"/>
      <c r="AO514" s="1711"/>
      <c r="AP514" s="1711"/>
      <c r="AQ514" s="1711"/>
      <c r="AR514" s="1711"/>
      <c r="AS514" s="1711"/>
      <c r="AT514" s="1711"/>
    </row>
    <row r="515">
      <c r="A515" s="1461" t="s">
        <v>2461</v>
      </c>
      <c r="B515" s="1708"/>
      <c r="C515" s="1709"/>
      <c r="D515" s="1709"/>
      <c r="E515" s="1710"/>
      <c r="F515" s="1710"/>
      <c r="G515" s="1710"/>
      <c r="H515" s="1710"/>
      <c r="I515" s="1710"/>
      <c r="J515" s="1710"/>
      <c r="K515" s="1710"/>
      <c r="L515" s="1710"/>
      <c r="M515" s="1711"/>
      <c r="N515" s="1711"/>
      <c r="O515" s="1711"/>
      <c r="P515" s="1711"/>
      <c r="Q515" s="1711"/>
      <c r="R515" s="1711"/>
      <c r="S515" s="1711"/>
      <c r="T515" s="1711"/>
      <c r="U515" s="1711"/>
      <c r="V515" s="1711"/>
      <c r="W515" s="1711"/>
      <c r="X515" s="1711"/>
      <c r="Y515" s="1711"/>
      <c r="Z515" s="1711"/>
      <c r="AA515" s="1711"/>
      <c r="AB515" s="1711"/>
      <c r="AC515" s="1711"/>
      <c r="AD515" s="1711"/>
      <c r="AE515" s="1711"/>
      <c r="AF515" s="1711"/>
      <c r="AG515" s="1711"/>
      <c r="AH515" s="1711"/>
      <c r="AI515" s="1711"/>
      <c r="AJ515" s="1711"/>
      <c r="AK515" s="1711"/>
      <c r="AL515" s="1711"/>
      <c r="AM515" s="1711"/>
      <c r="AN515" s="1711"/>
      <c r="AO515" s="1711"/>
      <c r="AP515" s="1711"/>
      <c r="AQ515" s="1711"/>
      <c r="AR515" s="1711"/>
      <c r="AS515" s="1711"/>
      <c r="AT515" s="1711"/>
    </row>
    <row r="516">
      <c r="A516" s="1461" t="s">
        <v>2461</v>
      </c>
      <c r="B516" s="1708"/>
      <c r="C516" s="1709"/>
      <c r="D516" s="1709"/>
      <c r="E516" s="1710"/>
      <c r="F516" s="1710"/>
      <c r="G516" s="1710"/>
      <c r="H516" s="1710"/>
      <c r="I516" s="1710"/>
      <c r="J516" s="1710"/>
      <c r="K516" s="1710"/>
      <c r="L516" s="1710"/>
      <c r="M516" s="1711"/>
      <c r="N516" s="1711"/>
      <c r="O516" s="1711"/>
      <c r="P516" s="1711"/>
      <c r="Q516" s="1711"/>
      <c r="R516" s="1711"/>
      <c r="S516" s="1711"/>
      <c r="T516" s="1711"/>
      <c r="U516" s="1711"/>
      <c r="V516" s="1711"/>
      <c r="W516" s="1711"/>
      <c r="X516" s="1711"/>
      <c r="Y516" s="1711"/>
      <c r="Z516" s="1711"/>
      <c r="AA516" s="1711"/>
      <c r="AB516" s="1711"/>
      <c r="AC516" s="1711"/>
      <c r="AD516" s="1711"/>
      <c r="AE516" s="1711"/>
      <c r="AF516" s="1711"/>
      <c r="AG516" s="1711"/>
      <c r="AH516" s="1711"/>
      <c r="AI516" s="1711"/>
      <c r="AJ516" s="1711"/>
      <c r="AK516" s="1711"/>
      <c r="AL516" s="1711"/>
      <c r="AM516" s="1711"/>
      <c r="AN516" s="1711"/>
      <c r="AO516" s="1711"/>
      <c r="AP516" s="1711"/>
      <c r="AQ516" s="1711"/>
      <c r="AR516" s="1711"/>
      <c r="AS516" s="1711"/>
      <c r="AT516" s="1711"/>
    </row>
    <row r="517">
      <c r="A517" s="1461" t="s">
        <v>2461</v>
      </c>
      <c r="B517" s="1708"/>
      <c r="C517" s="1709"/>
      <c r="D517" s="1709"/>
      <c r="E517" s="1710"/>
      <c r="F517" s="1710"/>
      <c r="G517" s="1710"/>
      <c r="H517" s="1710"/>
      <c r="I517" s="1710"/>
      <c r="J517" s="1710"/>
      <c r="K517" s="1710"/>
      <c r="L517" s="1710"/>
      <c r="M517" s="1711"/>
      <c r="N517" s="1711"/>
      <c r="O517" s="1711"/>
      <c r="P517" s="1711"/>
      <c r="Q517" s="1711"/>
      <c r="R517" s="1711"/>
      <c r="S517" s="1711"/>
      <c r="T517" s="1711"/>
      <c r="U517" s="1711"/>
      <c r="V517" s="1711"/>
      <c r="W517" s="1711"/>
      <c r="X517" s="1711"/>
      <c r="Y517" s="1711"/>
      <c r="Z517" s="1711"/>
      <c r="AA517" s="1711"/>
      <c r="AB517" s="1711"/>
      <c r="AC517" s="1711"/>
      <c r="AD517" s="1711"/>
      <c r="AE517" s="1711"/>
      <c r="AF517" s="1711"/>
      <c r="AG517" s="1711"/>
      <c r="AH517" s="1711"/>
      <c r="AI517" s="1711"/>
      <c r="AJ517" s="1711"/>
      <c r="AK517" s="1711"/>
      <c r="AL517" s="1711"/>
      <c r="AM517" s="1711"/>
      <c r="AN517" s="1711"/>
      <c r="AO517" s="1711"/>
      <c r="AP517" s="1711"/>
      <c r="AQ517" s="1711"/>
      <c r="AR517" s="1711"/>
      <c r="AS517" s="1711"/>
      <c r="AT517" s="1711"/>
    </row>
    <row r="518">
      <c r="A518" s="1461" t="s">
        <v>2461</v>
      </c>
      <c r="B518" s="1708"/>
      <c r="C518" s="1709"/>
      <c r="D518" s="1709"/>
      <c r="E518" s="1710"/>
      <c r="F518" s="1710"/>
      <c r="G518" s="1710"/>
      <c r="H518" s="1710"/>
      <c r="I518" s="1710"/>
      <c r="J518" s="1710"/>
      <c r="K518" s="1710"/>
      <c r="L518" s="1710"/>
      <c r="M518" s="1711"/>
      <c r="N518" s="1711"/>
      <c r="O518" s="1711"/>
      <c r="P518" s="1711"/>
      <c r="Q518" s="1711"/>
      <c r="R518" s="1711"/>
      <c r="S518" s="1711"/>
      <c r="T518" s="1711"/>
      <c r="U518" s="1711"/>
      <c r="V518" s="1711"/>
      <c r="W518" s="1711"/>
      <c r="X518" s="1711"/>
      <c r="Y518" s="1711"/>
      <c r="Z518" s="1711"/>
      <c r="AA518" s="1711"/>
      <c r="AB518" s="1711"/>
      <c r="AC518" s="1711"/>
      <c r="AD518" s="1711"/>
      <c r="AE518" s="1711"/>
      <c r="AF518" s="1711"/>
      <c r="AG518" s="1711"/>
      <c r="AH518" s="1711"/>
      <c r="AI518" s="1711"/>
      <c r="AJ518" s="1711"/>
      <c r="AK518" s="1711"/>
      <c r="AL518" s="1711"/>
      <c r="AM518" s="1711"/>
      <c r="AN518" s="1711"/>
      <c r="AO518" s="1711"/>
      <c r="AP518" s="1711"/>
      <c r="AQ518" s="1711"/>
      <c r="AR518" s="1711"/>
      <c r="AS518" s="1711"/>
      <c r="AT518" s="1711"/>
    </row>
    <row r="519">
      <c r="A519" s="1461" t="s">
        <v>2461</v>
      </c>
      <c r="B519" s="1708"/>
      <c r="C519" s="1709"/>
      <c r="D519" s="1709"/>
      <c r="E519" s="1710"/>
      <c r="F519" s="1710"/>
      <c r="G519" s="1710"/>
      <c r="H519" s="1710"/>
      <c r="I519" s="1710"/>
      <c r="J519" s="1710"/>
      <c r="K519" s="1710"/>
      <c r="L519" s="1710"/>
      <c r="M519" s="1711"/>
      <c r="N519" s="1711"/>
      <c r="O519" s="1711"/>
      <c r="P519" s="1711"/>
      <c r="Q519" s="1711"/>
      <c r="R519" s="1711"/>
      <c r="S519" s="1711"/>
      <c r="T519" s="1711"/>
      <c r="U519" s="1711"/>
      <c r="V519" s="1711"/>
      <c r="W519" s="1711"/>
      <c r="X519" s="1711"/>
      <c r="Y519" s="1711"/>
      <c r="Z519" s="1711"/>
      <c r="AA519" s="1711"/>
      <c r="AB519" s="1711"/>
      <c r="AC519" s="1711"/>
      <c r="AD519" s="1711"/>
      <c r="AE519" s="1711"/>
      <c r="AF519" s="1711"/>
      <c r="AG519" s="1711"/>
      <c r="AH519" s="1711"/>
      <c r="AI519" s="1711"/>
      <c r="AJ519" s="1711"/>
      <c r="AK519" s="1711"/>
      <c r="AL519" s="1711"/>
      <c r="AM519" s="1711"/>
      <c r="AN519" s="1711"/>
      <c r="AO519" s="1711"/>
      <c r="AP519" s="1711"/>
      <c r="AQ519" s="1711"/>
      <c r="AR519" s="1711"/>
      <c r="AS519" s="1711"/>
      <c r="AT519" s="1711"/>
    </row>
    <row r="520">
      <c r="A520" s="1461" t="s">
        <v>2461</v>
      </c>
      <c r="B520" s="1708"/>
      <c r="C520" s="1709"/>
      <c r="D520" s="1709"/>
      <c r="E520" s="1710"/>
      <c r="F520" s="1710"/>
      <c r="G520" s="1710"/>
      <c r="H520" s="1710"/>
      <c r="I520" s="1710"/>
      <c r="J520" s="1710"/>
      <c r="K520" s="1710"/>
      <c r="L520" s="1710"/>
      <c r="M520" s="1711"/>
      <c r="N520" s="1711"/>
      <c r="O520" s="1711"/>
      <c r="P520" s="1711"/>
      <c r="Q520" s="1711"/>
      <c r="R520" s="1711"/>
      <c r="S520" s="1711"/>
      <c r="T520" s="1711"/>
      <c r="U520" s="1711"/>
      <c r="V520" s="1711"/>
      <c r="W520" s="1711"/>
      <c r="X520" s="1711"/>
      <c r="Y520" s="1711"/>
      <c r="Z520" s="1711"/>
      <c r="AA520" s="1711"/>
      <c r="AB520" s="1711"/>
      <c r="AC520" s="1711"/>
      <c r="AD520" s="1711"/>
      <c r="AE520" s="1711"/>
      <c r="AF520" s="1711"/>
      <c r="AG520" s="1711"/>
      <c r="AH520" s="1711"/>
      <c r="AI520" s="1711"/>
      <c r="AJ520" s="1711"/>
      <c r="AK520" s="1711"/>
      <c r="AL520" s="1711"/>
      <c r="AM520" s="1711"/>
      <c r="AN520" s="1711"/>
      <c r="AO520" s="1711"/>
      <c r="AP520" s="1711"/>
      <c r="AQ520" s="1711"/>
      <c r="AR520" s="1711"/>
      <c r="AS520" s="1711"/>
      <c r="AT520" s="1711"/>
    </row>
    <row r="521">
      <c r="A521" s="1461" t="s">
        <v>2461</v>
      </c>
      <c r="B521" s="1708"/>
      <c r="C521" s="1709"/>
      <c r="D521" s="1709"/>
      <c r="E521" s="1710"/>
      <c r="F521" s="1710"/>
      <c r="G521" s="1710"/>
      <c r="H521" s="1710"/>
      <c r="I521" s="1710"/>
      <c r="J521" s="1710"/>
      <c r="K521" s="1710"/>
      <c r="L521" s="1710"/>
      <c r="M521" s="1711"/>
      <c r="N521" s="1711"/>
      <c r="O521" s="1711"/>
      <c r="P521" s="1711"/>
      <c r="Q521" s="1711"/>
      <c r="R521" s="1711"/>
      <c r="S521" s="1711"/>
      <c r="T521" s="1711"/>
      <c r="U521" s="1711"/>
      <c r="V521" s="1711"/>
      <c r="W521" s="1711"/>
      <c r="X521" s="1711"/>
      <c r="Y521" s="1711"/>
      <c r="Z521" s="1711"/>
      <c r="AA521" s="1711"/>
      <c r="AB521" s="1711"/>
      <c r="AC521" s="1711"/>
      <c r="AD521" s="1711"/>
      <c r="AE521" s="1711"/>
      <c r="AF521" s="1711"/>
      <c r="AG521" s="1711"/>
      <c r="AH521" s="1711"/>
      <c r="AI521" s="1711"/>
      <c r="AJ521" s="1711"/>
      <c r="AK521" s="1711"/>
      <c r="AL521" s="1711"/>
      <c r="AM521" s="1711"/>
      <c r="AN521" s="1711"/>
      <c r="AO521" s="1711"/>
      <c r="AP521" s="1711"/>
      <c r="AQ521" s="1711"/>
      <c r="AR521" s="1711"/>
      <c r="AS521" s="1711"/>
      <c r="AT521" s="1711"/>
    </row>
    <row r="522">
      <c r="A522" s="1461" t="s">
        <v>2461</v>
      </c>
      <c r="B522" s="1708"/>
      <c r="C522" s="1709"/>
      <c r="D522" s="1709"/>
      <c r="E522" s="1710"/>
      <c r="F522" s="1710"/>
      <c r="G522" s="1710"/>
      <c r="H522" s="1710"/>
      <c r="I522" s="1710"/>
      <c r="J522" s="1710"/>
      <c r="K522" s="1710"/>
      <c r="L522" s="1710"/>
      <c r="M522" s="1711"/>
      <c r="N522" s="1711"/>
      <c r="O522" s="1711"/>
      <c r="P522" s="1711"/>
      <c r="Q522" s="1711"/>
      <c r="R522" s="1711"/>
      <c r="S522" s="1711"/>
      <c r="T522" s="1711"/>
      <c r="U522" s="1711"/>
      <c r="V522" s="1711"/>
      <c r="W522" s="1711"/>
      <c r="X522" s="1711"/>
      <c r="Y522" s="1711"/>
      <c r="Z522" s="1711"/>
      <c r="AA522" s="1711"/>
      <c r="AB522" s="1711"/>
      <c r="AC522" s="1711"/>
      <c r="AD522" s="1711"/>
      <c r="AE522" s="1711"/>
      <c r="AF522" s="1711"/>
      <c r="AG522" s="1711"/>
      <c r="AH522" s="1711"/>
      <c r="AI522" s="1711"/>
      <c r="AJ522" s="1711"/>
      <c r="AK522" s="1711"/>
      <c r="AL522" s="1711"/>
      <c r="AM522" s="1711"/>
      <c r="AN522" s="1711"/>
      <c r="AO522" s="1711"/>
      <c r="AP522" s="1711"/>
      <c r="AQ522" s="1711"/>
      <c r="AR522" s="1711"/>
      <c r="AS522" s="1711"/>
      <c r="AT522" s="1711"/>
    </row>
    <row r="523">
      <c r="A523" s="1461" t="s">
        <v>2461</v>
      </c>
      <c r="B523" s="1708"/>
      <c r="C523" s="1709"/>
      <c r="D523" s="1709"/>
      <c r="E523" s="1710"/>
      <c r="F523" s="1710"/>
      <c r="G523" s="1710"/>
      <c r="H523" s="1710"/>
      <c r="I523" s="1710"/>
      <c r="J523" s="1710"/>
      <c r="K523" s="1710"/>
      <c r="L523" s="1710"/>
      <c r="M523" s="1711"/>
      <c r="N523" s="1711"/>
      <c r="O523" s="1711"/>
      <c r="P523" s="1711"/>
      <c r="Q523" s="1711"/>
      <c r="R523" s="1711"/>
      <c r="S523" s="1711"/>
      <c r="T523" s="1711"/>
      <c r="U523" s="1711"/>
      <c r="V523" s="1711"/>
      <c r="W523" s="1711"/>
      <c r="X523" s="1711"/>
      <c r="Y523" s="1711"/>
      <c r="Z523" s="1711"/>
      <c r="AA523" s="1711"/>
      <c r="AB523" s="1711"/>
      <c r="AC523" s="1711"/>
      <c r="AD523" s="1711"/>
      <c r="AE523" s="1711"/>
      <c r="AF523" s="1711"/>
      <c r="AG523" s="1711"/>
      <c r="AH523" s="1711"/>
      <c r="AI523" s="1711"/>
      <c r="AJ523" s="1711"/>
      <c r="AK523" s="1711"/>
      <c r="AL523" s="1711"/>
      <c r="AM523" s="1711"/>
      <c r="AN523" s="1711"/>
      <c r="AO523" s="1711"/>
      <c r="AP523" s="1711"/>
      <c r="AQ523" s="1711"/>
      <c r="AR523" s="1711"/>
      <c r="AS523" s="1711"/>
      <c r="AT523" s="1711"/>
    </row>
    <row r="524">
      <c r="A524" s="1461" t="s">
        <v>2461</v>
      </c>
      <c r="B524" s="1708"/>
      <c r="C524" s="1709"/>
      <c r="D524" s="1709"/>
      <c r="E524" s="1710"/>
      <c r="F524" s="1710"/>
      <c r="G524" s="1710"/>
      <c r="H524" s="1710"/>
      <c r="I524" s="1710"/>
      <c r="J524" s="1710"/>
      <c r="K524" s="1710"/>
      <c r="L524" s="1710"/>
      <c r="M524" s="1711"/>
      <c r="N524" s="1711"/>
      <c r="O524" s="1711"/>
      <c r="P524" s="1711"/>
      <c r="Q524" s="1711"/>
      <c r="R524" s="1711"/>
      <c r="S524" s="1711"/>
      <c r="T524" s="1711"/>
      <c r="U524" s="1711"/>
      <c r="V524" s="1711"/>
      <c r="W524" s="1711"/>
      <c r="X524" s="1711"/>
      <c r="Y524" s="1711"/>
      <c r="Z524" s="1711"/>
      <c r="AA524" s="1711"/>
      <c r="AB524" s="1711"/>
      <c r="AC524" s="1711"/>
      <c r="AD524" s="1711"/>
      <c r="AE524" s="1711"/>
      <c r="AF524" s="1711"/>
      <c r="AG524" s="1711"/>
      <c r="AH524" s="1711"/>
      <c r="AI524" s="1711"/>
      <c r="AJ524" s="1711"/>
      <c r="AK524" s="1711"/>
      <c r="AL524" s="1711"/>
      <c r="AM524" s="1711"/>
      <c r="AN524" s="1711"/>
      <c r="AO524" s="1711"/>
      <c r="AP524" s="1711"/>
      <c r="AQ524" s="1711"/>
      <c r="AR524" s="1711"/>
      <c r="AS524" s="1711"/>
      <c r="AT524" s="1711"/>
    </row>
    <row r="525">
      <c r="A525" s="1461" t="s">
        <v>2461</v>
      </c>
      <c r="B525" s="1708"/>
      <c r="C525" s="1709"/>
      <c r="D525" s="1709"/>
      <c r="E525" s="1710"/>
      <c r="F525" s="1710"/>
      <c r="G525" s="1710"/>
      <c r="H525" s="1710"/>
      <c r="I525" s="1710"/>
      <c r="J525" s="1710"/>
      <c r="K525" s="1710"/>
      <c r="L525" s="1710"/>
      <c r="M525" s="1711"/>
      <c r="N525" s="1711"/>
      <c r="O525" s="1711"/>
      <c r="P525" s="1711"/>
      <c r="Q525" s="1711"/>
      <c r="R525" s="1711"/>
      <c r="S525" s="1711"/>
      <c r="T525" s="1711"/>
      <c r="U525" s="1711"/>
      <c r="V525" s="1711"/>
      <c r="W525" s="1711"/>
      <c r="X525" s="1711"/>
      <c r="Y525" s="1711"/>
      <c r="Z525" s="1711"/>
      <c r="AA525" s="1711"/>
      <c r="AB525" s="1711"/>
      <c r="AC525" s="1711"/>
      <c r="AD525" s="1711"/>
      <c r="AE525" s="1711"/>
      <c r="AF525" s="1711"/>
      <c r="AG525" s="1711"/>
      <c r="AH525" s="1711"/>
      <c r="AI525" s="1711"/>
      <c r="AJ525" s="1711"/>
      <c r="AK525" s="1711"/>
      <c r="AL525" s="1711"/>
      <c r="AM525" s="1711"/>
      <c r="AN525" s="1711"/>
      <c r="AO525" s="1711"/>
      <c r="AP525" s="1711"/>
      <c r="AQ525" s="1711"/>
      <c r="AR525" s="1711"/>
      <c r="AS525" s="1711"/>
      <c r="AT525" s="1711"/>
    </row>
    <row r="526">
      <c r="A526" s="1461" t="s">
        <v>2461</v>
      </c>
      <c r="B526" s="1708"/>
      <c r="C526" s="1709"/>
      <c r="D526" s="1709"/>
      <c r="E526" s="1710"/>
      <c r="F526" s="1710"/>
      <c r="G526" s="1710"/>
      <c r="H526" s="1710"/>
      <c r="I526" s="1710"/>
      <c r="J526" s="1710"/>
      <c r="K526" s="1710"/>
      <c r="L526" s="1710"/>
      <c r="M526" s="1711"/>
      <c r="N526" s="1711"/>
      <c r="O526" s="1711"/>
      <c r="P526" s="1711"/>
      <c r="Q526" s="1711"/>
      <c r="R526" s="1711"/>
      <c r="S526" s="1711"/>
      <c r="T526" s="1711"/>
      <c r="U526" s="1711"/>
      <c r="V526" s="1711"/>
      <c r="W526" s="1711"/>
      <c r="X526" s="1711"/>
      <c r="Y526" s="1711"/>
      <c r="Z526" s="1711"/>
      <c r="AA526" s="1711"/>
      <c r="AB526" s="1711"/>
      <c r="AC526" s="1711"/>
      <c r="AD526" s="1711"/>
      <c r="AE526" s="1711"/>
      <c r="AF526" s="1711"/>
      <c r="AG526" s="1711"/>
      <c r="AH526" s="1711"/>
      <c r="AI526" s="1711"/>
      <c r="AJ526" s="1711"/>
      <c r="AK526" s="1711"/>
      <c r="AL526" s="1711"/>
      <c r="AM526" s="1711"/>
      <c r="AN526" s="1711"/>
      <c r="AO526" s="1711"/>
      <c r="AP526" s="1711"/>
      <c r="AQ526" s="1711"/>
      <c r="AR526" s="1711"/>
      <c r="AS526" s="1711"/>
      <c r="AT526" s="1711"/>
    </row>
    <row r="527">
      <c r="A527" s="1461" t="s">
        <v>2461</v>
      </c>
      <c r="B527" s="1708"/>
      <c r="C527" s="1709"/>
      <c r="D527" s="1709"/>
      <c r="E527" s="1710"/>
      <c r="F527" s="1710"/>
      <c r="G527" s="1710"/>
      <c r="H527" s="1710"/>
      <c r="I527" s="1710"/>
      <c r="J527" s="1710"/>
      <c r="K527" s="1710"/>
      <c r="L527" s="1710"/>
      <c r="M527" s="1711"/>
      <c r="N527" s="1711"/>
      <c r="O527" s="1711"/>
      <c r="P527" s="1711"/>
      <c r="Q527" s="1711"/>
      <c r="R527" s="1711"/>
      <c r="S527" s="1711"/>
      <c r="T527" s="1711"/>
      <c r="U527" s="1711"/>
      <c r="V527" s="1711"/>
      <c r="W527" s="1711"/>
      <c r="X527" s="1711"/>
      <c r="Y527" s="1711"/>
      <c r="Z527" s="1711"/>
      <c r="AA527" s="1711"/>
      <c r="AB527" s="1711"/>
      <c r="AC527" s="1711"/>
      <c r="AD527" s="1711"/>
      <c r="AE527" s="1711"/>
      <c r="AF527" s="1711"/>
      <c r="AG527" s="1711"/>
      <c r="AH527" s="1711"/>
      <c r="AI527" s="1711"/>
      <c r="AJ527" s="1711"/>
      <c r="AK527" s="1711"/>
      <c r="AL527" s="1711"/>
      <c r="AM527" s="1711"/>
      <c r="AN527" s="1711"/>
      <c r="AO527" s="1711"/>
      <c r="AP527" s="1711"/>
      <c r="AQ527" s="1711"/>
      <c r="AR527" s="1711"/>
      <c r="AS527" s="1711"/>
      <c r="AT527" s="1711"/>
    </row>
    <row r="528">
      <c r="A528" s="1461" t="s">
        <v>2461</v>
      </c>
      <c r="B528" s="1708"/>
      <c r="C528" s="1709"/>
      <c r="D528" s="1709"/>
      <c r="E528" s="1710"/>
      <c r="F528" s="1710"/>
      <c r="G528" s="1710"/>
      <c r="H528" s="1710"/>
      <c r="I528" s="1710"/>
      <c r="J528" s="1710"/>
      <c r="K528" s="1710"/>
      <c r="L528" s="1710"/>
      <c r="M528" s="1711"/>
      <c r="N528" s="1711"/>
      <c r="O528" s="1711"/>
      <c r="P528" s="1711"/>
      <c r="Q528" s="1711"/>
      <c r="R528" s="1711"/>
      <c r="S528" s="1711"/>
      <c r="T528" s="1711"/>
      <c r="U528" s="1711"/>
      <c r="V528" s="1711"/>
      <c r="W528" s="1711"/>
      <c r="X528" s="1711"/>
      <c r="Y528" s="1711"/>
      <c r="Z528" s="1711"/>
      <c r="AA528" s="1711"/>
      <c r="AB528" s="1711"/>
      <c r="AC528" s="1711"/>
      <c r="AD528" s="1711"/>
      <c r="AE528" s="1711"/>
      <c r="AF528" s="1711"/>
      <c r="AG528" s="1711"/>
      <c r="AH528" s="1711"/>
      <c r="AI528" s="1711"/>
      <c r="AJ528" s="1711"/>
      <c r="AK528" s="1711"/>
      <c r="AL528" s="1711"/>
      <c r="AM528" s="1711"/>
      <c r="AN528" s="1711"/>
      <c r="AO528" s="1711"/>
      <c r="AP528" s="1711"/>
      <c r="AQ528" s="1711"/>
      <c r="AR528" s="1711"/>
      <c r="AS528" s="1711"/>
      <c r="AT528" s="1711"/>
    </row>
    <row r="529">
      <c r="A529" s="1461" t="s">
        <v>2461</v>
      </c>
      <c r="B529" s="1708"/>
      <c r="C529" s="1709"/>
      <c r="D529" s="1709"/>
      <c r="E529" s="1710"/>
      <c r="F529" s="1710"/>
      <c r="G529" s="1710"/>
      <c r="H529" s="1710"/>
      <c r="I529" s="1710"/>
      <c r="J529" s="1710"/>
      <c r="K529" s="1710"/>
      <c r="L529" s="1710"/>
      <c r="M529" s="1711"/>
      <c r="N529" s="1711"/>
      <c r="O529" s="1711"/>
      <c r="P529" s="1711"/>
      <c r="Q529" s="1711"/>
      <c r="R529" s="1711"/>
      <c r="S529" s="1711"/>
      <c r="T529" s="1711"/>
      <c r="U529" s="1711"/>
      <c r="V529" s="1711"/>
      <c r="W529" s="1711"/>
      <c r="X529" s="1711"/>
      <c r="Y529" s="1711"/>
      <c r="Z529" s="1711"/>
      <c r="AA529" s="1711"/>
      <c r="AB529" s="1711"/>
      <c r="AC529" s="1711"/>
      <c r="AD529" s="1711"/>
      <c r="AE529" s="1711"/>
      <c r="AF529" s="1711"/>
      <c r="AG529" s="1711"/>
      <c r="AH529" s="1711"/>
      <c r="AI529" s="1711"/>
      <c r="AJ529" s="1711"/>
      <c r="AK529" s="1711"/>
      <c r="AL529" s="1711"/>
      <c r="AM529" s="1711"/>
      <c r="AN529" s="1711"/>
      <c r="AO529" s="1711"/>
      <c r="AP529" s="1711"/>
      <c r="AQ529" s="1711"/>
      <c r="AR529" s="1711"/>
      <c r="AS529" s="1711"/>
      <c r="AT529" s="1711"/>
    </row>
    <row r="530">
      <c r="A530" s="1461" t="s">
        <v>2461</v>
      </c>
      <c r="B530" s="1708"/>
      <c r="C530" s="1709"/>
      <c r="D530" s="1709"/>
      <c r="E530" s="1710"/>
      <c r="F530" s="1710"/>
      <c r="G530" s="1710"/>
      <c r="H530" s="1710"/>
      <c r="I530" s="1710"/>
      <c r="J530" s="1710"/>
      <c r="K530" s="1710"/>
      <c r="L530" s="1710"/>
      <c r="M530" s="1711"/>
      <c r="N530" s="1711"/>
      <c r="O530" s="1711"/>
      <c r="P530" s="1711"/>
      <c r="Q530" s="1711"/>
      <c r="R530" s="1711"/>
      <c r="S530" s="1711"/>
      <c r="T530" s="1711"/>
      <c r="U530" s="1711"/>
      <c r="V530" s="1711"/>
      <c r="W530" s="1711"/>
      <c r="X530" s="1711"/>
      <c r="Y530" s="1711"/>
      <c r="Z530" s="1712"/>
      <c r="AA530" s="1712"/>
      <c r="AB530" s="1712"/>
      <c r="AC530" s="1712"/>
      <c r="AD530" s="1712"/>
      <c r="AE530" s="1712"/>
      <c r="AF530" s="1712"/>
      <c r="AG530" s="1712"/>
      <c r="AH530" s="1712"/>
      <c r="AI530" s="1712"/>
      <c r="AJ530" s="1712"/>
      <c r="AK530" s="1712"/>
      <c r="AL530" s="1712"/>
      <c r="AM530" s="1712"/>
      <c r="AN530" s="1712"/>
      <c r="AO530" s="1712"/>
      <c r="AP530" s="1712"/>
      <c r="AQ530" s="1712"/>
      <c r="AR530" s="1712"/>
      <c r="AS530" s="1712"/>
      <c r="AT530" s="1712"/>
    </row>
    <row r="531">
      <c r="A531" s="1461" t="s">
        <v>2461</v>
      </c>
      <c r="B531" s="1708"/>
      <c r="C531" s="1709"/>
      <c r="D531" s="1709"/>
      <c r="E531" s="1710"/>
      <c r="F531" s="1710"/>
      <c r="G531" s="1710"/>
      <c r="H531" s="1710"/>
      <c r="I531" s="1710"/>
      <c r="J531" s="1710"/>
      <c r="K531" s="1710"/>
      <c r="L531" s="1710"/>
      <c r="M531" s="1711"/>
      <c r="N531" s="1711"/>
      <c r="O531" s="1711"/>
      <c r="P531" s="1711"/>
      <c r="Q531" s="1711"/>
      <c r="R531" s="1711"/>
      <c r="S531" s="1711"/>
      <c r="T531" s="1711"/>
      <c r="U531" s="1711"/>
      <c r="V531" s="1711"/>
      <c r="W531" s="1711"/>
      <c r="X531" s="1711"/>
      <c r="Y531" s="1711"/>
      <c r="Z531" s="1712"/>
      <c r="AA531" s="1712"/>
      <c r="AB531" s="1712"/>
      <c r="AC531" s="1712"/>
      <c r="AD531" s="1712"/>
      <c r="AE531" s="1712"/>
      <c r="AF531" s="1712"/>
      <c r="AG531" s="1712"/>
      <c r="AH531" s="1712"/>
      <c r="AI531" s="1712"/>
      <c r="AJ531" s="1712"/>
      <c r="AK531" s="1712"/>
      <c r="AL531" s="1712"/>
      <c r="AM531" s="1712"/>
      <c r="AN531" s="1712"/>
      <c r="AO531" s="1712"/>
      <c r="AP531" s="1712"/>
      <c r="AQ531" s="1712"/>
      <c r="AR531" s="1712"/>
      <c r="AS531" s="1712"/>
      <c r="AT531" s="1712"/>
    </row>
    <row r="532">
      <c r="A532" s="1461" t="s">
        <v>2461</v>
      </c>
      <c r="B532" s="1708"/>
      <c r="C532" s="1709"/>
      <c r="D532" s="1709"/>
      <c r="E532" s="1710"/>
      <c r="F532" s="1710"/>
      <c r="G532" s="1710"/>
      <c r="H532" s="1710"/>
      <c r="I532" s="1710"/>
      <c r="J532" s="1710"/>
      <c r="K532" s="1710"/>
      <c r="L532" s="1710"/>
      <c r="M532" s="1711"/>
      <c r="N532" s="1711"/>
      <c r="O532" s="1711"/>
      <c r="P532" s="1711"/>
      <c r="Q532" s="1711"/>
      <c r="R532" s="1711"/>
      <c r="S532" s="1711"/>
      <c r="T532" s="1711"/>
      <c r="U532" s="1711"/>
      <c r="V532" s="1711"/>
      <c r="W532" s="1711"/>
      <c r="X532" s="1711"/>
      <c r="Y532" s="1711"/>
      <c r="Z532" s="1712"/>
      <c r="AA532" s="1712"/>
      <c r="AB532" s="1712"/>
      <c r="AC532" s="1712"/>
      <c r="AD532" s="1712"/>
      <c r="AE532" s="1712"/>
      <c r="AF532" s="1712"/>
      <c r="AG532" s="1712"/>
      <c r="AH532" s="1712"/>
      <c r="AI532" s="1712"/>
      <c r="AJ532" s="1712"/>
      <c r="AK532" s="1712"/>
      <c r="AL532" s="1712"/>
      <c r="AM532" s="1712"/>
      <c r="AN532" s="1712"/>
      <c r="AO532" s="1712"/>
      <c r="AP532" s="1712"/>
      <c r="AQ532" s="1712"/>
      <c r="AR532" s="1712"/>
      <c r="AS532" s="1712"/>
      <c r="AT532" s="1712"/>
    </row>
    <row r="533">
      <c r="A533" s="1461" t="s">
        <v>2461</v>
      </c>
      <c r="B533" s="1708"/>
      <c r="C533" s="1709"/>
      <c r="D533" s="1709"/>
      <c r="E533" s="1710"/>
      <c r="F533" s="1710"/>
      <c r="G533" s="1710"/>
      <c r="H533" s="1710"/>
      <c r="I533" s="1710"/>
      <c r="J533" s="1710"/>
      <c r="K533" s="1710"/>
      <c r="L533" s="1710"/>
      <c r="M533" s="1711"/>
      <c r="N533" s="1711"/>
      <c r="O533" s="1711"/>
      <c r="P533" s="1711"/>
      <c r="Q533" s="1711"/>
      <c r="R533" s="1711"/>
      <c r="S533" s="1711"/>
      <c r="T533" s="1711"/>
      <c r="U533" s="1711"/>
      <c r="V533" s="1711"/>
      <c r="W533" s="1711"/>
      <c r="X533" s="1711"/>
      <c r="Y533" s="1711"/>
      <c r="Z533" s="1712"/>
      <c r="AA533" s="1712"/>
      <c r="AB533" s="1712"/>
      <c r="AC533" s="1712"/>
      <c r="AD533" s="1712"/>
      <c r="AE533" s="1712"/>
      <c r="AF533" s="1712"/>
      <c r="AG533" s="1712"/>
      <c r="AH533" s="1712"/>
      <c r="AI533" s="1712"/>
      <c r="AJ533" s="1712"/>
      <c r="AK533" s="1712"/>
      <c r="AL533" s="1712"/>
      <c r="AM533" s="1712"/>
      <c r="AN533" s="1712"/>
      <c r="AO533" s="1712"/>
      <c r="AP533" s="1712"/>
      <c r="AQ533" s="1712"/>
      <c r="AR533" s="1712"/>
      <c r="AS533" s="1712"/>
      <c r="AT533" s="1712"/>
    </row>
    <row r="534">
      <c r="A534" s="1461" t="s">
        <v>2461</v>
      </c>
      <c r="B534" s="1708"/>
      <c r="C534" s="1709"/>
      <c r="D534" s="1709"/>
      <c r="E534" s="1710"/>
      <c r="F534" s="1710"/>
      <c r="G534" s="1710"/>
      <c r="H534" s="1710"/>
      <c r="I534" s="1710"/>
      <c r="J534" s="1710"/>
      <c r="K534" s="1710"/>
      <c r="L534" s="1710"/>
      <c r="M534" s="1711"/>
      <c r="N534" s="1711"/>
      <c r="O534" s="1711"/>
      <c r="P534" s="1711"/>
      <c r="Q534" s="1711"/>
      <c r="R534" s="1711"/>
      <c r="S534" s="1711"/>
      <c r="T534" s="1711"/>
      <c r="U534" s="1711"/>
      <c r="V534" s="1711"/>
      <c r="W534" s="1711"/>
      <c r="X534" s="1711"/>
      <c r="Y534" s="1711"/>
      <c r="Z534" s="1712"/>
      <c r="AA534" s="1712"/>
      <c r="AB534" s="1712"/>
      <c r="AC534" s="1712"/>
      <c r="AD534" s="1712"/>
      <c r="AE534" s="1712"/>
      <c r="AF534" s="1712"/>
      <c r="AG534" s="1712"/>
      <c r="AH534" s="1712"/>
      <c r="AI534" s="1712"/>
      <c r="AJ534" s="1712"/>
      <c r="AK534" s="1712"/>
      <c r="AL534" s="1712"/>
      <c r="AM534" s="1712"/>
      <c r="AN534" s="1712"/>
      <c r="AO534" s="1712"/>
      <c r="AP534" s="1712"/>
      <c r="AQ534" s="1712"/>
      <c r="AR534" s="1712"/>
      <c r="AS534" s="1712"/>
      <c r="AT534" s="1712"/>
    </row>
    <row r="535">
      <c r="A535" s="1474" t="s">
        <v>2461</v>
      </c>
      <c r="B535" s="1708"/>
      <c r="C535" s="1709"/>
      <c r="D535" s="1709"/>
      <c r="E535" s="1710"/>
      <c r="F535" s="1710"/>
      <c r="G535" s="1710"/>
      <c r="H535" s="1710"/>
      <c r="I535" s="1710"/>
      <c r="J535" s="1710"/>
      <c r="K535" s="1710"/>
      <c r="L535" s="1710"/>
      <c r="M535" s="1711"/>
      <c r="N535" s="1711"/>
      <c r="O535" s="1711"/>
      <c r="P535" s="1711"/>
      <c r="Q535" s="1711"/>
      <c r="R535" s="1711"/>
      <c r="S535" s="1711"/>
      <c r="T535" s="1711"/>
      <c r="U535" s="1711"/>
      <c r="V535" s="1711"/>
      <c r="W535" s="1711"/>
      <c r="X535" s="1711"/>
      <c r="Y535" s="1711"/>
      <c r="Z535" s="1712"/>
      <c r="AA535" s="1712"/>
      <c r="AB535" s="1712"/>
      <c r="AC535" s="1712"/>
      <c r="AD535" s="1712"/>
      <c r="AE535" s="1712"/>
      <c r="AF535" s="1712"/>
      <c r="AG535" s="1712"/>
      <c r="AH535" s="1712"/>
      <c r="AI535" s="1712"/>
      <c r="AJ535" s="1712"/>
      <c r="AK535" s="1712"/>
      <c r="AL535" s="1712"/>
      <c r="AM535" s="1712"/>
      <c r="AN535" s="1712"/>
      <c r="AO535" s="1712"/>
      <c r="AP535" s="1712"/>
      <c r="AQ535" s="1712"/>
      <c r="AR535" s="1712"/>
      <c r="AS535" s="1712"/>
      <c r="AT535" s="1712"/>
    </row>
    <row r="536">
      <c r="A536" s="1474" t="s">
        <v>2461</v>
      </c>
      <c r="B536" s="1708"/>
      <c r="C536" s="1709"/>
      <c r="D536" s="1709"/>
      <c r="E536" s="1710"/>
      <c r="F536" s="1710"/>
      <c r="G536" s="1710"/>
      <c r="H536" s="1710"/>
      <c r="I536" s="1710"/>
      <c r="J536" s="1710"/>
      <c r="K536" s="1710"/>
      <c r="L536" s="1710"/>
      <c r="M536" s="1711"/>
      <c r="N536" s="1711"/>
      <c r="O536" s="1711"/>
      <c r="P536" s="1711"/>
      <c r="Q536" s="1711"/>
      <c r="R536" s="1711"/>
      <c r="S536" s="1711"/>
      <c r="T536" s="1711"/>
      <c r="U536" s="1711"/>
      <c r="V536" s="1711"/>
      <c r="W536" s="1711"/>
      <c r="X536" s="1711"/>
      <c r="Y536" s="1711"/>
      <c r="Z536" s="1712"/>
      <c r="AA536" s="1712"/>
      <c r="AB536" s="1712"/>
      <c r="AC536" s="1712"/>
      <c r="AD536" s="1712"/>
      <c r="AE536" s="1712"/>
      <c r="AF536" s="1712"/>
      <c r="AG536" s="1712"/>
      <c r="AH536" s="1712"/>
      <c r="AI536" s="1712"/>
      <c r="AJ536" s="1712"/>
      <c r="AK536" s="1712"/>
      <c r="AL536" s="1712"/>
      <c r="AM536" s="1712"/>
      <c r="AN536" s="1712"/>
      <c r="AO536" s="1712"/>
      <c r="AP536" s="1712"/>
      <c r="AQ536" s="1712"/>
      <c r="AR536" s="1712"/>
      <c r="AS536" s="1712"/>
      <c r="AT536" s="1712"/>
    </row>
    <row r="537">
      <c r="A537" s="1474" t="s">
        <v>2461</v>
      </c>
      <c r="B537" s="1708"/>
      <c r="C537" s="1709"/>
      <c r="D537" s="1709"/>
      <c r="E537" s="1710"/>
      <c r="F537" s="1710"/>
      <c r="G537" s="1710"/>
      <c r="H537" s="1710"/>
      <c r="I537" s="1710"/>
      <c r="J537" s="1710"/>
      <c r="K537" s="1710"/>
      <c r="L537" s="1710"/>
      <c r="M537" s="1711"/>
      <c r="N537" s="1711"/>
      <c r="O537" s="1711"/>
      <c r="P537" s="1711"/>
      <c r="Q537" s="1711"/>
      <c r="R537" s="1711"/>
      <c r="S537" s="1711"/>
      <c r="T537" s="1711"/>
      <c r="U537" s="1711"/>
      <c r="V537" s="1711"/>
      <c r="W537" s="1711"/>
      <c r="X537" s="1711"/>
      <c r="Y537" s="1711"/>
      <c r="Z537" s="1712"/>
      <c r="AA537" s="1712"/>
      <c r="AB537" s="1712"/>
      <c r="AC537" s="1712"/>
      <c r="AD537" s="1712"/>
      <c r="AE537" s="1712"/>
      <c r="AF537" s="1712"/>
      <c r="AG537" s="1712"/>
      <c r="AH537" s="1712"/>
      <c r="AI537" s="1712"/>
      <c r="AJ537" s="1712"/>
      <c r="AK537" s="1712"/>
      <c r="AL537" s="1712"/>
      <c r="AM537" s="1712"/>
      <c r="AN537" s="1712"/>
      <c r="AO537" s="1712"/>
      <c r="AP537" s="1712"/>
      <c r="AQ537" s="1712"/>
      <c r="AR537" s="1712"/>
      <c r="AS537" s="1712"/>
      <c r="AT537" s="1712"/>
    </row>
    <row r="538">
      <c r="A538" s="1474" t="s">
        <v>2461</v>
      </c>
      <c r="B538" s="1708"/>
      <c r="C538" s="1709"/>
      <c r="D538" s="1709"/>
      <c r="E538" s="1710"/>
      <c r="F538" s="1710"/>
      <c r="G538" s="1710"/>
      <c r="H538" s="1710"/>
      <c r="I538" s="1710"/>
      <c r="J538" s="1710"/>
      <c r="K538" s="1710"/>
      <c r="L538" s="1710"/>
      <c r="M538" s="1711"/>
      <c r="N538" s="1711"/>
      <c r="O538" s="1711"/>
      <c r="P538" s="1711"/>
      <c r="Q538" s="1711"/>
      <c r="R538" s="1711"/>
      <c r="S538" s="1711"/>
      <c r="T538" s="1711"/>
      <c r="U538" s="1711"/>
      <c r="V538" s="1711"/>
      <c r="W538" s="1711"/>
      <c r="X538" s="1711"/>
      <c r="Y538" s="1711"/>
      <c r="Z538" s="1712"/>
      <c r="AA538" s="1712"/>
      <c r="AB538" s="1712"/>
      <c r="AC538" s="1712"/>
      <c r="AD538" s="1712"/>
      <c r="AE538" s="1712"/>
      <c r="AF538" s="1712"/>
      <c r="AG538" s="1712"/>
      <c r="AH538" s="1712"/>
      <c r="AI538" s="1712"/>
      <c r="AJ538" s="1712"/>
      <c r="AK538" s="1712"/>
      <c r="AL538" s="1712"/>
      <c r="AM538" s="1712"/>
      <c r="AN538" s="1712"/>
      <c r="AO538" s="1712"/>
      <c r="AP538" s="1712"/>
      <c r="AQ538" s="1712"/>
      <c r="AR538" s="1712"/>
      <c r="AS538" s="1712"/>
      <c r="AT538" s="1712"/>
    </row>
    <row r="539">
      <c r="A539" s="1474" t="s">
        <v>2461</v>
      </c>
      <c r="B539" s="1708"/>
      <c r="C539" s="1709"/>
      <c r="D539" s="1709"/>
      <c r="E539" s="1710"/>
      <c r="F539" s="1710"/>
      <c r="G539" s="1710"/>
      <c r="H539" s="1710"/>
      <c r="I539" s="1710"/>
      <c r="J539" s="1710"/>
      <c r="K539" s="1710"/>
      <c r="L539" s="1710"/>
      <c r="M539" s="1711"/>
      <c r="N539" s="1711"/>
      <c r="O539" s="1711"/>
      <c r="P539" s="1711"/>
      <c r="Q539" s="1711"/>
      <c r="R539" s="1711"/>
      <c r="S539" s="1711"/>
      <c r="T539" s="1711"/>
      <c r="U539" s="1711"/>
      <c r="V539" s="1711"/>
      <c r="W539" s="1711"/>
      <c r="X539" s="1711"/>
      <c r="Y539" s="1711"/>
      <c r="Z539" s="1712"/>
      <c r="AA539" s="1712"/>
      <c r="AB539" s="1712"/>
      <c r="AC539" s="1712"/>
      <c r="AD539" s="1712"/>
      <c r="AE539" s="1712"/>
      <c r="AF539" s="1712"/>
      <c r="AG539" s="1712"/>
      <c r="AH539" s="1712"/>
      <c r="AI539" s="1712"/>
      <c r="AJ539" s="1712"/>
      <c r="AK539" s="1712"/>
      <c r="AL539" s="1712"/>
      <c r="AM539" s="1712"/>
      <c r="AN539" s="1712"/>
      <c r="AO539" s="1712"/>
      <c r="AP539" s="1712"/>
      <c r="AQ539" s="1712"/>
      <c r="AR539" s="1712"/>
      <c r="AS539" s="1712"/>
      <c r="AT539" s="1712"/>
    </row>
    <row r="540">
      <c r="A540" s="1474" t="s">
        <v>2461</v>
      </c>
      <c r="B540" s="1708"/>
      <c r="C540" s="1709"/>
      <c r="D540" s="1709"/>
      <c r="E540" s="1710"/>
      <c r="F540" s="1710"/>
      <c r="G540" s="1710"/>
      <c r="H540" s="1710"/>
      <c r="I540" s="1710"/>
      <c r="J540" s="1710"/>
      <c r="K540" s="1710"/>
      <c r="L540" s="1710"/>
      <c r="M540" s="1711"/>
      <c r="N540" s="1711"/>
      <c r="O540" s="1711"/>
      <c r="P540" s="1711"/>
      <c r="Q540" s="1711"/>
      <c r="R540" s="1711"/>
      <c r="S540" s="1711"/>
      <c r="T540" s="1711"/>
      <c r="U540" s="1711"/>
      <c r="V540" s="1711"/>
      <c r="W540" s="1711"/>
      <c r="X540" s="1711"/>
      <c r="Y540" s="1711"/>
      <c r="Z540" s="1712"/>
      <c r="AA540" s="1712"/>
      <c r="AB540" s="1712"/>
      <c r="AC540" s="1712"/>
      <c r="AD540" s="1712"/>
      <c r="AE540" s="1712"/>
      <c r="AF540" s="1712"/>
      <c r="AG540" s="1712"/>
      <c r="AH540" s="1712"/>
      <c r="AI540" s="1712"/>
      <c r="AJ540" s="1712"/>
      <c r="AK540" s="1712"/>
      <c r="AL540" s="1712"/>
      <c r="AM540" s="1712"/>
      <c r="AN540" s="1712"/>
      <c r="AO540" s="1712"/>
      <c r="AP540" s="1712"/>
      <c r="AQ540" s="1712"/>
      <c r="AR540" s="1712"/>
      <c r="AS540" s="1712"/>
      <c r="AT540" s="1712"/>
    </row>
    <row r="541">
      <c r="A541" s="1474" t="s">
        <v>2461</v>
      </c>
      <c r="B541" s="1708"/>
      <c r="C541" s="1709"/>
      <c r="D541" s="1709"/>
      <c r="E541" s="1710"/>
      <c r="F541" s="1710"/>
      <c r="G541" s="1710"/>
      <c r="H541" s="1710"/>
      <c r="I541" s="1710"/>
      <c r="J541" s="1710"/>
      <c r="K541" s="1710"/>
      <c r="L541" s="1710"/>
      <c r="M541" s="1711"/>
      <c r="N541" s="1711"/>
      <c r="O541" s="1711"/>
      <c r="P541" s="1711"/>
      <c r="Q541" s="1711"/>
      <c r="R541" s="1711"/>
      <c r="S541" s="1711"/>
      <c r="T541" s="1711"/>
      <c r="U541" s="1711"/>
      <c r="V541" s="1711"/>
      <c r="W541" s="1711"/>
      <c r="X541" s="1711"/>
      <c r="Y541" s="1711"/>
      <c r="Z541" s="1712"/>
      <c r="AA541" s="1712"/>
      <c r="AB541" s="1712"/>
      <c r="AC541" s="1712"/>
      <c r="AD541" s="1712"/>
      <c r="AE541" s="1712"/>
      <c r="AF541" s="1712"/>
      <c r="AG541" s="1712"/>
      <c r="AH541" s="1712"/>
      <c r="AI541" s="1712"/>
      <c r="AJ541" s="1712"/>
      <c r="AK541" s="1712"/>
      <c r="AL541" s="1712"/>
      <c r="AM541" s="1712"/>
      <c r="AN541" s="1712"/>
      <c r="AO541" s="1712"/>
      <c r="AP541" s="1712"/>
      <c r="AQ541" s="1712"/>
      <c r="AR541" s="1712"/>
      <c r="AS541" s="1712"/>
      <c r="AT541" s="1712"/>
    </row>
    <row r="542">
      <c r="A542" s="1474" t="s">
        <v>2461</v>
      </c>
      <c r="B542" s="1708"/>
      <c r="C542" s="1709"/>
      <c r="D542" s="1709"/>
      <c r="E542" s="1710"/>
      <c r="F542" s="1710"/>
      <c r="G542" s="1710"/>
      <c r="H542" s="1710"/>
      <c r="I542" s="1710"/>
      <c r="J542" s="1710"/>
      <c r="K542" s="1710"/>
      <c r="L542" s="1710"/>
      <c r="M542" s="1711"/>
      <c r="N542" s="1711"/>
      <c r="O542" s="1711"/>
      <c r="P542" s="1711"/>
      <c r="Q542" s="1711"/>
      <c r="R542" s="1711"/>
      <c r="S542" s="1711"/>
      <c r="T542" s="1711"/>
      <c r="U542" s="1711"/>
      <c r="V542" s="1711"/>
      <c r="W542" s="1711"/>
      <c r="X542" s="1711"/>
      <c r="Y542" s="1711"/>
      <c r="Z542" s="1712"/>
      <c r="AA542" s="1712"/>
      <c r="AB542" s="1712"/>
      <c r="AC542" s="1712"/>
      <c r="AD542" s="1712"/>
      <c r="AE542" s="1712"/>
      <c r="AF542" s="1712"/>
      <c r="AG542" s="1712"/>
      <c r="AH542" s="1712"/>
      <c r="AI542" s="1712"/>
      <c r="AJ542" s="1712"/>
      <c r="AK542" s="1712"/>
      <c r="AL542" s="1712"/>
      <c r="AM542" s="1712"/>
      <c r="AN542" s="1712"/>
      <c r="AO542" s="1712"/>
      <c r="AP542" s="1712"/>
      <c r="AQ542" s="1712"/>
      <c r="AR542" s="1712"/>
      <c r="AS542" s="1712"/>
      <c r="AT542" s="1712"/>
    </row>
    <row r="543">
      <c r="A543" s="1474" t="s">
        <v>2461</v>
      </c>
      <c r="B543" s="1708"/>
      <c r="C543" s="1709"/>
      <c r="D543" s="1709"/>
      <c r="E543" s="1710"/>
      <c r="F543" s="1710"/>
      <c r="G543" s="1710"/>
      <c r="H543" s="1710"/>
      <c r="I543" s="1710"/>
      <c r="J543" s="1710"/>
      <c r="K543" s="1710"/>
      <c r="L543" s="1710"/>
      <c r="M543" s="1711"/>
      <c r="N543" s="1711"/>
      <c r="O543" s="1711"/>
      <c r="P543" s="1711"/>
      <c r="Q543" s="1711"/>
      <c r="R543" s="1711"/>
      <c r="S543" s="1711"/>
      <c r="T543" s="1711"/>
      <c r="U543" s="1711"/>
      <c r="V543" s="1711"/>
      <c r="W543" s="1711"/>
      <c r="X543" s="1711"/>
      <c r="Y543" s="1711"/>
      <c r="Z543" s="1712"/>
      <c r="AA543" s="1712"/>
      <c r="AB543" s="1712"/>
      <c r="AC543" s="1712"/>
      <c r="AD543" s="1712"/>
      <c r="AE543" s="1712"/>
      <c r="AF543" s="1712"/>
      <c r="AG543" s="1712"/>
      <c r="AH543" s="1712"/>
      <c r="AI543" s="1712"/>
      <c r="AJ543" s="1712"/>
      <c r="AK543" s="1712"/>
      <c r="AL543" s="1712"/>
      <c r="AM543" s="1712"/>
      <c r="AN543" s="1712"/>
      <c r="AO543" s="1712"/>
      <c r="AP543" s="1712"/>
      <c r="AQ543" s="1712"/>
      <c r="AR543" s="1712"/>
      <c r="AS543" s="1712"/>
      <c r="AT543" s="1712"/>
    </row>
    <row r="544">
      <c r="A544" s="1474" t="s">
        <v>2461</v>
      </c>
      <c r="B544" s="1708"/>
      <c r="C544" s="1709"/>
      <c r="D544" s="1709"/>
      <c r="E544" s="1710"/>
      <c r="F544" s="1710"/>
      <c r="G544" s="1710"/>
      <c r="H544" s="1710"/>
      <c r="I544" s="1710"/>
      <c r="J544" s="1710"/>
      <c r="K544" s="1710"/>
      <c r="L544" s="1710"/>
      <c r="M544" s="1711"/>
      <c r="N544" s="1711"/>
      <c r="O544" s="1711"/>
      <c r="P544" s="1711"/>
      <c r="Q544" s="1711"/>
      <c r="R544" s="1711"/>
      <c r="S544" s="1711"/>
      <c r="T544" s="1711"/>
      <c r="U544" s="1711"/>
      <c r="V544" s="1711"/>
      <c r="W544" s="1711"/>
      <c r="X544" s="1711"/>
      <c r="Y544" s="1711"/>
      <c r="Z544" s="1712"/>
      <c r="AA544" s="1712"/>
      <c r="AB544" s="1712"/>
      <c r="AC544" s="1712"/>
      <c r="AD544" s="1712"/>
      <c r="AE544" s="1712"/>
      <c r="AF544" s="1712"/>
      <c r="AG544" s="1712"/>
      <c r="AH544" s="1712"/>
      <c r="AI544" s="1712"/>
      <c r="AJ544" s="1712"/>
      <c r="AK544" s="1712"/>
      <c r="AL544" s="1712"/>
      <c r="AM544" s="1712"/>
      <c r="AN544" s="1712"/>
      <c r="AO544" s="1712"/>
      <c r="AP544" s="1712"/>
      <c r="AQ544" s="1712"/>
      <c r="AR544" s="1712"/>
      <c r="AS544" s="1712"/>
      <c r="AT544" s="1712"/>
    </row>
    <row r="545">
      <c r="A545" s="1474" t="s">
        <v>2461</v>
      </c>
      <c r="B545" s="1708"/>
      <c r="C545" s="1709"/>
      <c r="D545" s="1709"/>
      <c r="E545" s="1710"/>
      <c r="F545" s="1710"/>
      <c r="G545" s="1710"/>
      <c r="H545" s="1710"/>
      <c r="I545" s="1710"/>
      <c r="J545" s="1710"/>
      <c r="K545" s="1710"/>
      <c r="L545" s="1710"/>
      <c r="M545" s="1711"/>
      <c r="N545" s="1711"/>
      <c r="O545" s="1711"/>
      <c r="P545" s="1711"/>
      <c r="Q545" s="1711"/>
      <c r="R545" s="1711"/>
      <c r="S545" s="1711"/>
      <c r="T545" s="1711"/>
      <c r="U545" s="1711"/>
      <c r="V545" s="1711"/>
      <c r="W545" s="1711"/>
      <c r="X545" s="1711"/>
      <c r="Y545" s="1711"/>
      <c r="Z545" s="1712"/>
      <c r="AA545" s="1712"/>
      <c r="AB545" s="1712"/>
      <c r="AC545" s="1712"/>
      <c r="AD545" s="1712"/>
      <c r="AE545" s="1712"/>
      <c r="AF545" s="1712"/>
      <c r="AG545" s="1712"/>
      <c r="AH545" s="1712"/>
      <c r="AI545" s="1712"/>
      <c r="AJ545" s="1712"/>
      <c r="AK545" s="1712"/>
      <c r="AL545" s="1712"/>
      <c r="AM545" s="1712"/>
      <c r="AN545" s="1712"/>
      <c r="AO545" s="1712"/>
      <c r="AP545" s="1712"/>
      <c r="AQ545" s="1712"/>
      <c r="AR545" s="1712"/>
      <c r="AS545" s="1712"/>
      <c r="AT545" s="1712"/>
    </row>
    <row r="546">
      <c r="A546" s="1474" t="s">
        <v>2461</v>
      </c>
      <c r="B546" s="1708"/>
      <c r="C546" s="1709"/>
      <c r="D546" s="1709"/>
      <c r="E546" s="1710"/>
      <c r="F546" s="1710"/>
      <c r="G546" s="1710"/>
      <c r="H546" s="1710"/>
      <c r="I546" s="1710"/>
      <c r="J546" s="1710"/>
      <c r="K546" s="1710"/>
      <c r="L546" s="1710"/>
      <c r="M546" s="1711"/>
      <c r="N546" s="1711"/>
      <c r="O546" s="1711"/>
      <c r="P546" s="1711"/>
      <c r="Q546" s="1711"/>
      <c r="R546" s="1711"/>
      <c r="S546" s="1711"/>
      <c r="T546" s="1711"/>
      <c r="U546" s="1711"/>
      <c r="V546" s="1711"/>
      <c r="W546" s="1711"/>
      <c r="X546" s="1711"/>
      <c r="Y546" s="1711"/>
      <c r="Z546" s="1712"/>
      <c r="AA546" s="1712"/>
      <c r="AB546" s="1712"/>
      <c r="AC546" s="1712"/>
      <c r="AD546" s="1712"/>
      <c r="AE546" s="1712"/>
      <c r="AF546" s="1712"/>
      <c r="AG546" s="1712"/>
      <c r="AH546" s="1712"/>
      <c r="AI546" s="1712"/>
      <c r="AJ546" s="1712"/>
      <c r="AK546" s="1712"/>
      <c r="AL546" s="1712"/>
      <c r="AM546" s="1712"/>
      <c r="AN546" s="1712"/>
      <c r="AO546" s="1712"/>
      <c r="AP546" s="1712"/>
      <c r="AQ546" s="1712"/>
      <c r="AR546" s="1712"/>
      <c r="AS546" s="1712"/>
      <c r="AT546" s="1712"/>
    </row>
    <row r="547">
      <c r="A547" s="1474" t="s">
        <v>2461</v>
      </c>
      <c r="B547" s="1708"/>
      <c r="C547" s="1709"/>
      <c r="D547" s="1709"/>
      <c r="E547" s="1710"/>
      <c r="F547" s="1710"/>
      <c r="G547" s="1710"/>
      <c r="H547" s="1710"/>
      <c r="I547" s="1710"/>
      <c r="J547" s="1710"/>
      <c r="K547" s="1710"/>
      <c r="L547" s="1710"/>
      <c r="M547" s="1711"/>
      <c r="N547" s="1711"/>
      <c r="O547" s="1711"/>
      <c r="P547" s="1711"/>
      <c r="Q547" s="1711"/>
      <c r="R547" s="1711"/>
      <c r="S547" s="1711"/>
      <c r="T547" s="1711"/>
      <c r="U547" s="1711"/>
      <c r="V547" s="1711"/>
      <c r="W547" s="1711"/>
      <c r="X547" s="1711"/>
      <c r="Y547" s="1711"/>
      <c r="Z547" s="1712"/>
      <c r="AA547" s="1712"/>
      <c r="AB547" s="1712"/>
      <c r="AC547" s="1712"/>
      <c r="AD547" s="1712"/>
      <c r="AE547" s="1712"/>
      <c r="AF547" s="1712"/>
      <c r="AG547" s="1712"/>
      <c r="AH547" s="1712"/>
      <c r="AI547" s="1712"/>
      <c r="AJ547" s="1712"/>
      <c r="AK547" s="1712"/>
      <c r="AL547" s="1712"/>
      <c r="AM547" s="1712"/>
      <c r="AN547" s="1712"/>
      <c r="AO547" s="1712"/>
      <c r="AP547" s="1712"/>
      <c r="AQ547" s="1712"/>
      <c r="AR547" s="1712"/>
      <c r="AS547" s="1712"/>
      <c r="AT547" s="1712"/>
    </row>
    <row r="548">
      <c r="A548" s="1474" t="s">
        <v>2461</v>
      </c>
      <c r="B548" s="1708"/>
      <c r="C548" s="1709"/>
      <c r="D548" s="1709"/>
      <c r="E548" s="1710"/>
      <c r="F548" s="1710"/>
      <c r="G548" s="1710"/>
      <c r="H548" s="1710"/>
      <c r="I548" s="1710"/>
      <c r="J548" s="1710"/>
      <c r="K548" s="1710"/>
      <c r="L548" s="1710"/>
      <c r="M548" s="1711"/>
      <c r="N548" s="1711"/>
      <c r="O548" s="1711"/>
      <c r="P548" s="1711"/>
      <c r="Q548" s="1711"/>
      <c r="R548" s="1711"/>
      <c r="S548" s="1711"/>
      <c r="T548" s="1711"/>
      <c r="U548" s="1711"/>
      <c r="V548" s="1711"/>
      <c r="W548" s="1711"/>
      <c r="X548" s="1711"/>
      <c r="Y548" s="1711"/>
      <c r="Z548" s="1712"/>
      <c r="AA548" s="1712"/>
      <c r="AB548" s="1712"/>
      <c r="AC548" s="1712"/>
      <c r="AD548" s="1712"/>
      <c r="AE548" s="1712"/>
      <c r="AF548" s="1712"/>
      <c r="AG548" s="1712"/>
      <c r="AH548" s="1712"/>
      <c r="AI548" s="1712"/>
      <c r="AJ548" s="1712"/>
      <c r="AK548" s="1712"/>
      <c r="AL548" s="1712"/>
      <c r="AM548" s="1712"/>
      <c r="AN548" s="1712"/>
      <c r="AO548" s="1712"/>
      <c r="AP548" s="1712"/>
      <c r="AQ548" s="1712"/>
      <c r="AR548" s="1712"/>
      <c r="AS548" s="1712"/>
      <c r="AT548" s="1712"/>
    </row>
    <row r="549">
      <c r="A549" s="1474" t="s">
        <v>2461</v>
      </c>
      <c r="B549" s="1708"/>
      <c r="C549" s="1709"/>
      <c r="D549" s="1709"/>
      <c r="E549" s="1710"/>
      <c r="F549" s="1710"/>
      <c r="G549" s="1710"/>
      <c r="H549" s="1710"/>
      <c r="I549" s="1710"/>
      <c r="J549" s="1710"/>
      <c r="K549" s="1710"/>
      <c r="L549" s="1710"/>
      <c r="M549" s="1711"/>
      <c r="N549" s="1711"/>
      <c r="O549" s="1711"/>
      <c r="P549" s="1711"/>
      <c r="Q549" s="1711"/>
      <c r="R549" s="1711"/>
      <c r="S549" s="1711"/>
      <c r="T549" s="1711"/>
      <c r="U549" s="1711"/>
      <c r="V549" s="1711"/>
      <c r="W549" s="1711"/>
      <c r="X549" s="1711"/>
      <c r="Y549" s="1711"/>
      <c r="Z549" s="1712"/>
      <c r="AA549" s="1712"/>
      <c r="AB549" s="1712"/>
      <c r="AC549" s="1712"/>
      <c r="AD549" s="1712"/>
      <c r="AE549" s="1712"/>
      <c r="AF549" s="1712"/>
      <c r="AG549" s="1712"/>
      <c r="AH549" s="1712"/>
      <c r="AI549" s="1712"/>
      <c r="AJ549" s="1712"/>
      <c r="AK549" s="1712"/>
      <c r="AL549" s="1712"/>
      <c r="AM549" s="1712"/>
      <c r="AN549" s="1712"/>
      <c r="AO549" s="1712"/>
      <c r="AP549" s="1712"/>
      <c r="AQ549" s="1712"/>
      <c r="AR549" s="1712"/>
      <c r="AS549" s="1712"/>
      <c r="AT549" s="1712"/>
    </row>
    <row r="550">
      <c r="A550" s="1474" t="s">
        <v>2461</v>
      </c>
      <c r="B550" s="1708"/>
      <c r="C550" s="1709"/>
      <c r="D550" s="1709"/>
      <c r="E550" s="1710"/>
      <c r="F550" s="1710"/>
      <c r="G550" s="1710"/>
      <c r="H550" s="1710"/>
      <c r="I550" s="1710"/>
      <c r="J550" s="1710"/>
      <c r="K550" s="1710"/>
      <c r="L550" s="1710"/>
      <c r="M550" s="1711"/>
      <c r="N550" s="1711"/>
      <c r="O550" s="1711"/>
      <c r="P550" s="1711"/>
      <c r="Q550" s="1711"/>
      <c r="R550" s="1711"/>
      <c r="S550" s="1711"/>
      <c r="T550" s="1711"/>
      <c r="U550" s="1711"/>
      <c r="V550" s="1711"/>
      <c r="W550" s="1711"/>
      <c r="X550" s="1711"/>
      <c r="Y550" s="1711"/>
      <c r="Z550" s="1712"/>
      <c r="AA550" s="1712"/>
      <c r="AB550" s="1712"/>
      <c r="AC550" s="1712"/>
      <c r="AD550" s="1712"/>
      <c r="AE550" s="1712"/>
      <c r="AF550" s="1712"/>
      <c r="AG550" s="1712"/>
      <c r="AH550" s="1712"/>
      <c r="AI550" s="1712"/>
      <c r="AJ550" s="1712"/>
      <c r="AK550" s="1712"/>
      <c r="AL550" s="1712"/>
      <c r="AM550" s="1712"/>
      <c r="AN550" s="1712"/>
      <c r="AO550" s="1712"/>
      <c r="AP550" s="1712"/>
      <c r="AQ550" s="1712"/>
      <c r="AR550" s="1712"/>
      <c r="AS550" s="1712"/>
      <c r="AT550" s="1712"/>
    </row>
    <row r="551">
      <c r="A551" s="1474" t="s">
        <v>2461</v>
      </c>
      <c r="B551" s="1708"/>
      <c r="C551" s="1709"/>
      <c r="D551" s="1709"/>
      <c r="E551" s="1710"/>
      <c r="F551" s="1710"/>
      <c r="G551" s="1710"/>
      <c r="H551" s="1710"/>
      <c r="I551" s="1710"/>
      <c r="J551" s="1710"/>
      <c r="K551" s="1710"/>
      <c r="L551" s="1710"/>
      <c r="M551" s="1711"/>
      <c r="N551" s="1711"/>
      <c r="O551" s="1711"/>
      <c r="P551" s="1711"/>
      <c r="Q551" s="1711"/>
      <c r="R551" s="1711"/>
      <c r="S551" s="1711"/>
      <c r="T551" s="1711"/>
      <c r="U551" s="1711"/>
      <c r="V551" s="1711"/>
      <c r="W551" s="1711"/>
      <c r="X551" s="1711"/>
      <c r="Y551" s="1711"/>
      <c r="Z551" s="1712"/>
      <c r="AA551" s="1712"/>
      <c r="AB551" s="1712"/>
      <c r="AC551" s="1712"/>
      <c r="AD551" s="1712"/>
      <c r="AE551" s="1712"/>
      <c r="AF551" s="1712"/>
      <c r="AG551" s="1712"/>
      <c r="AH551" s="1712"/>
      <c r="AI551" s="1712"/>
      <c r="AJ551" s="1712"/>
      <c r="AK551" s="1712"/>
      <c r="AL551" s="1712"/>
      <c r="AM551" s="1712"/>
      <c r="AN551" s="1712"/>
      <c r="AO551" s="1712"/>
      <c r="AP551" s="1712"/>
      <c r="AQ551" s="1712"/>
      <c r="AR551" s="1712"/>
      <c r="AS551" s="1712"/>
      <c r="AT551" s="1712"/>
    </row>
    <row r="552">
      <c r="A552" s="1474" t="s">
        <v>2461</v>
      </c>
      <c r="B552" s="1708"/>
      <c r="C552" s="1709"/>
      <c r="D552" s="1709"/>
      <c r="E552" s="1710"/>
      <c r="F552" s="1710"/>
      <c r="G552" s="1710"/>
      <c r="H552" s="1710"/>
      <c r="I552" s="1710"/>
      <c r="J552" s="1710"/>
      <c r="K552" s="1710"/>
      <c r="L552" s="1710"/>
      <c r="M552" s="1711"/>
      <c r="N552" s="1711"/>
      <c r="O552" s="1711"/>
      <c r="P552" s="1711"/>
      <c r="Q552" s="1711"/>
      <c r="R552" s="1711"/>
      <c r="S552" s="1711"/>
      <c r="T552" s="1711"/>
      <c r="U552" s="1711"/>
      <c r="V552" s="1711"/>
      <c r="W552" s="1711"/>
      <c r="X552" s="1711"/>
      <c r="Y552" s="1711"/>
      <c r="Z552" s="1712"/>
      <c r="AA552" s="1712"/>
      <c r="AB552" s="1712"/>
      <c r="AC552" s="1712"/>
      <c r="AD552" s="1712"/>
      <c r="AE552" s="1712"/>
      <c r="AF552" s="1712"/>
      <c r="AG552" s="1712"/>
      <c r="AH552" s="1712"/>
      <c r="AI552" s="1712"/>
      <c r="AJ552" s="1712"/>
      <c r="AK552" s="1712"/>
      <c r="AL552" s="1712"/>
      <c r="AM552" s="1712"/>
      <c r="AN552" s="1712"/>
      <c r="AO552" s="1712"/>
      <c r="AP552" s="1712"/>
      <c r="AQ552" s="1712"/>
      <c r="AR552" s="1712"/>
      <c r="AS552" s="1712"/>
      <c r="AT552" s="1712"/>
    </row>
    <row r="553">
      <c r="A553" s="1474" t="s">
        <v>2461</v>
      </c>
      <c r="B553" s="1708"/>
      <c r="C553" s="1709"/>
      <c r="D553" s="1709"/>
      <c r="E553" s="1710"/>
      <c r="F553" s="1710"/>
      <c r="G553" s="1710"/>
      <c r="H553" s="1710"/>
      <c r="I553" s="1710"/>
      <c r="J553" s="1710"/>
      <c r="K553" s="1710"/>
      <c r="L553" s="1710"/>
      <c r="M553" s="1711"/>
      <c r="N553" s="1711"/>
      <c r="O553" s="1711"/>
      <c r="P553" s="1711"/>
      <c r="Q553" s="1711"/>
      <c r="R553" s="1711"/>
      <c r="S553" s="1711"/>
      <c r="T553" s="1711"/>
      <c r="U553" s="1711"/>
      <c r="V553" s="1711"/>
      <c r="W553" s="1711"/>
      <c r="X553" s="1711"/>
      <c r="Y553" s="1711"/>
      <c r="Z553" s="1712"/>
      <c r="AA553" s="1712"/>
      <c r="AB553" s="1712"/>
      <c r="AC553" s="1712"/>
      <c r="AD553" s="1712"/>
      <c r="AE553" s="1712"/>
      <c r="AF553" s="1712"/>
      <c r="AG553" s="1712"/>
      <c r="AH553" s="1712"/>
      <c r="AI553" s="1712"/>
      <c r="AJ553" s="1712"/>
      <c r="AK553" s="1712"/>
      <c r="AL553" s="1712"/>
      <c r="AM553" s="1712"/>
      <c r="AN553" s="1712"/>
      <c r="AO553" s="1712"/>
      <c r="AP553" s="1712"/>
      <c r="AQ553" s="1712"/>
      <c r="AR553" s="1712"/>
      <c r="AS553" s="1712"/>
      <c r="AT553" s="1712"/>
    </row>
    <row r="554">
      <c r="A554" s="1474" t="s">
        <v>2461</v>
      </c>
      <c r="B554" s="1708"/>
      <c r="C554" s="1709"/>
      <c r="D554" s="1709"/>
      <c r="E554" s="1710"/>
      <c r="F554" s="1710"/>
      <c r="G554" s="1710"/>
      <c r="H554" s="1710"/>
      <c r="I554" s="1710"/>
      <c r="J554" s="1710"/>
      <c r="K554" s="1710"/>
      <c r="L554" s="1710"/>
      <c r="M554" s="1711"/>
      <c r="N554" s="1711"/>
      <c r="O554" s="1711"/>
      <c r="P554" s="1711"/>
      <c r="Q554" s="1711"/>
      <c r="R554" s="1711"/>
      <c r="S554" s="1711"/>
      <c r="T554" s="1711"/>
      <c r="U554" s="1711"/>
      <c r="V554" s="1711"/>
      <c r="W554" s="1711"/>
      <c r="X554" s="1711"/>
      <c r="Y554" s="1711"/>
      <c r="Z554" s="1712"/>
      <c r="AA554" s="1712"/>
      <c r="AB554" s="1712"/>
      <c r="AC554" s="1712"/>
      <c r="AD554" s="1712"/>
      <c r="AE554" s="1712"/>
      <c r="AF554" s="1712"/>
      <c r="AG554" s="1712"/>
      <c r="AH554" s="1712"/>
      <c r="AI554" s="1712"/>
      <c r="AJ554" s="1712"/>
      <c r="AK554" s="1712"/>
      <c r="AL554" s="1712"/>
      <c r="AM554" s="1712"/>
      <c r="AN554" s="1712"/>
      <c r="AO554" s="1712"/>
      <c r="AP554" s="1712"/>
      <c r="AQ554" s="1712"/>
      <c r="AR554" s="1712"/>
      <c r="AS554" s="1712"/>
      <c r="AT554" s="1712"/>
    </row>
    <row r="555">
      <c r="A555" s="1474" t="s">
        <v>2461</v>
      </c>
      <c r="B555" s="1708"/>
      <c r="C555" s="1709"/>
      <c r="D555" s="1709"/>
      <c r="E555" s="1710"/>
      <c r="F555" s="1710"/>
      <c r="G555" s="1710"/>
      <c r="H555" s="1710"/>
      <c r="I555" s="1710"/>
      <c r="J555" s="1710"/>
      <c r="K555" s="1710"/>
      <c r="L555" s="1710"/>
      <c r="M555" s="1711"/>
      <c r="N555" s="1711"/>
      <c r="O555" s="1711"/>
      <c r="P555" s="1711"/>
      <c r="Q555" s="1711"/>
      <c r="R555" s="1711"/>
      <c r="S555" s="1711"/>
      <c r="T555" s="1711"/>
      <c r="U555" s="1711"/>
      <c r="V555" s="1711"/>
      <c r="W555" s="1711"/>
      <c r="X555" s="1711"/>
      <c r="Y555" s="1711"/>
      <c r="Z555" s="1712"/>
      <c r="AA555" s="1712"/>
      <c r="AB555" s="1712"/>
      <c r="AC555" s="1712"/>
      <c r="AD555" s="1712"/>
      <c r="AE555" s="1712"/>
      <c r="AF555" s="1712"/>
      <c r="AG555" s="1712"/>
      <c r="AH555" s="1712"/>
      <c r="AI555" s="1712"/>
      <c r="AJ555" s="1712"/>
      <c r="AK555" s="1712"/>
      <c r="AL555" s="1712"/>
      <c r="AM555" s="1712"/>
      <c r="AN555" s="1712"/>
      <c r="AO555" s="1712"/>
      <c r="AP555" s="1712"/>
      <c r="AQ555" s="1712"/>
      <c r="AR555" s="1712"/>
      <c r="AS555" s="1712"/>
      <c r="AT555" s="1712"/>
    </row>
    <row r="556">
      <c r="A556" s="1474" t="s">
        <v>2461</v>
      </c>
      <c r="B556" s="1708"/>
      <c r="C556" s="1709"/>
      <c r="D556" s="1709"/>
      <c r="E556" s="1710"/>
      <c r="F556" s="1710"/>
      <c r="G556" s="1710"/>
      <c r="H556" s="1710"/>
      <c r="I556" s="1710"/>
      <c r="J556" s="1710"/>
      <c r="K556" s="1710"/>
      <c r="L556" s="1710"/>
      <c r="M556" s="1711"/>
      <c r="N556" s="1711"/>
      <c r="O556" s="1711"/>
      <c r="P556" s="1711"/>
      <c r="Q556" s="1711"/>
      <c r="R556" s="1711"/>
      <c r="S556" s="1711"/>
      <c r="T556" s="1711"/>
      <c r="U556" s="1711"/>
      <c r="V556" s="1711"/>
      <c r="W556" s="1711"/>
      <c r="X556" s="1711"/>
      <c r="Y556" s="1711"/>
      <c r="Z556" s="1712"/>
      <c r="AA556" s="1712"/>
      <c r="AB556" s="1712"/>
      <c r="AC556" s="1712"/>
      <c r="AD556" s="1712"/>
      <c r="AE556" s="1712"/>
      <c r="AF556" s="1712"/>
      <c r="AG556" s="1712"/>
      <c r="AH556" s="1712"/>
      <c r="AI556" s="1712"/>
      <c r="AJ556" s="1712"/>
      <c r="AK556" s="1712"/>
      <c r="AL556" s="1712"/>
      <c r="AM556" s="1712"/>
      <c r="AN556" s="1712"/>
      <c r="AO556" s="1712"/>
      <c r="AP556" s="1712"/>
      <c r="AQ556" s="1712"/>
      <c r="AR556" s="1712"/>
      <c r="AS556" s="1712"/>
      <c r="AT556" s="1712"/>
    </row>
    <row r="557">
      <c r="A557" s="1474" t="s">
        <v>2461</v>
      </c>
      <c r="B557" s="1708"/>
      <c r="C557" s="1709"/>
      <c r="D557" s="1709"/>
      <c r="E557" s="1710"/>
      <c r="F557" s="1710"/>
      <c r="G557" s="1710"/>
      <c r="H557" s="1710"/>
      <c r="I557" s="1710"/>
      <c r="J557" s="1710"/>
      <c r="K557" s="1710"/>
      <c r="L557" s="1710"/>
      <c r="M557" s="1711"/>
      <c r="N557" s="1711"/>
      <c r="O557" s="1711"/>
      <c r="P557" s="1711"/>
      <c r="Q557" s="1711"/>
      <c r="R557" s="1711"/>
      <c r="S557" s="1711"/>
      <c r="T557" s="1711"/>
      <c r="U557" s="1711"/>
      <c r="V557" s="1711"/>
      <c r="W557" s="1711"/>
      <c r="X557" s="1711"/>
      <c r="Y557" s="1711"/>
      <c r="Z557" s="1712"/>
      <c r="AA557" s="1712"/>
      <c r="AB557" s="1712"/>
      <c r="AC557" s="1712"/>
      <c r="AD557" s="1712"/>
      <c r="AE557" s="1712"/>
      <c r="AF557" s="1712"/>
      <c r="AG557" s="1712"/>
      <c r="AH557" s="1712"/>
      <c r="AI557" s="1712"/>
      <c r="AJ557" s="1712"/>
      <c r="AK557" s="1712"/>
      <c r="AL557" s="1712"/>
      <c r="AM557" s="1712"/>
      <c r="AN557" s="1712"/>
      <c r="AO557" s="1712"/>
      <c r="AP557" s="1712"/>
      <c r="AQ557" s="1712"/>
      <c r="AR557" s="1712"/>
      <c r="AS557" s="1712"/>
      <c r="AT557" s="1712"/>
    </row>
    <row r="558">
      <c r="A558" s="1474" t="s">
        <v>2461</v>
      </c>
      <c r="B558" s="1708"/>
      <c r="C558" s="1709"/>
      <c r="D558" s="1709"/>
      <c r="E558" s="1710"/>
      <c r="F558" s="1710"/>
      <c r="G558" s="1710"/>
      <c r="H558" s="1710"/>
      <c r="I558" s="1710"/>
      <c r="J558" s="1710"/>
      <c r="K558" s="1710"/>
      <c r="L558" s="1710"/>
      <c r="M558" s="1711"/>
      <c r="N558" s="1711"/>
      <c r="O558" s="1711"/>
      <c r="P558" s="1711"/>
      <c r="Q558" s="1711"/>
      <c r="R558" s="1711"/>
      <c r="S558" s="1711"/>
      <c r="T558" s="1711"/>
      <c r="U558" s="1711"/>
      <c r="V558" s="1711"/>
      <c r="W558" s="1711"/>
      <c r="X558" s="1711"/>
      <c r="Y558" s="1711"/>
      <c r="Z558" s="1712"/>
      <c r="AA558" s="1712"/>
      <c r="AB558" s="1712"/>
      <c r="AC558" s="1712"/>
      <c r="AD558" s="1712"/>
      <c r="AE558" s="1712"/>
      <c r="AF558" s="1712"/>
      <c r="AG558" s="1712"/>
      <c r="AH558" s="1712"/>
      <c r="AI558" s="1712"/>
      <c r="AJ558" s="1712"/>
      <c r="AK558" s="1712"/>
      <c r="AL558" s="1712"/>
      <c r="AM558" s="1712"/>
      <c r="AN558" s="1712"/>
      <c r="AO558" s="1712"/>
      <c r="AP558" s="1712"/>
      <c r="AQ558" s="1712"/>
      <c r="AR558" s="1712"/>
      <c r="AS558" s="1712"/>
      <c r="AT558" s="1712"/>
    </row>
    <row r="559">
      <c r="A559" s="1474" t="s">
        <v>2461</v>
      </c>
      <c r="B559" s="1708"/>
      <c r="C559" s="1709"/>
      <c r="D559" s="1709"/>
      <c r="E559" s="1710"/>
      <c r="F559" s="1710"/>
      <c r="G559" s="1710"/>
      <c r="H559" s="1710"/>
      <c r="I559" s="1710"/>
      <c r="J559" s="1710"/>
      <c r="K559" s="1710"/>
      <c r="L559" s="1710"/>
      <c r="M559" s="1711"/>
      <c r="N559" s="1711"/>
      <c r="O559" s="1711"/>
      <c r="P559" s="1711"/>
      <c r="Q559" s="1711"/>
      <c r="R559" s="1711"/>
      <c r="S559" s="1711"/>
      <c r="T559" s="1711"/>
      <c r="U559" s="1711"/>
      <c r="V559" s="1711"/>
      <c r="W559" s="1711"/>
      <c r="X559" s="1711"/>
      <c r="Y559" s="1711"/>
      <c r="Z559" s="1712"/>
      <c r="AA559" s="1712"/>
      <c r="AB559" s="1712"/>
      <c r="AC559" s="1712"/>
      <c r="AD559" s="1712"/>
      <c r="AE559" s="1712"/>
      <c r="AF559" s="1712"/>
      <c r="AG559" s="1712"/>
      <c r="AH559" s="1712"/>
      <c r="AI559" s="1712"/>
      <c r="AJ559" s="1712"/>
      <c r="AK559" s="1712"/>
      <c r="AL559" s="1712"/>
      <c r="AM559" s="1712"/>
      <c r="AN559" s="1712"/>
      <c r="AO559" s="1712"/>
      <c r="AP559" s="1712"/>
      <c r="AQ559" s="1712"/>
      <c r="AR559" s="1712"/>
      <c r="AS559" s="1712"/>
      <c r="AT559" s="1712"/>
    </row>
    <row r="560">
      <c r="A560" s="1474" t="s">
        <v>2461</v>
      </c>
      <c r="B560" s="1708"/>
      <c r="C560" s="1709"/>
      <c r="D560" s="1709"/>
      <c r="E560" s="1710"/>
      <c r="F560" s="1710"/>
      <c r="G560" s="1710"/>
      <c r="H560" s="1710"/>
      <c r="I560" s="1710"/>
      <c r="J560" s="1710"/>
      <c r="K560" s="1710"/>
      <c r="L560" s="1710"/>
      <c r="M560" s="1711"/>
      <c r="N560" s="1711"/>
      <c r="O560" s="1711"/>
      <c r="P560" s="1711"/>
      <c r="Q560" s="1711"/>
      <c r="R560" s="1711"/>
      <c r="S560" s="1711"/>
      <c r="T560" s="1711"/>
      <c r="U560" s="1711"/>
      <c r="V560" s="1711"/>
      <c r="W560" s="1711"/>
      <c r="X560" s="1711"/>
      <c r="Y560" s="1711"/>
      <c r="Z560" s="1712"/>
      <c r="AA560" s="1712"/>
      <c r="AB560" s="1712"/>
      <c r="AC560" s="1712"/>
      <c r="AD560" s="1712"/>
      <c r="AE560" s="1712"/>
      <c r="AF560" s="1712"/>
      <c r="AG560" s="1712"/>
      <c r="AH560" s="1712"/>
      <c r="AI560" s="1712"/>
      <c r="AJ560" s="1712"/>
      <c r="AK560" s="1712"/>
      <c r="AL560" s="1712"/>
      <c r="AM560" s="1712"/>
      <c r="AN560" s="1712"/>
      <c r="AO560" s="1712"/>
      <c r="AP560" s="1712"/>
      <c r="AQ560" s="1712"/>
      <c r="AR560" s="1712"/>
      <c r="AS560" s="1712"/>
      <c r="AT560" s="1712"/>
    </row>
    <row r="561">
      <c r="A561" s="1474" t="s">
        <v>2461</v>
      </c>
      <c r="B561" s="1708"/>
      <c r="C561" s="1709"/>
      <c r="D561" s="1709"/>
      <c r="E561" s="1710"/>
      <c r="F561" s="1710"/>
      <c r="G561" s="1710"/>
      <c r="H561" s="1710"/>
      <c r="I561" s="1710"/>
      <c r="J561" s="1710"/>
      <c r="K561" s="1710"/>
      <c r="L561" s="1710"/>
      <c r="M561" s="1711"/>
      <c r="N561" s="1711"/>
      <c r="O561" s="1711"/>
      <c r="P561" s="1711"/>
      <c r="Q561" s="1711"/>
      <c r="R561" s="1711"/>
      <c r="S561" s="1711"/>
      <c r="T561" s="1711"/>
      <c r="U561" s="1711"/>
      <c r="V561" s="1711"/>
      <c r="W561" s="1711"/>
      <c r="X561" s="1711"/>
      <c r="Y561" s="1711"/>
      <c r="Z561" s="1712"/>
      <c r="AA561" s="1712"/>
      <c r="AB561" s="1712"/>
      <c r="AC561" s="1712"/>
      <c r="AD561" s="1712"/>
      <c r="AE561" s="1712"/>
      <c r="AF561" s="1712"/>
      <c r="AG561" s="1712"/>
      <c r="AH561" s="1712"/>
      <c r="AI561" s="1712"/>
      <c r="AJ561" s="1712"/>
      <c r="AK561" s="1712"/>
      <c r="AL561" s="1712"/>
      <c r="AM561" s="1712"/>
      <c r="AN561" s="1712"/>
      <c r="AO561" s="1712"/>
      <c r="AP561" s="1712"/>
      <c r="AQ561" s="1712"/>
      <c r="AR561" s="1712"/>
      <c r="AS561" s="1712"/>
      <c r="AT561" s="1712"/>
    </row>
    <row r="562">
      <c r="A562" s="1474" t="s">
        <v>2461</v>
      </c>
      <c r="B562" s="1708"/>
      <c r="C562" s="1709"/>
      <c r="D562" s="1709"/>
      <c r="E562" s="1710"/>
      <c r="F562" s="1710"/>
      <c r="G562" s="1710"/>
      <c r="H562" s="1710"/>
      <c r="I562" s="1710"/>
      <c r="J562" s="1710"/>
      <c r="K562" s="1710"/>
      <c r="L562" s="1710"/>
      <c r="M562" s="1711"/>
      <c r="N562" s="1711"/>
      <c r="O562" s="1711"/>
      <c r="P562" s="1711"/>
      <c r="Q562" s="1711"/>
      <c r="R562" s="1711"/>
      <c r="S562" s="1711"/>
      <c r="T562" s="1711"/>
      <c r="U562" s="1711"/>
      <c r="V562" s="1711"/>
      <c r="W562" s="1711"/>
      <c r="X562" s="1711"/>
      <c r="Y562" s="1711"/>
      <c r="Z562" s="1712"/>
      <c r="AA562" s="1712"/>
      <c r="AB562" s="1712"/>
      <c r="AC562" s="1712"/>
      <c r="AD562" s="1712"/>
      <c r="AE562" s="1712"/>
      <c r="AF562" s="1712"/>
      <c r="AG562" s="1712"/>
      <c r="AH562" s="1712"/>
      <c r="AI562" s="1712"/>
      <c r="AJ562" s="1712"/>
      <c r="AK562" s="1712"/>
      <c r="AL562" s="1712"/>
      <c r="AM562" s="1712"/>
      <c r="AN562" s="1712"/>
      <c r="AO562" s="1712"/>
      <c r="AP562" s="1712"/>
      <c r="AQ562" s="1712"/>
      <c r="AR562" s="1712"/>
      <c r="AS562" s="1712"/>
      <c r="AT562" s="1712"/>
    </row>
    <row r="563">
      <c r="A563" s="1474" t="s">
        <v>2461</v>
      </c>
      <c r="B563" s="1708"/>
      <c r="C563" s="1709"/>
      <c r="D563" s="1709"/>
      <c r="E563" s="1710"/>
      <c r="F563" s="1710"/>
      <c r="G563" s="1710"/>
      <c r="H563" s="1710"/>
      <c r="I563" s="1710"/>
      <c r="J563" s="1710"/>
      <c r="K563" s="1710"/>
      <c r="L563" s="1710"/>
      <c r="M563" s="1711"/>
      <c r="N563" s="1711"/>
      <c r="O563" s="1711"/>
      <c r="P563" s="1711"/>
      <c r="Q563" s="1711"/>
      <c r="R563" s="1711"/>
      <c r="S563" s="1711"/>
      <c r="T563" s="1711"/>
      <c r="U563" s="1711"/>
      <c r="V563" s="1711"/>
      <c r="W563" s="1711"/>
      <c r="X563" s="1711"/>
      <c r="Y563" s="1711"/>
      <c r="Z563" s="1712"/>
      <c r="AA563" s="1712"/>
      <c r="AB563" s="1712"/>
      <c r="AC563" s="1712"/>
      <c r="AD563" s="1712"/>
      <c r="AE563" s="1712"/>
      <c r="AF563" s="1712"/>
      <c r="AG563" s="1712"/>
      <c r="AH563" s="1712"/>
      <c r="AI563" s="1712"/>
      <c r="AJ563" s="1712"/>
      <c r="AK563" s="1712"/>
      <c r="AL563" s="1712"/>
      <c r="AM563" s="1712"/>
      <c r="AN563" s="1712"/>
      <c r="AO563" s="1712"/>
      <c r="AP563" s="1712"/>
      <c r="AQ563" s="1712"/>
      <c r="AR563" s="1712"/>
      <c r="AS563" s="1712"/>
      <c r="AT563" s="1712"/>
    </row>
    <row r="564">
      <c r="A564" s="1474" t="s">
        <v>2461</v>
      </c>
      <c r="B564" s="1708"/>
      <c r="C564" s="1709"/>
      <c r="D564" s="1709"/>
      <c r="E564" s="1710"/>
      <c r="F564" s="1710"/>
      <c r="G564" s="1710"/>
      <c r="H564" s="1710"/>
      <c r="I564" s="1710"/>
      <c r="J564" s="1710"/>
      <c r="K564" s="1710"/>
      <c r="L564" s="1710"/>
      <c r="M564" s="1711"/>
      <c r="N564" s="1711"/>
      <c r="O564" s="1711"/>
      <c r="P564" s="1711"/>
      <c r="Q564" s="1711"/>
      <c r="R564" s="1711"/>
      <c r="S564" s="1711"/>
      <c r="T564" s="1711"/>
      <c r="U564" s="1711"/>
      <c r="V564" s="1711"/>
      <c r="W564" s="1711"/>
      <c r="X564" s="1711"/>
      <c r="Y564" s="1711"/>
      <c r="Z564" s="1712"/>
      <c r="AA564" s="1712"/>
      <c r="AB564" s="1712"/>
      <c r="AC564" s="1712"/>
      <c r="AD564" s="1712"/>
      <c r="AE564" s="1712"/>
      <c r="AF564" s="1712"/>
      <c r="AG564" s="1712"/>
      <c r="AH564" s="1712"/>
      <c r="AI564" s="1712"/>
      <c r="AJ564" s="1712"/>
      <c r="AK564" s="1712"/>
      <c r="AL564" s="1712"/>
      <c r="AM564" s="1712"/>
      <c r="AN564" s="1712"/>
      <c r="AO564" s="1712"/>
      <c r="AP564" s="1712"/>
      <c r="AQ564" s="1712"/>
      <c r="AR564" s="1712"/>
      <c r="AS564" s="1712"/>
      <c r="AT564" s="1712"/>
    </row>
    <row r="565">
      <c r="A565" s="1474" t="s">
        <v>2461</v>
      </c>
      <c r="B565" s="1708"/>
      <c r="C565" s="1709"/>
      <c r="D565" s="1709"/>
      <c r="E565" s="1710"/>
      <c r="F565" s="1710"/>
      <c r="G565" s="1710"/>
      <c r="H565" s="1710"/>
      <c r="I565" s="1710"/>
      <c r="J565" s="1710"/>
      <c r="K565" s="1710"/>
      <c r="L565" s="1710"/>
      <c r="M565" s="1711"/>
      <c r="N565" s="1711"/>
      <c r="O565" s="1711"/>
      <c r="P565" s="1711"/>
      <c r="Q565" s="1711"/>
      <c r="R565" s="1711"/>
      <c r="S565" s="1711"/>
      <c r="T565" s="1711"/>
      <c r="U565" s="1711"/>
      <c r="V565" s="1711"/>
      <c r="W565" s="1711"/>
      <c r="X565" s="1711"/>
      <c r="Y565" s="1711"/>
      <c r="Z565" s="1712"/>
      <c r="AA565" s="1712"/>
      <c r="AB565" s="1712"/>
      <c r="AC565" s="1712"/>
      <c r="AD565" s="1712"/>
      <c r="AE565" s="1712"/>
      <c r="AF565" s="1712"/>
      <c r="AG565" s="1712"/>
      <c r="AH565" s="1712"/>
      <c r="AI565" s="1712"/>
      <c r="AJ565" s="1712"/>
      <c r="AK565" s="1712"/>
      <c r="AL565" s="1712"/>
      <c r="AM565" s="1712"/>
      <c r="AN565" s="1712"/>
      <c r="AO565" s="1712"/>
      <c r="AP565" s="1712"/>
      <c r="AQ565" s="1712"/>
      <c r="AR565" s="1712"/>
      <c r="AS565" s="1712"/>
      <c r="AT565" s="1712"/>
    </row>
    <row r="566">
      <c r="A566" s="1474" t="s">
        <v>2461</v>
      </c>
      <c r="B566" s="1708"/>
      <c r="C566" s="1709"/>
      <c r="D566" s="1709"/>
      <c r="E566" s="1710"/>
      <c r="F566" s="1710"/>
      <c r="G566" s="1710"/>
      <c r="H566" s="1710"/>
      <c r="I566" s="1710"/>
      <c r="J566" s="1710"/>
      <c r="K566" s="1710"/>
      <c r="L566" s="1710"/>
      <c r="M566" s="1711"/>
      <c r="N566" s="1711"/>
      <c r="O566" s="1711"/>
      <c r="P566" s="1711"/>
      <c r="Q566" s="1711"/>
      <c r="R566" s="1711"/>
      <c r="S566" s="1711"/>
      <c r="T566" s="1711"/>
      <c r="U566" s="1711"/>
      <c r="V566" s="1711"/>
      <c r="W566" s="1711"/>
      <c r="X566" s="1711"/>
      <c r="Y566" s="1711"/>
      <c r="Z566" s="1712"/>
      <c r="AA566" s="1712"/>
      <c r="AB566" s="1712"/>
      <c r="AC566" s="1712"/>
      <c r="AD566" s="1712"/>
      <c r="AE566" s="1712"/>
      <c r="AF566" s="1712"/>
      <c r="AG566" s="1712"/>
      <c r="AH566" s="1712"/>
      <c r="AI566" s="1712"/>
      <c r="AJ566" s="1712"/>
      <c r="AK566" s="1712"/>
      <c r="AL566" s="1712"/>
      <c r="AM566" s="1712"/>
      <c r="AN566" s="1712"/>
      <c r="AO566" s="1712"/>
      <c r="AP566" s="1712"/>
      <c r="AQ566" s="1712"/>
      <c r="AR566" s="1712"/>
      <c r="AS566" s="1712"/>
      <c r="AT566" s="1712"/>
    </row>
    <row r="567">
      <c r="A567" s="1474" t="s">
        <v>2461</v>
      </c>
      <c r="B567" s="1708"/>
      <c r="C567" s="1709"/>
      <c r="D567" s="1709"/>
      <c r="E567" s="1710"/>
      <c r="F567" s="1710"/>
      <c r="G567" s="1710"/>
      <c r="H567" s="1710"/>
      <c r="I567" s="1710"/>
      <c r="J567" s="1710"/>
      <c r="K567" s="1710"/>
      <c r="L567" s="1710"/>
      <c r="M567" s="1711"/>
      <c r="N567" s="1711"/>
      <c r="O567" s="1711"/>
      <c r="P567" s="1711"/>
      <c r="Q567" s="1711"/>
      <c r="R567" s="1711"/>
      <c r="S567" s="1711"/>
      <c r="T567" s="1711"/>
      <c r="U567" s="1711"/>
      <c r="V567" s="1711"/>
      <c r="W567" s="1711"/>
      <c r="X567" s="1711"/>
      <c r="Y567" s="1711"/>
      <c r="Z567" s="1712"/>
      <c r="AA567" s="1712"/>
      <c r="AB567" s="1712"/>
      <c r="AC567" s="1712"/>
      <c r="AD567" s="1712"/>
      <c r="AE567" s="1712"/>
      <c r="AF567" s="1712"/>
      <c r="AG567" s="1712"/>
      <c r="AH567" s="1712"/>
      <c r="AI567" s="1712"/>
      <c r="AJ567" s="1712"/>
      <c r="AK567" s="1712"/>
      <c r="AL567" s="1712"/>
      <c r="AM567" s="1712"/>
      <c r="AN567" s="1712"/>
      <c r="AO567" s="1712"/>
      <c r="AP567" s="1712"/>
      <c r="AQ567" s="1712"/>
      <c r="AR567" s="1712"/>
      <c r="AS567" s="1712"/>
      <c r="AT567" s="1712"/>
    </row>
    <row r="568">
      <c r="A568" s="1474" t="s">
        <v>2461</v>
      </c>
      <c r="B568" s="1708"/>
      <c r="C568" s="1709"/>
      <c r="D568" s="1709"/>
      <c r="E568" s="1710"/>
      <c r="F568" s="1710"/>
      <c r="G568" s="1710"/>
      <c r="H568" s="1710"/>
      <c r="I568" s="1710"/>
      <c r="J568" s="1710"/>
      <c r="K568" s="1710"/>
      <c r="L568" s="1710"/>
      <c r="M568" s="1711"/>
      <c r="N568" s="1711"/>
      <c r="O568" s="1711"/>
      <c r="P568" s="1711"/>
      <c r="Q568" s="1711"/>
      <c r="R568" s="1711"/>
      <c r="S568" s="1711"/>
      <c r="T568" s="1711"/>
      <c r="U568" s="1711"/>
      <c r="V568" s="1711"/>
      <c r="W568" s="1711"/>
      <c r="X568" s="1711"/>
      <c r="Y568" s="1711"/>
      <c r="Z568" s="1712"/>
      <c r="AA568" s="1712"/>
      <c r="AB568" s="1712"/>
      <c r="AC568" s="1712"/>
      <c r="AD568" s="1712"/>
      <c r="AE568" s="1712"/>
      <c r="AF568" s="1712"/>
      <c r="AG568" s="1712"/>
      <c r="AH568" s="1712"/>
      <c r="AI568" s="1712"/>
      <c r="AJ568" s="1712"/>
      <c r="AK568" s="1712"/>
      <c r="AL568" s="1712"/>
      <c r="AM568" s="1712"/>
      <c r="AN568" s="1712"/>
      <c r="AO568" s="1712"/>
      <c r="AP568" s="1712"/>
      <c r="AQ568" s="1712"/>
      <c r="AR568" s="1712"/>
      <c r="AS568" s="1712"/>
      <c r="AT568" s="1712"/>
    </row>
    <row r="569">
      <c r="A569" s="1474" t="s">
        <v>2461</v>
      </c>
      <c r="B569" s="1708"/>
      <c r="C569" s="1709"/>
      <c r="D569" s="1709"/>
      <c r="E569" s="1710"/>
      <c r="F569" s="1710"/>
      <c r="G569" s="1710"/>
      <c r="H569" s="1710"/>
      <c r="I569" s="1710"/>
      <c r="J569" s="1710"/>
      <c r="K569" s="1710"/>
      <c r="L569" s="1710"/>
      <c r="M569" s="1711"/>
      <c r="N569" s="1711"/>
      <c r="O569" s="1711"/>
      <c r="P569" s="1711"/>
      <c r="Q569" s="1711"/>
      <c r="R569" s="1711"/>
      <c r="S569" s="1711"/>
      <c r="T569" s="1711"/>
      <c r="U569" s="1711"/>
      <c r="V569" s="1711"/>
      <c r="W569" s="1711"/>
      <c r="X569" s="1711"/>
      <c r="Y569" s="1711"/>
      <c r="Z569" s="1712"/>
      <c r="AA569" s="1712"/>
      <c r="AB569" s="1712"/>
      <c r="AC569" s="1712"/>
      <c r="AD569" s="1712"/>
      <c r="AE569" s="1712"/>
      <c r="AF569" s="1712"/>
      <c r="AG569" s="1712"/>
      <c r="AH569" s="1712"/>
      <c r="AI569" s="1712"/>
      <c r="AJ569" s="1712"/>
      <c r="AK569" s="1712"/>
      <c r="AL569" s="1712"/>
      <c r="AM569" s="1712"/>
      <c r="AN569" s="1712"/>
      <c r="AO569" s="1712"/>
      <c r="AP569" s="1712"/>
      <c r="AQ569" s="1712"/>
      <c r="AR569" s="1712"/>
      <c r="AS569" s="1712"/>
      <c r="AT569" s="1712"/>
    </row>
    <row r="570">
      <c r="A570" s="1474" t="s">
        <v>2461</v>
      </c>
      <c r="B570" s="1708"/>
      <c r="C570" s="1709"/>
      <c r="D570" s="1709"/>
      <c r="E570" s="1710"/>
      <c r="F570" s="1710"/>
      <c r="G570" s="1710"/>
      <c r="H570" s="1710"/>
      <c r="I570" s="1710"/>
      <c r="J570" s="1710"/>
      <c r="K570" s="1710"/>
      <c r="L570" s="1710"/>
      <c r="M570" s="1711"/>
      <c r="N570" s="1711"/>
      <c r="O570" s="1711"/>
      <c r="P570" s="1711"/>
      <c r="Q570" s="1711"/>
      <c r="R570" s="1711"/>
      <c r="S570" s="1711"/>
      <c r="T570" s="1711"/>
      <c r="U570" s="1711"/>
      <c r="V570" s="1711"/>
      <c r="W570" s="1711"/>
      <c r="X570" s="1711"/>
      <c r="Y570" s="1711"/>
      <c r="Z570" s="1712"/>
      <c r="AA570" s="1712"/>
      <c r="AB570" s="1712"/>
      <c r="AC570" s="1712"/>
      <c r="AD570" s="1712"/>
      <c r="AE570" s="1712"/>
      <c r="AF570" s="1712"/>
      <c r="AG570" s="1712"/>
      <c r="AH570" s="1712"/>
      <c r="AI570" s="1712"/>
      <c r="AJ570" s="1712"/>
      <c r="AK570" s="1712"/>
      <c r="AL570" s="1712"/>
      <c r="AM570" s="1712"/>
      <c r="AN570" s="1712"/>
      <c r="AO570" s="1712"/>
      <c r="AP570" s="1712"/>
      <c r="AQ570" s="1712"/>
      <c r="AR570" s="1712"/>
      <c r="AS570" s="1712"/>
      <c r="AT570" s="1712"/>
    </row>
    <row r="571">
      <c r="A571" s="1474" t="s">
        <v>2461</v>
      </c>
      <c r="B571" s="1708"/>
      <c r="C571" s="1709"/>
      <c r="D571" s="1709"/>
      <c r="E571" s="1710"/>
      <c r="F571" s="1710"/>
      <c r="G571" s="1710"/>
      <c r="H571" s="1710"/>
      <c r="I571" s="1710"/>
      <c r="J571" s="1710"/>
      <c r="K571" s="1710"/>
      <c r="L571" s="1710"/>
      <c r="M571" s="1711"/>
      <c r="N571" s="1711"/>
      <c r="O571" s="1711"/>
      <c r="P571" s="1711"/>
      <c r="Q571" s="1711"/>
      <c r="R571" s="1711"/>
      <c r="S571" s="1711"/>
      <c r="T571" s="1711"/>
      <c r="U571" s="1711"/>
      <c r="V571" s="1711"/>
      <c r="W571" s="1711"/>
      <c r="X571" s="1711"/>
      <c r="Y571" s="1711"/>
      <c r="Z571" s="1712"/>
      <c r="AA571" s="1712"/>
      <c r="AB571" s="1712"/>
      <c r="AC571" s="1712"/>
      <c r="AD571" s="1712"/>
      <c r="AE571" s="1712"/>
      <c r="AF571" s="1712"/>
      <c r="AG571" s="1712"/>
      <c r="AH571" s="1712"/>
      <c r="AI571" s="1712"/>
      <c r="AJ571" s="1712"/>
      <c r="AK571" s="1712"/>
      <c r="AL571" s="1712"/>
      <c r="AM571" s="1712"/>
      <c r="AN571" s="1712"/>
      <c r="AO571" s="1712"/>
      <c r="AP571" s="1712"/>
      <c r="AQ571" s="1712"/>
      <c r="AR571" s="1712"/>
      <c r="AS571" s="1712"/>
      <c r="AT571" s="1712"/>
    </row>
    <row r="572">
      <c r="A572" s="1474" t="s">
        <v>2461</v>
      </c>
      <c r="B572" s="1708"/>
      <c r="C572" s="1709"/>
      <c r="D572" s="1709"/>
      <c r="E572" s="1710"/>
      <c r="F572" s="1710"/>
      <c r="G572" s="1710"/>
      <c r="H572" s="1710"/>
      <c r="I572" s="1710"/>
      <c r="J572" s="1710"/>
      <c r="K572" s="1710"/>
      <c r="L572" s="1710"/>
      <c r="M572" s="1711"/>
      <c r="N572" s="1711"/>
      <c r="O572" s="1711"/>
      <c r="P572" s="1711"/>
      <c r="Q572" s="1711"/>
      <c r="R572" s="1711"/>
      <c r="S572" s="1711"/>
      <c r="T572" s="1711"/>
      <c r="U572" s="1711"/>
      <c r="V572" s="1711"/>
      <c r="W572" s="1711"/>
      <c r="X572" s="1711"/>
      <c r="Y572" s="1711"/>
      <c r="Z572" s="1712"/>
      <c r="AA572" s="1712"/>
      <c r="AB572" s="1712"/>
      <c r="AC572" s="1712"/>
      <c r="AD572" s="1712"/>
      <c r="AE572" s="1712"/>
      <c r="AF572" s="1712"/>
      <c r="AG572" s="1712"/>
      <c r="AH572" s="1712"/>
      <c r="AI572" s="1712"/>
      <c r="AJ572" s="1712"/>
      <c r="AK572" s="1712"/>
      <c r="AL572" s="1712"/>
      <c r="AM572" s="1712"/>
      <c r="AN572" s="1712"/>
      <c r="AO572" s="1712"/>
      <c r="AP572" s="1712"/>
      <c r="AQ572" s="1712"/>
      <c r="AR572" s="1712"/>
      <c r="AS572" s="1712"/>
      <c r="AT572" s="1712"/>
    </row>
    <row r="573">
      <c r="A573" s="1474" t="s">
        <v>2461</v>
      </c>
      <c r="B573" s="1708"/>
      <c r="C573" s="1709"/>
      <c r="D573" s="1709"/>
      <c r="E573" s="1710"/>
      <c r="F573" s="1710"/>
      <c r="G573" s="1710"/>
      <c r="H573" s="1710"/>
      <c r="I573" s="1710"/>
      <c r="J573" s="1710"/>
      <c r="K573" s="1710"/>
      <c r="L573" s="1710"/>
      <c r="M573" s="1711"/>
      <c r="N573" s="1711"/>
      <c r="O573" s="1711"/>
      <c r="P573" s="1711"/>
      <c r="Q573" s="1711"/>
      <c r="R573" s="1711"/>
      <c r="S573" s="1711"/>
      <c r="T573" s="1711"/>
      <c r="U573" s="1711"/>
      <c r="V573" s="1711"/>
      <c r="W573" s="1711"/>
      <c r="X573" s="1711"/>
      <c r="Y573" s="1711"/>
      <c r="Z573" s="1712"/>
      <c r="AA573" s="1712"/>
      <c r="AB573" s="1712"/>
      <c r="AC573" s="1712"/>
      <c r="AD573" s="1712"/>
      <c r="AE573" s="1712"/>
      <c r="AF573" s="1712"/>
      <c r="AG573" s="1712"/>
      <c r="AH573" s="1712"/>
      <c r="AI573" s="1712"/>
      <c r="AJ573" s="1712"/>
      <c r="AK573" s="1712"/>
      <c r="AL573" s="1712"/>
      <c r="AM573" s="1712"/>
      <c r="AN573" s="1712"/>
      <c r="AO573" s="1712"/>
      <c r="AP573" s="1712"/>
      <c r="AQ573" s="1712"/>
      <c r="AR573" s="1712"/>
      <c r="AS573" s="1712"/>
      <c r="AT573" s="1712"/>
    </row>
    <row r="574">
      <c r="A574" s="1474" t="s">
        <v>2461</v>
      </c>
      <c r="B574" s="1708"/>
      <c r="C574" s="1709"/>
      <c r="D574" s="1709"/>
      <c r="E574" s="1710"/>
      <c r="F574" s="1710"/>
      <c r="G574" s="1710"/>
      <c r="H574" s="1710"/>
      <c r="I574" s="1710"/>
      <c r="J574" s="1710"/>
      <c r="K574" s="1710"/>
      <c r="L574" s="1710"/>
      <c r="M574" s="1711"/>
      <c r="N574" s="1711"/>
      <c r="O574" s="1711"/>
      <c r="P574" s="1711"/>
      <c r="Q574" s="1711"/>
      <c r="R574" s="1711"/>
      <c r="S574" s="1711"/>
      <c r="T574" s="1711"/>
      <c r="U574" s="1711"/>
      <c r="V574" s="1711"/>
      <c r="W574" s="1711"/>
      <c r="X574" s="1711"/>
      <c r="Y574" s="1711"/>
      <c r="Z574" s="1712"/>
      <c r="AA574" s="1712"/>
      <c r="AB574" s="1712"/>
      <c r="AC574" s="1712"/>
      <c r="AD574" s="1712"/>
      <c r="AE574" s="1712"/>
      <c r="AF574" s="1712"/>
      <c r="AG574" s="1712"/>
      <c r="AH574" s="1712"/>
      <c r="AI574" s="1712"/>
      <c r="AJ574" s="1712"/>
      <c r="AK574" s="1712"/>
      <c r="AL574" s="1712"/>
      <c r="AM574" s="1712"/>
      <c r="AN574" s="1712"/>
      <c r="AO574" s="1712"/>
      <c r="AP574" s="1712"/>
      <c r="AQ574" s="1712"/>
      <c r="AR574" s="1712"/>
      <c r="AS574" s="1712"/>
      <c r="AT574" s="1712"/>
    </row>
    <row r="575">
      <c r="A575" s="1474" t="s">
        <v>2461</v>
      </c>
      <c r="B575" s="1708"/>
      <c r="C575" s="1709"/>
      <c r="D575" s="1709"/>
      <c r="E575" s="1710"/>
      <c r="F575" s="1710"/>
      <c r="G575" s="1710"/>
      <c r="H575" s="1710"/>
      <c r="I575" s="1710"/>
      <c r="J575" s="1710"/>
      <c r="K575" s="1710"/>
      <c r="L575" s="1710"/>
      <c r="M575" s="1711"/>
      <c r="N575" s="1711"/>
      <c r="O575" s="1711"/>
      <c r="P575" s="1711"/>
      <c r="Q575" s="1711"/>
      <c r="R575" s="1711"/>
      <c r="S575" s="1711"/>
      <c r="T575" s="1711"/>
      <c r="U575" s="1711"/>
      <c r="V575" s="1711"/>
      <c r="W575" s="1711"/>
      <c r="X575" s="1711"/>
      <c r="Y575" s="1711"/>
      <c r="Z575" s="1712"/>
      <c r="AA575" s="1712"/>
      <c r="AB575" s="1712"/>
      <c r="AC575" s="1712"/>
      <c r="AD575" s="1712"/>
      <c r="AE575" s="1712"/>
      <c r="AF575" s="1712"/>
      <c r="AG575" s="1712"/>
      <c r="AH575" s="1712"/>
      <c r="AI575" s="1712"/>
      <c r="AJ575" s="1712"/>
      <c r="AK575" s="1712"/>
      <c r="AL575" s="1712"/>
      <c r="AM575" s="1712"/>
      <c r="AN575" s="1712"/>
      <c r="AO575" s="1712"/>
      <c r="AP575" s="1712"/>
      <c r="AQ575" s="1712"/>
      <c r="AR575" s="1712"/>
      <c r="AS575" s="1712"/>
      <c r="AT575" s="1712"/>
    </row>
    <row r="576">
      <c r="A576" s="1474" t="s">
        <v>2461</v>
      </c>
      <c r="B576" s="1708"/>
      <c r="C576" s="1709"/>
      <c r="D576" s="1709"/>
      <c r="E576" s="1710"/>
      <c r="F576" s="1710"/>
      <c r="G576" s="1710"/>
      <c r="H576" s="1710"/>
      <c r="I576" s="1710"/>
      <c r="J576" s="1710"/>
      <c r="K576" s="1710"/>
      <c r="L576" s="1710"/>
      <c r="M576" s="1711"/>
      <c r="N576" s="1711"/>
      <c r="O576" s="1711"/>
      <c r="P576" s="1711"/>
      <c r="Q576" s="1711"/>
      <c r="R576" s="1711"/>
      <c r="S576" s="1711"/>
      <c r="T576" s="1711"/>
      <c r="U576" s="1711"/>
      <c r="V576" s="1711"/>
      <c r="W576" s="1711"/>
      <c r="X576" s="1711"/>
      <c r="Y576" s="1711"/>
      <c r="Z576" s="1712"/>
      <c r="AA576" s="1712"/>
      <c r="AB576" s="1712"/>
      <c r="AC576" s="1712"/>
      <c r="AD576" s="1712"/>
      <c r="AE576" s="1712"/>
      <c r="AF576" s="1712"/>
      <c r="AG576" s="1712"/>
      <c r="AH576" s="1712"/>
      <c r="AI576" s="1712"/>
      <c r="AJ576" s="1712"/>
      <c r="AK576" s="1712"/>
      <c r="AL576" s="1712"/>
      <c r="AM576" s="1712"/>
      <c r="AN576" s="1712"/>
      <c r="AO576" s="1712"/>
      <c r="AP576" s="1712"/>
      <c r="AQ576" s="1712"/>
      <c r="AR576" s="1712"/>
      <c r="AS576" s="1712"/>
      <c r="AT576" s="1712"/>
    </row>
    <row r="577">
      <c r="A577" s="1474" t="s">
        <v>2461</v>
      </c>
      <c r="B577" s="1708"/>
      <c r="C577" s="1709"/>
      <c r="D577" s="1709"/>
      <c r="E577" s="1710"/>
      <c r="F577" s="1710"/>
      <c r="G577" s="1710"/>
      <c r="H577" s="1710"/>
      <c r="I577" s="1710"/>
      <c r="J577" s="1710"/>
      <c r="K577" s="1710"/>
      <c r="L577" s="1710"/>
      <c r="M577" s="1711"/>
      <c r="N577" s="1711"/>
      <c r="O577" s="1711"/>
      <c r="P577" s="1711"/>
      <c r="Q577" s="1711"/>
      <c r="R577" s="1711"/>
      <c r="S577" s="1711"/>
      <c r="T577" s="1711"/>
      <c r="U577" s="1711"/>
      <c r="V577" s="1711"/>
      <c r="W577" s="1711"/>
      <c r="X577" s="1711"/>
      <c r="Y577" s="1711"/>
      <c r="Z577" s="1712"/>
      <c r="AA577" s="1712"/>
      <c r="AB577" s="1712"/>
      <c r="AC577" s="1712"/>
      <c r="AD577" s="1712"/>
      <c r="AE577" s="1712"/>
      <c r="AF577" s="1712"/>
      <c r="AG577" s="1712"/>
      <c r="AH577" s="1712"/>
      <c r="AI577" s="1712"/>
      <c r="AJ577" s="1712"/>
      <c r="AK577" s="1712"/>
      <c r="AL577" s="1712"/>
      <c r="AM577" s="1712"/>
      <c r="AN577" s="1712"/>
      <c r="AO577" s="1712"/>
      <c r="AP577" s="1712"/>
      <c r="AQ577" s="1712"/>
      <c r="AR577" s="1712"/>
      <c r="AS577" s="1712"/>
      <c r="AT577" s="1712"/>
    </row>
    <row r="578">
      <c r="A578" s="1474" t="s">
        <v>2461</v>
      </c>
      <c r="B578" s="1708"/>
      <c r="C578" s="1709"/>
      <c r="D578" s="1709"/>
      <c r="E578" s="1710"/>
      <c r="F578" s="1710"/>
      <c r="G578" s="1710"/>
      <c r="H578" s="1710"/>
      <c r="I578" s="1710"/>
      <c r="J578" s="1710"/>
      <c r="K578" s="1710"/>
      <c r="L578" s="1710"/>
      <c r="M578" s="1711"/>
      <c r="N578" s="1711"/>
      <c r="O578" s="1711"/>
      <c r="P578" s="1711"/>
      <c r="Q578" s="1711"/>
      <c r="R578" s="1711"/>
      <c r="S578" s="1711"/>
      <c r="T578" s="1711"/>
      <c r="U578" s="1711"/>
      <c r="V578" s="1711"/>
      <c r="W578" s="1711"/>
      <c r="X578" s="1711"/>
      <c r="Y578" s="1711"/>
      <c r="Z578" s="1712"/>
      <c r="AA578" s="1712"/>
      <c r="AB578" s="1712"/>
      <c r="AC578" s="1712"/>
      <c r="AD578" s="1712"/>
      <c r="AE578" s="1712"/>
      <c r="AF578" s="1712"/>
      <c r="AG578" s="1712"/>
      <c r="AH578" s="1712"/>
      <c r="AI578" s="1712"/>
      <c r="AJ578" s="1712"/>
      <c r="AK578" s="1712"/>
      <c r="AL578" s="1712"/>
      <c r="AM578" s="1712"/>
      <c r="AN578" s="1712"/>
      <c r="AO578" s="1712"/>
      <c r="AP578" s="1712"/>
      <c r="AQ578" s="1712"/>
      <c r="AR578" s="1712"/>
      <c r="AS578" s="1712"/>
      <c r="AT578" s="1712"/>
    </row>
    <row r="579">
      <c r="A579" s="1474" t="s">
        <v>2461</v>
      </c>
      <c r="B579" s="1708"/>
      <c r="C579" s="1709"/>
      <c r="D579" s="1709"/>
      <c r="E579" s="1710"/>
      <c r="F579" s="1710"/>
      <c r="G579" s="1710"/>
      <c r="H579" s="1710"/>
      <c r="I579" s="1710"/>
      <c r="J579" s="1710"/>
      <c r="K579" s="1710"/>
      <c r="L579" s="1710"/>
      <c r="M579" s="1711"/>
      <c r="N579" s="1711"/>
      <c r="O579" s="1711"/>
      <c r="P579" s="1711"/>
      <c r="Q579" s="1711"/>
      <c r="R579" s="1711"/>
      <c r="S579" s="1711"/>
      <c r="T579" s="1711"/>
      <c r="U579" s="1711"/>
      <c r="V579" s="1711"/>
      <c r="W579" s="1711"/>
      <c r="X579" s="1711"/>
      <c r="Y579" s="1711"/>
      <c r="Z579" s="1712"/>
      <c r="AA579" s="1712"/>
      <c r="AB579" s="1712"/>
      <c r="AC579" s="1712"/>
      <c r="AD579" s="1712"/>
      <c r="AE579" s="1712"/>
      <c r="AF579" s="1712"/>
      <c r="AG579" s="1712"/>
      <c r="AH579" s="1712"/>
      <c r="AI579" s="1712"/>
      <c r="AJ579" s="1712"/>
      <c r="AK579" s="1712"/>
      <c r="AL579" s="1712"/>
      <c r="AM579" s="1712"/>
      <c r="AN579" s="1712"/>
      <c r="AO579" s="1712"/>
      <c r="AP579" s="1712"/>
      <c r="AQ579" s="1712"/>
      <c r="AR579" s="1712"/>
      <c r="AS579" s="1712"/>
      <c r="AT579" s="1712"/>
    </row>
    <row r="580">
      <c r="A580" s="1474" t="s">
        <v>2461</v>
      </c>
      <c r="B580" s="1708"/>
      <c r="C580" s="1709"/>
      <c r="D580" s="1709"/>
      <c r="E580" s="1710"/>
      <c r="F580" s="1710"/>
      <c r="G580" s="1710"/>
      <c r="H580" s="1710"/>
      <c r="I580" s="1710"/>
      <c r="J580" s="1710"/>
      <c r="K580" s="1710"/>
      <c r="L580" s="1710"/>
      <c r="M580" s="1711"/>
      <c r="N580" s="1711"/>
      <c r="O580" s="1711"/>
      <c r="P580" s="1711"/>
      <c r="Q580" s="1711"/>
      <c r="R580" s="1711"/>
      <c r="S580" s="1711"/>
      <c r="T580" s="1711"/>
      <c r="U580" s="1711"/>
      <c r="V580" s="1711"/>
      <c r="W580" s="1711"/>
      <c r="X580" s="1711"/>
      <c r="Y580" s="1711"/>
      <c r="Z580" s="1712"/>
      <c r="AA580" s="1712"/>
      <c r="AB580" s="1712"/>
      <c r="AC580" s="1712"/>
      <c r="AD580" s="1712"/>
      <c r="AE580" s="1712"/>
      <c r="AF580" s="1712"/>
      <c r="AG580" s="1712"/>
      <c r="AH580" s="1712"/>
      <c r="AI580" s="1712"/>
      <c r="AJ580" s="1712"/>
      <c r="AK580" s="1712"/>
      <c r="AL580" s="1712"/>
      <c r="AM580" s="1712"/>
      <c r="AN580" s="1712"/>
      <c r="AO580" s="1712"/>
      <c r="AP580" s="1712"/>
      <c r="AQ580" s="1712"/>
      <c r="AR580" s="1712"/>
      <c r="AS580" s="1712"/>
      <c r="AT580" s="1712"/>
    </row>
    <row r="581">
      <c r="A581" s="1474" t="s">
        <v>2461</v>
      </c>
      <c r="B581" s="1708"/>
      <c r="C581" s="1709"/>
      <c r="D581" s="1709"/>
      <c r="E581" s="1710"/>
      <c r="F581" s="1710"/>
      <c r="G581" s="1710"/>
      <c r="H581" s="1710"/>
      <c r="I581" s="1710"/>
      <c r="J581" s="1710"/>
      <c r="K581" s="1710"/>
      <c r="L581" s="1710"/>
      <c r="M581" s="1711"/>
      <c r="N581" s="1711"/>
      <c r="O581" s="1711"/>
      <c r="P581" s="1711"/>
      <c r="Q581" s="1711"/>
      <c r="R581" s="1711"/>
      <c r="S581" s="1711"/>
      <c r="T581" s="1711"/>
      <c r="U581" s="1711"/>
      <c r="V581" s="1711"/>
      <c r="W581" s="1711"/>
      <c r="X581" s="1711"/>
      <c r="Y581" s="1711"/>
      <c r="Z581" s="1712"/>
      <c r="AA581" s="1712"/>
      <c r="AB581" s="1712"/>
      <c r="AC581" s="1712"/>
      <c r="AD581" s="1712"/>
      <c r="AE581" s="1712"/>
      <c r="AF581" s="1712"/>
      <c r="AG581" s="1712"/>
      <c r="AH581" s="1712"/>
      <c r="AI581" s="1712"/>
      <c r="AJ581" s="1712"/>
      <c r="AK581" s="1712"/>
      <c r="AL581" s="1712"/>
      <c r="AM581" s="1712"/>
      <c r="AN581" s="1712"/>
      <c r="AO581" s="1712"/>
      <c r="AP581" s="1712"/>
      <c r="AQ581" s="1712"/>
      <c r="AR581" s="1712"/>
      <c r="AS581" s="1712"/>
      <c r="AT581" s="1712"/>
    </row>
    <row r="582">
      <c r="A582" s="1474" t="s">
        <v>2461</v>
      </c>
      <c r="B582" s="1708"/>
      <c r="C582" s="1709"/>
      <c r="D582" s="1709"/>
      <c r="E582" s="1710"/>
      <c r="F582" s="1710"/>
      <c r="G582" s="1710"/>
      <c r="H582" s="1710"/>
      <c r="I582" s="1710"/>
      <c r="J582" s="1710"/>
      <c r="K582" s="1710"/>
      <c r="L582" s="1710"/>
      <c r="M582" s="1711"/>
      <c r="N582" s="1711"/>
      <c r="O582" s="1711"/>
      <c r="P582" s="1711"/>
      <c r="Q582" s="1711"/>
      <c r="R582" s="1711"/>
      <c r="S582" s="1711"/>
      <c r="T582" s="1711"/>
      <c r="U582" s="1711"/>
      <c r="V582" s="1711"/>
      <c r="W582" s="1711"/>
      <c r="X582" s="1711"/>
      <c r="Y582" s="1711"/>
      <c r="Z582" s="1712"/>
      <c r="AA582" s="1712"/>
      <c r="AB582" s="1712"/>
      <c r="AC582" s="1712"/>
      <c r="AD582" s="1712"/>
      <c r="AE582" s="1712"/>
      <c r="AF582" s="1712"/>
      <c r="AG582" s="1712"/>
      <c r="AH582" s="1712"/>
      <c r="AI582" s="1712"/>
      <c r="AJ582" s="1712"/>
      <c r="AK582" s="1712"/>
      <c r="AL582" s="1712"/>
      <c r="AM582" s="1712"/>
      <c r="AN582" s="1712"/>
      <c r="AO582" s="1712"/>
      <c r="AP582" s="1712"/>
      <c r="AQ582" s="1712"/>
      <c r="AR582" s="1712"/>
      <c r="AS582" s="1712"/>
      <c r="AT582" s="1712"/>
    </row>
    <row r="583">
      <c r="A583" s="1474" t="s">
        <v>2461</v>
      </c>
      <c r="B583" s="1708"/>
      <c r="C583" s="1709"/>
      <c r="D583" s="1709"/>
      <c r="E583" s="1710"/>
      <c r="F583" s="1710"/>
      <c r="G583" s="1710"/>
      <c r="H583" s="1710"/>
      <c r="I583" s="1710"/>
      <c r="J583" s="1710"/>
      <c r="K583" s="1710"/>
      <c r="L583" s="1710"/>
      <c r="M583" s="1711"/>
      <c r="N583" s="1711"/>
      <c r="O583" s="1711"/>
      <c r="P583" s="1711"/>
      <c r="Q583" s="1711"/>
      <c r="R583" s="1711"/>
      <c r="S583" s="1711"/>
      <c r="T583" s="1711"/>
      <c r="U583" s="1711"/>
      <c r="V583" s="1711"/>
      <c r="W583" s="1711"/>
      <c r="X583" s="1711"/>
      <c r="Y583" s="1711"/>
      <c r="Z583" s="1712"/>
      <c r="AA583" s="1712"/>
      <c r="AB583" s="1712"/>
      <c r="AC583" s="1712"/>
      <c r="AD583" s="1712"/>
      <c r="AE583" s="1712"/>
      <c r="AF583" s="1712"/>
      <c r="AG583" s="1712"/>
      <c r="AH583" s="1712"/>
      <c r="AI583" s="1712"/>
      <c r="AJ583" s="1712"/>
      <c r="AK583" s="1712"/>
      <c r="AL583" s="1712"/>
      <c r="AM583" s="1712"/>
      <c r="AN583" s="1712"/>
      <c r="AO583" s="1712"/>
      <c r="AP583" s="1712"/>
      <c r="AQ583" s="1712"/>
      <c r="AR583" s="1712"/>
      <c r="AS583" s="1712"/>
      <c r="AT583" s="1712"/>
    </row>
    <row r="584">
      <c r="A584" s="1474" t="s">
        <v>2461</v>
      </c>
      <c r="B584" s="1708"/>
      <c r="C584" s="1709"/>
      <c r="D584" s="1709"/>
      <c r="E584" s="1710"/>
      <c r="F584" s="1710"/>
      <c r="G584" s="1710"/>
      <c r="H584" s="1710"/>
      <c r="I584" s="1710"/>
      <c r="J584" s="1710"/>
      <c r="K584" s="1710"/>
      <c r="L584" s="1710"/>
      <c r="M584" s="1711"/>
      <c r="N584" s="1711"/>
      <c r="O584" s="1711"/>
      <c r="P584" s="1711"/>
      <c r="Q584" s="1711"/>
      <c r="R584" s="1711"/>
      <c r="S584" s="1711"/>
      <c r="T584" s="1711"/>
      <c r="U584" s="1711"/>
      <c r="V584" s="1711"/>
      <c r="W584" s="1711"/>
      <c r="X584" s="1711"/>
      <c r="Y584" s="1711"/>
      <c r="Z584" s="1712"/>
      <c r="AA584" s="1712"/>
      <c r="AB584" s="1712"/>
      <c r="AC584" s="1712"/>
      <c r="AD584" s="1712"/>
      <c r="AE584" s="1712"/>
      <c r="AF584" s="1712"/>
      <c r="AG584" s="1712"/>
      <c r="AH584" s="1712"/>
      <c r="AI584" s="1712"/>
      <c r="AJ584" s="1712"/>
      <c r="AK584" s="1712"/>
      <c r="AL584" s="1712"/>
      <c r="AM584" s="1712"/>
      <c r="AN584" s="1712"/>
      <c r="AO584" s="1712"/>
      <c r="AP584" s="1712"/>
      <c r="AQ584" s="1712"/>
      <c r="AR584" s="1712"/>
      <c r="AS584" s="1712"/>
      <c r="AT584" s="1712"/>
    </row>
    <row r="585">
      <c r="A585" s="1474" t="s">
        <v>2461</v>
      </c>
      <c r="B585" s="1708"/>
      <c r="C585" s="1709"/>
      <c r="D585" s="1709"/>
      <c r="E585" s="1710"/>
      <c r="F585" s="1710"/>
      <c r="G585" s="1710"/>
      <c r="H585" s="1710"/>
      <c r="I585" s="1710"/>
      <c r="J585" s="1710"/>
      <c r="K585" s="1710"/>
      <c r="L585" s="1710"/>
      <c r="M585" s="1711"/>
      <c r="N585" s="1711"/>
      <c r="O585" s="1711"/>
      <c r="P585" s="1711"/>
      <c r="Q585" s="1711"/>
      <c r="R585" s="1711"/>
      <c r="S585" s="1711"/>
      <c r="T585" s="1711"/>
      <c r="U585" s="1711"/>
      <c r="V585" s="1711"/>
      <c r="W585" s="1711"/>
      <c r="X585" s="1711"/>
      <c r="Y585" s="1711"/>
      <c r="Z585" s="1712"/>
      <c r="AA585" s="1712"/>
      <c r="AB585" s="1712"/>
      <c r="AC585" s="1712"/>
      <c r="AD585" s="1712"/>
      <c r="AE585" s="1712"/>
      <c r="AF585" s="1712"/>
      <c r="AG585" s="1712"/>
      <c r="AH585" s="1712"/>
      <c r="AI585" s="1712"/>
      <c r="AJ585" s="1712"/>
      <c r="AK585" s="1712"/>
      <c r="AL585" s="1712"/>
      <c r="AM585" s="1712"/>
      <c r="AN585" s="1712"/>
      <c r="AO585" s="1712"/>
      <c r="AP585" s="1712"/>
      <c r="AQ585" s="1712"/>
      <c r="AR585" s="1712"/>
      <c r="AS585" s="1712"/>
      <c r="AT585" s="1712"/>
    </row>
    <row r="586">
      <c r="A586" s="1474" t="s">
        <v>2461</v>
      </c>
      <c r="B586" s="1708"/>
      <c r="C586" s="1709"/>
      <c r="D586" s="1709"/>
      <c r="E586" s="1710"/>
      <c r="F586" s="1710"/>
      <c r="G586" s="1710"/>
      <c r="H586" s="1710"/>
      <c r="I586" s="1710"/>
      <c r="J586" s="1710"/>
      <c r="K586" s="1710"/>
      <c r="L586" s="1710"/>
      <c r="M586" s="1711"/>
      <c r="N586" s="1711"/>
      <c r="O586" s="1711"/>
      <c r="P586" s="1711"/>
      <c r="Q586" s="1711"/>
      <c r="R586" s="1711"/>
      <c r="S586" s="1711"/>
      <c r="T586" s="1711"/>
      <c r="U586" s="1711"/>
      <c r="V586" s="1711"/>
      <c r="W586" s="1711"/>
      <c r="X586" s="1711"/>
      <c r="Y586" s="1711"/>
      <c r="Z586" s="1712"/>
      <c r="AA586" s="1712"/>
      <c r="AB586" s="1712"/>
      <c r="AC586" s="1712"/>
      <c r="AD586" s="1712"/>
      <c r="AE586" s="1712"/>
      <c r="AF586" s="1712"/>
      <c r="AG586" s="1712"/>
      <c r="AH586" s="1712"/>
      <c r="AI586" s="1712"/>
      <c r="AJ586" s="1712"/>
      <c r="AK586" s="1712"/>
      <c r="AL586" s="1712"/>
      <c r="AM586" s="1712"/>
      <c r="AN586" s="1712"/>
      <c r="AO586" s="1712"/>
      <c r="AP586" s="1712"/>
      <c r="AQ586" s="1712"/>
      <c r="AR586" s="1712"/>
      <c r="AS586" s="1712"/>
      <c r="AT586" s="1712"/>
    </row>
    <row r="587">
      <c r="A587" s="1474" t="s">
        <v>2461</v>
      </c>
      <c r="B587" s="1708"/>
      <c r="C587" s="1709"/>
      <c r="D587" s="1709"/>
      <c r="E587" s="1710"/>
      <c r="F587" s="1710"/>
      <c r="G587" s="1710"/>
      <c r="H587" s="1710"/>
      <c r="I587" s="1710"/>
      <c r="J587" s="1710"/>
      <c r="K587" s="1710"/>
      <c r="L587" s="1710"/>
      <c r="M587" s="1711"/>
      <c r="N587" s="1711"/>
      <c r="O587" s="1711"/>
      <c r="P587" s="1711"/>
      <c r="Q587" s="1711"/>
      <c r="R587" s="1711"/>
      <c r="S587" s="1711"/>
      <c r="T587" s="1711"/>
      <c r="U587" s="1711"/>
      <c r="V587" s="1711"/>
      <c r="W587" s="1711"/>
      <c r="X587" s="1711"/>
      <c r="Y587" s="1711"/>
      <c r="Z587" s="1712"/>
      <c r="AA587" s="1712"/>
      <c r="AB587" s="1712"/>
      <c r="AC587" s="1712"/>
      <c r="AD587" s="1712"/>
      <c r="AE587" s="1712"/>
      <c r="AF587" s="1712"/>
      <c r="AG587" s="1712"/>
      <c r="AH587" s="1712"/>
      <c r="AI587" s="1712"/>
      <c r="AJ587" s="1712"/>
      <c r="AK587" s="1712"/>
      <c r="AL587" s="1712"/>
      <c r="AM587" s="1712"/>
      <c r="AN587" s="1712"/>
      <c r="AO587" s="1712"/>
      <c r="AP587" s="1712"/>
      <c r="AQ587" s="1712"/>
      <c r="AR587" s="1712"/>
      <c r="AS587" s="1712"/>
      <c r="AT587" s="1712"/>
    </row>
    <row r="588">
      <c r="A588" s="1474" t="s">
        <v>2461</v>
      </c>
      <c r="B588" s="1708"/>
      <c r="C588" s="1709"/>
      <c r="D588" s="1709"/>
      <c r="E588" s="1710"/>
      <c r="F588" s="1710"/>
      <c r="G588" s="1710"/>
      <c r="H588" s="1710"/>
      <c r="I588" s="1710"/>
      <c r="J588" s="1710"/>
      <c r="K588" s="1710"/>
      <c r="L588" s="1710"/>
      <c r="M588" s="1711"/>
      <c r="N588" s="1711"/>
      <c r="O588" s="1711"/>
      <c r="P588" s="1711"/>
      <c r="Q588" s="1711"/>
      <c r="R588" s="1711"/>
      <c r="S588" s="1711"/>
      <c r="T588" s="1711"/>
      <c r="U588" s="1711"/>
      <c r="V588" s="1711"/>
      <c r="W588" s="1711"/>
      <c r="X588" s="1711"/>
      <c r="Y588" s="1711"/>
      <c r="Z588" s="1712"/>
      <c r="AA588" s="1712"/>
      <c r="AB588" s="1712"/>
      <c r="AC588" s="1712"/>
      <c r="AD588" s="1712"/>
      <c r="AE588" s="1712"/>
      <c r="AF588" s="1712"/>
      <c r="AG588" s="1712"/>
      <c r="AH588" s="1712"/>
      <c r="AI588" s="1712"/>
      <c r="AJ588" s="1712"/>
      <c r="AK588" s="1712"/>
      <c r="AL588" s="1712"/>
      <c r="AM588" s="1712"/>
      <c r="AN588" s="1712"/>
      <c r="AO588" s="1712"/>
      <c r="AP588" s="1712"/>
      <c r="AQ588" s="1712"/>
      <c r="AR588" s="1712"/>
      <c r="AS588" s="1712"/>
      <c r="AT588" s="1712"/>
    </row>
    <row r="589">
      <c r="A589" s="1474" t="s">
        <v>2461</v>
      </c>
      <c r="B589" s="1708"/>
      <c r="C589" s="1709"/>
      <c r="D589" s="1709"/>
      <c r="E589" s="1710"/>
      <c r="F589" s="1710"/>
      <c r="G589" s="1710"/>
      <c r="H589" s="1710"/>
      <c r="I589" s="1710"/>
      <c r="J589" s="1710"/>
      <c r="K589" s="1710"/>
      <c r="L589" s="1710"/>
      <c r="M589" s="1711"/>
      <c r="N589" s="1711"/>
      <c r="O589" s="1711"/>
      <c r="P589" s="1711"/>
      <c r="Q589" s="1711"/>
      <c r="R589" s="1711"/>
      <c r="S589" s="1711"/>
      <c r="T589" s="1711"/>
      <c r="U589" s="1711"/>
      <c r="V589" s="1711"/>
      <c r="W589" s="1711"/>
      <c r="X589" s="1711"/>
      <c r="Y589" s="1711"/>
      <c r="Z589" s="1712"/>
      <c r="AA589" s="1712"/>
      <c r="AB589" s="1712"/>
      <c r="AC589" s="1712"/>
      <c r="AD589" s="1712"/>
      <c r="AE589" s="1712"/>
      <c r="AF589" s="1712"/>
      <c r="AG589" s="1712"/>
      <c r="AH589" s="1712"/>
      <c r="AI589" s="1712"/>
      <c r="AJ589" s="1712"/>
      <c r="AK589" s="1712"/>
      <c r="AL589" s="1712"/>
      <c r="AM589" s="1712"/>
      <c r="AN589" s="1712"/>
      <c r="AO589" s="1712"/>
      <c r="AP589" s="1712"/>
      <c r="AQ589" s="1712"/>
      <c r="AR589" s="1712"/>
      <c r="AS589" s="1712"/>
      <c r="AT589" s="1712"/>
    </row>
    <row r="590">
      <c r="A590" s="1474" t="s">
        <v>2461</v>
      </c>
      <c r="B590" s="1708"/>
      <c r="C590" s="1709"/>
      <c r="D590" s="1709"/>
      <c r="E590" s="1710"/>
      <c r="F590" s="1710"/>
      <c r="G590" s="1710"/>
      <c r="H590" s="1710"/>
      <c r="I590" s="1710"/>
      <c r="J590" s="1710"/>
      <c r="K590" s="1710"/>
      <c r="L590" s="1710"/>
      <c r="M590" s="1711"/>
      <c r="N590" s="1711"/>
      <c r="O590" s="1711"/>
      <c r="P590" s="1711"/>
      <c r="Q590" s="1711"/>
      <c r="R590" s="1711"/>
      <c r="S590" s="1711"/>
      <c r="T590" s="1711"/>
      <c r="U590" s="1711"/>
      <c r="V590" s="1711"/>
      <c r="W590" s="1711"/>
      <c r="X590" s="1711"/>
      <c r="Y590" s="1711"/>
      <c r="Z590" s="1712"/>
      <c r="AA590" s="1712"/>
      <c r="AB590" s="1712"/>
      <c r="AC590" s="1712"/>
      <c r="AD590" s="1712"/>
      <c r="AE590" s="1712"/>
      <c r="AF590" s="1712"/>
      <c r="AG590" s="1712"/>
      <c r="AH590" s="1712"/>
      <c r="AI590" s="1712"/>
      <c r="AJ590" s="1712"/>
      <c r="AK590" s="1712"/>
      <c r="AL590" s="1712"/>
      <c r="AM590" s="1712"/>
      <c r="AN590" s="1712"/>
      <c r="AO590" s="1712"/>
      <c r="AP590" s="1712"/>
      <c r="AQ590" s="1712"/>
      <c r="AR590" s="1712"/>
      <c r="AS590" s="1712"/>
      <c r="AT590" s="1712"/>
    </row>
    <row r="591">
      <c r="A591" s="1474" t="s">
        <v>2461</v>
      </c>
      <c r="B591" s="1708"/>
      <c r="C591" s="1709"/>
      <c r="D591" s="1709"/>
      <c r="E591" s="1710"/>
      <c r="F591" s="1710"/>
      <c r="G591" s="1710"/>
      <c r="H591" s="1710"/>
      <c r="I591" s="1710"/>
      <c r="J591" s="1710"/>
      <c r="K591" s="1710"/>
      <c r="L591" s="1710"/>
      <c r="M591" s="1711"/>
      <c r="N591" s="1711"/>
      <c r="O591" s="1711"/>
      <c r="P591" s="1711"/>
      <c r="Q591" s="1711"/>
      <c r="R591" s="1711"/>
      <c r="S591" s="1711"/>
      <c r="T591" s="1711"/>
      <c r="U591" s="1711"/>
      <c r="V591" s="1711"/>
      <c r="W591" s="1711"/>
      <c r="X591" s="1711"/>
      <c r="Y591" s="1711"/>
      <c r="Z591" s="1712"/>
      <c r="AA591" s="1712"/>
      <c r="AB591" s="1712"/>
      <c r="AC591" s="1712"/>
      <c r="AD591" s="1712"/>
      <c r="AE591" s="1712"/>
      <c r="AF591" s="1712"/>
      <c r="AG591" s="1712"/>
      <c r="AH591" s="1712"/>
      <c r="AI591" s="1712"/>
      <c r="AJ591" s="1712"/>
      <c r="AK591" s="1712"/>
      <c r="AL591" s="1712"/>
      <c r="AM591" s="1712"/>
      <c r="AN591" s="1712"/>
      <c r="AO591" s="1712"/>
      <c r="AP591" s="1712"/>
      <c r="AQ591" s="1712"/>
      <c r="AR591" s="1712"/>
      <c r="AS591" s="1712"/>
      <c r="AT591" s="1712"/>
    </row>
    <row r="592">
      <c r="A592" s="1474" t="s">
        <v>2461</v>
      </c>
      <c r="B592" s="1708"/>
      <c r="C592" s="1709"/>
      <c r="D592" s="1709"/>
      <c r="E592" s="1710"/>
      <c r="F592" s="1710"/>
      <c r="G592" s="1710"/>
      <c r="H592" s="1710"/>
      <c r="I592" s="1710"/>
      <c r="J592" s="1710"/>
      <c r="K592" s="1710"/>
      <c r="L592" s="1710"/>
      <c r="M592" s="1711"/>
      <c r="N592" s="1711"/>
      <c r="O592" s="1711"/>
      <c r="P592" s="1711"/>
      <c r="Q592" s="1711"/>
      <c r="R592" s="1711"/>
      <c r="S592" s="1711"/>
      <c r="T592" s="1711"/>
      <c r="U592" s="1711"/>
      <c r="V592" s="1711"/>
      <c r="W592" s="1711"/>
      <c r="X592" s="1711"/>
      <c r="Y592" s="1711"/>
      <c r="Z592" s="1712"/>
      <c r="AA592" s="1712"/>
      <c r="AB592" s="1712"/>
      <c r="AC592" s="1712"/>
      <c r="AD592" s="1712"/>
      <c r="AE592" s="1712"/>
      <c r="AF592" s="1712"/>
      <c r="AG592" s="1712"/>
      <c r="AH592" s="1712"/>
      <c r="AI592" s="1712"/>
      <c r="AJ592" s="1712"/>
      <c r="AK592" s="1712"/>
      <c r="AL592" s="1712"/>
      <c r="AM592" s="1712"/>
      <c r="AN592" s="1712"/>
      <c r="AO592" s="1712"/>
      <c r="AP592" s="1712"/>
      <c r="AQ592" s="1712"/>
      <c r="AR592" s="1712"/>
      <c r="AS592" s="1712"/>
      <c r="AT592" s="1712"/>
    </row>
    <row r="593">
      <c r="A593" s="1474" t="s">
        <v>2461</v>
      </c>
      <c r="B593" s="1708"/>
      <c r="C593" s="1709"/>
      <c r="D593" s="1709"/>
      <c r="E593" s="1710"/>
      <c r="F593" s="1710"/>
      <c r="G593" s="1710"/>
      <c r="H593" s="1710"/>
      <c r="I593" s="1710"/>
      <c r="J593" s="1710"/>
      <c r="K593" s="1710"/>
      <c r="L593" s="1710"/>
      <c r="M593" s="1711"/>
      <c r="N593" s="1711"/>
      <c r="O593" s="1711"/>
      <c r="P593" s="1711"/>
      <c r="Q593" s="1711"/>
      <c r="R593" s="1711"/>
      <c r="S593" s="1711"/>
      <c r="T593" s="1711"/>
      <c r="U593" s="1711"/>
      <c r="V593" s="1711"/>
      <c r="W593" s="1711"/>
      <c r="X593" s="1711"/>
      <c r="Y593" s="1711"/>
      <c r="Z593" s="1712"/>
      <c r="AA593" s="1712"/>
      <c r="AB593" s="1712"/>
      <c r="AC593" s="1712"/>
      <c r="AD593" s="1712"/>
      <c r="AE593" s="1712"/>
      <c r="AF593" s="1712"/>
      <c r="AG593" s="1712"/>
      <c r="AH593" s="1712"/>
      <c r="AI593" s="1712"/>
      <c r="AJ593" s="1712"/>
      <c r="AK593" s="1712"/>
      <c r="AL593" s="1712"/>
      <c r="AM593" s="1712"/>
      <c r="AN593" s="1712"/>
      <c r="AO593" s="1712"/>
      <c r="AP593" s="1712"/>
      <c r="AQ593" s="1712"/>
      <c r="AR593" s="1712"/>
      <c r="AS593" s="1712"/>
      <c r="AT593" s="1712"/>
    </row>
    <row r="594">
      <c r="A594" s="1474" t="s">
        <v>2461</v>
      </c>
      <c r="B594" s="1708"/>
      <c r="C594" s="1709"/>
      <c r="D594" s="1709"/>
      <c r="E594" s="1710"/>
      <c r="F594" s="1710"/>
      <c r="G594" s="1710"/>
      <c r="H594" s="1710"/>
      <c r="I594" s="1710"/>
      <c r="J594" s="1710"/>
      <c r="K594" s="1710"/>
      <c r="L594" s="1710"/>
      <c r="M594" s="1711"/>
      <c r="N594" s="1711"/>
      <c r="O594" s="1711"/>
      <c r="P594" s="1711"/>
      <c r="Q594" s="1711"/>
      <c r="R594" s="1711"/>
      <c r="S594" s="1711"/>
      <c r="T594" s="1711"/>
      <c r="U594" s="1711"/>
      <c r="V594" s="1711"/>
      <c r="W594" s="1711"/>
      <c r="X594" s="1711"/>
      <c r="Y594" s="1711"/>
      <c r="Z594" s="1712"/>
      <c r="AA594" s="1712"/>
      <c r="AB594" s="1712"/>
      <c r="AC594" s="1712"/>
      <c r="AD594" s="1712"/>
      <c r="AE594" s="1712"/>
      <c r="AF594" s="1712"/>
      <c r="AG594" s="1712"/>
      <c r="AH594" s="1712"/>
      <c r="AI594" s="1712"/>
      <c r="AJ594" s="1712"/>
      <c r="AK594" s="1712"/>
      <c r="AL594" s="1712"/>
      <c r="AM594" s="1712"/>
      <c r="AN594" s="1712"/>
      <c r="AO594" s="1712"/>
      <c r="AP594" s="1712"/>
      <c r="AQ594" s="1712"/>
      <c r="AR594" s="1712"/>
      <c r="AS594" s="1712"/>
      <c r="AT594" s="1712"/>
    </row>
    <row r="595">
      <c r="A595" s="1474" t="s">
        <v>2461</v>
      </c>
      <c r="B595" s="1708"/>
      <c r="C595" s="1709"/>
      <c r="D595" s="1709"/>
      <c r="E595" s="1710"/>
      <c r="F595" s="1710"/>
      <c r="G595" s="1710"/>
      <c r="H595" s="1710"/>
      <c r="I595" s="1710"/>
      <c r="J595" s="1710"/>
      <c r="K595" s="1710"/>
      <c r="L595" s="1710"/>
      <c r="M595" s="1711"/>
      <c r="N595" s="1711"/>
      <c r="O595" s="1711"/>
      <c r="P595" s="1711"/>
      <c r="Q595" s="1711"/>
      <c r="R595" s="1711"/>
      <c r="S595" s="1711"/>
      <c r="T595" s="1711"/>
      <c r="U595" s="1711"/>
      <c r="V595" s="1711"/>
      <c r="W595" s="1711"/>
      <c r="X595" s="1711"/>
      <c r="Y595" s="1711"/>
      <c r="Z595" s="1712"/>
      <c r="AA595" s="1712"/>
      <c r="AB595" s="1712"/>
      <c r="AC595" s="1712"/>
      <c r="AD595" s="1712"/>
      <c r="AE595" s="1712"/>
      <c r="AF595" s="1712"/>
      <c r="AG595" s="1712"/>
      <c r="AH595" s="1712"/>
      <c r="AI595" s="1712"/>
      <c r="AJ595" s="1712"/>
      <c r="AK595" s="1712"/>
      <c r="AL595" s="1712"/>
      <c r="AM595" s="1712"/>
      <c r="AN595" s="1712"/>
      <c r="AO595" s="1712"/>
      <c r="AP595" s="1712"/>
      <c r="AQ595" s="1712"/>
      <c r="AR595" s="1712"/>
      <c r="AS595" s="1712"/>
      <c r="AT595" s="1712"/>
    </row>
    <row r="596">
      <c r="A596" s="1474" t="s">
        <v>2461</v>
      </c>
      <c r="B596" s="1708"/>
      <c r="C596" s="1709"/>
      <c r="D596" s="1709"/>
      <c r="E596" s="1710"/>
      <c r="F596" s="1710"/>
      <c r="G596" s="1710"/>
      <c r="H596" s="1710"/>
      <c r="I596" s="1710"/>
      <c r="J596" s="1710"/>
      <c r="K596" s="1710"/>
      <c r="L596" s="1710"/>
      <c r="M596" s="1711"/>
      <c r="N596" s="1711"/>
      <c r="O596" s="1711"/>
      <c r="P596" s="1711"/>
      <c r="Q596" s="1711"/>
      <c r="R596" s="1711"/>
      <c r="S596" s="1711"/>
      <c r="T596" s="1711"/>
      <c r="U596" s="1711"/>
      <c r="V596" s="1711"/>
      <c r="W596" s="1711"/>
      <c r="X596" s="1711"/>
      <c r="Y596" s="1711"/>
      <c r="Z596" s="1712"/>
      <c r="AA596" s="1712"/>
      <c r="AB596" s="1712"/>
      <c r="AC596" s="1712"/>
      <c r="AD596" s="1712"/>
      <c r="AE596" s="1712"/>
      <c r="AF596" s="1712"/>
      <c r="AG596" s="1712"/>
      <c r="AH596" s="1712"/>
      <c r="AI596" s="1712"/>
      <c r="AJ596" s="1712"/>
      <c r="AK596" s="1712"/>
      <c r="AL596" s="1712"/>
      <c r="AM596" s="1712"/>
      <c r="AN596" s="1712"/>
      <c r="AO596" s="1712"/>
      <c r="AP596" s="1712"/>
      <c r="AQ596" s="1712"/>
      <c r="AR596" s="1712"/>
      <c r="AS596" s="1712"/>
      <c r="AT596" s="1712"/>
    </row>
    <row r="597">
      <c r="A597" s="1474" t="s">
        <v>2461</v>
      </c>
      <c r="B597" s="1708"/>
      <c r="C597" s="1709"/>
      <c r="D597" s="1709"/>
      <c r="E597" s="1710"/>
      <c r="F597" s="1710"/>
      <c r="G597" s="1710"/>
      <c r="H597" s="1710"/>
      <c r="I597" s="1710"/>
      <c r="J597" s="1710"/>
      <c r="K597" s="1710"/>
      <c r="L597" s="1710"/>
      <c r="M597" s="1711"/>
      <c r="N597" s="1711"/>
      <c r="O597" s="1711"/>
      <c r="P597" s="1711"/>
      <c r="Q597" s="1711"/>
      <c r="R597" s="1711"/>
      <c r="S597" s="1711"/>
      <c r="T597" s="1711"/>
      <c r="U597" s="1711"/>
      <c r="V597" s="1711"/>
      <c r="W597" s="1711"/>
      <c r="X597" s="1711"/>
      <c r="Y597" s="1711"/>
      <c r="Z597" s="1712"/>
      <c r="AA597" s="1712"/>
      <c r="AB597" s="1712"/>
      <c r="AC597" s="1712"/>
      <c r="AD597" s="1712"/>
      <c r="AE597" s="1712"/>
      <c r="AF597" s="1712"/>
      <c r="AG597" s="1712"/>
      <c r="AH597" s="1712"/>
      <c r="AI597" s="1712"/>
      <c r="AJ597" s="1712"/>
      <c r="AK597" s="1712"/>
      <c r="AL597" s="1712"/>
      <c r="AM597" s="1712"/>
      <c r="AN597" s="1712"/>
      <c r="AO597" s="1712"/>
      <c r="AP597" s="1712"/>
      <c r="AQ597" s="1712"/>
      <c r="AR597" s="1712"/>
      <c r="AS597" s="1712"/>
      <c r="AT597" s="1712"/>
    </row>
    <row r="598">
      <c r="A598" s="1474" t="s">
        <v>2461</v>
      </c>
      <c r="B598" s="1708"/>
      <c r="C598" s="1709"/>
      <c r="D598" s="1709"/>
      <c r="E598" s="1710"/>
      <c r="F598" s="1710"/>
      <c r="G598" s="1710"/>
      <c r="H598" s="1710"/>
      <c r="I598" s="1710"/>
      <c r="J598" s="1710"/>
      <c r="K598" s="1710"/>
      <c r="L598" s="1710"/>
      <c r="M598" s="1711"/>
      <c r="N598" s="1711"/>
      <c r="O598" s="1711"/>
      <c r="P598" s="1711"/>
      <c r="Q598" s="1711"/>
      <c r="R598" s="1711"/>
      <c r="S598" s="1711"/>
      <c r="T598" s="1711"/>
      <c r="U598" s="1711"/>
      <c r="V598" s="1711"/>
      <c r="W598" s="1711"/>
      <c r="X598" s="1711"/>
      <c r="Y598" s="1711"/>
      <c r="Z598" s="1712"/>
      <c r="AA598" s="1712"/>
      <c r="AB598" s="1712"/>
      <c r="AC598" s="1712"/>
      <c r="AD598" s="1712"/>
      <c r="AE598" s="1712"/>
      <c r="AF598" s="1712"/>
      <c r="AG598" s="1712"/>
      <c r="AH598" s="1712"/>
      <c r="AI598" s="1712"/>
      <c r="AJ598" s="1712"/>
      <c r="AK598" s="1712"/>
      <c r="AL598" s="1712"/>
      <c r="AM598" s="1712"/>
      <c r="AN598" s="1712"/>
      <c r="AO598" s="1712"/>
      <c r="AP598" s="1712"/>
      <c r="AQ598" s="1712"/>
      <c r="AR598" s="1712"/>
      <c r="AS598" s="1712"/>
      <c r="AT598" s="1712"/>
    </row>
    <row r="599">
      <c r="A599" s="1474" t="s">
        <v>2461</v>
      </c>
      <c r="B599" s="1708"/>
      <c r="C599" s="1709"/>
      <c r="D599" s="1709"/>
      <c r="E599" s="1710"/>
      <c r="F599" s="1710"/>
      <c r="G599" s="1710"/>
      <c r="H599" s="1710"/>
      <c r="I599" s="1710"/>
      <c r="J599" s="1710"/>
      <c r="K599" s="1710"/>
      <c r="L599" s="1710"/>
      <c r="M599" s="1711"/>
      <c r="N599" s="1711"/>
      <c r="O599" s="1711"/>
      <c r="P599" s="1711"/>
      <c r="Q599" s="1711"/>
      <c r="R599" s="1711"/>
      <c r="S599" s="1711"/>
      <c r="T599" s="1711"/>
      <c r="U599" s="1711"/>
      <c r="V599" s="1711"/>
      <c r="W599" s="1711"/>
      <c r="X599" s="1711"/>
      <c r="Y599" s="1711"/>
      <c r="Z599" s="1712"/>
      <c r="AA599" s="1712"/>
      <c r="AB599" s="1712"/>
      <c r="AC599" s="1712"/>
      <c r="AD599" s="1712"/>
      <c r="AE599" s="1712"/>
      <c r="AF599" s="1712"/>
      <c r="AG599" s="1712"/>
      <c r="AH599" s="1712"/>
      <c r="AI599" s="1712"/>
      <c r="AJ599" s="1712"/>
      <c r="AK599" s="1712"/>
      <c r="AL599" s="1712"/>
      <c r="AM599" s="1712"/>
      <c r="AN599" s="1712"/>
      <c r="AO599" s="1712"/>
      <c r="AP599" s="1712"/>
      <c r="AQ599" s="1712"/>
      <c r="AR599" s="1712"/>
      <c r="AS599" s="1712"/>
      <c r="AT599" s="1712"/>
    </row>
    <row r="600">
      <c r="A600" s="1474" t="s">
        <v>2461</v>
      </c>
      <c r="B600" s="1708"/>
      <c r="C600" s="1709"/>
      <c r="D600" s="1709"/>
      <c r="E600" s="1710"/>
      <c r="F600" s="1710"/>
      <c r="G600" s="1710"/>
      <c r="H600" s="1710"/>
      <c r="I600" s="1710"/>
      <c r="J600" s="1710"/>
      <c r="K600" s="1710"/>
      <c r="L600" s="1710"/>
      <c r="M600" s="1711"/>
      <c r="N600" s="1711"/>
      <c r="O600" s="1711"/>
      <c r="P600" s="1711"/>
      <c r="Q600" s="1711"/>
      <c r="R600" s="1711"/>
      <c r="S600" s="1711"/>
      <c r="T600" s="1711"/>
      <c r="U600" s="1711"/>
      <c r="V600" s="1711"/>
      <c r="W600" s="1711"/>
      <c r="X600" s="1711"/>
      <c r="Y600" s="1711"/>
      <c r="Z600" s="1712"/>
      <c r="AA600" s="1712"/>
      <c r="AB600" s="1712"/>
      <c r="AC600" s="1712"/>
      <c r="AD600" s="1712"/>
      <c r="AE600" s="1712"/>
      <c r="AF600" s="1712"/>
      <c r="AG600" s="1712"/>
      <c r="AH600" s="1712"/>
      <c r="AI600" s="1712"/>
      <c r="AJ600" s="1712"/>
      <c r="AK600" s="1712"/>
      <c r="AL600" s="1712"/>
      <c r="AM600" s="1712"/>
      <c r="AN600" s="1712"/>
      <c r="AO600" s="1712"/>
      <c r="AP600" s="1712"/>
      <c r="AQ600" s="1712"/>
      <c r="AR600" s="1712"/>
      <c r="AS600" s="1712"/>
      <c r="AT600" s="1712"/>
    </row>
    <row r="601">
      <c r="A601" s="1474" t="s">
        <v>2461</v>
      </c>
      <c r="B601" s="1708"/>
      <c r="C601" s="1709"/>
      <c r="D601" s="1709"/>
      <c r="E601" s="1710"/>
      <c r="F601" s="1710"/>
      <c r="G601" s="1710"/>
      <c r="H601" s="1710"/>
      <c r="I601" s="1710"/>
      <c r="J601" s="1710"/>
      <c r="K601" s="1710"/>
      <c r="L601" s="1710"/>
      <c r="M601" s="1711"/>
      <c r="N601" s="1711"/>
      <c r="O601" s="1711"/>
      <c r="P601" s="1711"/>
      <c r="Q601" s="1711"/>
      <c r="R601" s="1711"/>
      <c r="S601" s="1711"/>
      <c r="T601" s="1711"/>
      <c r="U601" s="1711"/>
      <c r="V601" s="1711"/>
      <c r="W601" s="1711"/>
      <c r="X601" s="1711"/>
      <c r="Y601" s="1711"/>
      <c r="Z601" s="1712"/>
      <c r="AA601" s="1712"/>
      <c r="AB601" s="1712"/>
      <c r="AC601" s="1712"/>
      <c r="AD601" s="1712"/>
      <c r="AE601" s="1712"/>
      <c r="AF601" s="1712"/>
      <c r="AG601" s="1712"/>
      <c r="AH601" s="1712"/>
      <c r="AI601" s="1712"/>
      <c r="AJ601" s="1712"/>
      <c r="AK601" s="1712"/>
      <c r="AL601" s="1712"/>
      <c r="AM601" s="1712"/>
      <c r="AN601" s="1712"/>
      <c r="AO601" s="1712"/>
      <c r="AP601" s="1712"/>
      <c r="AQ601" s="1712"/>
      <c r="AR601" s="1712"/>
      <c r="AS601" s="1712"/>
      <c r="AT601" s="1712"/>
    </row>
    <row r="602">
      <c r="A602" s="1474" t="s">
        <v>2461</v>
      </c>
      <c r="B602" s="1708"/>
      <c r="C602" s="1709"/>
      <c r="D602" s="1709"/>
      <c r="E602" s="1710"/>
      <c r="F602" s="1710"/>
      <c r="G602" s="1710"/>
      <c r="H602" s="1710"/>
      <c r="I602" s="1710"/>
      <c r="J602" s="1710"/>
      <c r="K602" s="1710"/>
      <c r="L602" s="1710"/>
      <c r="M602" s="1711"/>
      <c r="N602" s="1711"/>
      <c r="O602" s="1711"/>
      <c r="P602" s="1711"/>
      <c r="Q602" s="1711"/>
      <c r="R602" s="1711"/>
      <c r="S602" s="1711"/>
      <c r="T602" s="1711"/>
      <c r="U602" s="1711"/>
      <c r="V602" s="1711"/>
      <c r="W602" s="1711"/>
      <c r="X602" s="1711"/>
      <c r="Y602" s="1711"/>
      <c r="Z602" s="1712"/>
      <c r="AA602" s="1712"/>
      <c r="AB602" s="1712"/>
      <c r="AC602" s="1712"/>
      <c r="AD602" s="1712"/>
      <c r="AE602" s="1712"/>
      <c r="AF602" s="1712"/>
      <c r="AG602" s="1712"/>
      <c r="AH602" s="1712"/>
      <c r="AI602" s="1712"/>
      <c r="AJ602" s="1712"/>
      <c r="AK602" s="1712"/>
      <c r="AL602" s="1712"/>
      <c r="AM602" s="1712"/>
      <c r="AN602" s="1712"/>
      <c r="AO602" s="1712"/>
      <c r="AP602" s="1712"/>
      <c r="AQ602" s="1712"/>
      <c r="AR602" s="1712"/>
      <c r="AS602" s="1712"/>
      <c r="AT602" s="1712"/>
    </row>
    <row r="603">
      <c r="A603" s="1474" t="s">
        <v>2461</v>
      </c>
      <c r="B603" s="1708"/>
      <c r="C603" s="1709"/>
      <c r="D603" s="1709"/>
      <c r="E603" s="1710"/>
      <c r="F603" s="1710"/>
      <c r="G603" s="1710"/>
      <c r="H603" s="1710"/>
      <c r="I603" s="1710"/>
      <c r="J603" s="1710"/>
      <c r="K603" s="1710"/>
      <c r="L603" s="1710"/>
      <c r="M603" s="1711"/>
      <c r="N603" s="1711"/>
      <c r="O603" s="1711"/>
      <c r="P603" s="1711"/>
      <c r="Q603" s="1711"/>
      <c r="R603" s="1711"/>
      <c r="S603" s="1711"/>
      <c r="T603" s="1711"/>
      <c r="U603" s="1711"/>
      <c r="V603" s="1711"/>
      <c r="W603" s="1711"/>
      <c r="X603" s="1711"/>
      <c r="Y603" s="1711"/>
      <c r="Z603" s="1712"/>
      <c r="AA603" s="1712"/>
      <c r="AB603" s="1712"/>
      <c r="AC603" s="1712"/>
      <c r="AD603" s="1712"/>
      <c r="AE603" s="1712"/>
      <c r="AF603" s="1712"/>
      <c r="AG603" s="1712"/>
      <c r="AH603" s="1712"/>
      <c r="AI603" s="1712"/>
      <c r="AJ603" s="1712"/>
      <c r="AK603" s="1712"/>
      <c r="AL603" s="1712"/>
      <c r="AM603" s="1712"/>
      <c r="AN603" s="1712"/>
      <c r="AO603" s="1712"/>
      <c r="AP603" s="1712"/>
      <c r="AQ603" s="1712"/>
      <c r="AR603" s="1712"/>
      <c r="AS603" s="1712"/>
      <c r="AT603" s="1712"/>
    </row>
    <row r="604">
      <c r="A604" s="1474" t="s">
        <v>2461</v>
      </c>
      <c r="B604" s="1708"/>
      <c r="C604" s="1709"/>
      <c r="D604" s="1709"/>
      <c r="E604" s="1710"/>
      <c r="F604" s="1710"/>
      <c r="G604" s="1710"/>
      <c r="H604" s="1710"/>
      <c r="I604" s="1710"/>
      <c r="J604" s="1710"/>
      <c r="K604" s="1710"/>
      <c r="L604" s="1710"/>
      <c r="M604" s="1711"/>
      <c r="N604" s="1711"/>
      <c r="O604" s="1711"/>
      <c r="P604" s="1711"/>
      <c r="Q604" s="1711"/>
      <c r="R604" s="1711"/>
      <c r="S604" s="1711"/>
      <c r="T604" s="1711"/>
      <c r="U604" s="1711"/>
      <c r="V604" s="1711"/>
      <c r="W604" s="1711"/>
      <c r="X604" s="1711"/>
      <c r="Y604" s="1711"/>
      <c r="Z604" s="1712"/>
      <c r="AA604" s="1712"/>
      <c r="AB604" s="1712"/>
      <c r="AC604" s="1712"/>
      <c r="AD604" s="1712"/>
      <c r="AE604" s="1712"/>
      <c r="AF604" s="1712"/>
      <c r="AG604" s="1712"/>
      <c r="AH604" s="1712"/>
      <c r="AI604" s="1712"/>
      <c r="AJ604" s="1712"/>
      <c r="AK604" s="1712"/>
      <c r="AL604" s="1712"/>
      <c r="AM604" s="1712"/>
      <c r="AN604" s="1712"/>
      <c r="AO604" s="1712"/>
      <c r="AP604" s="1712"/>
      <c r="AQ604" s="1712"/>
      <c r="AR604" s="1712"/>
      <c r="AS604" s="1712"/>
      <c r="AT604" s="1712"/>
    </row>
    <row r="605">
      <c r="A605" s="1474" t="s">
        <v>2461</v>
      </c>
      <c r="B605" s="1708"/>
      <c r="C605" s="1709"/>
      <c r="D605" s="1709"/>
      <c r="E605" s="1710"/>
      <c r="F605" s="1710"/>
      <c r="G605" s="1710"/>
      <c r="H605" s="1710"/>
      <c r="I605" s="1710"/>
      <c r="J605" s="1710"/>
      <c r="K605" s="1710"/>
      <c r="L605" s="1710"/>
      <c r="M605" s="1711"/>
      <c r="N605" s="1711"/>
      <c r="O605" s="1711"/>
      <c r="P605" s="1711"/>
      <c r="Q605" s="1711"/>
      <c r="R605" s="1711"/>
      <c r="S605" s="1711"/>
      <c r="T605" s="1711"/>
      <c r="U605" s="1711"/>
      <c r="V605" s="1711"/>
      <c r="W605" s="1711"/>
      <c r="X605" s="1711"/>
      <c r="Y605" s="1711"/>
      <c r="Z605" s="1712"/>
      <c r="AA605" s="1712"/>
      <c r="AB605" s="1712"/>
      <c r="AC605" s="1712"/>
      <c r="AD605" s="1712"/>
      <c r="AE605" s="1712"/>
      <c r="AF605" s="1712"/>
      <c r="AG605" s="1712"/>
      <c r="AH605" s="1712"/>
      <c r="AI605" s="1712"/>
      <c r="AJ605" s="1712"/>
      <c r="AK605" s="1712"/>
      <c r="AL605" s="1712"/>
      <c r="AM605" s="1712"/>
      <c r="AN605" s="1712"/>
      <c r="AO605" s="1712"/>
      <c r="AP605" s="1712"/>
      <c r="AQ605" s="1712"/>
      <c r="AR605" s="1712"/>
      <c r="AS605" s="1712"/>
      <c r="AT605" s="1712"/>
    </row>
    <row r="606">
      <c r="A606" s="1474" t="s">
        <v>2461</v>
      </c>
      <c r="B606" s="1708"/>
      <c r="C606" s="1709"/>
      <c r="D606" s="1709"/>
      <c r="E606" s="1710"/>
      <c r="F606" s="1710"/>
      <c r="G606" s="1710"/>
      <c r="H606" s="1710"/>
      <c r="I606" s="1710"/>
      <c r="J606" s="1710"/>
      <c r="K606" s="1710"/>
      <c r="L606" s="1710"/>
      <c r="M606" s="1711"/>
      <c r="N606" s="1711"/>
      <c r="O606" s="1711"/>
      <c r="P606" s="1711"/>
      <c r="Q606" s="1711"/>
      <c r="R606" s="1711"/>
      <c r="S606" s="1711"/>
      <c r="T606" s="1711"/>
      <c r="U606" s="1711"/>
      <c r="V606" s="1711"/>
      <c r="W606" s="1711"/>
      <c r="X606" s="1711"/>
      <c r="Y606" s="1711"/>
      <c r="Z606" s="1712"/>
      <c r="AA606" s="1712"/>
      <c r="AB606" s="1712"/>
      <c r="AC606" s="1712"/>
      <c r="AD606" s="1712"/>
      <c r="AE606" s="1712"/>
      <c r="AF606" s="1712"/>
      <c r="AG606" s="1712"/>
      <c r="AH606" s="1712"/>
      <c r="AI606" s="1712"/>
      <c r="AJ606" s="1712"/>
      <c r="AK606" s="1712"/>
      <c r="AL606" s="1712"/>
      <c r="AM606" s="1712"/>
      <c r="AN606" s="1712"/>
      <c r="AO606" s="1712"/>
      <c r="AP606" s="1712"/>
      <c r="AQ606" s="1712"/>
      <c r="AR606" s="1712"/>
      <c r="AS606" s="1712"/>
      <c r="AT606" s="1712"/>
    </row>
    <row r="607">
      <c r="A607" s="1474" t="s">
        <v>2461</v>
      </c>
      <c r="B607" s="1708"/>
      <c r="C607" s="1709"/>
      <c r="D607" s="1709"/>
      <c r="E607" s="1710"/>
      <c r="F607" s="1710"/>
      <c r="G607" s="1710"/>
      <c r="H607" s="1710"/>
      <c r="I607" s="1710"/>
      <c r="J607" s="1710"/>
      <c r="K607" s="1710"/>
      <c r="L607" s="1710"/>
      <c r="M607" s="1711"/>
      <c r="N607" s="1711"/>
      <c r="O607" s="1711"/>
      <c r="P607" s="1711"/>
      <c r="Q607" s="1711"/>
      <c r="R607" s="1711"/>
      <c r="S607" s="1711"/>
      <c r="T607" s="1711"/>
      <c r="U607" s="1711"/>
      <c r="V607" s="1711"/>
      <c r="W607" s="1711"/>
      <c r="X607" s="1711"/>
      <c r="Y607" s="1711"/>
      <c r="Z607" s="1712"/>
      <c r="AA607" s="1712"/>
      <c r="AB607" s="1712"/>
      <c r="AC607" s="1712"/>
      <c r="AD607" s="1712"/>
      <c r="AE607" s="1712"/>
      <c r="AF607" s="1712"/>
      <c r="AG607" s="1712"/>
      <c r="AH607" s="1712"/>
      <c r="AI607" s="1712"/>
      <c r="AJ607" s="1712"/>
      <c r="AK607" s="1712"/>
      <c r="AL607" s="1712"/>
      <c r="AM607" s="1712"/>
      <c r="AN607" s="1712"/>
      <c r="AO607" s="1712"/>
      <c r="AP607" s="1712"/>
      <c r="AQ607" s="1712"/>
      <c r="AR607" s="1712"/>
      <c r="AS607" s="1712"/>
      <c r="AT607" s="1712"/>
    </row>
    <row r="608">
      <c r="A608" s="1474" t="s">
        <v>2461</v>
      </c>
      <c r="B608" s="1708"/>
      <c r="C608" s="1709"/>
      <c r="D608" s="1709"/>
      <c r="E608" s="1710"/>
      <c r="F608" s="1710"/>
      <c r="G608" s="1710"/>
      <c r="H608" s="1710"/>
      <c r="I608" s="1710"/>
      <c r="J608" s="1710"/>
      <c r="K608" s="1710"/>
      <c r="L608" s="1710"/>
      <c r="M608" s="1711"/>
      <c r="N608" s="1711"/>
      <c r="O608" s="1711"/>
      <c r="P608" s="1711"/>
      <c r="Q608" s="1711"/>
      <c r="R608" s="1711"/>
      <c r="S608" s="1711"/>
      <c r="T608" s="1711"/>
      <c r="U608" s="1711"/>
      <c r="V608" s="1711"/>
      <c r="W608" s="1711"/>
      <c r="X608" s="1711"/>
      <c r="Y608" s="1711"/>
      <c r="Z608" s="1712"/>
      <c r="AA608" s="1712"/>
      <c r="AB608" s="1712"/>
      <c r="AC608" s="1712"/>
      <c r="AD608" s="1712"/>
      <c r="AE608" s="1712"/>
      <c r="AF608" s="1712"/>
      <c r="AG608" s="1712"/>
      <c r="AH608" s="1712"/>
      <c r="AI608" s="1712"/>
      <c r="AJ608" s="1712"/>
      <c r="AK608" s="1712"/>
      <c r="AL608" s="1712"/>
      <c r="AM608" s="1712"/>
      <c r="AN608" s="1712"/>
      <c r="AO608" s="1712"/>
      <c r="AP608" s="1712"/>
      <c r="AQ608" s="1712"/>
      <c r="AR608" s="1712"/>
      <c r="AS608" s="1712"/>
      <c r="AT608" s="1712"/>
    </row>
    <row r="609">
      <c r="A609" s="1474" t="s">
        <v>2461</v>
      </c>
      <c r="B609" s="1708"/>
      <c r="C609" s="1709"/>
      <c r="D609" s="1709"/>
      <c r="E609" s="1710"/>
      <c r="F609" s="1710"/>
      <c r="G609" s="1710"/>
      <c r="H609" s="1710"/>
      <c r="I609" s="1710"/>
      <c r="J609" s="1710"/>
      <c r="K609" s="1710"/>
      <c r="L609" s="1710"/>
      <c r="M609" s="1711"/>
      <c r="N609" s="1711"/>
      <c r="O609" s="1711"/>
      <c r="P609" s="1711"/>
      <c r="Q609" s="1711"/>
      <c r="R609" s="1711"/>
      <c r="S609" s="1711"/>
      <c r="T609" s="1711"/>
      <c r="U609" s="1711"/>
      <c r="V609" s="1711"/>
      <c r="W609" s="1711"/>
      <c r="X609" s="1711"/>
      <c r="Y609" s="1711"/>
      <c r="Z609" s="1712"/>
      <c r="AA609" s="1712"/>
      <c r="AB609" s="1712"/>
      <c r="AC609" s="1712"/>
      <c r="AD609" s="1712"/>
      <c r="AE609" s="1712"/>
      <c r="AF609" s="1712"/>
      <c r="AG609" s="1712"/>
      <c r="AH609" s="1712"/>
      <c r="AI609" s="1712"/>
      <c r="AJ609" s="1712"/>
      <c r="AK609" s="1712"/>
      <c r="AL609" s="1712"/>
      <c r="AM609" s="1712"/>
      <c r="AN609" s="1712"/>
      <c r="AO609" s="1712"/>
      <c r="AP609" s="1712"/>
      <c r="AQ609" s="1712"/>
      <c r="AR609" s="1712"/>
      <c r="AS609" s="1712"/>
      <c r="AT609" s="1712"/>
    </row>
    <row r="610">
      <c r="A610" s="1474" t="s">
        <v>2461</v>
      </c>
      <c r="B610" s="1708"/>
      <c r="C610" s="1709"/>
      <c r="D610" s="1709"/>
      <c r="E610" s="1710"/>
      <c r="F610" s="1710"/>
      <c r="G610" s="1710"/>
      <c r="H610" s="1710"/>
      <c r="I610" s="1710"/>
      <c r="J610" s="1710"/>
      <c r="K610" s="1710"/>
      <c r="L610" s="1710"/>
      <c r="M610" s="1711"/>
      <c r="N610" s="1711"/>
      <c r="O610" s="1711"/>
      <c r="P610" s="1711"/>
      <c r="Q610" s="1711"/>
      <c r="R610" s="1711"/>
      <c r="S610" s="1711"/>
      <c r="T610" s="1711"/>
      <c r="U610" s="1711"/>
      <c r="V610" s="1711"/>
      <c r="W610" s="1711"/>
      <c r="X610" s="1711"/>
      <c r="Y610" s="1711"/>
      <c r="Z610" s="1712"/>
      <c r="AA610" s="1712"/>
      <c r="AB610" s="1712"/>
      <c r="AC610" s="1712"/>
      <c r="AD610" s="1712"/>
      <c r="AE610" s="1712"/>
      <c r="AF610" s="1712"/>
      <c r="AG610" s="1712"/>
      <c r="AH610" s="1712"/>
      <c r="AI610" s="1712"/>
      <c r="AJ610" s="1712"/>
      <c r="AK610" s="1712"/>
      <c r="AL610" s="1712"/>
      <c r="AM610" s="1712"/>
      <c r="AN610" s="1712"/>
      <c r="AO610" s="1712"/>
      <c r="AP610" s="1712"/>
      <c r="AQ610" s="1712"/>
      <c r="AR610" s="1712"/>
      <c r="AS610" s="1712"/>
      <c r="AT610" s="1712"/>
    </row>
    <row r="611">
      <c r="A611" s="1474" t="s">
        <v>2461</v>
      </c>
      <c r="B611" s="1708"/>
      <c r="C611" s="1709"/>
      <c r="D611" s="1709"/>
      <c r="E611" s="1710"/>
      <c r="F611" s="1710"/>
      <c r="G611" s="1710"/>
      <c r="H611" s="1710"/>
      <c r="I611" s="1710"/>
      <c r="J611" s="1710"/>
      <c r="K611" s="1710"/>
      <c r="L611" s="1710"/>
      <c r="M611" s="1711"/>
      <c r="N611" s="1711"/>
      <c r="O611" s="1711"/>
      <c r="P611" s="1711"/>
      <c r="Q611" s="1711"/>
      <c r="R611" s="1711"/>
      <c r="S611" s="1711"/>
      <c r="T611" s="1711"/>
      <c r="U611" s="1711"/>
      <c r="V611" s="1711"/>
      <c r="W611" s="1711"/>
      <c r="X611" s="1711"/>
      <c r="Y611" s="1711"/>
      <c r="Z611" s="1712"/>
      <c r="AA611" s="1712"/>
      <c r="AB611" s="1712"/>
      <c r="AC611" s="1712"/>
      <c r="AD611" s="1712"/>
      <c r="AE611" s="1712"/>
      <c r="AF611" s="1712"/>
      <c r="AG611" s="1712"/>
      <c r="AH611" s="1712"/>
      <c r="AI611" s="1712"/>
      <c r="AJ611" s="1712"/>
      <c r="AK611" s="1712"/>
      <c r="AL611" s="1712"/>
      <c r="AM611" s="1712"/>
      <c r="AN611" s="1712"/>
      <c r="AO611" s="1712"/>
      <c r="AP611" s="1712"/>
      <c r="AQ611" s="1712"/>
      <c r="AR611" s="1712"/>
      <c r="AS611" s="1712"/>
      <c r="AT611" s="1712"/>
    </row>
    <row r="612">
      <c r="A612" s="1474" t="s">
        <v>2461</v>
      </c>
      <c r="B612" s="1708"/>
      <c r="C612" s="1709"/>
      <c r="D612" s="1709"/>
      <c r="E612" s="1710"/>
      <c r="F612" s="1710"/>
      <c r="G612" s="1710"/>
      <c r="H612" s="1710"/>
      <c r="I612" s="1710"/>
      <c r="J612" s="1710"/>
      <c r="K612" s="1710"/>
      <c r="L612" s="1710"/>
      <c r="M612" s="1711"/>
      <c r="N612" s="1711"/>
      <c r="O612" s="1711"/>
      <c r="P612" s="1711"/>
      <c r="Q612" s="1711"/>
      <c r="R612" s="1711"/>
      <c r="S612" s="1711"/>
      <c r="T612" s="1711"/>
      <c r="U612" s="1711"/>
      <c r="V612" s="1711"/>
      <c r="W612" s="1711"/>
      <c r="X612" s="1711"/>
      <c r="Y612" s="1711"/>
      <c r="Z612" s="1712"/>
      <c r="AA612" s="1712"/>
      <c r="AB612" s="1712"/>
      <c r="AC612" s="1712"/>
      <c r="AD612" s="1712"/>
      <c r="AE612" s="1712"/>
      <c r="AF612" s="1712"/>
      <c r="AG612" s="1712"/>
      <c r="AH612" s="1712"/>
      <c r="AI612" s="1712"/>
      <c r="AJ612" s="1712"/>
      <c r="AK612" s="1712"/>
      <c r="AL612" s="1712"/>
      <c r="AM612" s="1712"/>
      <c r="AN612" s="1712"/>
      <c r="AO612" s="1712"/>
      <c r="AP612" s="1712"/>
      <c r="AQ612" s="1712"/>
      <c r="AR612" s="1712"/>
      <c r="AS612" s="1712"/>
      <c r="AT612" s="1712"/>
    </row>
    <row r="613">
      <c r="A613" s="1474" t="s">
        <v>2461</v>
      </c>
      <c r="B613" s="1708"/>
      <c r="C613" s="1709"/>
      <c r="D613" s="1709"/>
      <c r="E613" s="1710"/>
      <c r="F613" s="1710"/>
      <c r="G613" s="1710"/>
      <c r="H613" s="1710"/>
      <c r="I613" s="1710"/>
      <c r="J613" s="1710"/>
      <c r="K613" s="1710"/>
      <c r="L613" s="1710"/>
      <c r="M613" s="1711"/>
      <c r="N613" s="1711"/>
      <c r="O613" s="1711"/>
      <c r="P613" s="1711"/>
      <c r="Q613" s="1711"/>
      <c r="R613" s="1711"/>
      <c r="S613" s="1711"/>
      <c r="T613" s="1711"/>
      <c r="U613" s="1711"/>
      <c r="V613" s="1711"/>
      <c r="W613" s="1711"/>
      <c r="X613" s="1711"/>
      <c r="Y613" s="1711"/>
      <c r="Z613" s="1712"/>
      <c r="AA613" s="1712"/>
      <c r="AB613" s="1712"/>
      <c r="AC613" s="1712"/>
      <c r="AD613" s="1712"/>
      <c r="AE613" s="1712"/>
      <c r="AF613" s="1712"/>
      <c r="AG613" s="1712"/>
      <c r="AH613" s="1712"/>
      <c r="AI613" s="1712"/>
      <c r="AJ613" s="1712"/>
      <c r="AK613" s="1712"/>
      <c r="AL613" s="1712"/>
      <c r="AM613" s="1712"/>
      <c r="AN613" s="1712"/>
      <c r="AO613" s="1712"/>
      <c r="AP613" s="1712"/>
      <c r="AQ613" s="1712"/>
      <c r="AR613" s="1712"/>
      <c r="AS613" s="1712"/>
      <c r="AT613" s="1712"/>
    </row>
    <row r="614">
      <c r="A614" s="1474" t="s">
        <v>2461</v>
      </c>
      <c r="B614" s="1708"/>
      <c r="C614" s="1709"/>
      <c r="D614" s="1709"/>
      <c r="E614" s="1710"/>
      <c r="F614" s="1710"/>
      <c r="G614" s="1710"/>
      <c r="H614" s="1710"/>
      <c r="I614" s="1710"/>
      <c r="J614" s="1710"/>
      <c r="K614" s="1710"/>
      <c r="L614" s="1710"/>
      <c r="M614" s="1711"/>
      <c r="N614" s="1711"/>
      <c r="O614" s="1711"/>
      <c r="P614" s="1711"/>
      <c r="Q614" s="1711"/>
      <c r="R614" s="1711"/>
      <c r="S614" s="1711"/>
      <c r="T614" s="1711"/>
      <c r="U614" s="1711"/>
      <c r="V614" s="1711"/>
      <c r="W614" s="1711"/>
      <c r="X614" s="1711"/>
      <c r="Y614" s="1711"/>
      <c r="Z614" s="1712"/>
      <c r="AA614" s="1712"/>
      <c r="AB614" s="1712"/>
      <c r="AC614" s="1712"/>
      <c r="AD614" s="1712"/>
      <c r="AE614" s="1712"/>
      <c r="AF614" s="1712"/>
      <c r="AG614" s="1712"/>
      <c r="AH614" s="1712"/>
      <c r="AI614" s="1712"/>
      <c r="AJ614" s="1712"/>
      <c r="AK614" s="1712"/>
      <c r="AL614" s="1712"/>
      <c r="AM614" s="1712"/>
      <c r="AN614" s="1712"/>
      <c r="AO614" s="1712"/>
      <c r="AP614" s="1712"/>
      <c r="AQ614" s="1712"/>
      <c r="AR614" s="1712"/>
      <c r="AS614" s="1712"/>
      <c r="AT614" s="1712"/>
    </row>
    <row r="615">
      <c r="A615" s="1474" t="s">
        <v>2461</v>
      </c>
      <c r="B615" s="1708"/>
      <c r="C615" s="1709"/>
      <c r="D615" s="1709"/>
      <c r="E615" s="1710"/>
      <c r="F615" s="1710"/>
      <c r="G615" s="1710"/>
      <c r="H615" s="1710"/>
      <c r="I615" s="1710"/>
      <c r="J615" s="1710"/>
      <c r="K615" s="1710"/>
      <c r="L615" s="1710"/>
      <c r="M615" s="1711"/>
      <c r="N615" s="1711"/>
      <c r="O615" s="1711"/>
      <c r="P615" s="1711"/>
      <c r="Q615" s="1711"/>
      <c r="R615" s="1711"/>
      <c r="S615" s="1711"/>
      <c r="T615" s="1711"/>
      <c r="U615" s="1711"/>
      <c r="V615" s="1711"/>
      <c r="W615" s="1711"/>
      <c r="X615" s="1711"/>
      <c r="Y615" s="1711"/>
      <c r="Z615" s="1712"/>
      <c r="AA615" s="1712"/>
      <c r="AB615" s="1712"/>
      <c r="AC615" s="1712"/>
      <c r="AD615" s="1712"/>
      <c r="AE615" s="1712"/>
      <c r="AF615" s="1712"/>
      <c r="AG615" s="1712"/>
      <c r="AH615" s="1712"/>
      <c r="AI615" s="1712"/>
      <c r="AJ615" s="1712"/>
      <c r="AK615" s="1712"/>
      <c r="AL615" s="1712"/>
      <c r="AM615" s="1712"/>
      <c r="AN615" s="1712"/>
      <c r="AO615" s="1712"/>
      <c r="AP615" s="1712"/>
      <c r="AQ615" s="1712"/>
      <c r="AR615" s="1712"/>
      <c r="AS615" s="1712"/>
      <c r="AT615" s="1712"/>
    </row>
    <row r="616">
      <c r="A616" s="1474" t="s">
        <v>2461</v>
      </c>
      <c r="B616" s="1708"/>
      <c r="C616" s="1709"/>
      <c r="D616" s="1709"/>
      <c r="E616" s="1710"/>
      <c r="F616" s="1710"/>
      <c r="G616" s="1710"/>
      <c r="H616" s="1710"/>
      <c r="I616" s="1710"/>
      <c r="J616" s="1710"/>
      <c r="K616" s="1710"/>
      <c r="L616" s="1710"/>
      <c r="M616" s="1711"/>
      <c r="N616" s="1711"/>
      <c r="O616" s="1711"/>
      <c r="P616" s="1711"/>
      <c r="Q616" s="1711"/>
      <c r="R616" s="1711"/>
      <c r="S616" s="1711"/>
      <c r="T616" s="1711"/>
      <c r="U616" s="1711"/>
      <c r="V616" s="1711"/>
      <c r="W616" s="1711"/>
      <c r="X616" s="1711"/>
      <c r="Y616" s="1711"/>
      <c r="Z616" s="1712"/>
      <c r="AA616" s="1712"/>
      <c r="AB616" s="1712"/>
      <c r="AC616" s="1712"/>
      <c r="AD616" s="1712"/>
      <c r="AE616" s="1712"/>
      <c r="AF616" s="1712"/>
      <c r="AG616" s="1712"/>
      <c r="AH616" s="1712"/>
      <c r="AI616" s="1712"/>
      <c r="AJ616" s="1712"/>
      <c r="AK616" s="1712"/>
      <c r="AL616" s="1712"/>
      <c r="AM616" s="1712"/>
      <c r="AN616" s="1712"/>
      <c r="AO616" s="1712"/>
      <c r="AP616" s="1712"/>
      <c r="AQ616" s="1712"/>
      <c r="AR616" s="1712"/>
      <c r="AS616" s="1712"/>
      <c r="AT616" s="1712"/>
    </row>
    <row r="617">
      <c r="A617" s="1474" t="s">
        <v>2461</v>
      </c>
      <c r="B617" s="1708"/>
      <c r="C617" s="1709"/>
      <c r="D617" s="1709"/>
      <c r="E617" s="1710"/>
      <c r="F617" s="1710"/>
      <c r="G617" s="1710"/>
      <c r="H617" s="1710"/>
      <c r="I617" s="1710"/>
      <c r="J617" s="1710"/>
      <c r="K617" s="1710"/>
      <c r="L617" s="1710"/>
      <c r="M617" s="1711"/>
      <c r="N617" s="1711"/>
      <c r="O617" s="1711"/>
      <c r="P617" s="1711"/>
      <c r="Q617" s="1711"/>
      <c r="R617" s="1711"/>
      <c r="S617" s="1711"/>
      <c r="T617" s="1711"/>
      <c r="U617" s="1711"/>
      <c r="V617" s="1711"/>
      <c r="W617" s="1711"/>
      <c r="X617" s="1711"/>
      <c r="Y617" s="1711"/>
      <c r="Z617" s="1712"/>
      <c r="AA617" s="1712"/>
      <c r="AB617" s="1712"/>
      <c r="AC617" s="1712"/>
      <c r="AD617" s="1712"/>
      <c r="AE617" s="1712"/>
      <c r="AF617" s="1712"/>
      <c r="AG617" s="1712"/>
      <c r="AH617" s="1712"/>
      <c r="AI617" s="1712"/>
      <c r="AJ617" s="1712"/>
      <c r="AK617" s="1712"/>
      <c r="AL617" s="1712"/>
      <c r="AM617" s="1712"/>
      <c r="AN617" s="1712"/>
      <c r="AO617" s="1712"/>
      <c r="AP617" s="1712"/>
      <c r="AQ617" s="1712"/>
      <c r="AR617" s="1712"/>
      <c r="AS617" s="1712"/>
      <c r="AT617" s="1712"/>
    </row>
    <row r="618">
      <c r="A618" s="1474" t="s">
        <v>2461</v>
      </c>
      <c r="B618" s="1708"/>
      <c r="C618" s="1709"/>
      <c r="D618" s="1709"/>
      <c r="E618" s="1710"/>
      <c r="F618" s="1710"/>
      <c r="G618" s="1710"/>
      <c r="H618" s="1710"/>
      <c r="I618" s="1710"/>
      <c r="J618" s="1710"/>
      <c r="K618" s="1710"/>
      <c r="L618" s="1710"/>
      <c r="M618" s="1711"/>
      <c r="N618" s="1711"/>
      <c r="O618" s="1711"/>
      <c r="P618" s="1711"/>
      <c r="Q618" s="1711"/>
      <c r="R618" s="1711"/>
      <c r="S618" s="1711"/>
      <c r="T618" s="1711"/>
      <c r="U618" s="1711"/>
      <c r="V618" s="1711"/>
      <c r="W618" s="1711"/>
      <c r="X618" s="1711"/>
      <c r="Y618" s="1711"/>
      <c r="Z618" s="1712"/>
      <c r="AA618" s="1712"/>
      <c r="AB618" s="1712"/>
      <c r="AC618" s="1712"/>
      <c r="AD618" s="1712"/>
      <c r="AE618" s="1712"/>
      <c r="AF618" s="1712"/>
      <c r="AG618" s="1712"/>
      <c r="AH618" s="1712"/>
      <c r="AI618" s="1712"/>
      <c r="AJ618" s="1712"/>
      <c r="AK618" s="1712"/>
      <c r="AL618" s="1712"/>
      <c r="AM618" s="1712"/>
      <c r="AN618" s="1712"/>
      <c r="AO618" s="1712"/>
      <c r="AP618" s="1712"/>
      <c r="AQ618" s="1712"/>
      <c r="AR618" s="1712"/>
      <c r="AS618" s="1712"/>
      <c r="AT618" s="1712"/>
    </row>
    <row r="619">
      <c r="A619" s="1474" t="s">
        <v>2461</v>
      </c>
      <c r="B619" s="1708"/>
      <c r="C619" s="1709"/>
      <c r="D619" s="1709"/>
      <c r="E619" s="1710"/>
      <c r="F619" s="1710"/>
      <c r="G619" s="1710"/>
      <c r="H619" s="1710"/>
      <c r="I619" s="1710"/>
      <c r="J619" s="1710"/>
      <c r="K619" s="1710"/>
      <c r="L619" s="1710"/>
      <c r="M619" s="1711"/>
      <c r="N619" s="1711"/>
      <c r="O619" s="1711"/>
      <c r="P619" s="1711"/>
      <c r="Q619" s="1711"/>
      <c r="R619" s="1711"/>
      <c r="S619" s="1711"/>
      <c r="T619" s="1711"/>
      <c r="U619" s="1711"/>
      <c r="V619" s="1711"/>
      <c r="W619" s="1711"/>
      <c r="X619" s="1711"/>
      <c r="Y619" s="1711"/>
      <c r="Z619" s="1712"/>
      <c r="AA619" s="1712"/>
      <c r="AB619" s="1712"/>
      <c r="AC619" s="1712"/>
      <c r="AD619" s="1712"/>
      <c r="AE619" s="1712"/>
      <c r="AF619" s="1712"/>
      <c r="AG619" s="1712"/>
      <c r="AH619" s="1712"/>
      <c r="AI619" s="1712"/>
      <c r="AJ619" s="1712"/>
      <c r="AK619" s="1712"/>
      <c r="AL619" s="1712"/>
      <c r="AM619" s="1712"/>
      <c r="AN619" s="1712"/>
      <c r="AO619" s="1712"/>
      <c r="AP619" s="1712"/>
      <c r="AQ619" s="1712"/>
      <c r="AR619" s="1712"/>
      <c r="AS619" s="1712"/>
      <c r="AT619" s="1712"/>
    </row>
    <row r="620">
      <c r="A620" s="1474" t="s">
        <v>2461</v>
      </c>
      <c r="B620" s="1708"/>
      <c r="C620" s="1709"/>
      <c r="D620" s="1709"/>
      <c r="E620" s="1710"/>
      <c r="F620" s="1710"/>
      <c r="G620" s="1710"/>
      <c r="H620" s="1710"/>
      <c r="I620" s="1710"/>
      <c r="J620" s="1710"/>
      <c r="K620" s="1710"/>
      <c r="L620" s="1710"/>
      <c r="M620" s="1711"/>
      <c r="N620" s="1711"/>
      <c r="O620" s="1711"/>
      <c r="P620" s="1711"/>
      <c r="Q620" s="1711"/>
      <c r="R620" s="1711"/>
      <c r="S620" s="1711"/>
      <c r="T620" s="1711"/>
      <c r="U620" s="1711"/>
      <c r="V620" s="1711"/>
      <c r="W620" s="1711"/>
      <c r="X620" s="1711"/>
      <c r="Y620" s="1711"/>
      <c r="Z620" s="1712"/>
      <c r="AA620" s="1712"/>
      <c r="AB620" s="1712"/>
      <c r="AC620" s="1712"/>
      <c r="AD620" s="1712"/>
      <c r="AE620" s="1712"/>
      <c r="AF620" s="1712"/>
      <c r="AG620" s="1712"/>
      <c r="AH620" s="1712"/>
      <c r="AI620" s="1712"/>
      <c r="AJ620" s="1712"/>
      <c r="AK620" s="1712"/>
      <c r="AL620" s="1712"/>
      <c r="AM620" s="1712"/>
      <c r="AN620" s="1712"/>
      <c r="AO620" s="1712"/>
      <c r="AP620" s="1712"/>
      <c r="AQ620" s="1712"/>
      <c r="AR620" s="1712"/>
      <c r="AS620" s="1712"/>
      <c r="AT620" s="1712"/>
    </row>
    <row r="621">
      <c r="A621" s="1474" t="s">
        <v>2461</v>
      </c>
      <c r="B621" s="1708"/>
      <c r="C621" s="1709"/>
      <c r="D621" s="1709"/>
      <c r="E621" s="1710"/>
      <c r="F621" s="1710"/>
      <c r="G621" s="1710"/>
      <c r="H621" s="1710"/>
      <c r="I621" s="1710"/>
      <c r="J621" s="1710"/>
      <c r="K621" s="1710"/>
      <c r="L621" s="1710"/>
      <c r="M621" s="1711"/>
      <c r="N621" s="1711"/>
      <c r="O621" s="1711"/>
      <c r="P621" s="1711"/>
      <c r="Q621" s="1711"/>
      <c r="R621" s="1711"/>
      <c r="S621" s="1711"/>
      <c r="T621" s="1711"/>
      <c r="U621" s="1711"/>
      <c r="V621" s="1711"/>
      <c r="W621" s="1711"/>
      <c r="X621" s="1711"/>
      <c r="Y621" s="1711"/>
      <c r="Z621" s="1712"/>
      <c r="AA621" s="1712"/>
      <c r="AB621" s="1712"/>
      <c r="AC621" s="1712"/>
      <c r="AD621" s="1712"/>
      <c r="AE621" s="1712"/>
      <c r="AF621" s="1712"/>
      <c r="AG621" s="1712"/>
      <c r="AH621" s="1712"/>
      <c r="AI621" s="1712"/>
      <c r="AJ621" s="1712"/>
      <c r="AK621" s="1712"/>
      <c r="AL621" s="1712"/>
      <c r="AM621" s="1712"/>
      <c r="AN621" s="1712"/>
      <c r="AO621" s="1712"/>
      <c r="AP621" s="1712"/>
      <c r="AQ621" s="1712"/>
      <c r="AR621" s="1712"/>
      <c r="AS621" s="1712"/>
      <c r="AT621" s="1712"/>
    </row>
    <row r="622">
      <c r="A622" s="1474" t="s">
        <v>2461</v>
      </c>
      <c r="B622" s="1708"/>
      <c r="C622" s="1709"/>
      <c r="D622" s="1709"/>
      <c r="E622" s="1710"/>
      <c r="F622" s="1710"/>
      <c r="G622" s="1710"/>
      <c r="H622" s="1710"/>
      <c r="I622" s="1710"/>
      <c r="J622" s="1710"/>
      <c r="K622" s="1710"/>
      <c r="L622" s="1710"/>
      <c r="M622" s="1711"/>
      <c r="N622" s="1711"/>
      <c r="O622" s="1711"/>
      <c r="P622" s="1711"/>
      <c r="Q622" s="1711"/>
      <c r="R622" s="1711"/>
      <c r="S622" s="1711"/>
      <c r="T622" s="1711"/>
      <c r="U622" s="1711"/>
      <c r="V622" s="1711"/>
      <c r="W622" s="1711"/>
      <c r="X622" s="1711"/>
      <c r="Y622" s="1711"/>
      <c r="Z622" s="1712"/>
      <c r="AA622" s="1712"/>
      <c r="AB622" s="1712"/>
      <c r="AC622" s="1712"/>
      <c r="AD622" s="1712"/>
      <c r="AE622" s="1712"/>
      <c r="AF622" s="1712"/>
      <c r="AG622" s="1712"/>
      <c r="AH622" s="1712"/>
      <c r="AI622" s="1712"/>
      <c r="AJ622" s="1712"/>
      <c r="AK622" s="1712"/>
      <c r="AL622" s="1712"/>
      <c r="AM622" s="1712"/>
      <c r="AN622" s="1712"/>
      <c r="AO622" s="1712"/>
      <c r="AP622" s="1712"/>
      <c r="AQ622" s="1712"/>
      <c r="AR622" s="1712"/>
      <c r="AS622" s="1712"/>
      <c r="AT622" s="1712"/>
    </row>
    <row r="623">
      <c r="A623" s="1474" t="s">
        <v>2461</v>
      </c>
      <c r="B623" s="1708"/>
      <c r="C623" s="1709"/>
      <c r="D623" s="1709"/>
      <c r="E623" s="1710"/>
      <c r="F623" s="1710"/>
      <c r="G623" s="1710"/>
      <c r="H623" s="1710"/>
      <c r="I623" s="1710"/>
      <c r="J623" s="1710"/>
      <c r="K623" s="1710"/>
      <c r="L623" s="1710"/>
      <c r="M623" s="1711"/>
      <c r="N623" s="1711"/>
      <c r="O623" s="1711"/>
      <c r="P623" s="1711"/>
      <c r="Q623" s="1711"/>
      <c r="R623" s="1711"/>
      <c r="S623" s="1711"/>
      <c r="T623" s="1711"/>
      <c r="U623" s="1711"/>
      <c r="V623" s="1711"/>
      <c r="W623" s="1711"/>
      <c r="X623" s="1711"/>
      <c r="Y623" s="1711"/>
      <c r="Z623" s="1712"/>
      <c r="AA623" s="1712"/>
      <c r="AB623" s="1712"/>
      <c r="AC623" s="1712"/>
      <c r="AD623" s="1712"/>
      <c r="AE623" s="1712"/>
      <c r="AF623" s="1712"/>
      <c r="AG623" s="1712"/>
      <c r="AH623" s="1712"/>
      <c r="AI623" s="1712"/>
      <c r="AJ623" s="1712"/>
      <c r="AK623" s="1712"/>
      <c r="AL623" s="1712"/>
      <c r="AM623" s="1712"/>
      <c r="AN623" s="1712"/>
      <c r="AO623" s="1712"/>
      <c r="AP623" s="1712"/>
      <c r="AQ623" s="1712"/>
      <c r="AR623" s="1712"/>
      <c r="AS623" s="1712"/>
      <c r="AT623" s="1712"/>
    </row>
    <row r="624">
      <c r="A624" s="1474" t="s">
        <v>2461</v>
      </c>
      <c r="B624" s="1708"/>
      <c r="C624" s="1709"/>
      <c r="D624" s="1709"/>
      <c r="E624" s="1710"/>
      <c r="F624" s="1710"/>
      <c r="G624" s="1710"/>
      <c r="H624" s="1710"/>
      <c r="I624" s="1710"/>
      <c r="J624" s="1710"/>
      <c r="K624" s="1710"/>
      <c r="L624" s="1710"/>
      <c r="M624" s="1711"/>
      <c r="N624" s="1711"/>
      <c r="O624" s="1711"/>
      <c r="P624" s="1711"/>
      <c r="Q624" s="1711"/>
      <c r="R624" s="1711"/>
      <c r="S624" s="1711"/>
      <c r="T624" s="1711"/>
      <c r="U624" s="1711"/>
      <c r="V624" s="1711"/>
      <c r="W624" s="1711"/>
      <c r="X624" s="1711"/>
      <c r="Y624" s="1711"/>
      <c r="Z624" s="1712"/>
      <c r="AA624" s="1712"/>
      <c r="AB624" s="1712"/>
      <c r="AC624" s="1712"/>
      <c r="AD624" s="1712"/>
      <c r="AE624" s="1712"/>
      <c r="AF624" s="1712"/>
      <c r="AG624" s="1712"/>
      <c r="AH624" s="1712"/>
      <c r="AI624" s="1712"/>
      <c r="AJ624" s="1712"/>
      <c r="AK624" s="1712"/>
      <c r="AL624" s="1712"/>
      <c r="AM624" s="1712"/>
      <c r="AN624" s="1712"/>
      <c r="AO624" s="1712"/>
      <c r="AP624" s="1712"/>
      <c r="AQ624" s="1712"/>
      <c r="AR624" s="1712"/>
      <c r="AS624" s="1712"/>
      <c r="AT624" s="1712"/>
    </row>
    <row r="625">
      <c r="A625" s="1474" t="s">
        <v>2461</v>
      </c>
      <c r="B625" s="1708"/>
      <c r="C625" s="1709"/>
      <c r="D625" s="1709"/>
      <c r="E625" s="1710"/>
      <c r="F625" s="1710"/>
      <c r="G625" s="1710"/>
      <c r="H625" s="1710"/>
      <c r="I625" s="1710"/>
      <c r="J625" s="1710"/>
      <c r="K625" s="1710"/>
      <c r="L625" s="1710"/>
      <c r="M625" s="1711"/>
      <c r="N625" s="1711"/>
      <c r="O625" s="1711"/>
      <c r="P625" s="1711"/>
      <c r="Q625" s="1711"/>
      <c r="R625" s="1711"/>
      <c r="S625" s="1711"/>
      <c r="T625" s="1711"/>
      <c r="U625" s="1711"/>
      <c r="V625" s="1711"/>
      <c r="W625" s="1711"/>
      <c r="X625" s="1711"/>
      <c r="Y625" s="1711"/>
      <c r="Z625" s="1712"/>
      <c r="AA625" s="1712"/>
      <c r="AB625" s="1712"/>
      <c r="AC625" s="1712"/>
      <c r="AD625" s="1712"/>
      <c r="AE625" s="1712"/>
      <c r="AF625" s="1712"/>
      <c r="AG625" s="1712"/>
      <c r="AH625" s="1712"/>
      <c r="AI625" s="1712"/>
      <c r="AJ625" s="1712"/>
      <c r="AK625" s="1712"/>
      <c r="AL625" s="1712"/>
      <c r="AM625" s="1712"/>
      <c r="AN625" s="1712"/>
      <c r="AO625" s="1712"/>
      <c r="AP625" s="1712"/>
      <c r="AQ625" s="1712"/>
      <c r="AR625" s="1712"/>
      <c r="AS625" s="1712"/>
      <c r="AT625" s="1712"/>
    </row>
    <row r="626">
      <c r="A626" s="1474" t="s">
        <v>2461</v>
      </c>
      <c r="B626" s="1708"/>
      <c r="C626" s="1709"/>
      <c r="D626" s="1709"/>
      <c r="E626" s="1710"/>
      <c r="F626" s="1710"/>
      <c r="G626" s="1710"/>
      <c r="H626" s="1710"/>
      <c r="I626" s="1710"/>
      <c r="J626" s="1710"/>
      <c r="K626" s="1710"/>
      <c r="L626" s="1710"/>
      <c r="M626" s="1711"/>
      <c r="N626" s="1711"/>
      <c r="O626" s="1711"/>
      <c r="P626" s="1711"/>
      <c r="Q626" s="1711"/>
      <c r="R626" s="1711"/>
      <c r="S626" s="1711"/>
      <c r="T626" s="1711"/>
      <c r="U626" s="1711"/>
      <c r="V626" s="1711"/>
      <c r="W626" s="1711"/>
      <c r="X626" s="1711"/>
      <c r="Y626" s="1711"/>
      <c r="Z626" s="1712"/>
      <c r="AA626" s="1712"/>
      <c r="AB626" s="1712"/>
      <c r="AC626" s="1712"/>
      <c r="AD626" s="1712"/>
      <c r="AE626" s="1712"/>
      <c r="AF626" s="1712"/>
      <c r="AG626" s="1712"/>
      <c r="AH626" s="1712"/>
      <c r="AI626" s="1712"/>
      <c r="AJ626" s="1712"/>
      <c r="AK626" s="1712"/>
      <c r="AL626" s="1712"/>
      <c r="AM626" s="1712"/>
      <c r="AN626" s="1712"/>
      <c r="AO626" s="1712"/>
      <c r="AP626" s="1712"/>
      <c r="AQ626" s="1712"/>
      <c r="AR626" s="1712"/>
      <c r="AS626" s="1712"/>
      <c r="AT626" s="1712"/>
    </row>
    <row r="627">
      <c r="A627" s="1474" t="s">
        <v>2461</v>
      </c>
      <c r="B627" s="1708"/>
      <c r="C627" s="1709"/>
      <c r="D627" s="1709"/>
      <c r="E627" s="1710"/>
      <c r="F627" s="1710"/>
      <c r="G627" s="1710"/>
      <c r="H627" s="1710"/>
      <c r="I627" s="1710"/>
      <c r="J627" s="1710"/>
      <c r="K627" s="1710"/>
      <c r="L627" s="1710"/>
      <c r="M627" s="1711"/>
      <c r="N627" s="1711"/>
      <c r="O627" s="1711"/>
      <c r="P627" s="1711"/>
      <c r="Q627" s="1711"/>
      <c r="R627" s="1711"/>
      <c r="S627" s="1711"/>
      <c r="T627" s="1711"/>
      <c r="U627" s="1711"/>
      <c r="V627" s="1711"/>
      <c r="W627" s="1711"/>
      <c r="X627" s="1711"/>
      <c r="Y627" s="1711"/>
      <c r="Z627" s="1712"/>
      <c r="AA627" s="1712"/>
      <c r="AB627" s="1712"/>
      <c r="AC627" s="1712"/>
      <c r="AD627" s="1712"/>
      <c r="AE627" s="1712"/>
      <c r="AF627" s="1712"/>
      <c r="AG627" s="1712"/>
      <c r="AH627" s="1712"/>
      <c r="AI627" s="1712"/>
      <c r="AJ627" s="1712"/>
      <c r="AK627" s="1712"/>
      <c r="AL627" s="1712"/>
      <c r="AM627" s="1712"/>
      <c r="AN627" s="1712"/>
      <c r="AO627" s="1712"/>
      <c r="AP627" s="1712"/>
      <c r="AQ627" s="1712"/>
      <c r="AR627" s="1712"/>
      <c r="AS627" s="1712"/>
      <c r="AT627" s="1712"/>
    </row>
    <row r="628">
      <c r="A628" s="1474" t="s">
        <v>2461</v>
      </c>
      <c r="B628" s="1708"/>
      <c r="C628" s="1709"/>
      <c r="D628" s="1709"/>
      <c r="E628" s="1710"/>
      <c r="F628" s="1710"/>
      <c r="G628" s="1710"/>
      <c r="H628" s="1710"/>
      <c r="I628" s="1710"/>
      <c r="J628" s="1710"/>
      <c r="K628" s="1710"/>
      <c r="L628" s="1710"/>
      <c r="M628" s="1711"/>
      <c r="N628" s="1711"/>
      <c r="O628" s="1711"/>
      <c r="P628" s="1711"/>
      <c r="Q628" s="1711"/>
      <c r="R628" s="1711"/>
      <c r="S628" s="1711"/>
      <c r="T628" s="1711"/>
      <c r="U628" s="1711"/>
      <c r="V628" s="1711"/>
      <c r="W628" s="1711"/>
      <c r="X628" s="1711"/>
      <c r="Y628" s="1711"/>
      <c r="Z628" s="1712"/>
      <c r="AA628" s="1712"/>
      <c r="AB628" s="1712"/>
      <c r="AC628" s="1712"/>
      <c r="AD628" s="1712"/>
      <c r="AE628" s="1712"/>
      <c r="AF628" s="1712"/>
      <c r="AG628" s="1712"/>
      <c r="AH628" s="1712"/>
      <c r="AI628" s="1712"/>
      <c r="AJ628" s="1712"/>
      <c r="AK628" s="1712"/>
      <c r="AL628" s="1712"/>
      <c r="AM628" s="1712"/>
      <c r="AN628" s="1712"/>
      <c r="AO628" s="1712"/>
      <c r="AP628" s="1712"/>
      <c r="AQ628" s="1712"/>
      <c r="AR628" s="1712"/>
      <c r="AS628" s="1712"/>
      <c r="AT628" s="1712"/>
    </row>
    <row r="629">
      <c r="A629" s="1474" t="s">
        <v>2461</v>
      </c>
      <c r="B629" s="1708"/>
      <c r="C629" s="1709"/>
      <c r="D629" s="1709"/>
      <c r="E629" s="1710"/>
      <c r="F629" s="1710"/>
      <c r="G629" s="1710"/>
      <c r="H629" s="1710"/>
      <c r="I629" s="1710"/>
      <c r="J629" s="1710"/>
      <c r="K629" s="1710"/>
      <c r="L629" s="1710"/>
      <c r="M629" s="1711"/>
      <c r="N629" s="1711"/>
      <c r="O629" s="1711"/>
      <c r="P629" s="1711"/>
      <c r="Q629" s="1711"/>
      <c r="R629" s="1711"/>
      <c r="S629" s="1711"/>
      <c r="T629" s="1711"/>
      <c r="U629" s="1711"/>
      <c r="V629" s="1711"/>
      <c r="W629" s="1711"/>
      <c r="X629" s="1711"/>
      <c r="Y629" s="1711"/>
      <c r="Z629" s="1712"/>
      <c r="AA629" s="1712"/>
      <c r="AB629" s="1712"/>
      <c r="AC629" s="1712"/>
      <c r="AD629" s="1712"/>
      <c r="AE629" s="1712"/>
      <c r="AF629" s="1712"/>
      <c r="AG629" s="1712"/>
      <c r="AH629" s="1712"/>
      <c r="AI629" s="1712"/>
      <c r="AJ629" s="1712"/>
      <c r="AK629" s="1712"/>
      <c r="AL629" s="1712"/>
      <c r="AM629" s="1712"/>
      <c r="AN629" s="1712"/>
      <c r="AO629" s="1712"/>
      <c r="AP629" s="1712"/>
      <c r="AQ629" s="1712"/>
      <c r="AR629" s="1712"/>
      <c r="AS629" s="1712"/>
      <c r="AT629" s="1712"/>
    </row>
    <row r="630">
      <c r="A630" s="1474" t="s">
        <v>2461</v>
      </c>
      <c r="B630" s="1708"/>
      <c r="C630" s="1709"/>
      <c r="D630" s="1709"/>
      <c r="E630" s="1710"/>
      <c r="F630" s="1710"/>
      <c r="G630" s="1710"/>
      <c r="H630" s="1710"/>
      <c r="I630" s="1710"/>
      <c r="J630" s="1710"/>
      <c r="K630" s="1710"/>
      <c r="L630" s="1710"/>
      <c r="M630" s="1711"/>
      <c r="N630" s="1711"/>
      <c r="O630" s="1711"/>
      <c r="P630" s="1711"/>
      <c r="Q630" s="1711"/>
      <c r="R630" s="1711"/>
      <c r="S630" s="1711"/>
      <c r="T630" s="1711"/>
      <c r="U630" s="1711"/>
      <c r="V630" s="1711"/>
      <c r="W630" s="1711"/>
      <c r="X630" s="1711"/>
      <c r="Y630" s="1711"/>
      <c r="Z630" s="1712"/>
      <c r="AA630" s="1712"/>
      <c r="AB630" s="1712"/>
      <c r="AC630" s="1712"/>
      <c r="AD630" s="1712"/>
      <c r="AE630" s="1712"/>
      <c r="AF630" s="1712"/>
      <c r="AG630" s="1712"/>
      <c r="AH630" s="1712"/>
      <c r="AI630" s="1712"/>
      <c r="AJ630" s="1712"/>
      <c r="AK630" s="1712"/>
      <c r="AL630" s="1712"/>
      <c r="AM630" s="1712"/>
      <c r="AN630" s="1712"/>
      <c r="AO630" s="1712"/>
      <c r="AP630" s="1712"/>
      <c r="AQ630" s="1712"/>
      <c r="AR630" s="1712"/>
      <c r="AS630" s="1712"/>
      <c r="AT630" s="1712"/>
    </row>
    <row r="631">
      <c r="A631" s="1474" t="s">
        <v>2461</v>
      </c>
      <c r="B631" s="1708"/>
      <c r="C631" s="1709"/>
      <c r="D631" s="1709"/>
      <c r="E631" s="1710"/>
      <c r="F631" s="1710"/>
      <c r="G631" s="1710"/>
      <c r="H631" s="1710"/>
      <c r="I631" s="1710"/>
      <c r="J631" s="1710"/>
      <c r="K631" s="1710"/>
      <c r="L631" s="1710"/>
      <c r="M631" s="1711"/>
      <c r="N631" s="1711"/>
      <c r="O631" s="1711"/>
      <c r="P631" s="1711"/>
      <c r="Q631" s="1711"/>
      <c r="R631" s="1711"/>
      <c r="S631" s="1711"/>
      <c r="T631" s="1711"/>
      <c r="U631" s="1711"/>
      <c r="V631" s="1711"/>
      <c r="W631" s="1711"/>
      <c r="X631" s="1711"/>
      <c r="Y631" s="1711"/>
      <c r="Z631" s="1712"/>
      <c r="AA631" s="1712"/>
      <c r="AB631" s="1712"/>
      <c r="AC631" s="1712"/>
      <c r="AD631" s="1712"/>
      <c r="AE631" s="1712"/>
      <c r="AF631" s="1712"/>
      <c r="AG631" s="1712"/>
      <c r="AH631" s="1712"/>
      <c r="AI631" s="1712"/>
      <c r="AJ631" s="1712"/>
      <c r="AK631" s="1712"/>
      <c r="AL631" s="1712"/>
      <c r="AM631" s="1712"/>
      <c r="AN631" s="1712"/>
      <c r="AO631" s="1712"/>
      <c r="AP631" s="1712"/>
      <c r="AQ631" s="1712"/>
      <c r="AR631" s="1712"/>
      <c r="AS631" s="1712"/>
      <c r="AT631" s="1712"/>
    </row>
    <row r="632">
      <c r="A632" s="1474" t="s">
        <v>2461</v>
      </c>
      <c r="B632" s="1708"/>
      <c r="C632" s="1709"/>
      <c r="D632" s="1709"/>
      <c r="E632" s="1710"/>
      <c r="F632" s="1710"/>
      <c r="G632" s="1710"/>
      <c r="H632" s="1710"/>
      <c r="I632" s="1710"/>
      <c r="J632" s="1710"/>
      <c r="K632" s="1710"/>
      <c r="L632" s="1710"/>
      <c r="M632" s="1711"/>
      <c r="N632" s="1711"/>
      <c r="O632" s="1711"/>
      <c r="P632" s="1711"/>
      <c r="Q632" s="1711"/>
      <c r="R632" s="1711"/>
      <c r="S632" s="1711"/>
      <c r="T632" s="1711"/>
      <c r="U632" s="1711"/>
      <c r="V632" s="1711"/>
      <c r="W632" s="1711"/>
      <c r="X632" s="1711"/>
      <c r="Y632" s="1711"/>
      <c r="Z632" s="1712"/>
      <c r="AA632" s="1712"/>
      <c r="AB632" s="1712"/>
      <c r="AC632" s="1712"/>
      <c r="AD632" s="1712"/>
      <c r="AE632" s="1712"/>
      <c r="AF632" s="1712"/>
      <c r="AG632" s="1712"/>
      <c r="AH632" s="1712"/>
      <c r="AI632" s="1712"/>
      <c r="AJ632" s="1712"/>
      <c r="AK632" s="1712"/>
      <c r="AL632" s="1712"/>
      <c r="AM632" s="1712"/>
      <c r="AN632" s="1712"/>
      <c r="AO632" s="1712"/>
      <c r="AP632" s="1712"/>
      <c r="AQ632" s="1712"/>
      <c r="AR632" s="1712"/>
      <c r="AS632" s="1712"/>
      <c r="AT632" s="1712"/>
    </row>
    <row r="633">
      <c r="A633" s="1474" t="s">
        <v>2461</v>
      </c>
      <c r="B633" s="1708"/>
      <c r="C633" s="1709"/>
      <c r="D633" s="1709"/>
      <c r="E633" s="1710"/>
      <c r="F633" s="1710"/>
      <c r="G633" s="1710"/>
      <c r="H633" s="1710"/>
      <c r="I633" s="1710"/>
      <c r="J633" s="1710"/>
      <c r="K633" s="1710"/>
      <c r="L633" s="1710"/>
      <c r="M633" s="1711"/>
      <c r="N633" s="1711"/>
      <c r="O633" s="1711"/>
      <c r="P633" s="1711"/>
      <c r="Q633" s="1711"/>
      <c r="R633" s="1711"/>
      <c r="S633" s="1711"/>
      <c r="T633" s="1711"/>
      <c r="U633" s="1711"/>
      <c r="V633" s="1711"/>
      <c r="W633" s="1711"/>
      <c r="X633" s="1711"/>
      <c r="Y633" s="1711"/>
      <c r="Z633" s="1712"/>
      <c r="AA633" s="1712"/>
      <c r="AB633" s="1712"/>
      <c r="AC633" s="1712"/>
      <c r="AD633" s="1712"/>
      <c r="AE633" s="1712"/>
      <c r="AF633" s="1712"/>
      <c r="AG633" s="1712"/>
      <c r="AH633" s="1712"/>
      <c r="AI633" s="1712"/>
      <c r="AJ633" s="1712"/>
      <c r="AK633" s="1712"/>
      <c r="AL633" s="1712"/>
      <c r="AM633" s="1712"/>
      <c r="AN633" s="1712"/>
      <c r="AO633" s="1712"/>
      <c r="AP633" s="1712"/>
      <c r="AQ633" s="1712"/>
      <c r="AR633" s="1712"/>
      <c r="AS633" s="1712"/>
      <c r="AT633" s="1712"/>
    </row>
    <row r="634">
      <c r="A634" s="1474" t="s">
        <v>2461</v>
      </c>
      <c r="B634" s="1708"/>
      <c r="C634" s="1709"/>
      <c r="D634" s="1709"/>
      <c r="E634" s="1710"/>
      <c r="F634" s="1710"/>
      <c r="G634" s="1710"/>
      <c r="H634" s="1710"/>
      <c r="I634" s="1710"/>
      <c r="J634" s="1710"/>
      <c r="K634" s="1710"/>
      <c r="L634" s="1710"/>
      <c r="M634" s="1711"/>
      <c r="N634" s="1711"/>
      <c r="O634" s="1711"/>
      <c r="P634" s="1711"/>
      <c r="Q634" s="1711"/>
      <c r="R634" s="1711"/>
      <c r="S634" s="1711"/>
      <c r="T634" s="1711"/>
      <c r="U634" s="1711"/>
      <c r="V634" s="1711"/>
      <c r="W634" s="1711"/>
      <c r="X634" s="1711"/>
      <c r="Y634" s="1711"/>
      <c r="Z634" s="1712"/>
      <c r="AA634" s="1712"/>
      <c r="AB634" s="1712"/>
      <c r="AC634" s="1712"/>
      <c r="AD634" s="1712"/>
      <c r="AE634" s="1712"/>
      <c r="AF634" s="1712"/>
      <c r="AG634" s="1712"/>
      <c r="AH634" s="1712"/>
      <c r="AI634" s="1712"/>
      <c r="AJ634" s="1712"/>
      <c r="AK634" s="1712"/>
      <c r="AL634" s="1712"/>
      <c r="AM634" s="1712"/>
      <c r="AN634" s="1712"/>
      <c r="AO634" s="1712"/>
      <c r="AP634" s="1712"/>
      <c r="AQ634" s="1712"/>
      <c r="AR634" s="1712"/>
      <c r="AS634" s="1712"/>
      <c r="AT634" s="1712"/>
    </row>
    <row r="635">
      <c r="A635" s="1474" t="s">
        <v>2461</v>
      </c>
      <c r="B635" s="1708"/>
      <c r="C635" s="1709"/>
      <c r="D635" s="1709"/>
      <c r="E635" s="1710"/>
      <c r="F635" s="1710"/>
      <c r="G635" s="1710"/>
      <c r="H635" s="1710"/>
      <c r="I635" s="1710"/>
      <c r="J635" s="1710"/>
      <c r="K635" s="1710"/>
      <c r="L635" s="1710"/>
      <c r="M635" s="1711"/>
      <c r="N635" s="1711"/>
      <c r="O635" s="1711"/>
      <c r="P635" s="1711"/>
      <c r="Q635" s="1711"/>
      <c r="R635" s="1711"/>
      <c r="S635" s="1711"/>
      <c r="T635" s="1711"/>
      <c r="U635" s="1711"/>
      <c r="V635" s="1711"/>
      <c r="W635" s="1711"/>
      <c r="X635" s="1711"/>
      <c r="Y635" s="1711"/>
      <c r="Z635" s="1712"/>
      <c r="AA635" s="1712"/>
      <c r="AB635" s="1712"/>
      <c r="AC635" s="1712"/>
      <c r="AD635" s="1712"/>
      <c r="AE635" s="1712"/>
      <c r="AF635" s="1712"/>
      <c r="AG635" s="1712"/>
      <c r="AH635" s="1712"/>
      <c r="AI635" s="1712"/>
      <c r="AJ635" s="1712"/>
      <c r="AK635" s="1712"/>
      <c r="AL635" s="1712"/>
      <c r="AM635" s="1712"/>
      <c r="AN635" s="1712"/>
      <c r="AO635" s="1712"/>
      <c r="AP635" s="1712"/>
      <c r="AQ635" s="1712"/>
      <c r="AR635" s="1712"/>
      <c r="AS635" s="1712"/>
      <c r="AT635" s="1712"/>
    </row>
    <row r="636">
      <c r="A636" s="1474" t="s">
        <v>2461</v>
      </c>
      <c r="B636" s="1708"/>
      <c r="C636" s="1709"/>
      <c r="D636" s="1709"/>
      <c r="E636" s="1710"/>
      <c r="F636" s="1710"/>
      <c r="G636" s="1710"/>
      <c r="H636" s="1710"/>
      <c r="I636" s="1710"/>
      <c r="J636" s="1710"/>
      <c r="K636" s="1710"/>
      <c r="L636" s="1710"/>
      <c r="M636" s="1711"/>
      <c r="N636" s="1711"/>
      <c r="O636" s="1711"/>
      <c r="P636" s="1711"/>
      <c r="Q636" s="1711"/>
      <c r="R636" s="1711"/>
      <c r="S636" s="1711"/>
      <c r="T636" s="1711"/>
      <c r="U636" s="1711"/>
      <c r="V636" s="1711"/>
      <c r="W636" s="1711"/>
      <c r="X636" s="1711"/>
      <c r="Y636" s="1711"/>
      <c r="Z636" s="1712"/>
      <c r="AA636" s="1712"/>
      <c r="AB636" s="1712"/>
      <c r="AC636" s="1712"/>
      <c r="AD636" s="1712"/>
      <c r="AE636" s="1712"/>
      <c r="AF636" s="1712"/>
      <c r="AG636" s="1712"/>
      <c r="AH636" s="1712"/>
      <c r="AI636" s="1712"/>
      <c r="AJ636" s="1712"/>
      <c r="AK636" s="1712"/>
      <c r="AL636" s="1712"/>
      <c r="AM636" s="1712"/>
      <c r="AN636" s="1712"/>
      <c r="AO636" s="1712"/>
      <c r="AP636" s="1712"/>
      <c r="AQ636" s="1712"/>
      <c r="AR636" s="1712"/>
      <c r="AS636" s="1712"/>
      <c r="AT636" s="1712"/>
    </row>
    <row r="637">
      <c r="A637" s="1474" t="s">
        <v>2461</v>
      </c>
      <c r="B637" s="1708"/>
      <c r="C637" s="1709"/>
      <c r="D637" s="1709"/>
      <c r="E637" s="1710"/>
      <c r="F637" s="1710"/>
      <c r="G637" s="1710"/>
      <c r="H637" s="1710"/>
      <c r="I637" s="1710"/>
      <c r="J637" s="1710"/>
      <c r="K637" s="1710"/>
      <c r="L637" s="1710"/>
      <c r="M637" s="1711"/>
      <c r="N637" s="1711"/>
      <c r="O637" s="1711"/>
      <c r="P637" s="1711"/>
      <c r="Q637" s="1711"/>
      <c r="R637" s="1711"/>
      <c r="S637" s="1711"/>
      <c r="T637" s="1711"/>
      <c r="U637" s="1711"/>
      <c r="V637" s="1711"/>
      <c r="W637" s="1711"/>
      <c r="X637" s="1711"/>
      <c r="Y637" s="1711"/>
      <c r="Z637" s="1712"/>
      <c r="AA637" s="1712"/>
      <c r="AB637" s="1712"/>
      <c r="AC637" s="1712"/>
      <c r="AD637" s="1712"/>
      <c r="AE637" s="1712"/>
      <c r="AF637" s="1712"/>
      <c r="AG637" s="1712"/>
      <c r="AH637" s="1712"/>
      <c r="AI637" s="1712"/>
      <c r="AJ637" s="1712"/>
      <c r="AK637" s="1712"/>
      <c r="AL637" s="1712"/>
      <c r="AM637" s="1712"/>
      <c r="AN637" s="1712"/>
      <c r="AO637" s="1712"/>
      <c r="AP637" s="1712"/>
      <c r="AQ637" s="1712"/>
      <c r="AR637" s="1712"/>
      <c r="AS637" s="1712"/>
      <c r="AT637" s="1712"/>
    </row>
    <row r="638">
      <c r="A638" s="1474" t="s">
        <v>2461</v>
      </c>
      <c r="B638" s="1708"/>
      <c r="C638" s="1709"/>
      <c r="D638" s="1709"/>
      <c r="E638" s="1710"/>
      <c r="F638" s="1710"/>
      <c r="G638" s="1710"/>
      <c r="H638" s="1710"/>
      <c r="I638" s="1710"/>
      <c r="J638" s="1710"/>
      <c r="K638" s="1710"/>
      <c r="L638" s="1710"/>
      <c r="M638" s="1711"/>
      <c r="N638" s="1711"/>
      <c r="O638" s="1711"/>
      <c r="P638" s="1711"/>
      <c r="Q638" s="1711"/>
      <c r="R638" s="1711"/>
      <c r="S638" s="1711"/>
      <c r="T638" s="1711"/>
      <c r="U638" s="1711"/>
      <c r="V638" s="1711"/>
      <c r="W638" s="1711"/>
      <c r="X638" s="1711"/>
      <c r="Y638" s="1711"/>
      <c r="Z638" s="1712"/>
      <c r="AA638" s="1712"/>
      <c r="AB638" s="1712"/>
      <c r="AC638" s="1712"/>
      <c r="AD638" s="1712"/>
      <c r="AE638" s="1712"/>
      <c r="AF638" s="1712"/>
      <c r="AG638" s="1712"/>
      <c r="AH638" s="1712"/>
      <c r="AI638" s="1712"/>
      <c r="AJ638" s="1712"/>
      <c r="AK638" s="1712"/>
      <c r="AL638" s="1712"/>
      <c r="AM638" s="1712"/>
      <c r="AN638" s="1712"/>
      <c r="AO638" s="1712"/>
      <c r="AP638" s="1712"/>
      <c r="AQ638" s="1712"/>
      <c r="AR638" s="1712"/>
      <c r="AS638" s="1712"/>
      <c r="AT638" s="1712"/>
    </row>
    <row r="639">
      <c r="A639" s="1474" t="s">
        <v>2461</v>
      </c>
      <c r="B639" s="1708"/>
      <c r="C639" s="1709"/>
      <c r="D639" s="1709"/>
      <c r="E639" s="1710"/>
      <c r="F639" s="1710"/>
      <c r="G639" s="1710"/>
      <c r="H639" s="1710"/>
      <c r="I639" s="1710"/>
      <c r="J639" s="1710"/>
      <c r="K639" s="1710"/>
      <c r="L639" s="1710"/>
      <c r="M639" s="1711"/>
      <c r="N639" s="1711"/>
      <c r="O639" s="1711"/>
      <c r="P639" s="1711"/>
      <c r="Q639" s="1711"/>
      <c r="R639" s="1711"/>
      <c r="S639" s="1711"/>
      <c r="T639" s="1711"/>
      <c r="U639" s="1711"/>
      <c r="V639" s="1711"/>
      <c r="W639" s="1711"/>
      <c r="X639" s="1711"/>
      <c r="Y639" s="1711"/>
      <c r="Z639" s="1712"/>
      <c r="AA639" s="1712"/>
      <c r="AB639" s="1712"/>
      <c r="AC639" s="1712"/>
      <c r="AD639" s="1712"/>
      <c r="AE639" s="1712"/>
      <c r="AF639" s="1712"/>
      <c r="AG639" s="1712"/>
      <c r="AH639" s="1712"/>
      <c r="AI639" s="1712"/>
      <c r="AJ639" s="1712"/>
      <c r="AK639" s="1712"/>
      <c r="AL639" s="1712"/>
      <c r="AM639" s="1712"/>
      <c r="AN639" s="1712"/>
      <c r="AO639" s="1712"/>
      <c r="AP639" s="1712"/>
      <c r="AQ639" s="1712"/>
      <c r="AR639" s="1712"/>
      <c r="AS639" s="1712"/>
      <c r="AT639" s="1712"/>
    </row>
    <row r="640">
      <c r="A640" s="1474" t="s">
        <v>2461</v>
      </c>
      <c r="B640" s="1708"/>
      <c r="C640" s="1709"/>
      <c r="D640" s="1709"/>
      <c r="E640" s="1710"/>
      <c r="F640" s="1710"/>
      <c r="G640" s="1710"/>
      <c r="H640" s="1710"/>
      <c r="I640" s="1710"/>
      <c r="J640" s="1710"/>
      <c r="K640" s="1710"/>
      <c r="L640" s="1710"/>
      <c r="M640" s="1711"/>
      <c r="N640" s="1711"/>
      <c r="O640" s="1711"/>
      <c r="P640" s="1711"/>
      <c r="Q640" s="1711"/>
      <c r="R640" s="1711"/>
      <c r="S640" s="1711"/>
      <c r="T640" s="1711"/>
      <c r="U640" s="1711"/>
      <c r="V640" s="1711"/>
      <c r="W640" s="1711"/>
      <c r="X640" s="1711"/>
      <c r="Y640" s="1711"/>
      <c r="Z640" s="1712"/>
      <c r="AA640" s="1712"/>
      <c r="AB640" s="1712"/>
      <c r="AC640" s="1712"/>
      <c r="AD640" s="1712"/>
      <c r="AE640" s="1712"/>
      <c r="AF640" s="1712"/>
      <c r="AG640" s="1712"/>
      <c r="AH640" s="1712"/>
      <c r="AI640" s="1712"/>
      <c r="AJ640" s="1712"/>
      <c r="AK640" s="1712"/>
      <c r="AL640" s="1712"/>
      <c r="AM640" s="1712"/>
      <c r="AN640" s="1712"/>
      <c r="AO640" s="1712"/>
      <c r="AP640" s="1712"/>
      <c r="AQ640" s="1712"/>
      <c r="AR640" s="1712"/>
      <c r="AS640" s="1712"/>
      <c r="AT640" s="1712"/>
    </row>
    <row r="641">
      <c r="A641" s="1474" t="s">
        <v>2461</v>
      </c>
      <c r="B641" s="1708"/>
      <c r="C641" s="1709"/>
      <c r="D641" s="1709"/>
      <c r="E641" s="1710"/>
      <c r="F641" s="1710"/>
      <c r="G641" s="1710"/>
      <c r="H641" s="1710"/>
      <c r="I641" s="1710"/>
      <c r="J641" s="1710"/>
      <c r="K641" s="1710"/>
      <c r="L641" s="1710"/>
      <c r="M641" s="1711"/>
      <c r="N641" s="1711"/>
      <c r="O641" s="1711"/>
      <c r="P641" s="1711"/>
      <c r="Q641" s="1711"/>
      <c r="R641" s="1711"/>
      <c r="S641" s="1711"/>
      <c r="T641" s="1711"/>
      <c r="U641" s="1711"/>
      <c r="V641" s="1711"/>
      <c r="W641" s="1711"/>
      <c r="X641" s="1711"/>
      <c r="Y641" s="1711"/>
      <c r="Z641" s="1712"/>
      <c r="AA641" s="1712"/>
      <c r="AB641" s="1712"/>
      <c r="AC641" s="1712"/>
      <c r="AD641" s="1712"/>
      <c r="AE641" s="1712"/>
      <c r="AF641" s="1712"/>
      <c r="AG641" s="1712"/>
      <c r="AH641" s="1712"/>
      <c r="AI641" s="1712"/>
      <c r="AJ641" s="1712"/>
      <c r="AK641" s="1712"/>
      <c r="AL641" s="1712"/>
      <c r="AM641" s="1712"/>
      <c r="AN641" s="1712"/>
      <c r="AO641" s="1712"/>
      <c r="AP641" s="1712"/>
      <c r="AQ641" s="1712"/>
      <c r="AR641" s="1712"/>
      <c r="AS641" s="1712"/>
      <c r="AT641" s="1712"/>
    </row>
    <row r="642">
      <c r="A642" s="1474" t="s">
        <v>2461</v>
      </c>
      <c r="B642" s="1708"/>
      <c r="C642" s="1709"/>
      <c r="D642" s="1709"/>
      <c r="E642" s="1710"/>
      <c r="F642" s="1710"/>
      <c r="G642" s="1710"/>
      <c r="H642" s="1710"/>
      <c r="I642" s="1710"/>
      <c r="J642" s="1710"/>
      <c r="K642" s="1710"/>
      <c r="L642" s="1710"/>
      <c r="M642" s="1711"/>
      <c r="N642" s="1711"/>
      <c r="O642" s="1711"/>
      <c r="P642" s="1711"/>
      <c r="Q642" s="1711"/>
      <c r="R642" s="1711"/>
      <c r="S642" s="1711"/>
      <c r="T642" s="1711"/>
      <c r="U642" s="1711"/>
      <c r="V642" s="1711"/>
      <c r="W642" s="1711"/>
      <c r="X642" s="1711"/>
      <c r="Y642" s="1711"/>
      <c r="Z642" s="1712"/>
      <c r="AA642" s="1712"/>
      <c r="AB642" s="1712"/>
      <c r="AC642" s="1712"/>
      <c r="AD642" s="1712"/>
      <c r="AE642" s="1712"/>
      <c r="AF642" s="1712"/>
      <c r="AG642" s="1712"/>
      <c r="AH642" s="1712"/>
      <c r="AI642" s="1712"/>
      <c r="AJ642" s="1712"/>
      <c r="AK642" s="1712"/>
      <c r="AL642" s="1712"/>
      <c r="AM642" s="1712"/>
      <c r="AN642" s="1712"/>
      <c r="AO642" s="1712"/>
      <c r="AP642" s="1712"/>
      <c r="AQ642" s="1712"/>
      <c r="AR642" s="1712"/>
      <c r="AS642" s="1712"/>
      <c r="AT642" s="1712"/>
    </row>
    <row r="643">
      <c r="A643" s="1474" t="s">
        <v>2461</v>
      </c>
      <c r="B643" s="1708"/>
      <c r="C643" s="1709"/>
      <c r="D643" s="1709"/>
      <c r="E643" s="1710"/>
      <c r="F643" s="1710"/>
      <c r="G643" s="1710"/>
      <c r="H643" s="1710"/>
      <c r="I643" s="1710"/>
      <c r="J643" s="1710"/>
      <c r="K643" s="1710"/>
      <c r="L643" s="1710"/>
      <c r="M643" s="1711"/>
      <c r="N643" s="1711"/>
      <c r="O643" s="1711"/>
      <c r="P643" s="1711"/>
      <c r="Q643" s="1711"/>
      <c r="R643" s="1711"/>
      <c r="S643" s="1711"/>
      <c r="T643" s="1711"/>
      <c r="U643" s="1711"/>
      <c r="V643" s="1711"/>
      <c r="W643" s="1711"/>
      <c r="X643" s="1711"/>
      <c r="Y643" s="1711"/>
      <c r="Z643" s="1712"/>
      <c r="AA643" s="1712"/>
      <c r="AB643" s="1712"/>
      <c r="AC643" s="1712"/>
      <c r="AD643" s="1712"/>
      <c r="AE643" s="1712"/>
      <c r="AF643" s="1712"/>
      <c r="AG643" s="1712"/>
      <c r="AH643" s="1712"/>
      <c r="AI643" s="1712"/>
      <c r="AJ643" s="1712"/>
      <c r="AK643" s="1712"/>
      <c r="AL643" s="1712"/>
      <c r="AM643" s="1712"/>
      <c r="AN643" s="1712"/>
      <c r="AO643" s="1712"/>
      <c r="AP643" s="1712"/>
      <c r="AQ643" s="1712"/>
      <c r="AR643" s="1712"/>
      <c r="AS643" s="1712"/>
      <c r="AT643" s="1712"/>
    </row>
    <row r="644">
      <c r="A644" s="1474" t="s">
        <v>2461</v>
      </c>
      <c r="B644" s="1708"/>
      <c r="C644" s="1709"/>
      <c r="D644" s="1709"/>
      <c r="E644" s="1710"/>
      <c r="F644" s="1710"/>
      <c r="G644" s="1710"/>
      <c r="H644" s="1710"/>
      <c r="I644" s="1710"/>
      <c r="J644" s="1710"/>
      <c r="K644" s="1710"/>
      <c r="L644" s="1710"/>
      <c r="M644" s="1711"/>
      <c r="N644" s="1711"/>
      <c r="O644" s="1711"/>
      <c r="P644" s="1711"/>
      <c r="Q644" s="1711"/>
      <c r="R644" s="1711"/>
      <c r="S644" s="1711"/>
      <c r="T644" s="1711"/>
      <c r="U644" s="1711"/>
      <c r="V644" s="1711"/>
      <c r="W644" s="1711"/>
      <c r="X644" s="1711"/>
      <c r="Y644" s="1711"/>
      <c r="Z644" s="1712"/>
      <c r="AA644" s="1712"/>
      <c r="AB644" s="1712"/>
      <c r="AC644" s="1712"/>
      <c r="AD644" s="1712"/>
      <c r="AE644" s="1712"/>
      <c r="AF644" s="1712"/>
      <c r="AG644" s="1712"/>
      <c r="AH644" s="1712"/>
      <c r="AI644" s="1712"/>
      <c r="AJ644" s="1712"/>
      <c r="AK644" s="1712"/>
      <c r="AL644" s="1712"/>
      <c r="AM644" s="1712"/>
      <c r="AN644" s="1712"/>
      <c r="AO644" s="1712"/>
      <c r="AP644" s="1712"/>
      <c r="AQ644" s="1712"/>
      <c r="AR644" s="1712"/>
      <c r="AS644" s="1712"/>
      <c r="AT644" s="1712"/>
    </row>
    <row r="645">
      <c r="A645" s="1474" t="s">
        <v>2461</v>
      </c>
      <c r="B645" s="1708"/>
      <c r="C645" s="1709"/>
      <c r="D645" s="1709"/>
      <c r="E645" s="1710"/>
      <c r="F645" s="1710"/>
      <c r="G645" s="1710"/>
      <c r="H645" s="1710"/>
      <c r="I645" s="1710"/>
      <c r="J645" s="1710"/>
      <c r="K645" s="1710"/>
      <c r="L645" s="1710"/>
      <c r="M645" s="1711"/>
      <c r="N645" s="1711"/>
      <c r="O645" s="1711"/>
      <c r="P645" s="1711"/>
      <c r="Q645" s="1711"/>
      <c r="R645" s="1711"/>
      <c r="S645" s="1711"/>
      <c r="T645" s="1711"/>
      <c r="U645" s="1711"/>
      <c r="V645" s="1711"/>
      <c r="W645" s="1711"/>
      <c r="X645" s="1711"/>
      <c r="Y645" s="1711"/>
      <c r="Z645" s="1712"/>
      <c r="AA645" s="1712"/>
      <c r="AB645" s="1712"/>
      <c r="AC645" s="1712"/>
      <c r="AD645" s="1712"/>
      <c r="AE645" s="1712"/>
      <c r="AF645" s="1712"/>
      <c r="AG645" s="1712"/>
      <c r="AH645" s="1712"/>
      <c r="AI645" s="1712"/>
      <c r="AJ645" s="1712"/>
      <c r="AK645" s="1712"/>
      <c r="AL645" s="1712"/>
      <c r="AM645" s="1712"/>
      <c r="AN645" s="1712"/>
      <c r="AO645" s="1712"/>
      <c r="AP645" s="1712"/>
      <c r="AQ645" s="1712"/>
      <c r="AR645" s="1712"/>
      <c r="AS645" s="1712"/>
      <c r="AT645" s="1712"/>
    </row>
    <row r="646">
      <c r="A646" s="1474" t="s">
        <v>2461</v>
      </c>
      <c r="B646" s="1708"/>
      <c r="C646" s="1709"/>
      <c r="D646" s="1709"/>
      <c r="E646" s="1710"/>
      <c r="F646" s="1710"/>
      <c r="G646" s="1710"/>
      <c r="H646" s="1710"/>
      <c r="I646" s="1710"/>
      <c r="J646" s="1710"/>
      <c r="K646" s="1710"/>
      <c r="L646" s="1710"/>
      <c r="M646" s="1711"/>
      <c r="N646" s="1711"/>
      <c r="O646" s="1711"/>
      <c r="P646" s="1711"/>
      <c r="Q646" s="1711"/>
      <c r="R646" s="1711"/>
      <c r="S646" s="1711"/>
      <c r="T646" s="1711"/>
      <c r="U646" s="1711"/>
      <c r="V646" s="1711"/>
      <c r="W646" s="1711"/>
      <c r="X646" s="1711"/>
      <c r="Y646" s="1711"/>
      <c r="Z646" s="1712"/>
      <c r="AA646" s="1712"/>
      <c r="AB646" s="1712"/>
      <c r="AC646" s="1712"/>
      <c r="AD646" s="1712"/>
      <c r="AE646" s="1712"/>
      <c r="AF646" s="1712"/>
      <c r="AG646" s="1712"/>
      <c r="AH646" s="1712"/>
      <c r="AI646" s="1712"/>
      <c r="AJ646" s="1712"/>
      <c r="AK646" s="1712"/>
      <c r="AL646" s="1712"/>
      <c r="AM646" s="1712"/>
      <c r="AN646" s="1712"/>
      <c r="AO646" s="1712"/>
      <c r="AP646" s="1712"/>
      <c r="AQ646" s="1712"/>
      <c r="AR646" s="1712"/>
      <c r="AS646" s="1712"/>
      <c r="AT646" s="1712"/>
    </row>
    <row r="647">
      <c r="A647" s="1474" t="s">
        <v>2461</v>
      </c>
      <c r="B647" s="1708"/>
      <c r="C647" s="1709"/>
      <c r="D647" s="1709"/>
      <c r="E647" s="1710"/>
      <c r="F647" s="1710"/>
      <c r="G647" s="1710"/>
      <c r="H647" s="1710"/>
      <c r="I647" s="1710"/>
      <c r="J647" s="1710"/>
      <c r="K647" s="1710"/>
      <c r="L647" s="1710"/>
      <c r="M647" s="1711"/>
      <c r="N647" s="1711"/>
      <c r="O647" s="1711"/>
      <c r="P647" s="1711"/>
      <c r="Q647" s="1711"/>
      <c r="R647" s="1711"/>
      <c r="S647" s="1711"/>
      <c r="T647" s="1711"/>
      <c r="U647" s="1711"/>
      <c r="V647" s="1711"/>
      <c r="W647" s="1711"/>
      <c r="X647" s="1711"/>
      <c r="Y647" s="1711"/>
      <c r="Z647" s="1712"/>
      <c r="AA647" s="1712"/>
      <c r="AB647" s="1712"/>
      <c r="AC647" s="1712"/>
      <c r="AD647" s="1712"/>
      <c r="AE647" s="1712"/>
      <c r="AF647" s="1712"/>
      <c r="AG647" s="1712"/>
      <c r="AH647" s="1712"/>
      <c r="AI647" s="1712"/>
      <c r="AJ647" s="1712"/>
      <c r="AK647" s="1712"/>
      <c r="AL647" s="1712"/>
      <c r="AM647" s="1712"/>
      <c r="AN647" s="1712"/>
      <c r="AO647" s="1712"/>
      <c r="AP647" s="1712"/>
      <c r="AQ647" s="1712"/>
      <c r="AR647" s="1712"/>
      <c r="AS647" s="1712"/>
      <c r="AT647" s="1712"/>
    </row>
    <row r="648">
      <c r="A648" s="1474" t="s">
        <v>2461</v>
      </c>
      <c r="B648" s="1708"/>
      <c r="C648" s="1709"/>
      <c r="D648" s="1709"/>
      <c r="E648" s="1710"/>
      <c r="F648" s="1710"/>
      <c r="G648" s="1710"/>
      <c r="H648" s="1710"/>
      <c r="I648" s="1710"/>
      <c r="J648" s="1710"/>
      <c r="K648" s="1710"/>
      <c r="L648" s="1710"/>
      <c r="M648" s="1711"/>
      <c r="N648" s="1711"/>
      <c r="O648" s="1711"/>
      <c r="P648" s="1711"/>
      <c r="Q648" s="1711"/>
      <c r="R648" s="1711"/>
      <c r="S648" s="1711"/>
      <c r="T648" s="1711"/>
      <c r="U648" s="1711"/>
      <c r="V648" s="1711"/>
      <c r="W648" s="1711"/>
      <c r="X648" s="1711"/>
      <c r="Y648" s="1711"/>
      <c r="Z648" s="1712"/>
      <c r="AA648" s="1712"/>
      <c r="AB648" s="1712"/>
      <c r="AC648" s="1712"/>
      <c r="AD648" s="1712"/>
      <c r="AE648" s="1712"/>
      <c r="AF648" s="1712"/>
      <c r="AG648" s="1712"/>
      <c r="AH648" s="1712"/>
      <c r="AI648" s="1712"/>
      <c r="AJ648" s="1712"/>
      <c r="AK648" s="1712"/>
      <c r="AL648" s="1712"/>
      <c r="AM648" s="1712"/>
      <c r="AN648" s="1712"/>
      <c r="AO648" s="1712"/>
      <c r="AP648" s="1712"/>
      <c r="AQ648" s="1712"/>
      <c r="AR648" s="1712"/>
      <c r="AS648" s="1712"/>
      <c r="AT648" s="1712"/>
    </row>
    <row r="649">
      <c r="A649" s="1474" t="s">
        <v>2461</v>
      </c>
      <c r="B649" s="1708"/>
      <c r="C649" s="1709"/>
      <c r="D649" s="1709"/>
      <c r="E649" s="1710"/>
      <c r="F649" s="1710"/>
      <c r="G649" s="1710"/>
      <c r="H649" s="1710"/>
      <c r="I649" s="1710"/>
      <c r="J649" s="1710"/>
      <c r="K649" s="1710"/>
      <c r="L649" s="1710"/>
      <c r="M649" s="1711"/>
      <c r="N649" s="1711"/>
      <c r="O649" s="1711"/>
      <c r="P649" s="1711"/>
      <c r="Q649" s="1711"/>
      <c r="R649" s="1711"/>
      <c r="S649" s="1711"/>
      <c r="T649" s="1711"/>
      <c r="U649" s="1711"/>
      <c r="V649" s="1711"/>
      <c r="W649" s="1711"/>
      <c r="X649" s="1711"/>
      <c r="Y649" s="1711"/>
      <c r="Z649" s="1712"/>
      <c r="AA649" s="1712"/>
      <c r="AB649" s="1712"/>
      <c r="AC649" s="1712"/>
      <c r="AD649" s="1712"/>
      <c r="AE649" s="1712"/>
      <c r="AF649" s="1712"/>
      <c r="AG649" s="1712"/>
      <c r="AH649" s="1712"/>
      <c r="AI649" s="1712"/>
      <c r="AJ649" s="1712"/>
      <c r="AK649" s="1712"/>
      <c r="AL649" s="1712"/>
      <c r="AM649" s="1712"/>
      <c r="AN649" s="1712"/>
      <c r="AO649" s="1712"/>
      <c r="AP649" s="1712"/>
      <c r="AQ649" s="1712"/>
      <c r="AR649" s="1712"/>
      <c r="AS649" s="1712"/>
      <c r="AT649" s="1712"/>
    </row>
    <row r="650">
      <c r="A650" s="1474" t="s">
        <v>2461</v>
      </c>
      <c r="B650" s="1708"/>
      <c r="C650" s="1709"/>
      <c r="D650" s="1709"/>
      <c r="E650" s="1710"/>
      <c r="F650" s="1710"/>
      <c r="G650" s="1710"/>
      <c r="H650" s="1710"/>
      <c r="I650" s="1710"/>
      <c r="J650" s="1710"/>
      <c r="K650" s="1710"/>
      <c r="L650" s="1710"/>
      <c r="M650" s="1711"/>
      <c r="N650" s="1711"/>
      <c r="O650" s="1711"/>
      <c r="P650" s="1711"/>
      <c r="Q650" s="1711"/>
      <c r="R650" s="1711"/>
      <c r="S650" s="1711"/>
      <c r="T650" s="1711"/>
      <c r="U650" s="1711"/>
      <c r="V650" s="1711"/>
      <c r="W650" s="1711"/>
      <c r="X650" s="1711"/>
      <c r="Y650" s="1711"/>
      <c r="Z650" s="1712"/>
      <c r="AA650" s="1712"/>
      <c r="AB650" s="1712"/>
      <c r="AC650" s="1712"/>
      <c r="AD650" s="1712"/>
      <c r="AE650" s="1712"/>
      <c r="AF650" s="1712"/>
      <c r="AG650" s="1712"/>
      <c r="AH650" s="1712"/>
      <c r="AI650" s="1712"/>
      <c r="AJ650" s="1712"/>
      <c r="AK650" s="1712"/>
      <c r="AL650" s="1712"/>
      <c r="AM650" s="1712"/>
      <c r="AN650" s="1712"/>
      <c r="AO650" s="1712"/>
      <c r="AP650" s="1712"/>
      <c r="AQ650" s="1712"/>
      <c r="AR650" s="1712"/>
      <c r="AS650" s="1712"/>
      <c r="AT650" s="1712"/>
    </row>
    <row r="651">
      <c r="A651" s="1474" t="s">
        <v>2461</v>
      </c>
      <c r="B651" s="1708"/>
      <c r="C651" s="1709"/>
      <c r="D651" s="1709"/>
      <c r="E651" s="1710"/>
      <c r="F651" s="1710"/>
      <c r="G651" s="1710"/>
      <c r="H651" s="1710"/>
      <c r="I651" s="1710"/>
      <c r="J651" s="1710"/>
      <c r="K651" s="1710"/>
      <c r="L651" s="1710"/>
      <c r="M651" s="1711"/>
      <c r="N651" s="1711"/>
      <c r="O651" s="1711"/>
      <c r="P651" s="1711"/>
      <c r="Q651" s="1711"/>
      <c r="R651" s="1711"/>
      <c r="S651" s="1711"/>
      <c r="T651" s="1711"/>
      <c r="U651" s="1711"/>
      <c r="V651" s="1711"/>
      <c r="W651" s="1711"/>
      <c r="X651" s="1711"/>
      <c r="Y651" s="1711"/>
      <c r="Z651" s="1712"/>
      <c r="AA651" s="1712"/>
      <c r="AB651" s="1712"/>
      <c r="AC651" s="1712"/>
      <c r="AD651" s="1712"/>
      <c r="AE651" s="1712"/>
      <c r="AF651" s="1712"/>
      <c r="AG651" s="1712"/>
      <c r="AH651" s="1712"/>
      <c r="AI651" s="1712"/>
      <c r="AJ651" s="1712"/>
      <c r="AK651" s="1712"/>
      <c r="AL651" s="1712"/>
      <c r="AM651" s="1712"/>
      <c r="AN651" s="1712"/>
      <c r="AO651" s="1712"/>
      <c r="AP651" s="1712"/>
      <c r="AQ651" s="1712"/>
      <c r="AR651" s="1712"/>
      <c r="AS651" s="1712"/>
      <c r="AT651" s="1712"/>
    </row>
    <row r="652">
      <c r="A652" s="1474" t="s">
        <v>2461</v>
      </c>
      <c r="B652" s="1708"/>
      <c r="C652" s="1709"/>
      <c r="D652" s="1709"/>
      <c r="E652" s="1710"/>
      <c r="F652" s="1710"/>
      <c r="G652" s="1710"/>
      <c r="H652" s="1710"/>
      <c r="I652" s="1710"/>
      <c r="J652" s="1710"/>
      <c r="K652" s="1710"/>
      <c r="L652" s="1710"/>
      <c r="M652" s="1711"/>
      <c r="N652" s="1711"/>
      <c r="O652" s="1711"/>
      <c r="P652" s="1711"/>
      <c r="Q652" s="1711"/>
      <c r="R652" s="1711"/>
      <c r="S652" s="1711"/>
      <c r="T652" s="1711"/>
      <c r="U652" s="1711"/>
      <c r="V652" s="1711"/>
      <c r="W652" s="1711"/>
      <c r="X652" s="1711"/>
      <c r="Y652" s="1711"/>
      <c r="Z652" s="1712"/>
      <c r="AA652" s="1712"/>
      <c r="AB652" s="1712"/>
      <c r="AC652" s="1712"/>
      <c r="AD652" s="1712"/>
      <c r="AE652" s="1712"/>
      <c r="AF652" s="1712"/>
      <c r="AG652" s="1712"/>
      <c r="AH652" s="1712"/>
      <c r="AI652" s="1712"/>
      <c r="AJ652" s="1712"/>
      <c r="AK652" s="1712"/>
      <c r="AL652" s="1712"/>
      <c r="AM652" s="1712"/>
      <c r="AN652" s="1712"/>
      <c r="AO652" s="1712"/>
      <c r="AP652" s="1712"/>
      <c r="AQ652" s="1712"/>
      <c r="AR652" s="1712"/>
      <c r="AS652" s="1712"/>
      <c r="AT652" s="1712"/>
    </row>
    <row r="653">
      <c r="A653" s="1474" t="s">
        <v>2461</v>
      </c>
      <c r="B653" s="1708"/>
      <c r="C653" s="1709"/>
      <c r="D653" s="1709"/>
      <c r="E653" s="1710"/>
      <c r="F653" s="1710"/>
      <c r="G653" s="1710"/>
      <c r="H653" s="1710"/>
      <c r="I653" s="1710"/>
      <c r="J653" s="1710"/>
      <c r="K653" s="1710"/>
      <c r="L653" s="1710"/>
      <c r="M653" s="1711"/>
      <c r="N653" s="1711"/>
      <c r="O653" s="1711"/>
      <c r="P653" s="1711"/>
      <c r="Q653" s="1711"/>
      <c r="R653" s="1711"/>
      <c r="S653" s="1711"/>
      <c r="T653" s="1711"/>
      <c r="U653" s="1711"/>
      <c r="V653" s="1711"/>
      <c r="W653" s="1711"/>
      <c r="X653" s="1711"/>
      <c r="Y653" s="1711"/>
      <c r="Z653" s="1712"/>
      <c r="AA653" s="1712"/>
      <c r="AB653" s="1712"/>
      <c r="AC653" s="1712"/>
      <c r="AD653" s="1712"/>
      <c r="AE653" s="1712"/>
      <c r="AF653" s="1712"/>
      <c r="AG653" s="1712"/>
      <c r="AH653" s="1712"/>
      <c r="AI653" s="1712"/>
      <c r="AJ653" s="1712"/>
      <c r="AK653" s="1712"/>
      <c r="AL653" s="1712"/>
      <c r="AM653" s="1712"/>
      <c r="AN653" s="1712"/>
      <c r="AO653" s="1712"/>
      <c r="AP653" s="1712"/>
      <c r="AQ653" s="1712"/>
      <c r="AR653" s="1712"/>
      <c r="AS653" s="1712"/>
      <c r="AT653" s="1712"/>
    </row>
    <row r="654">
      <c r="A654" s="1474" t="s">
        <v>2461</v>
      </c>
      <c r="B654" s="1708"/>
      <c r="C654" s="1709"/>
      <c r="D654" s="1709"/>
      <c r="E654" s="1710"/>
      <c r="F654" s="1710"/>
      <c r="G654" s="1710"/>
      <c r="H654" s="1710"/>
      <c r="I654" s="1710"/>
      <c r="J654" s="1710"/>
      <c r="K654" s="1710"/>
      <c r="L654" s="1710"/>
      <c r="M654" s="1711"/>
      <c r="N654" s="1711"/>
      <c r="O654" s="1711"/>
      <c r="P654" s="1711"/>
      <c r="Q654" s="1711"/>
      <c r="R654" s="1711"/>
      <c r="S654" s="1711"/>
      <c r="T654" s="1711"/>
      <c r="U654" s="1711"/>
      <c r="V654" s="1711"/>
      <c r="W654" s="1711"/>
      <c r="X654" s="1711"/>
      <c r="Y654" s="1711"/>
      <c r="Z654" s="1712"/>
      <c r="AA654" s="1712"/>
      <c r="AB654" s="1712"/>
      <c r="AC654" s="1712"/>
      <c r="AD654" s="1712"/>
      <c r="AE654" s="1712"/>
      <c r="AF654" s="1712"/>
      <c r="AG654" s="1712"/>
      <c r="AH654" s="1712"/>
      <c r="AI654" s="1712"/>
      <c r="AJ654" s="1712"/>
      <c r="AK654" s="1712"/>
      <c r="AL654" s="1712"/>
      <c r="AM654" s="1712"/>
      <c r="AN654" s="1712"/>
      <c r="AO654" s="1712"/>
      <c r="AP654" s="1712"/>
      <c r="AQ654" s="1712"/>
      <c r="AR654" s="1712"/>
      <c r="AS654" s="1712"/>
      <c r="AT654" s="1712"/>
    </row>
    <row r="655">
      <c r="A655" s="1474" t="s">
        <v>2461</v>
      </c>
      <c r="B655" s="1708"/>
      <c r="C655" s="1709"/>
      <c r="D655" s="1709"/>
      <c r="E655" s="1710"/>
      <c r="F655" s="1710"/>
      <c r="G655" s="1710"/>
      <c r="H655" s="1710"/>
      <c r="I655" s="1710"/>
      <c r="J655" s="1710"/>
      <c r="K655" s="1710"/>
      <c r="L655" s="1710"/>
      <c r="M655" s="1711"/>
      <c r="N655" s="1711"/>
      <c r="O655" s="1711"/>
      <c r="P655" s="1711"/>
      <c r="Q655" s="1711"/>
      <c r="R655" s="1711"/>
      <c r="S655" s="1711"/>
      <c r="T655" s="1711"/>
      <c r="U655" s="1711"/>
      <c r="V655" s="1711"/>
      <c r="W655" s="1711"/>
      <c r="X655" s="1711"/>
      <c r="Y655" s="1711"/>
      <c r="Z655" s="1712"/>
      <c r="AA655" s="1712"/>
      <c r="AB655" s="1712"/>
      <c r="AC655" s="1712"/>
      <c r="AD655" s="1712"/>
      <c r="AE655" s="1712"/>
      <c r="AF655" s="1712"/>
      <c r="AG655" s="1712"/>
      <c r="AH655" s="1712"/>
      <c r="AI655" s="1712"/>
      <c r="AJ655" s="1712"/>
      <c r="AK655" s="1712"/>
      <c r="AL655" s="1712"/>
      <c r="AM655" s="1712"/>
      <c r="AN655" s="1712"/>
      <c r="AO655" s="1712"/>
      <c r="AP655" s="1712"/>
      <c r="AQ655" s="1712"/>
      <c r="AR655" s="1712"/>
      <c r="AS655" s="1712"/>
      <c r="AT655" s="1712"/>
    </row>
    <row r="656">
      <c r="A656" s="1474" t="s">
        <v>2461</v>
      </c>
      <c r="B656" s="1708"/>
      <c r="C656" s="1709"/>
      <c r="D656" s="1709"/>
      <c r="E656" s="1710"/>
      <c r="F656" s="1710"/>
      <c r="G656" s="1710"/>
      <c r="H656" s="1710"/>
      <c r="I656" s="1710"/>
      <c r="J656" s="1710"/>
      <c r="K656" s="1710"/>
      <c r="L656" s="1710"/>
      <c r="M656" s="1711"/>
      <c r="N656" s="1711"/>
      <c r="O656" s="1711"/>
      <c r="P656" s="1711"/>
      <c r="Q656" s="1711"/>
      <c r="R656" s="1711"/>
      <c r="S656" s="1711"/>
      <c r="T656" s="1711"/>
      <c r="U656" s="1711"/>
      <c r="V656" s="1711"/>
      <c r="W656" s="1711"/>
      <c r="X656" s="1711"/>
      <c r="Y656" s="1711"/>
      <c r="Z656" s="1712"/>
      <c r="AA656" s="1712"/>
      <c r="AB656" s="1712"/>
      <c r="AC656" s="1712"/>
      <c r="AD656" s="1712"/>
      <c r="AE656" s="1712"/>
      <c r="AF656" s="1712"/>
      <c r="AG656" s="1712"/>
      <c r="AH656" s="1712"/>
      <c r="AI656" s="1712"/>
      <c r="AJ656" s="1712"/>
      <c r="AK656" s="1712"/>
      <c r="AL656" s="1712"/>
      <c r="AM656" s="1712"/>
      <c r="AN656" s="1712"/>
      <c r="AO656" s="1712"/>
      <c r="AP656" s="1712"/>
      <c r="AQ656" s="1712"/>
      <c r="AR656" s="1712"/>
      <c r="AS656" s="1712"/>
      <c r="AT656" s="1712"/>
    </row>
    <row r="657">
      <c r="A657" s="1474" t="s">
        <v>2461</v>
      </c>
      <c r="B657" s="1708"/>
      <c r="C657" s="1709"/>
      <c r="D657" s="1709"/>
      <c r="E657" s="1710"/>
      <c r="F657" s="1710"/>
      <c r="G657" s="1710"/>
      <c r="H657" s="1710"/>
      <c r="I657" s="1710"/>
      <c r="J657" s="1710"/>
      <c r="K657" s="1710"/>
      <c r="L657" s="1710"/>
      <c r="M657" s="1711"/>
      <c r="N657" s="1711"/>
      <c r="O657" s="1711"/>
      <c r="P657" s="1711"/>
      <c r="Q657" s="1711"/>
      <c r="R657" s="1711"/>
      <c r="S657" s="1711"/>
      <c r="T657" s="1711"/>
      <c r="U657" s="1711"/>
      <c r="V657" s="1711"/>
      <c r="W657" s="1711"/>
      <c r="X657" s="1711"/>
      <c r="Y657" s="1711"/>
      <c r="Z657" s="1712"/>
      <c r="AA657" s="1712"/>
      <c r="AB657" s="1712"/>
      <c r="AC657" s="1712"/>
      <c r="AD657" s="1712"/>
      <c r="AE657" s="1712"/>
      <c r="AF657" s="1712"/>
      <c r="AG657" s="1712"/>
      <c r="AH657" s="1712"/>
      <c r="AI657" s="1712"/>
      <c r="AJ657" s="1712"/>
      <c r="AK657" s="1712"/>
      <c r="AL657" s="1712"/>
      <c r="AM657" s="1712"/>
      <c r="AN657" s="1712"/>
      <c r="AO657" s="1712"/>
      <c r="AP657" s="1712"/>
      <c r="AQ657" s="1712"/>
      <c r="AR657" s="1712"/>
      <c r="AS657" s="1712"/>
      <c r="AT657" s="1712"/>
    </row>
    <row r="658">
      <c r="A658" s="1474" t="s">
        <v>2461</v>
      </c>
      <c r="B658" s="1708"/>
      <c r="C658" s="1709"/>
      <c r="D658" s="1709"/>
      <c r="E658" s="1710"/>
      <c r="F658" s="1710"/>
      <c r="G658" s="1710"/>
      <c r="H658" s="1710"/>
      <c r="I658" s="1710"/>
      <c r="J658" s="1710"/>
      <c r="K658" s="1710"/>
      <c r="L658" s="1710"/>
      <c r="M658" s="1711"/>
      <c r="N658" s="1711"/>
      <c r="O658" s="1711"/>
      <c r="P658" s="1711"/>
      <c r="Q658" s="1711"/>
      <c r="R658" s="1711"/>
      <c r="S658" s="1711"/>
      <c r="T658" s="1711"/>
      <c r="U658" s="1711"/>
      <c r="V658" s="1711"/>
      <c r="W658" s="1711"/>
      <c r="X658" s="1711"/>
      <c r="Y658" s="1711"/>
      <c r="Z658" s="1712"/>
      <c r="AA658" s="1712"/>
      <c r="AB658" s="1712"/>
      <c r="AC658" s="1712"/>
      <c r="AD658" s="1712"/>
      <c r="AE658" s="1712"/>
      <c r="AF658" s="1712"/>
      <c r="AG658" s="1712"/>
      <c r="AH658" s="1712"/>
      <c r="AI658" s="1712"/>
      <c r="AJ658" s="1712"/>
      <c r="AK658" s="1712"/>
      <c r="AL658" s="1712"/>
      <c r="AM658" s="1712"/>
      <c r="AN658" s="1712"/>
      <c r="AO658" s="1712"/>
      <c r="AP658" s="1712"/>
      <c r="AQ658" s="1712"/>
      <c r="AR658" s="1712"/>
      <c r="AS658" s="1712"/>
      <c r="AT658" s="1712"/>
    </row>
    <row r="659">
      <c r="A659" s="1474" t="s">
        <v>2461</v>
      </c>
      <c r="B659" s="1708"/>
      <c r="C659" s="1709"/>
      <c r="D659" s="1709"/>
      <c r="E659" s="1710"/>
      <c r="F659" s="1710"/>
      <c r="G659" s="1710"/>
      <c r="H659" s="1710"/>
      <c r="I659" s="1710"/>
      <c r="J659" s="1710"/>
      <c r="K659" s="1710"/>
      <c r="L659" s="1710"/>
      <c r="M659" s="1711"/>
      <c r="N659" s="1711"/>
      <c r="O659" s="1711"/>
      <c r="P659" s="1711"/>
      <c r="Q659" s="1711"/>
      <c r="R659" s="1711"/>
      <c r="S659" s="1711"/>
      <c r="T659" s="1711"/>
      <c r="U659" s="1711"/>
      <c r="V659" s="1711"/>
      <c r="W659" s="1711"/>
      <c r="X659" s="1711"/>
      <c r="Y659" s="1711"/>
      <c r="Z659" s="1712"/>
      <c r="AA659" s="1712"/>
      <c r="AB659" s="1712"/>
      <c r="AC659" s="1712"/>
      <c r="AD659" s="1712"/>
      <c r="AE659" s="1712"/>
      <c r="AF659" s="1712"/>
      <c r="AG659" s="1712"/>
      <c r="AH659" s="1712"/>
      <c r="AI659" s="1712"/>
      <c r="AJ659" s="1712"/>
      <c r="AK659" s="1712"/>
      <c r="AL659" s="1712"/>
      <c r="AM659" s="1712"/>
      <c r="AN659" s="1712"/>
      <c r="AO659" s="1712"/>
      <c r="AP659" s="1712"/>
      <c r="AQ659" s="1712"/>
      <c r="AR659" s="1712"/>
      <c r="AS659" s="1712"/>
      <c r="AT659" s="1712"/>
    </row>
    <row r="660">
      <c r="A660" s="1474" t="s">
        <v>2461</v>
      </c>
      <c r="B660" s="1708"/>
      <c r="C660" s="1709"/>
      <c r="D660" s="1709"/>
      <c r="E660" s="1710"/>
      <c r="F660" s="1710"/>
      <c r="G660" s="1710"/>
      <c r="H660" s="1710"/>
      <c r="I660" s="1710"/>
      <c r="J660" s="1710"/>
      <c r="K660" s="1710"/>
      <c r="L660" s="1710"/>
      <c r="M660" s="1711"/>
      <c r="N660" s="1711"/>
      <c r="O660" s="1711"/>
      <c r="P660" s="1711"/>
      <c r="Q660" s="1711"/>
      <c r="R660" s="1711"/>
      <c r="S660" s="1711"/>
      <c r="T660" s="1711"/>
      <c r="U660" s="1711"/>
      <c r="V660" s="1711"/>
      <c r="W660" s="1711"/>
      <c r="X660" s="1711"/>
      <c r="Y660" s="1711"/>
      <c r="Z660" s="1712"/>
      <c r="AA660" s="1712"/>
      <c r="AB660" s="1712"/>
      <c r="AC660" s="1712"/>
      <c r="AD660" s="1712"/>
      <c r="AE660" s="1712"/>
      <c r="AF660" s="1712"/>
      <c r="AG660" s="1712"/>
      <c r="AH660" s="1712"/>
      <c r="AI660" s="1712"/>
      <c r="AJ660" s="1712"/>
      <c r="AK660" s="1712"/>
      <c r="AL660" s="1712"/>
      <c r="AM660" s="1712"/>
      <c r="AN660" s="1712"/>
      <c r="AO660" s="1712"/>
      <c r="AP660" s="1712"/>
      <c r="AQ660" s="1712"/>
      <c r="AR660" s="1712"/>
      <c r="AS660" s="1712"/>
      <c r="AT660" s="1712"/>
    </row>
    <row r="661">
      <c r="A661" s="1474" t="s">
        <v>2461</v>
      </c>
      <c r="B661" s="1708"/>
      <c r="C661" s="1709"/>
      <c r="D661" s="1709"/>
      <c r="E661" s="1710"/>
      <c r="F661" s="1710"/>
      <c r="G661" s="1710"/>
      <c r="H661" s="1710"/>
      <c r="I661" s="1710"/>
      <c r="J661" s="1710"/>
      <c r="K661" s="1710"/>
      <c r="L661" s="1710"/>
      <c r="M661" s="1711"/>
      <c r="N661" s="1711"/>
      <c r="O661" s="1711"/>
      <c r="P661" s="1711"/>
      <c r="Q661" s="1711"/>
      <c r="R661" s="1711"/>
      <c r="S661" s="1711"/>
      <c r="T661" s="1711"/>
      <c r="U661" s="1711"/>
      <c r="V661" s="1711"/>
      <c r="W661" s="1711"/>
      <c r="X661" s="1711"/>
      <c r="Y661" s="1711"/>
      <c r="Z661" s="1712"/>
      <c r="AA661" s="1712"/>
      <c r="AB661" s="1712"/>
      <c r="AC661" s="1712"/>
      <c r="AD661" s="1712"/>
      <c r="AE661" s="1712"/>
      <c r="AF661" s="1712"/>
      <c r="AG661" s="1712"/>
      <c r="AH661" s="1712"/>
      <c r="AI661" s="1712"/>
      <c r="AJ661" s="1712"/>
      <c r="AK661" s="1712"/>
      <c r="AL661" s="1712"/>
      <c r="AM661" s="1712"/>
      <c r="AN661" s="1712"/>
      <c r="AO661" s="1712"/>
      <c r="AP661" s="1712"/>
      <c r="AQ661" s="1712"/>
      <c r="AR661" s="1712"/>
      <c r="AS661" s="1712"/>
      <c r="AT661" s="1712"/>
    </row>
    <row r="662">
      <c r="A662" s="1474" t="s">
        <v>2461</v>
      </c>
      <c r="B662" s="1708"/>
      <c r="C662" s="1709"/>
      <c r="D662" s="1709"/>
      <c r="E662" s="1710"/>
      <c r="F662" s="1710"/>
      <c r="G662" s="1710"/>
      <c r="H662" s="1710"/>
      <c r="I662" s="1710"/>
      <c r="J662" s="1710"/>
      <c r="K662" s="1710"/>
      <c r="L662" s="1710"/>
      <c r="M662" s="1711"/>
      <c r="N662" s="1711"/>
      <c r="O662" s="1711"/>
      <c r="P662" s="1711"/>
      <c r="Q662" s="1711"/>
      <c r="R662" s="1711"/>
      <c r="S662" s="1711"/>
      <c r="T662" s="1711"/>
      <c r="U662" s="1711"/>
      <c r="V662" s="1711"/>
      <c r="W662" s="1711"/>
      <c r="X662" s="1711"/>
      <c r="Y662" s="1711"/>
      <c r="Z662" s="1712"/>
      <c r="AA662" s="1712"/>
      <c r="AB662" s="1712"/>
      <c r="AC662" s="1712"/>
      <c r="AD662" s="1712"/>
      <c r="AE662" s="1712"/>
      <c r="AF662" s="1712"/>
      <c r="AG662" s="1712"/>
      <c r="AH662" s="1712"/>
      <c r="AI662" s="1712"/>
      <c r="AJ662" s="1712"/>
      <c r="AK662" s="1712"/>
      <c r="AL662" s="1712"/>
      <c r="AM662" s="1712"/>
      <c r="AN662" s="1712"/>
      <c r="AO662" s="1712"/>
      <c r="AP662" s="1712"/>
      <c r="AQ662" s="1712"/>
      <c r="AR662" s="1712"/>
      <c r="AS662" s="1712"/>
      <c r="AT662" s="1712"/>
    </row>
    <row r="663">
      <c r="A663" s="1474" t="s">
        <v>2461</v>
      </c>
      <c r="B663" s="1708"/>
      <c r="C663" s="1709"/>
      <c r="D663" s="1709"/>
      <c r="E663" s="1710"/>
      <c r="F663" s="1710"/>
      <c r="G663" s="1710"/>
      <c r="H663" s="1710"/>
      <c r="I663" s="1710"/>
      <c r="J663" s="1710"/>
      <c r="K663" s="1710"/>
      <c r="L663" s="1710"/>
      <c r="M663" s="1711"/>
      <c r="N663" s="1711"/>
      <c r="O663" s="1711"/>
      <c r="P663" s="1711"/>
      <c r="Q663" s="1711"/>
      <c r="R663" s="1711"/>
      <c r="S663" s="1711"/>
      <c r="T663" s="1711"/>
      <c r="U663" s="1711"/>
      <c r="V663" s="1711"/>
      <c r="W663" s="1711"/>
      <c r="X663" s="1711"/>
      <c r="Y663" s="1711"/>
      <c r="Z663" s="1712"/>
      <c r="AA663" s="1712"/>
      <c r="AB663" s="1712"/>
      <c r="AC663" s="1712"/>
      <c r="AD663" s="1712"/>
      <c r="AE663" s="1712"/>
      <c r="AF663" s="1712"/>
      <c r="AG663" s="1712"/>
      <c r="AH663" s="1712"/>
      <c r="AI663" s="1712"/>
      <c r="AJ663" s="1712"/>
      <c r="AK663" s="1712"/>
      <c r="AL663" s="1712"/>
      <c r="AM663" s="1712"/>
      <c r="AN663" s="1712"/>
      <c r="AO663" s="1712"/>
      <c r="AP663" s="1712"/>
      <c r="AQ663" s="1712"/>
      <c r="AR663" s="1712"/>
      <c r="AS663" s="1712"/>
      <c r="AT663" s="1712"/>
    </row>
    <row r="664">
      <c r="A664" s="1474" t="s">
        <v>2461</v>
      </c>
      <c r="B664" s="1708"/>
      <c r="C664" s="1709"/>
      <c r="D664" s="1709"/>
      <c r="E664" s="1710"/>
      <c r="F664" s="1710"/>
      <c r="G664" s="1710"/>
      <c r="H664" s="1710"/>
      <c r="I664" s="1710"/>
      <c r="J664" s="1710"/>
      <c r="K664" s="1710"/>
      <c r="L664" s="1710"/>
      <c r="M664" s="1711"/>
      <c r="N664" s="1711"/>
      <c r="O664" s="1711"/>
      <c r="P664" s="1711"/>
      <c r="Q664" s="1711"/>
      <c r="R664" s="1711"/>
      <c r="S664" s="1711"/>
      <c r="T664" s="1711"/>
      <c r="U664" s="1711"/>
      <c r="V664" s="1711"/>
      <c r="W664" s="1711"/>
      <c r="X664" s="1711"/>
      <c r="Y664" s="1711"/>
      <c r="Z664" s="1712"/>
      <c r="AA664" s="1712"/>
      <c r="AB664" s="1712"/>
      <c r="AC664" s="1712"/>
      <c r="AD664" s="1712"/>
      <c r="AE664" s="1712"/>
      <c r="AF664" s="1712"/>
      <c r="AG664" s="1712"/>
      <c r="AH664" s="1712"/>
      <c r="AI664" s="1712"/>
      <c r="AJ664" s="1712"/>
      <c r="AK664" s="1712"/>
      <c r="AL664" s="1712"/>
      <c r="AM664" s="1712"/>
      <c r="AN664" s="1712"/>
      <c r="AO664" s="1712"/>
      <c r="AP664" s="1712"/>
      <c r="AQ664" s="1712"/>
      <c r="AR664" s="1712"/>
      <c r="AS664" s="1712"/>
      <c r="AT664" s="1712"/>
    </row>
    <row r="665">
      <c r="A665" s="1474" t="s">
        <v>2461</v>
      </c>
      <c r="B665" s="1708"/>
      <c r="C665" s="1709"/>
      <c r="D665" s="1709"/>
      <c r="E665" s="1710"/>
      <c r="F665" s="1710"/>
      <c r="G665" s="1710"/>
      <c r="H665" s="1710"/>
      <c r="I665" s="1710"/>
      <c r="J665" s="1710"/>
      <c r="K665" s="1710"/>
      <c r="L665" s="1710"/>
      <c r="M665" s="1711"/>
      <c r="N665" s="1711"/>
      <c r="O665" s="1711"/>
      <c r="P665" s="1711"/>
      <c r="Q665" s="1711"/>
      <c r="R665" s="1711"/>
      <c r="S665" s="1711"/>
      <c r="T665" s="1711"/>
      <c r="U665" s="1711"/>
      <c r="V665" s="1711"/>
      <c r="W665" s="1711"/>
      <c r="X665" s="1711"/>
      <c r="Y665" s="1711"/>
      <c r="Z665" s="1712"/>
      <c r="AA665" s="1712"/>
      <c r="AB665" s="1712"/>
      <c r="AC665" s="1712"/>
      <c r="AD665" s="1712"/>
      <c r="AE665" s="1712"/>
      <c r="AF665" s="1712"/>
      <c r="AG665" s="1712"/>
      <c r="AH665" s="1712"/>
      <c r="AI665" s="1712"/>
      <c r="AJ665" s="1712"/>
      <c r="AK665" s="1712"/>
      <c r="AL665" s="1712"/>
      <c r="AM665" s="1712"/>
      <c r="AN665" s="1712"/>
      <c r="AO665" s="1712"/>
      <c r="AP665" s="1712"/>
      <c r="AQ665" s="1712"/>
      <c r="AR665" s="1712"/>
      <c r="AS665" s="1712"/>
      <c r="AT665" s="1712"/>
    </row>
    <row r="666">
      <c r="A666" s="1474" t="s">
        <v>2461</v>
      </c>
      <c r="B666" s="1708"/>
      <c r="C666" s="1709"/>
      <c r="D666" s="1709"/>
      <c r="E666" s="1710"/>
      <c r="F666" s="1710"/>
      <c r="G666" s="1710"/>
      <c r="H666" s="1710"/>
      <c r="I666" s="1710"/>
      <c r="J666" s="1710"/>
      <c r="K666" s="1710"/>
      <c r="L666" s="1710"/>
      <c r="M666" s="1711"/>
      <c r="N666" s="1711"/>
      <c r="O666" s="1711"/>
      <c r="P666" s="1711"/>
      <c r="Q666" s="1711"/>
      <c r="R666" s="1711"/>
      <c r="S666" s="1711"/>
      <c r="T666" s="1711"/>
      <c r="U666" s="1711"/>
      <c r="V666" s="1711"/>
      <c r="W666" s="1711"/>
      <c r="X666" s="1711"/>
      <c r="Y666" s="1711"/>
      <c r="Z666" s="1712"/>
      <c r="AA666" s="1712"/>
      <c r="AB666" s="1712"/>
      <c r="AC666" s="1712"/>
      <c r="AD666" s="1712"/>
      <c r="AE666" s="1712"/>
      <c r="AF666" s="1712"/>
      <c r="AG666" s="1712"/>
      <c r="AH666" s="1712"/>
      <c r="AI666" s="1712"/>
      <c r="AJ666" s="1712"/>
      <c r="AK666" s="1712"/>
      <c r="AL666" s="1712"/>
      <c r="AM666" s="1712"/>
      <c r="AN666" s="1712"/>
      <c r="AO666" s="1712"/>
      <c r="AP666" s="1712"/>
      <c r="AQ666" s="1712"/>
      <c r="AR666" s="1712"/>
      <c r="AS666" s="1712"/>
      <c r="AT666" s="1712"/>
    </row>
    <row r="667">
      <c r="A667" s="1474" t="s">
        <v>2461</v>
      </c>
      <c r="B667" s="1708"/>
      <c r="C667" s="1709"/>
      <c r="D667" s="1709"/>
      <c r="E667" s="1710"/>
      <c r="F667" s="1710"/>
      <c r="G667" s="1710"/>
      <c r="H667" s="1710"/>
      <c r="I667" s="1710"/>
      <c r="J667" s="1710"/>
      <c r="K667" s="1710"/>
      <c r="L667" s="1710"/>
      <c r="M667" s="1711"/>
      <c r="N667" s="1711"/>
      <c r="O667" s="1711"/>
      <c r="P667" s="1711"/>
      <c r="Q667" s="1711"/>
      <c r="R667" s="1711"/>
      <c r="S667" s="1711"/>
      <c r="T667" s="1711"/>
      <c r="U667" s="1711"/>
      <c r="V667" s="1711"/>
      <c r="W667" s="1711"/>
      <c r="X667" s="1711"/>
      <c r="Y667" s="1711"/>
      <c r="Z667" s="1712"/>
      <c r="AA667" s="1712"/>
      <c r="AB667" s="1712"/>
      <c r="AC667" s="1712"/>
      <c r="AD667" s="1712"/>
      <c r="AE667" s="1712"/>
      <c r="AF667" s="1712"/>
      <c r="AG667" s="1712"/>
      <c r="AH667" s="1712"/>
      <c r="AI667" s="1712"/>
      <c r="AJ667" s="1712"/>
      <c r="AK667" s="1712"/>
      <c r="AL667" s="1712"/>
      <c r="AM667" s="1712"/>
      <c r="AN667" s="1712"/>
      <c r="AO667" s="1712"/>
      <c r="AP667" s="1712"/>
      <c r="AQ667" s="1712"/>
      <c r="AR667" s="1712"/>
      <c r="AS667" s="1712"/>
      <c r="AT667" s="1712"/>
    </row>
    <row r="668">
      <c r="A668" s="1474" t="s">
        <v>2461</v>
      </c>
      <c r="B668" s="1708"/>
      <c r="C668" s="1709"/>
      <c r="D668" s="1709"/>
      <c r="E668" s="1710"/>
      <c r="F668" s="1710"/>
      <c r="G668" s="1710"/>
      <c r="H668" s="1710"/>
      <c r="I668" s="1710"/>
      <c r="J668" s="1710"/>
      <c r="K668" s="1710"/>
      <c r="L668" s="1710"/>
      <c r="M668" s="1711"/>
      <c r="N668" s="1711"/>
      <c r="O668" s="1711"/>
      <c r="P668" s="1711"/>
      <c r="Q668" s="1711"/>
      <c r="R668" s="1711"/>
      <c r="S668" s="1711"/>
      <c r="T668" s="1711"/>
      <c r="U668" s="1711"/>
      <c r="V668" s="1711"/>
      <c r="W668" s="1711"/>
      <c r="X668" s="1711"/>
      <c r="Y668" s="1711"/>
      <c r="Z668" s="1712"/>
      <c r="AA668" s="1712"/>
      <c r="AB668" s="1712"/>
      <c r="AC668" s="1712"/>
      <c r="AD668" s="1712"/>
      <c r="AE668" s="1712"/>
      <c r="AF668" s="1712"/>
      <c r="AG668" s="1712"/>
      <c r="AH668" s="1712"/>
      <c r="AI668" s="1712"/>
      <c r="AJ668" s="1712"/>
      <c r="AK668" s="1712"/>
      <c r="AL668" s="1712"/>
      <c r="AM668" s="1712"/>
      <c r="AN668" s="1712"/>
      <c r="AO668" s="1712"/>
      <c r="AP668" s="1712"/>
      <c r="AQ668" s="1712"/>
      <c r="AR668" s="1712"/>
      <c r="AS668" s="1712"/>
      <c r="AT668" s="1712"/>
    </row>
    <row r="669">
      <c r="A669" s="1474" t="s">
        <v>2461</v>
      </c>
      <c r="B669" s="1708"/>
      <c r="C669" s="1709"/>
      <c r="D669" s="1709"/>
      <c r="E669" s="1710"/>
      <c r="F669" s="1710"/>
      <c r="G669" s="1710"/>
      <c r="H669" s="1710"/>
      <c r="I669" s="1710"/>
      <c r="J669" s="1710"/>
      <c r="K669" s="1710"/>
      <c r="L669" s="1710"/>
      <c r="M669" s="1711"/>
      <c r="N669" s="1711"/>
      <c r="O669" s="1711"/>
      <c r="P669" s="1711"/>
      <c r="Q669" s="1711"/>
      <c r="R669" s="1711"/>
      <c r="S669" s="1711"/>
      <c r="T669" s="1711"/>
      <c r="U669" s="1711"/>
      <c r="V669" s="1711"/>
      <c r="W669" s="1711"/>
      <c r="X669" s="1711"/>
      <c r="Y669" s="1711"/>
      <c r="Z669" s="1712"/>
      <c r="AA669" s="1712"/>
      <c r="AB669" s="1712"/>
      <c r="AC669" s="1712"/>
      <c r="AD669" s="1712"/>
      <c r="AE669" s="1712"/>
      <c r="AF669" s="1712"/>
      <c r="AG669" s="1712"/>
      <c r="AH669" s="1712"/>
      <c r="AI669" s="1712"/>
      <c r="AJ669" s="1712"/>
      <c r="AK669" s="1712"/>
      <c r="AL669" s="1712"/>
      <c r="AM669" s="1712"/>
      <c r="AN669" s="1712"/>
      <c r="AO669" s="1712"/>
      <c r="AP669" s="1712"/>
      <c r="AQ669" s="1712"/>
      <c r="AR669" s="1712"/>
      <c r="AS669" s="1712"/>
      <c r="AT669" s="1712"/>
    </row>
    <row r="670">
      <c r="A670" s="1474" t="s">
        <v>2461</v>
      </c>
      <c r="B670" s="1708"/>
      <c r="C670" s="1709"/>
      <c r="D670" s="1709"/>
      <c r="E670" s="1710"/>
      <c r="F670" s="1710"/>
      <c r="G670" s="1710"/>
      <c r="H670" s="1710"/>
      <c r="I670" s="1710"/>
      <c r="J670" s="1710"/>
      <c r="K670" s="1710"/>
      <c r="L670" s="1710"/>
      <c r="M670" s="1711"/>
      <c r="N670" s="1711"/>
      <c r="O670" s="1711"/>
      <c r="P670" s="1711"/>
      <c r="Q670" s="1711"/>
      <c r="R670" s="1711"/>
      <c r="S670" s="1711"/>
      <c r="T670" s="1711"/>
      <c r="U670" s="1711"/>
      <c r="V670" s="1711"/>
      <c r="W670" s="1711"/>
      <c r="X670" s="1711"/>
      <c r="Y670" s="1711"/>
      <c r="Z670" s="1712"/>
      <c r="AA670" s="1712"/>
      <c r="AB670" s="1712"/>
      <c r="AC670" s="1712"/>
      <c r="AD670" s="1712"/>
      <c r="AE670" s="1712"/>
      <c r="AF670" s="1712"/>
      <c r="AG670" s="1712"/>
      <c r="AH670" s="1712"/>
      <c r="AI670" s="1712"/>
      <c r="AJ670" s="1712"/>
      <c r="AK670" s="1712"/>
      <c r="AL670" s="1712"/>
      <c r="AM670" s="1712"/>
      <c r="AN670" s="1712"/>
      <c r="AO670" s="1712"/>
      <c r="AP670" s="1712"/>
      <c r="AQ670" s="1712"/>
      <c r="AR670" s="1712"/>
      <c r="AS670" s="1712"/>
      <c r="AT670" s="1712"/>
    </row>
    <row r="671">
      <c r="A671" s="1474" t="s">
        <v>2461</v>
      </c>
      <c r="B671" s="1708"/>
      <c r="C671" s="1709"/>
      <c r="D671" s="1709"/>
      <c r="E671" s="1710"/>
      <c r="F671" s="1710"/>
      <c r="G671" s="1710"/>
      <c r="H671" s="1710"/>
      <c r="I671" s="1710"/>
      <c r="J671" s="1710"/>
      <c r="K671" s="1710"/>
      <c r="L671" s="1710"/>
      <c r="M671" s="1711"/>
      <c r="N671" s="1711"/>
      <c r="O671" s="1711"/>
      <c r="P671" s="1711"/>
      <c r="Q671" s="1711"/>
      <c r="R671" s="1711"/>
      <c r="S671" s="1711"/>
      <c r="T671" s="1711"/>
      <c r="U671" s="1711"/>
      <c r="V671" s="1711"/>
      <c r="W671" s="1711"/>
      <c r="X671" s="1711"/>
      <c r="Y671" s="1711"/>
      <c r="Z671" s="1712"/>
      <c r="AA671" s="1712"/>
      <c r="AB671" s="1712"/>
      <c r="AC671" s="1712"/>
      <c r="AD671" s="1712"/>
      <c r="AE671" s="1712"/>
      <c r="AF671" s="1712"/>
      <c r="AG671" s="1712"/>
      <c r="AH671" s="1712"/>
      <c r="AI671" s="1712"/>
      <c r="AJ671" s="1712"/>
      <c r="AK671" s="1712"/>
      <c r="AL671" s="1712"/>
      <c r="AM671" s="1712"/>
      <c r="AN671" s="1712"/>
      <c r="AO671" s="1712"/>
      <c r="AP671" s="1712"/>
      <c r="AQ671" s="1712"/>
      <c r="AR671" s="1712"/>
      <c r="AS671" s="1712"/>
      <c r="AT671" s="1712"/>
    </row>
    <row r="672">
      <c r="A672" s="1474" t="s">
        <v>2461</v>
      </c>
      <c r="B672" s="1708"/>
      <c r="C672" s="1709"/>
      <c r="D672" s="1709"/>
      <c r="E672" s="1710"/>
      <c r="F672" s="1710"/>
      <c r="G672" s="1710"/>
      <c r="H672" s="1710"/>
      <c r="I672" s="1710"/>
      <c r="J672" s="1710"/>
      <c r="K672" s="1710"/>
      <c r="L672" s="1710"/>
      <c r="M672" s="1711"/>
      <c r="N672" s="1711"/>
      <c r="O672" s="1711"/>
      <c r="P672" s="1711"/>
      <c r="Q672" s="1711"/>
      <c r="R672" s="1711"/>
      <c r="S672" s="1711"/>
      <c r="T672" s="1711"/>
      <c r="U672" s="1711"/>
      <c r="V672" s="1711"/>
      <c r="W672" s="1711"/>
      <c r="X672" s="1711"/>
      <c r="Y672" s="1711"/>
      <c r="Z672" s="1712"/>
      <c r="AA672" s="1712"/>
      <c r="AB672" s="1712"/>
      <c r="AC672" s="1712"/>
      <c r="AD672" s="1712"/>
      <c r="AE672" s="1712"/>
      <c r="AF672" s="1712"/>
      <c r="AG672" s="1712"/>
      <c r="AH672" s="1712"/>
      <c r="AI672" s="1712"/>
      <c r="AJ672" s="1712"/>
      <c r="AK672" s="1712"/>
      <c r="AL672" s="1712"/>
      <c r="AM672" s="1712"/>
      <c r="AN672" s="1712"/>
      <c r="AO672" s="1712"/>
      <c r="AP672" s="1712"/>
      <c r="AQ672" s="1712"/>
      <c r="AR672" s="1712"/>
      <c r="AS672" s="1712"/>
      <c r="AT672" s="1712"/>
    </row>
    <row r="673">
      <c r="A673" s="1474" t="s">
        <v>2461</v>
      </c>
      <c r="B673" s="1708"/>
      <c r="C673" s="1709"/>
      <c r="D673" s="1709"/>
      <c r="E673" s="1710"/>
      <c r="F673" s="1710"/>
      <c r="G673" s="1710"/>
      <c r="H673" s="1710"/>
      <c r="I673" s="1710"/>
      <c r="J673" s="1710"/>
      <c r="K673" s="1710"/>
      <c r="L673" s="1710"/>
      <c r="M673" s="1711"/>
      <c r="N673" s="1711"/>
      <c r="O673" s="1711"/>
      <c r="P673" s="1711"/>
      <c r="Q673" s="1711"/>
      <c r="R673" s="1711"/>
      <c r="S673" s="1711"/>
      <c r="T673" s="1711"/>
      <c r="U673" s="1711"/>
      <c r="V673" s="1711"/>
      <c r="W673" s="1711"/>
      <c r="X673" s="1711"/>
      <c r="Y673" s="1711"/>
      <c r="Z673" s="1712"/>
      <c r="AA673" s="1712"/>
      <c r="AB673" s="1712"/>
      <c r="AC673" s="1712"/>
      <c r="AD673" s="1712"/>
      <c r="AE673" s="1712"/>
      <c r="AF673" s="1712"/>
      <c r="AG673" s="1712"/>
      <c r="AH673" s="1712"/>
      <c r="AI673" s="1712"/>
      <c r="AJ673" s="1712"/>
      <c r="AK673" s="1712"/>
      <c r="AL673" s="1712"/>
      <c r="AM673" s="1712"/>
      <c r="AN673" s="1712"/>
      <c r="AO673" s="1712"/>
      <c r="AP673" s="1712"/>
      <c r="AQ673" s="1712"/>
      <c r="AR673" s="1712"/>
      <c r="AS673" s="1712"/>
      <c r="AT673" s="1712"/>
    </row>
    <row r="674">
      <c r="A674" s="1474" t="s">
        <v>2461</v>
      </c>
      <c r="B674" s="1708"/>
      <c r="C674" s="1709"/>
      <c r="D674" s="1709"/>
      <c r="E674" s="1710"/>
      <c r="F674" s="1710"/>
      <c r="G674" s="1710"/>
      <c r="H674" s="1710"/>
      <c r="I674" s="1710"/>
      <c r="J674" s="1710"/>
      <c r="K674" s="1710"/>
      <c r="L674" s="1710"/>
      <c r="M674" s="1711"/>
      <c r="N674" s="1711"/>
      <c r="O674" s="1711"/>
      <c r="P674" s="1711"/>
      <c r="Q674" s="1711"/>
      <c r="R674" s="1711"/>
      <c r="S674" s="1711"/>
      <c r="T674" s="1711"/>
      <c r="U674" s="1711"/>
      <c r="V674" s="1711"/>
      <c r="W674" s="1711"/>
      <c r="X674" s="1711"/>
      <c r="Y674" s="1711"/>
      <c r="Z674" s="1712"/>
      <c r="AA674" s="1712"/>
      <c r="AB674" s="1712"/>
      <c r="AC674" s="1712"/>
      <c r="AD674" s="1712"/>
      <c r="AE674" s="1712"/>
      <c r="AF674" s="1712"/>
      <c r="AG674" s="1712"/>
      <c r="AH674" s="1712"/>
      <c r="AI674" s="1712"/>
      <c r="AJ674" s="1712"/>
      <c r="AK674" s="1712"/>
      <c r="AL674" s="1712"/>
      <c r="AM674" s="1712"/>
      <c r="AN674" s="1712"/>
      <c r="AO674" s="1712"/>
      <c r="AP674" s="1712"/>
      <c r="AQ674" s="1712"/>
      <c r="AR674" s="1712"/>
      <c r="AS674" s="1712"/>
      <c r="AT674" s="1712"/>
    </row>
    <row r="675">
      <c r="A675" s="1474" t="s">
        <v>2461</v>
      </c>
      <c r="B675" s="1708"/>
      <c r="C675" s="1709"/>
      <c r="D675" s="1709"/>
      <c r="E675" s="1710"/>
      <c r="F675" s="1710"/>
      <c r="G675" s="1710"/>
      <c r="H675" s="1710"/>
      <c r="I675" s="1710"/>
      <c r="J675" s="1710"/>
      <c r="K675" s="1710"/>
      <c r="L675" s="1710"/>
      <c r="M675" s="1711"/>
      <c r="N675" s="1711"/>
      <c r="O675" s="1711"/>
      <c r="P675" s="1711"/>
      <c r="Q675" s="1711"/>
      <c r="R675" s="1711"/>
      <c r="S675" s="1711"/>
      <c r="T675" s="1711"/>
      <c r="U675" s="1711"/>
      <c r="V675" s="1711"/>
      <c r="W675" s="1711"/>
      <c r="X675" s="1711"/>
      <c r="Y675" s="1711"/>
      <c r="Z675" s="1712"/>
      <c r="AA675" s="1712"/>
      <c r="AB675" s="1712"/>
      <c r="AC675" s="1712"/>
      <c r="AD675" s="1712"/>
      <c r="AE675" s="1712"/>
      <c r="AF675" s="1712"/>
      <c r="AG675" s="1712"/>
      <c r="AH675" s="1712"/>
      <c r="AI675" s="1712"/>
      <c r="AJ675" s="1712"/>
      <c r="AK675" s="1712"/>
      <c r="AL675" s="1712"/>
      <c r="AM675" s="1712"/>
      <c r="AN675" s="1712"/>
      <c r="AO675" s="1712"/>
      <c r="AP675" s="1712"/>
      <c r="AQ675" s="1712"/>
      <c r="AR675" s="1712"/>
      <c r="AS675" s="1712"/>
      <c r="AT675" s="1712"/>
    </row>
    <row r="676">
      <c r="A676" s="1474" t="s">
        <v>2461</v>
      </c>
      <c r="B676" s="1708"/>
      <c r="C676" s="1709"/>
      <c r="D676" s="1709"/>
      <c r="E676" s="1710"/>
      <c r="F676" s="1710"/>
      <c r="G676" s="1710"/>
      <c r="H676" s="1710"/>
      <c r="I676" s="1710"/>
      <c r="J676" s="1710"/>
      <c r="K676" s="1710"/>
      <c r="L676" s="1710"/>
      <c r="M676" s="1711"/>
      <c r="N676" s="1711"/>
      <c r="O676" s="1711"/>
      <c r="P676" s="1711"/>
      <c r="Q676" s="1711"/>
      <c r="R676" s="1711"/>
      <c r="S676" s="1711"/>
      <c r="T676" s="1711"/>
      <c r="U676" s="1711"/>
      <c r="V676" s="1711"/>
      <c r="W676" s="1711"/>
      <c r="X676" s="1711"/>
      <c r="Y676" s="1711"/>
      <c r="Z676" s="1712"/>
      <c r="AA676" s="1712"/>
      <c r="AB676" s="1712"/>
      <c r="AC676" s="1712"/>
      <c r="AD676" s="1712"/>
      <c r="AE676" s="1712"/>
      <c r="AF676" s="1712"/>
      <c r="AG676" s="1712"/>
      <c r="AH676" s="1712"/>
      <c r="AI676" s="1712"/>
      <c r="AJ676" s="1712"/>
      <c r="AK676" s="1712"/>
      <c r="AL676" s="1712"/>
      <c r="AM676" s="1712"/>
      <c r="AN676" s="1712"/>
      <c r="AO676" s="1712"/>
      <c r="AP676" s="1712"/>
      <c r="AQ676" s="1712"/>
      <c r="AR676" s="1712"/>
      <c r="AS676" s="1712"/>
      <c r="AT676" s="1712"/>
    </row>
    <row r="677">
      <c r="A677" s="1474" t="s">
        <v>2461</v>
      </c>
      <c r="B677" s="1708"/>
      <c r="C677" s="1709"/>
      <c r="D677" s="1709"/>
      <c r="E677" s="1710"/>
      <c r="F677" s="1710"/>
      <c r="G677" s="1710"/>
      <c r="H677" s="1710"/>
      <c r="I677" s="1710"/>
      <c r="J677" s="1710"/>
      <c r="K677" s="1710"/>
      <c r="L677" s="1710"/>
      <c r="M677" s="1711"/>
      <c r="N677" s="1711"/>
      <c r="O677" s="1711"/>
      <c r="P677" s="1711"/>
      <c r="Q677" s="1711"/>
      <c r="R677" s="1711"/>
      <c r="S677" s="1711"/>
      <c r="T677" s="1711"/>
      <c r="U677" s="1711"/>
      <c r="V677" s="1711"/>
      <c r="W677" s="1711"/>
      <c r="X677" s="1711"/>
      <c r="Y677" s="1711"/>
      <c r="Z677" s="1712"/>
      <c r="AA677" s="1712"/>
      <c r="AB677" s="1712"/>
      <c r="AC677" s="1712"/>
      <c r="AD677" s="1712"/>
      <c r="AE677" s="1712"/>
      <c r="AF677" s="1712"/>
      <c r="AG677" s="1712"/>
      <c r="AH677" s="1712"/>
      <c r="AI677" s="1712"/>
      <c r="AJ677" s="1712"/>
      <c r="AK677" s="1712"/>
      <c r="AL677" s="1712"/>
      <c r="AM677" s="1712"/>
      <c r="AN677" s="1712"/>
      <c r="AO677" s="1712"/>
      <c r="AP677" s="1712"/>
      <c r="AQ677" s="1712"/>
      <c r="AR677" s="1712"/>
      <c r="AS677" s="1712"/>
      <c r="AT677" s="1712"/>
    </row>
    <row r="678">
      <c r="A678" s="1474" t="s">
        <v>2461</v>
      </c>
      <c r="B678" s="1708"/>
      <c r="C678" s="1709"/>
      <c r="D678" s="1709"/>
      <c r="E678" s="1710"/>
      <c r="F678" s="1710"/>
      <c r="G678" s="1710"/>
      <c r="H678" s="1710"/>
      <c r="I678" s="1710"/>
      <c r="J678" s="1710"/>
      <c r="K678" s="1710"/>
      <c r="L678" s="1710"/>
      <c r="M678" s="1711"/>
      <c r="N678" s="1711"/>
      <c r="O678" s="1711"/>
      <c r="P678" s="1711"/>
      <c r="Q678" s="1711"/>
      <c r="R678" s="1711"/>
      <c r="S678" s="1711"/>
      <c r="T678" s="1711"/>
      <c r="U678" s="1711"/>
      <c r="V678" s="1711"/>
      <c r="W678" s="1711"/>
      <c r="X678" s="1711"/>
      <c r="Y678" s="1711"/>
      <c r="Z678" s="1712"/>
      <c r="AA678" s="1712"/>
      <c r="AB678" s="1712"/>
      <c r="AC678" s="1712"/>
      <c r="AD678" s="1712"/>
      <c r="AE678" s="1712"/>
      <c r="AF678" s="1712"/>
      <c r="AG678" s="1712"/>
      <c r="AH678" s="1712"/>
      <c r="AI678" s="1712"/>
      <c r="AJ678" s="1712"/>
      <c r="AK678" s="1712"/>
      <c r="AL678" s="1712"/>
      <c r="AM678" s="1712"/>
      <c r="AN678" s="1712"/>
      <c r="AO678" s="1712"/>
      <c r="AP678" s="1712"/>
      <c r="AQ678" s="1712"/>
      <c r="AR678" s="1712"/>
      <c r="AS678" s="1712"/>
      <c r="AT678" s="1712"/>
    </row>
    <row r="679">
      <c r="A679" s="1474" t="s">
        <v>2461</v>
      </c>
      <c r="B679" s="1708"/>
      <c r="C679" s="1709"/>
      <c r="D679" s="1709"/>
      <c r="E679" s="1710"/>
      <c r="F679" s="1710"/>
      <c r="G679" s="1710"/>
      <c r="H679" s="1710"/>
      <c r="I679" s="1710"/>
      <c r="J679" s="1710"/>
      <c r="K679" s="1710"/>
      <c r="L679" s="1710"/>
      <c r="M679" s="1711"/>
      <c r="N679" s="1711"/>
      <c r="O679" s="1711"/>
      <c r="P679" s="1711"/>
      <c r="Q679" s="1711"/>
      <c r="R679" s="1711"/>
      <c r="S679" s="1711"/>
      <c r="T679" s="1711"/>
      <c r="U679" s="1711"/>
      <c r="V679" s="1711"/>
      <c r="W679" s="1711"/>
      <c r="X679" s="1711"/>
      <c r="Y679" s="1711"/>
      <c r="Z679" s="1712"/>
      <c r="AA679" s="1712"/>
      <c r="AB679" s="1712"/>
      <c r="AC679" s="1712"/>
      <c r="AD679" s="1712"/>
      <c r="AE679" s="1712"/>
      <c r="AF679" s="1712"/>
      <c r="AG679" s="1712"/>
      <c r="AH679" s="1712"/>
      <c r="AI679" s="1712"/>
      <c r="AJ679" s="1712"/>
      <c r="AK679" s="1712"/>
      <c r="AL679" s="1712"/>
      <c r="AM679" s="1712"/>
      <c r="AN679" s="1712"/>
      <c r="AO679" s="1712"/>
      <c r="AP679" s="1712"/>
      <c r="AQ679" s="1712"/>
      <c r="AR679" s="1712"/>
      <c r="AS679" s="1712"/>
      <c r="AT679" s="1712"/>
    </row>
    <row r="680">
      <c r="A680" s="1474" t="s">
        <v>2461</v>
      </c>
      <c r="B680" s="1708"/>
      <c r="C680" s="1709"/>
      <c r="D680" s="1709"/>
      <c r="E680" s="1710"/>
      <c r="F680" s="1710"/>
      <c r="G680" s="1710"/>
      <c r="H680" s="1710"/>
      <c r="I680" s="1710"/>
      <c r="J680" s="1710"/>
      <c r="K680" s="1710"/>
      <c r="L680" s="1710"/>
      <c r="M680" s="1711"/>
      <c r="N680" s="1711"/>
      <c r="O680" s="1711"/>
      <c r="P680" s="1711"/>
      <c r="Q680" s="1711"/>
      <c r="R680" s="1711"/>
      <c r="S680" s="1711"/>
      <c r="T680" s="1711"/>
      <c r="U680" s="1711"/>
      <c r="V680" s="1711"/>
      <c r="W680" s="1711"/>
      <c r="X680" s="1711"/>
      <c r="Y680" s="1711"/>
      <c r="Z680" s="1712"/>
      <c r="AA680" s="1712"/>
      <c r="AB680" s="1712"/>
      <c r="AC680" s="1712"/>
      <c r="AD680" s="1712"/>
      <c r="AE680" s="1712"/>
      <c r="AF680" s="1712"/>
      <c r="AG680" s="1712"/>
      <c r="AH680" s="1712"/>
      <c r="AI680" s="1712"/>
      <c r="AJ680" s="1712"/>
      <c r="AK680" s="1712"/>
      <c r="AL680" s="1712"/>
      <c r="AM680" s="1712"/>
      <c r="AN680" s="1712"/>
      <c r="AO680" s="1712"/>
      <c r="AP680" s="1712"/>
      <c r="AQ680" s="1712"/>
      <c r="AR680" s="1712"/>
      <c r="AS680" s="1712"/>
      <c r="AT680" s="1712"/>
    </row>
    <row r="681">
      <c r="A681" s="1474" t="s">
        <v>2461</v>
      </c>
      <c r="B681" s="1708"/>
      <c r="C681" s="1709"/>
      <c r="D681" s="1709"/>
      <c r="E681" s="1710"/>
      <c r="F681" s="1710"/>
      <c r="G681" s="1710"/>
      <c r="H681" s="1710"/>
      <c r="I681" s="1710"/>
      <c r="J681" s="1710"/>
      <c r="K681" s="1710"/>
      <c r="L681" s="1710"/>
      <c r="M681" s="1711"/>
      <c r="N681" s="1711"/>
      <c r="O681" s="1711"/>
      <c r="P681" s="1711"/>
      <c r="Q681" s="1711"/>
      <c r="R681" s="1711"/>
      <c r="S681" s="1711"/>
      <c r="T681" s="1711"/>
      <c r="U681" s="1711"/>
      <c r="V681" s="1711"/>
      <c r="W681" s="1711"/>
      <c r="X681" s="1711"/>
      <c r="Y681" s="1711"/>
      <c r="Z681" s="1712"/>
      <c r="AA681" s="1712"/>
      <c r="AB681" s="1712"/>
      <c r="AC681" s="1712"/>
      <c r="AD681" s="1712"/>
      <c r="AE681" s="1712"/>
      <c r="AF681" s="1712"/>
      <c r="AG681" s="1712"/>
      <c r="AH681" s="1712"/>
      <c r="AI681" s="1712"/>
      <c r="AJ681" s="1712"/>
      <c r="AK681" s="1712"/>
      <c r="AL681" s="1712"/>
      <c r="AM681" s="1712"/>
      <c r="AN681" s="1712"/>
      <c r="AO681" s="1712"/>
      <c r="AP681" s="1712"/>
      <c r="AQ681" s="1712"/>
      <c r="AR681" s="1712"/>
      <c r="AS681" s="1712"/>
      <c r="AT681" s="1712"/>
    </row>
    <row r="682">
      <c r="A682" s="1474" t="s">
        <v>2461</v>
      </c>
      <c r="B682" s="1708"/>
      <c r="C682" s="1709"/>
      <c r="D682" s="1709"/>
      <c r="E682" s="1710"/>
      <c r="F682" s="1710"/>
      <c r="G682" s="1710"/>
      <c r="H682" s="1710"/>
      <c r="I682" s="1710"/>
      <c r="J682" s="1710"/>
      <c r="K682" s="1710"/>
      <c r="L682" s="1710"/>
      <c r="M682" s="1711"/>
      <c r="N682" s="1711"/>
      <c r="O682" s="1711"/>
      <c r="P682" s="1711"/>
      <c r="Q682" s="1711"/>
      <c r="R682" s="1711"/>
      <c r="S682" s="1711"/>
      <c r="T682" s="1711"/>
      <c r="U682" s="1711"/>
      <c r="V682" s="1711"/>
      <c r="W682" s="1711"/>
      <c r="X682" s="1711"/>
      <c r="Y682" s="1711"/>
      <c r="Z682" s="1712"/>
      <c r="AA682" s="1712"/>
      <c r="AB682" s="1712"/>
      <c r="AC682" s="1712"/>
      <c r="AD682" s="1712"/>
      <c r="AE682" s="1712"/>
      <c r="AF682" s="1712"/>
      <c r="AG682" s="1712"/>
      <c r="AH682" s="1712"/>
      <c r="AI682" s="1712"/>
      <c r="AJ682" s="1712"/>
      <c r="AK682" s="1712"/>
      <c r="AL682" s="1712"/>
      <c r="AM682" s="1712"/>
      <c r="AN682" s="1712"/>
      <c r="AO682" s="1712"/>
      <c r="AP682" s="1712"/>
      <c r="AQ682" s="1712"/>
      <c r="AR682" s="1712"/>
      <c r="AS682" s="1712"/>
      <c r="AT682" s="1712"/>
    </row>
    <row r="683">
      <c r="A683" s="1474" t="s">
        <v>2461</v>
      </c>
      <c r="B683" s="1708"/>
      <c r="C683" s="1709"/>
      <c r="D683" s="1709"/>
      <c r="E683" s="1710"/>
      <c r="F683" s="1710"/>
      <c r="G683" s="1710"/>
      <c r="H683" s="1710"/>
      <c r="I683" s="1710"/>
      <c r="J683" s="1710"/>
      <c r="K683" s="1710"/>
      <c r="L683" s="1710"/>
      <c r="M683" s="1711"/>
      <c r="N683" s="1711"/>
      <c r="O683" s="1711"/>
      <c r="P683" s="1711"/>
      <c r="Q683" s="1711"/>
      <c r="R683" s="1711"/>
      <c r="S683" s="1711"/>
      <c r="T683" s="1711"/>
      <c r="U683" s="1711"/>
      <c r="V683" s="1711"/>
      <c r="W683" s="1711"/>
      <c r="X683" s="1711"/>
      <c r="Y683" s="1711"/>
      <c r="Z683" s="1712"/>
      <c r="AA683" s="1712"/>
      <c r="AB683" s="1712"/>
      <c r="AC683" s="1712"/>
      <c r="AD683" s="1712"/>
      <c r="AE683" s="1712"/>
      <c r="AF683" s="1712"/>
      <c r="AG683" s="1712"/>
      <c r="AH683" s="1712"/>
      <c r="AI683" s="1712"/>
      <c r="AJ683" s="1712"/>
      <c r="AK683" s="1712"/>
      <c r="AL683" s="1712"/>
      <c r="AM683" s="1712"/>
      <c r="AN683" s="1712"/>
      <c r="AO683" s="1712"/>
      <c r="AP683" s="1712"/>
      <c r="AQ683" s="1712"/>
      <c r="AR683" s="1712"/>
      <c r="AS683" s="1712"/>
      <c r="AT683" s="1712"/>
    </row>
    <row r="684">
      <c r="A684" s="1474" t="s">
        <v>2461</v>
      </c>
      <c r="B684" s="1708"/>
      <c r="C684" s="1709"/>
      <c r="D684" s="1709"/>
      <c r="E684" s="1710"/>
      <c r="F684" s="1710"/>
      <c r="G684" s="1710"/>
      <c r="H684" s="1710"/>
      <c r="I684" s="1710"/>
      <c r="J684" s="1710"/>
      <c r="K684" s="1710"/>
      <c r="L684" s="1710"/>
      <c r="M684" s="1711"/>
      <c r="N684" s="1711"/>
      <c r="O684" s="1711"/>
      <c r="P684" s="1711"/>
      <c r="Q684" s="1711"/>
      <c r="R684" s="1711"/>
      <c r="S684" s="1711"/>
      <c r="T684" s="1711"/>
      <c r="U684" s="1711"/>
      <c r="V684" s="1711"/>
      <c r="W684" s="1711"/>
      <c r="X684" s="1711"/>
      <c r="Y684" s="1711"/>
      <c r="Z684" s="1712"/>
      <c r="AA684" s="1712"/>
      <c r="AB684" s="1712"/>
      <c r="AC684" s="1712"/>
      <c r="AD684" s="1712"/>
      <c r="AE684" s="1712"/>
      <c r="AF684" s="1712"/>
      <c r="AG684" s="1712"/>
      <c r="AH684" s="1712"/>
      <c r="AI684" s="1712"/>
      <c r="AJ684" s="1712"/>
      <c r="AK684" s="1712"/>
      <c r="AL684" s="1712"/>
      <c r="AM684" s="1712"/>
      <c r="AN684" s="1712"/>
      <c r="AO684" s="1712"/>
      <c r="AP684" s="1712"/>
      <c r="AQ684" s="1712"/>
      <c r="AR684" s="1712"/>
      <c r="AS684" s="1712"/>
      <c r="AT684" s="1712"/>
    </row>
    <row r="685">
      <c r="A685" s="1474" t="s">
        <v>2461</v>
      </c>
      <c r="B685" s="1708"/>
      <c r="C685" s="1709"/>
      <c r="D685" s="1709"/>
      <c r="E685" s="1710"/>
      <c r="F685" s="1710"/>
      <c r="G685" s="1710"/>
      <c r="H685" s="1710"/>
      <c r="I685" s="1710"/>
      <c r="J685" s="1710"/>
      <c r="K685" s="1710"/>
      <c r="L685" s="1710"/>
      <c r="M685" s="1711"/>
      <c r="N685" s="1711"/>
      <c r="O685" s="1711"/>
      <c r="P685" s="1711"/>
      <c r="Q685" s="1711"/>
      <c r="R685" s="1711"/>
      <c r="S685" s="1711"/>
      <c r="T685" s="1711"/>
      <c r="U685" s="1711"/>
      <c r="V685" s="1711"/>
      <c r="W685" s="1711"/>
      <c r="X685" s="1711"/>
      <c r="Y685" s="1711"/>
      <c r="Z685" s="1712"/>
      <c r="AA685" s="1712"/>
      <c r="AB685" s="1712"/>
      <c r="AC685" s="1712"/>
      <c r="AD685" s="1712"/>
      <c r="AE685" s="1712"/>
      <c r="AF685" s="1712"/>
      <c r="AG685" s="1712"/>
      <c r="AH685" s="1712"/>
      <c r="AI685" s="1712"/>
      <c r="AJ685" s="1712"/>
      <c r="AK685" s="1712"/>
      <c r="AL685" s="1712"/>
      <c r="AM685" s="1712"/>
      <c r="AN685" s="1712"/>
      <c r="AO685" s="1712"/>
      <c r="AP685" s="1712"/>
      <c r="AQ685" s="1712"/>
      <c r="AR685" s="1712"/>
      <c r="AS685" s="1712"/>
      <c r="AT685" s="1712"/>
    </row>
    <row r="686">
      <c r="A686" s="1474" t="s">
        <v>2461</v>
      </c>
      <c r="B686" s="1708"/>
      <c r="C686" s="1709"/>
      <c r="D686" s="1709"/>
      <c r="E686" s="1710"/>
      <c r="F686" s="1710"/>
      <c r="G686" s="1710"/>
      <c r="H686" s="1710"/>
      <c r="I686" s="1710"/>
      <c r="J686" s="1710"/>
      <c r="K686" s="1710"/>
      <c r="L686" s="1710"/>
      <c r="M686" s="1711"/>
      <c r="N686" s="1711"/>
      <c r="O686" s="1711"/>
      <c r="P686" s="1711"/>
      <c r="Q686" s="1711"/>
      <c r="R686" s="1711"/>
      <c r="S686" s="1711"/>
      <c r="T686" s="1711"/>
      <c r="U686" s="1711"/>
      <c r="V686" s="1711"/>
      <c r="W686" s="1711"/>
      <c r="X686" s="1711"/>
      <c r="Y686" s="1711"/>
      <c r="Z686" s="1712"/>
      <c r="AA686" s="1712"/>
      <c r="AB686" s="1712"/>
      <c r="AC686" s="1712"/>
      <c r="AD686" s="1712"/>
      <c r="AE686" s="1712"/>
      <c r="AF686" s="1712"/>
      <c r="AG686" s="1712"/>
      <c r="AH686" s="1712"/>
      <c r="AI686" s="1712"/>
      <c r="AJ686" s="1712"/>
      <c r="AK686" s="1712"/>
      <c r="AL686" s="1712"/>
      <c r="AM686" s="1712"/>
      <c r="AN686" s="1712"/>
      <c r="AO686" s="1712"/>
      <c r="AP686" s="1712"/>
      <c r="AQ686" s="1712"/>
      <c r="AR686" s="1712"/>
      <c r="AS686" s="1712"/>
      <c r="AT686" s="1712"/>
    </row>
    <row r="687">
      <c r="A687" s="1474" t="s">
        <v>2461</v>
      </c>
      <c r="B687" s="1708"/>
      <c r="C687" s="1709"/>
      <c r="D687" s="1709"/>
      <c r="E687" s="1710"/>
      <c r="F687" s="1710"/>
      <c r="G687" s="1710"/>
      <c r="H687" s="1710"/>
      <c r="I687" s="1710"/>
      <c r="J687" s="1710"/>
      <c r="K687" s="1710"/>
      <c r="L687" s="1710"/>
      <c r="M687" s="1711"/>
      <c r="N687" s="1711"/>
      <c r="O687" s="1711"/>
      <c r="P687" s="1711"/>
      <c r="Q687" s="1711"/>
      <c r="R687" s="1711"/>
      <c r="S687" s="1711"/>
      <c r="T687" s="1711"/>
      <c r="U687" s="1711"/>
      <c r="V687" s="1711"/>
      <c r="W687" s="1711"/>
      <c r="X687" s="1711"/>
      <c r="Y687" s="1711"/>
      <c r="Z687" s="1712"/>
      <c r="AA687" s="1712"/>
      <c r="AB687" s="1712"/>
      <c r="AC687" s="1712"/>
      <c r="AD687" s="1712"/>
      <c r="AE687" s="1712"/>
      <c r="AF687" s="1712"/>
      <c r="AG687" s="1712"/>
      <c r="AH687" s="1712"/>
      <c r="AI687" s="1712"/>
      <c r="AJ687" s="1712"/>
      <c r="AK687" s="1712"/>
      <c r="AL687" s="1712"/>
      <c r="AM687" s="1712"/>
      <c r="AN687" s="1712"/>
      <c r="AO687" s="1712"/>
      <c r="AP687" s="1712"/>
      <c r="AQ687" s="1712"/>
      <c r="AR687" s="1712"/>
      <c r="AS687" s="1712"/>
      <c r="AT687" s="1712"/>
    </row>
    <row r="688">
      <c r="A688" s="1474" t="s">
        <v>2461</v>
      </c>
      <c r="B688" s="1708"/>
      <c r="C688" s="1709"/>
      <c r="D688" s="1709"/>
      <c r="E688" s="1710"/>
      <c r="F688" s="1710"/>
      <c r="G688" s="1710"/>
      <c r="H688" s="1710"/>
      <c r="I688" s="1710"/>
      <c r="J688" s="1710"/>
      <c r="K688" s="1710"/>
      <c r="L688" s="1710"/>
      <c r="M688" s="1711"/>
      <c r="N688" s="1711"/>
      <c r="O688" s="1711"/>
      <c r="P688" s="1711"/>
      <c r="Q688" s="1711"/>
      <c r="R688" s="1711"/>
      <c r="S688" s="1711"/>
      <c r="T688" s="1711"/>
      <c r="U688" s="1711"/>
      <c r="V688" s="1711"/>
      <c r="W688" s="1711"/>
      <c r="X688" s="1711"/>
      <c r="Y688" s="1711"/>
      <c r="Z688" s="1712"/>
      <c r="AA688" s="1712"/>
      <c r="AB688" s="1712"/>
      <c r="AC688" s="1712"/>
      <c r="AD688" s="1712"/>
      <c r="AE688" s="1712"/>
      <c r="AF688" s="1712"/>
      <c r="AG688" s="1712"/>
      <c r="AH688" s="1712"/>
      <c r="AI688" s="1712"/>
      <c r="AJ688" s="1712"/>
      <c r="AK688" s="1712"/>
      <c r="AL688" s="1712"/>
      <c r="AM688" s="1712"/>
      <c r="AN688" s="1712"/>
      <c r="AO688" s="1712"/>
      <c r="AP688" s="1712"/>
      <c r="AQ688" s="1712"/>
      <c r="AR688" s="1712"/>
      <c r="AS688" s="1712"/>
      <c r="AT688" s="1712"/>
    </row>
    <row r="689">
      <c r="A689" s="1474" t="s">
        <v>2461</v>
      </c>
      <c r="B689" s="1708"/>
      <c r="C689" s="1709"/>
      <c r="D689" s="1709"/>
      <c r="E689" s="1710"/>
      <c r="F689" s="1710"/>
      <c r="G689" s="1710"/>
      <c r="H689" s="1710"/>
      <c r="I689" s="1710"/>
      <c r="J689" s="1710"/>
      <c r="K689" s="1710"/>
      <c r="L689" s="1710"/>
      <c r="M689" s="1711"/>
      <c r="N689" s="1711"/>
      <c r="O689" s="1711"/>
      <c r="P689" s="1711"/>
      <c r="Q689" s="1711"/>
      <c r="R689" s="1711"/>
      <c r="S689" s="1711"/>
      <c r="T689" s="1711"/>
      <c r="U689" s="1711"/>
      <c r="V689" s="1711"/>
      <c r="W689" s="1711"/>
      <c r="X689" s="1711"/>
      <c r="Y689" s="1711"/>
      <c r="Z689" s="1712"/>
      <c r="AA689" s="1712"/>
      <c r="AB689" s="1712"/>
      <c r="AC689" s="1712"/>
      <c r="AD689" s="1712"/>
      <c r="AE689" s="1712"/>
      <c r="AF689" s="1712"/>
      <c r="AG689" s="1712"/>
      <c r="AH689" s="1712"/>
      <c r="AI689" s="1712"/>
      <c r="AJ689" s="1712"/>
      <c r="AK689" s="1712"/>
      <c r="AL689" s="1712"/>
      <c r="AM689" s="1712"/>
      <c r="AN689" s="1712"/>
      <c r="AO689" s="1712"/>
      <c r="AP689" s="1712"/>
      <c r="AQ689" s="1712"/>
      <c r="AR689" s="1712"/>
      <c r="AS689" s="1712"/>
      <c r="AT689" s="1712"/>
    </row>
    <row r="690">
      <c r="A690" s="1474" t="s">
        <v>2461</v>
      </c>
      <c r="B690" s="1708"/>
      <c r="C690" s="1709"/>
      <c r="D690" s="1709"/>
      <c r="E690" s="1710"/>
      <c r="F690" s="1710"/>
      <c r="G690" s="1710"/>
      <c r="H690" s="1710"/>
      <c r="I690" s="1710"/>
      <c r="J690" s="1710"/>
      <c r="K690" s="1710"/>
      <c r="L690" s="1710"/>
      <c r="M690" s="1711"/>
      <c r="N690" s="1711"/>
      <c r="O690" s="1711"/>
      <c r="P690" s="1711"/>
      <c r="Q690" s="1711"/>
      <c r="R690" s="1711"/>
      <c r="S690" s="1711"/>
      <c r="T690" s="1711"/>
      <c r="U690" s="1711"/>
      <c r="V690" s="1711"/>
      <c r="W690" s="1711"/>
      <c r="X690" s="1711"/>
      <c r="Y690" s="1711"/>
      <c r="Z690" s="1712"/>
      <c r="AA690" s="1712"/>
      <c r="AB690" s="1712"/>
      <c r="AC690" s="1712"/>
      <c r="AD690" s="1712"/>
      <c r="AE690" s="1712"/>
      <c r="AF690" s="1712"/>
      <c r="AG690" s="1712"/>
      <c r="AH690" s="1712"/>
      <c r="AI690" s="1712"/>
      <c r="AJ690" s="1712"/>
      <c r="AK690" s="1712"/>
      <c r="AL690" s="1712"/>
      <c r="AM690" s="1712"/>
      <c r="AN690" s="1712"/>
      <c r="AO690" s="1712"/>
      <c r="AP690" s="1712"/>
      <c r="AQ690" s="1712"/>
      <c r="AR690" s="1712"/>
      <c r="AS690" s="1712"/>
      <c r="AT690" s="1712"/>
    </row>
    <row r="691">
      <c r="A691" s="1474" t="s">
        <v>2461</v>
      </c>
      <c r="B691" s="1708"/>
      <c r="C691" s="1709"/>
      <c r="D691" s="1709"/>
      <c r="E691" s="1710"/>
      <c r="F691" s="1710"/>
      <c r="G691" s="1710"/>
      <c r="H691" s="1710"/>
      <c r="I691" s="1710"/>
      <c r="J691" s="1710"/>
      <c r="K691" s="1710"/>
      <c r="L691" s="1710"/>
      <c r="M691" s="1711"/>
      <c r="N691" s="1711"/>
      <c r="O691" s="1711"/>
      <c r="P691" s="1711"/>
      <c r="Q691" s="1711"/>
      <c r="R691" s="1711"/>
      <c r="S691" s="1711"/>
      <c r="T691" s="1711"/>
      <c r="U691" s="1711"/>
      <c r="V691" s="1711"/>
      <c r="W691" s="1711"/>
      <c r="X691" s="1711"/>
      <c r="Y691" s="1711"/>
      <c r="Z691" s="1712"/>
      <c r="AA691" s="1712"/>
      <c r="AB691" s="1712"/>
      <c r="AC691" s="1712"/>
      <c r="AD691" s="1712"/>
      <c r="AE691" s="1712"/>
      <c r="AF691" s="1712"/>
      <c r="AG691" s="1712"/>
      <c r="AH691" s="1712"/>
      <c r="AI691" s="1712"/>
      <c r="AJ691" s="1712"/>
      <c r="AK691" s="1712"/>
      <c r="AL691" s="1712"/>
      <c r="AM691" s="1712"/>
      <c r="AN691" s="1712"/>
      <c r="AO691" s="1712"/>
      <c r="AP691" s="1712"/>
      <c r="AQ691" s="1712"/>
      <c r="AR691" s="1712"/>
      <c r="AS691" s="1712"/>
      <c r="AT691" s="1712"/>
    </row>
    <row r="692">
      <c r="A692" s="1474" t="s">
        <v>2461</v>
      </c>
      <c r="B692" s="1708"/>
      <c r="C692" s="1709"/>
      <c r="D692" s="1709"/>
      <c r="E692" s="1710"/>
      <c r="F692" s="1710"/>
      <c r="G692" s="1710"/>
      <c r="H692" s="1710"/>
      <c r="I692" s="1710"/>
      <c r="J692" s="1710"/>
      <c r="K692" s="1710"/>
      <c r="L692" s="1710"/>
      <c r="M692" s="1711"/>
      <c r="N692" s="1711"/>
      <c r="O692" s="1711"/>
      <c r="P692" s="1711"/>
      <c r="Q692" s="1711"/>
      <c r="R692" s="1711"/>
      <c r="S692" s="1711"/>
      <c r="T692" s="1711"/>
      <c r="U692" s="1711"/>
      <c r="V692" s="1711"/>
      <c r="W692" s="1711"/>
      <c r="X692" s="1711"/>
      <c r="Y692" s="1711"/>
      <c r="Z692" s="1712"/>
      <c r="AA692" s="1712"/>
      <c r="AB692" s="1712"/>
      <c r="AC692" s="1712"/>
      <c r="AD692" s="1712"/>
      <c r="AE692" s="1712"/>
      <c r="AF692" s="1712"/>
      <c r="AG692" s="1712"/>
      <c r="AH692" s="1712"/>
      <c r="AI692" s="1712"/>
      <c r="AJ692" s="1712"/>
      <c r="AK692" s="1712"/>
      <c r="AL692" s="1712"/>
      <c r="AM692" s="1712"/>
      <c r="AN692" s="1712"/>
      <c r="AO692" s="1712"/>
      <c r="AP692" s="1712"/>
      <c r="AQ692" s="1712"/>
      <c r="AR692" s="1712"/>
      <c r="AS692" s="1712"/>
      <c r="AT692" s="1712"/>
    </row>
    <row r="693">
      <c r="A693" s="1474" t="s">
        <v>2461</v>
      </c>
      <c r="B693" s="1708"/>
      <c r="C693" s="1709"/>
      <c r="D693" s="1709"/>
      <c r="E693" s="1710"/>
      <c r="F693" s="1710"/>
      <c r="G693" s="1710"/>
      <c r="H693" s="1710"/>
      <c r="I693" s="1710"/>
      <c r="J693" s="1710"/>
      <c r="K693" s="1710"/>
      <c r="L693" s="1710"/>
      <c r="M693" s="1711"/>
      <c r="N693" s="1711"/>
      <c r="O693" s="1711"/>
      <c r="P693" s="1711"/>
      <c r="Q693" s="1711"/>
      <c r="R693" s="1711"/>
      <c r="S693" s="1711"/>
      <c r="T693" s="1711"/>
      <c r="U693" s="1711"/>
      <c r="V693" s="1711"/>
      <c r="W693" s="1711"/>
      <c r="X693" s="1711"/>
      <c r="Y693" s="1711"/>
      <c r="Z693" s="1712"/>
      <c r="AA693" s="1712"/>
      <c r="AB693" s="1712"/>
      <c r="AC693" s="1712"/>
      <c r="AD693" s="1712"/>
      <c r="AE693" s="1712"/>
      <c r="AF693" s="1712"/>
      <c r="AG693" s="1712"/>
      <c r="AH693" s="1712"/>
      <c r="AI693" s="1712"/>
      <c r="AJ693" s="1712"/>
      <c r="AK693" s="1712"/>
      <c r="AL693" s="1712"/>
      <c r="AM693" s="1712"/>
      <c r="AN693" s="1712"/>
      <c r="AO693" s="1712"/>
      <c r="AP693" s="1712"/>
      <c r="AQ693" s="1712"/>
      <c r="AR693" s="1712"/>
      <c r="AS693" s="1712"/>
      <c r="AT693" s="1712"/>
    </row>
    <row r="694">
      <c r="A694" s="1474" t="s">
        <v>2461</v>
      </c>
      <c r="B694" s="1708"/>
      <c r="C694" s="1709"/>
      <c r="D694" s="1709"/>
      <c r="E694" s="1710"/>
      <c r="F694" s="1710"/>
      <c r="G694" s="1710"/>
      <c r="H694" s="1710"/>
      <c r="I694" s="1710"/>
      <c r="J694" s="1710"/>
      <c r="K694" s="1710"/>
      <c r="L694" s="1710"/>
      <c r="M694" s="1711"/>
      <c r="N694" s="1711"/>
      <c r="O694" s="1711"/>
      <c r="P694" s="1711"/>
      <c r="Q694" s="1711"/>
      <c r="R694" s="1711"/>
      <c r="S694" s="1711"/>
      <c r="T694" s="1711"/>
      <c r="U694" s="1711"/>
      <c r="V694" s="1711"/>
      <c r="W694" s="1711"/>
      <c r="X694" s="1711"/>
      <c r="Y694" s="1711"/>
      <c r="Z694" s="1712"/>
      <c r="AA694" s="1712"/>
      <c r="AB694" s="1712"/>
      <c r="AC694" s="1712"/>
      <c r="AD694" s="1712"/>
      <c r="AE694" s="1712"/>
      <c r="AF694" s="1712"/>
      <c r="AG694" s="1712"/>
      <c r="AH694" s="1712"/>
      <c r="AI694" s="1712"/>
      <c r="AJ694" s="1712"/>
      <c r="AK694" s="1712"/>
      <c r="AL694" s="1712"/>
      <c r="AM694" s="1712"/>
      <c r="AN694" s="1712"/>
      <c r="AO694" s="1712"/>
      <c r="AP694" s="1712"/>
      <c r="AQ694" s="1712"/>
      <c r="AR694" s="1712"/>
      <c r="AS694" s="1712"/>
      <c r="AT694" s="1712"/>
    </row>
    <row r="695">
      <c r="A695" s="1474" t="s">
        <v>2461</v>
      </c>
      <c r="B695" s="1708"/>
      <c r="C695" s="1709"/>
      <c r="D695" s="1709"/>
      <c r="E695" s="1710"/>
      <c r="F695" s="1710"/>
      <c r="G695" s="1710"/>
      <c r="H695" s="1710"/>
      <c r="I695" s="1710"/>
      <c r="J695" s="1710"/>
      <c r="K695" s="1710"/>
      <c r="L695" s="1710"/>
      <c r="M695" s="1711"/>
      <c r="N695" s="1711"/>
      <c r="O695" s="1711"/>
      <c r="P695" s="1711"/>
      <c r="Q695" s="1711"/>
      <c r="R695" s="1711"/>
      <c r="S695" s="1711"/>
      <c r="T695" s="1711"/>
      <c r="U695" s="1711"/>
      <c r="V695" s="1711"/>
      <c r="W695" s="1711"/>
      <c r="X695" s="1711"/>
      <c r="Y695" s="1711"/>
      <c r="Z695" s="1712"/>
      <c r="AA695" s="1712"/>
      <c r="AB695" s="1712"/>
      <c r="AC695" s="1712"/>
      <c r="AD695" s="1712"/>
      <c r="AE695" s="1712"/>
      <c r="AF695" s="1712"/>
      <c r="AG695" s="1712"/>
      <c r="AH695" s="1712"/>
      <c r="AI695" s="1712"/>
      <c r="AJ695" s="1712"/>
      <c r="AK695" s="1712"/>
      <c r="AL695" s="1712"/>
      <c r="AM695" s="1712"/>
      <c r="AN695" s="1712"/>
      <c r="AO695" s="1712"/>
      <c r="AP695" s="1712"/>
      <c r="AQ695" s="1712"/>
      <c r="AR695" s="1712"/>
      <c r="AS695" s="1712"/>
      <c r="AT695" s="1712"/>
    </row>
    <row r="696">
      <c r="A696" s="1474" t="s">
        <v>2461</v>
      </c>
      <c r="B696" s="1708"/>
      <c r="C696" s="1709"/>
      <c r="D696" s="1709"/>
      <c r="E696" s="1710"/>
      <c r="F696" s="1710"/>
      <c r="G696" s="1710"/>
      <c r="H696" s="1710"/>
      <c r="I696" s="1710"/>
      <c r="J696" s="1710"/>
      <c r="K696" s="1710"/>
      <c r="L696" s="1710"/>
      <c r="M696" s="1711"/>
      <c r="N696" s="1711"/>
      <c r="O696" s="1711"/>
      <c r="P696" s="1711"/>
      <c r="Q696" s="1711"/>
      <c r="R696" s="1711"/>
      <c r="S696" s="1711"/>
      <c r="T696" s="1711"/>
      <c r="U696" s="1711"/>
      <c r="V696" s="1711"/>
      <c r="W696" s="1711"/>
      <c r="X696" s="1711"/>
      <c r="Y696" s="1711"/>
      <c r="Z696" s="1712"/>
      <c r="AA696" s="1712"/>
      <c r="AB696" s="1712"/>
      <c r="AC696" s="1712"/>
      <c r="AD696" s="1712"/>
      <c r="AE696" s="1712"/>
      <c r="AF696" s="1712"/>
      <c r="AG696" s="1712"/>
      <c r="AH696" s="1712"/>
      <c r="AI696" s="1712"/>
      <c r="AJ696" s="1712"/>
      <c r="AK696" s="1712"/>
      <c r="AL696" s="1712"/>
      <c r="AM696" s="1712"/>
      <c r="AN696" s="1712"/>
      <c r="AO696" s="1712"/>
      <c r="AP696" s="1712"/>
      <c r="AQ696" s="1712"/>
      <c r="AR696" s="1712"/>
      <c r="AS696" s="1712"/>
      <c r="AT696" s="1712"/>
    </row>
    <row r="697">
      <c r="A697" s="1474" t="s">
        <v>2461</v>
      </c>
      <c r="B697" s="1708"/>
      <c r="C697" s="1709"/>
      <c r="D697" s="1709"/>
      <c r="E697" s="1710"/>
      <c r="F697" s="1710"/>
      <c r="G697" s="1710"/>
      <c r="H697" s="1710"/>
      <c r="I697" s="1710"/>
      <c r="J697" s="1710"/>
      <c r="K697" s="1710"/>
      <c r="L697" s="1710"/>
      <c r="M697" s="1711"/>
      <c r="N697" s="1711"/>
      <c r="O697" s="1711"/>
      <c r="P697" s="1711"/>
      <c r="Q697" s="1711"/>
      <c r="R697" s="1711"/>
      <c r="S697" s="1711"/>
      <c r="T697" s="1711"/>
      <c r="U697" s="1711"/>
      <c r="V697" s="1711"/>
      <c r="W697" s="1711"/>
      <c r="X697" s="1711"/>
      <c r="Y697" s="1711"/>
      <c r="Z697" s="1712"/>
      <c r="AA697" s="1712"/>
      <c r="AB697" s="1712"/>
      <c r="AC697" s="1712"/>
      <c r="AD697" s="1712"/>
      <c r="AE697" s="1712"/>
      <c r="AF697" s="1712"/>
      <c r="AG697" s="1712"/>
      <c r="AH697" s="1712"/>
      <c r="AI697" s="1712"/>
      <c r="AJ697" s="1712"/>
      <c r="AK697" s="1712"/>
      <c r="AL697" s="1712"/>
      <c r="AM697" s="1712"/>
      <c r="AN697" s="1712"/>
      <c r="AO697" s="1712"/>
      <c r="AP697" s="1712"/>
      <c r="AQ697" s="1712"/>
      <c r="AR697" s="1712"/>
      <c r="AS697" s="1712"/>
      <c r="AT697" s="1712"/>
    </row>
    <row r="698">
      <c r="A698" s="1474" t="s">
        <v>2461</v>
      </c>
      <c r="B698" s="1708"/>
      <c r="C698" s="1709"/>
      <c r="D698" s="1709"/>
      <c r="E698" s="1710"/>
      <c r="F698" s="1710"/>
      <c r="G698" s="1710"/>
      <c r="H698" s="1710"/>
      <c r="I698" s="1710"/>
      <c r="J698" s="1710"/>
      <c r="K698" s="1710"/>
      <c r="L698" s="1710"/>
      <c r="M698" s="1711"/>
      <c r="N698" s="1711"/>
      <c r="O698" s="1711"/>
      <c r="P698" s="1711"/>
      <c r="Q698" s="1711"/>
      <c r="R698" s="1711"/>
      <c r="S698" s="1711"/>
      <c r="T698" s="1711"/>
      <c r="U698" s="1711"/>
      <c r="V698" s="1711"/>
      <c r="W698" s="1711"/>
      <c r="X698" s="1711"/>
      <c r="Y698" s="1711"/>
      <c r="Z698" s="1712"/>
      <c r="AA698" s="1712"/>
      <c r="AB698" s="1712"/>
      <c r="AC698" s="1712"/>
      <c r="AD698" s="1712"/>
      <c r="AE698" s="1712"/>
      <c r="AF698" s="1712"/>
      <c r="AG698" s="1712"/>
      <c r="AH698" s="1712"/>
      <c r="AI698" s="1712"/>
      <c r="AJ698" s="1712"/>
      <c r="AK698" s="1712"/>
      <c r="AL698" s="1712"/>
      <c r="AM698" s="1712"/>
      <c r="AN698" s="1712"/>
      <c r="AO698" s="1712"/>
      <c r="AP698" s="1712"/>
      <c r="AQ698" s="1712"/>
      <c r="AR698" s="1712"/>
      <c r="AS698" s="1712"/>
      <c r="AT698" s="1712"/>
    </row>
    <row r="699">
      <c r="A699" s="1474" t="s">
        <v>2461</v>
      </c>
      <c r="B699" s="1708"/>
      <c r="C699" s="1709"/>
      <c r="D699" s="1709"/>
      <c r="E699" s="1710"/>
      <c r="F699" s="1710"/>
      <c r="G699" s="1710"/>
      <c r="H699" s="1710"/>
      <c r="I699" s="1710"/>
      <c r="J699" s="1710"/>
      <c r="K699" s="1710"/>
      <c r="L699" s="1710"/>
      <c r="M699" s="1711"/>
      <c r="N699" s="1711"/>
      <c r="O699" s="1711"/>
      <c r="P699" s="1711"/>
      <c r="Q699" s="1711"/>
      <c r="R699" s="1711"/>
      <c r="S699" s="1711"/>
      <c r="T699" s="1711"/>
      <c r="U699" s="1711"/>
      <c r="V699" s="1711"/>
      <c r="W699" s="1711"/>
      <c r="X699" s="1711"/>
      <c r="Y699" s="1711"/>
      <c r="Z699" s="1712"/>
      <c r="AA699" s="1712"/>
      <c r="AB699" s="1712"/>
      <c r="AC699" s="1712"/>
      <c r="AD699" s="1712"/>
      <c r="AE699" s="1712"/>
      <c r="AF699" s="1712"/>
      <c r="AG699" s="1712"/>
      <c r="AH699" s="1712"/>
      <c r="AI699" s="1712"/>
      <c r="AJ699" s="1712"/>
      <c r="AK699" s="1712"/>
      <c r="AL699" s="1712"/>
      <c r="AM699" s="1712"/>
      <c r="AN699" s="1712"/>
      <c r="AO699" s="1712"/>
      <c r="AP699" s="1712"/>
      <c r="AQ699" s="1712"/>
      <c r="AR699" s="1712"/>
      <c r="AS699" s="1712"/>
      <c r="AT699" s="1712"/>
    </row>
    <row r="700">
      <c r="A700" s="1474" t="s">
        <v>2461</v>
      </c>
      <c r="B700" s="1708"/>
      <c r="C700" s="1709"/>
      <c r="D700" s="1709"/>
      <c r="E700" s="1710"/>
      <c r="F700" s="1710"/>
      <c r="G700" s="1710"/>
      <c r="H700" s="1710"/>
      <c r="I700" s="1710"/>
      <c r="J700" s="1710"/>
      <c r="K700" s="1710"/>
      <c r="L700" s="1710"/>
      <c r="M700" s="1711"/>
      <c r="N700" s="1711"/>
      <c r="O700" s="1711"/>
      <c r="P700" s="1711"/>
      <c r="Q700" s="1711"/>
      <c r="R700" s="1711"/>
      <c r="S700" s="1711"/>
      <c r="T700" s="1711"/>
      <c r="U700" s="1711"/>
      <c r="V700" s="1711"/>
      <c r="W700" s="1711"/>
      <c r="X700" s="1711"/>
      <c r="Y700" s="1711"/>
      <c r="Z700" s="1712"/>
      <c r="AA700" s="1712"/>
      <c r="AB700" s="1712"/>
      <c r="AC700" s="1712"/>
      <c r="AD700" s="1712"/>
      <c r="AE700" s="1712"/>
      <c r="AF700" s="1712"/>
      <c r="AG700" s="1712"/>
      <c r="AH700" s="1712"/>
      <c r="AI700" s="1712"/>
      <c r="AJ700" s="1712"/>
      <c r="AK700" s="1712"/>
      <c r="AL700" s="1712"/>
      <c r="AM700" s="1712"/>
      <c r="AN700" s="1712"/>
      <c r="AO700" s="1712"/>
      <c r="AP700" s="1712"/>
      <c r="AQ700" s="1712"/>
      <c r="AR700" s="1712"/>
      <c r="AS700" s="1712"/>
      <c r="AT700" s="1712"/>
    </row>
    <row r="701">
      <c r="A701" s="1474" t="s">
        <v>2461</v>
      </c>
      <c r="B701" s="1708"/>
      <c r="C701" s="1709"/>
      <c r="D701" s="1709"/>
      <c r="E701" s="1710"/>
      <c r="F701" s="1710"/>
      <c r="G701" s="1710"/>
      <c r="H701" s="1710"/>
      <c r="I701" s="1710"/>
      <c r="J701" s="1710"/>
      <c r="K701" s="1710"/>
      <c r="L701" s="1710"/>
      <c r="M701" s="1711"/>
      <c r="N701" s="1711"/>
      <c r="O701" s="1711"/>
      <c r="P701" s="1711"/>
      <c r="Q701" s="1711"/>
      <c r="R701" s="1711"/>
      <c r="S701" s="1711"/>
      <c r="T701" s="1711"/>
      <c r="U701" s="1711"/>
      <c r="V701" s="1711"/>
      <c r="W701" s="1711"/>
      <c r="X701" s="1711"/>
      <c r="Y701" s="1711"/>
      <c r="Z701" s="1712"/>
      <c r="AA701" s="1712"/>
      <c r="AB701" s="1712"/>
      <c r="AC701" s="1712"/>
      <c r="AD701" s="1712"/>
      <c r="AE701" s="1712"/>
      <c r="AF701" s="1712"/>
      <c r="AG701" s="1712"/>
      <c r="AH701" s="1712"/>
      <c r="AI701" s="1712"/>
      <c r="AJ701" s="1712"/>
      <c r="AK701" s="1712"/>
      <c r="AL701" s="1712"/>
      <c r="AM701" s="1712"/>
      <c r="AN701" s="1712"/>
      <c r="AO701" s="1712"/>
      <c r="AP701" s="1712"/>
      <c r="AQ701" s="1712"/>
      <c r="AR701" s="1712"/>
      <c r="AS701" s="1712"/>
      <c r="AT701" s="1712"/>
    </row>
    <row r="702">
      <c r="A702" s="1474" t="s">
        <v>2461</v>
      </c>
      <c r="B702" s="1708"/>
      <c r="C702" s="1709"/>
      <c r="D702" s="1709"/>
      <c r="E702" s="1710"/>
      <c r="F702" s="1710"/>
      <c r="G702" s="1710"/>
      <c r="H702" s="1710"/>
      <c r="I702" s="1710"/>
      <c r="J702" s="1710"/>
      <c r="K702" s="1710"/>
      <c r="L702" s="1710"/>
      <c r="M702" s="1711"/>
      <c r="N702" s="1711"/>
      <c r="O702" s="1711"/>
      <c r="P702" s="1711"/>
      <c r="Q702" s="1711"/>
      <c r="R702" s="1711"/>
      <c r="S702" s="1711"/>
      <c r="T702" s="1711"/>
      <c r="U702" s="1711"/>
      <c r="V702" s="1711"/>
      <c r="W702" s="1711"/>
      <c r="X702" s="1711"/>
      <c r="Y702" s="1711"/>
      <c r="Z702" s="1712"/>
      <c r="AA702" s="1712"/>
      <c r="AB702" s="1712"/>
      <c r="AC702" s="1712"/>
      <c r="AD702" s="1712"/>
      <c r="AE702" s="1712"/>
      <c r="AF702" s="1712"/>
      <c r="AG702" s="1712"/>
      <c r="AH702" s="1712"/>
      <c r="AI702" s="1712"/>
      <c r="AJ702" s="1712"/>
      <c r="AK702" s="1712"/>
      <c r="AL702" s="1712"/>
      <c r="AM702" s="1712"/>
      <c r="AN702" s="1712"/>
      <c r="AO702" s="1712"/>
      <c r="AP702" s="1712"/>
      <c r="AQ702" s="1712"/>
      <c r="AR702" s="1712"/>
      <c r="AS702" s="1712"/>
      <c r="AT702" s="1712"/>
    </row>
    <row r="703">
      <c r="A703" s="1474" t="s">
        <v>2461</v>
      </c>
      <c r="B703" s="1708"/>
      <c r="C703" s="1709"/>
      <c r="D703" s="1709"/>
      <c r="E703" s="1710"/>
      <c r="F703" s="1710"/>
      <c r="G703" s="1710"/>
      <c r="H703" s="1710"/>
      <c r="I703" s="1710"/>
      <c r="J703" s="1710"/>
      <c r="K703" s="1710"/>
      <c r="L703" s="1710"/>
      <c r="M703" s="1711"/>
      <c r="N703" s="1711"/>
      <c r="O703" s="1711"/>
      <c r="P703" s="1711"/>
      <c r="Q703" s="1711"/>
      <c r="R703" s="1711"/>
      <c r="S703" s="1711"/>
      <c r="T703" s="1711"/>
      <c r="U703" s="1711"/>
      <c r="V703" s="1711"/>
      <c r="W703" s="1711"/>
      <c r="X703" s="1711"/>
      <c r="Y703" s="1711"/>
      <c r="Z703" s="1712"/>
      <c r="AA703" s="1712"/>
      <c r="AB703" s="1712"/>
      <c r="AC703" s="1712"/>
      <c r="AD703" s="1712"/>
      <c r="AE703" s="1712"/>
      <c r="AF703" s="1712"/>
      <c r="AG703" s="1712"/>
      <c r="AH703" s="1712"/>
      <c r="AI703" s="1712"/>
      <c r="AJ703" s="1712"/>
      <c r="AK703" s="1712"/>
      <c r="AL703" s="1712"/>
      <c r="AM703" s="1712"/>
      <c r="AN703" s="1712"/>
      <c r="AO703" s="1712"/>
      <c r="AP703" s="1712"/>
      <c r="AQ703" s="1712"/>
      <c r="AR703" s="1712"/>
      <c r="AS703" s="1712"/>
      <c r="AT703" s="1712"/>
    </row>
    <row r="704">
      <c r="A704" s="1474" t="s">
        <v>2461</v>
      </c>
      <c r="B704" s="1708"/>
      <c r="C704" s="1709"/>
      <c r="D704" s="1709"/>
      <c r="E704" s="1710"/>
      <c r="F704" s="1710"/>
      <c r="G704" s="1710"/>
      <c r="H704" s="1710"/>
      <c r="I704" s="1710"/>
      <c r="J704" s="1710"/>
      <c r="K704" s="1710"/>
      <c r="L704" s="1710"/>
      <c r="M704" s="1711"/>
      <c r="N704" s="1711"/>
      <c r="O704" s="1711"/>
      <c r="P704" s="1711"/>
      <c r="Q704" s="1711"/>
      <c r="R704" s="1711"/>
      <c r="S704" s="1711"/>
      <c r="T704" s="1711"/>
      <c r="U704" s="1711"/>
      <c r="V704" s="1711"/>
      <c r="W704" s="1711"/>
      <c r="X704" s="1711"/>
      <c r="Y704" s="1711"/>
      <c r="Z704" s="1712"/>
      <c r="AA704" s="1712"/>
      <c r="AB704" s="1712"/>
      <c r="AC704" s="1712"/>
      <c r="AD704" s="1712"/>
      <c r="AE704" s="1712"/>
      <c r="AF704" s="1712"/>
      <c r="AG704" s="1712"/>
      <c r="AH704" s="1712"/>
      <c r="AI704" s="1712"/>
      <c r="AJ704" s="1712"/>
      <c r="AK704" s="1712"/>
      <c r="AL704" s="1712"/>
      <c r="AM704" s="1712"/>
      <c r="AN704" s="1712"/>
      <c r="AO704" s="1712"/>
      <c r="AP704" s="1712"/>
      <c r="AQ704" s="1712"/>
      <c r="AR704" s="1712"/>
      <c r="AS704" s="1712"/>
      <c r="AT704" s="1712"/>
    </row>
    <row r="705">
      <c r="A705" s="1474" t="s">
        <v>2461</v>
      </c>
      <c r="B705" s="1708"/>
      <c r="C705" s="1709"/>
      <c r="D705" s="1709"/>
      <c r="E705" s="1710"/>
      <c r="F705" s="1710"/>
      <c r="G705" s="1710"/>
      <c r="H705" s="1710"/>
      <c r="I705" s="1710"/>
      <c r="J705" s="1710"/>
      <c r="K705" s="1710"/>
      <c r="L705" s="1710"/>
      <c r="M705" s="1711"/>
      <c r="N705" s="1711"/>
      <c r="O705" s="1711"/>
      <c r="P705" s="1711"/>
      <c r="Q705" s="1711"/>
      <c r="R705" s="1711"/>
      <c r="S705" s="1711"/>
      <c r="T705" s="1711"/>
      <c r="U705" s="1711"/>
      <c r="V705" s="1711"/>
      <c r="W705" s="1711"/>
      <c r="X705" s="1711"/>
      <c r="Y705" s="1711"/>
      <c r="Z705" s="1712"/>
      <c r="AA705" s="1712"/>
      <c r="AB705" s="1712"/>
      <c r="AC705" s="1712"/>
      <c r="AD705" s="1712"/>
      <c r="AE705" s="1712"/>
      <c r="AF705" s="1712"/>
      <c r="AG705" s="1712"/>
      <c r="AH705" s="1712"/>
      <c r="AI705" s="1712"/>
      <c r="AJ705" s="1712"/>
      <c r="AK705" s="1712"/>
      <c r="AL705" s="1712"/>
      <c r="AM705" s="1712"/>
      <c r="AN705" s="1712"/>
      <c r="AO705" s="1712"/>
      <c r="AP705" s="1712"/>
      <c r="AQ705" s="1712"/>
      <c r="AR705" s="1712"/>
      <c r="AS705" s="1712"/>
      <c r="AT705" s="1712"/>
    </row>
    <row r="706">
      <c r="A706" s="1474" t="s">
        <v>2461</v>
      </c>
      <c r="B706" s="1708"/>
      <c r="C706" s="1709"/>
      <c r="D706" s="1709"/>
      <c r="E706" s="1710"/>
      <c r="F706" s="1710"/>
      <c r="G706" s="1710"/>
      <c r="H706" s="1710"/>
      <c r="I706" s="1710"/>
      <c r="J706" s="1710"/>
      <c r="K706" s="1710"/>
      <c r="L706" s="1710"/>
      <c r="M706" s="1711"/>
      <c r="N706" s="1711"/>
      <c r="O706" s="1711"/>
      <c r="P706" s="1711"/>
      <c r="Q706" s="1711"/>
      <c r="R706" s="1711"/>
      <c r="S706" s="1711"/>
      <c r="T706" s="1711"/>
      <c r="U706" s="1711"/>
      <c r="V706" s="1711"/>
      <c r="W706" s="1711"/>
      <c r="X706" s="1711"/>
      <c r="Y706" s="1711"/>
      <c r="Z706" s="1712"/>
      <c r="AA706" s="1712"/>
      <c r="AB706" s="1712"/>
      <c r="AC706" s="1712"/>
      <c r="AD706" s="1712"/>
      <c r="AE706" s="1712"/>
      <c r="AF706" s="1712"/>
      <c r="AG706" s="1712"/>
      <c r="AH706" s="1712"/>
      <c r="AI706" s="1712"/>
      <c r="AJ706" s="1712"/>
      <c r="AK706" s="1712"/>
      <c r="AL706" s="1712"/>
      <c r="AM706" s="1712"/>
      <c r="AN706" s="1712"/>
      <c r="AO706" s="1712"/>
      <c r="AP706" s="1712"/>
      <c r="AQ706" s="1712"/>
      <c r="AR706" s="1712"/>
      <c r="AS706" s="1712"/>
      <c r="AT706" s="1712"/>
    </row>
    <row r="707">
      <c r="A707" s="1474" t="s">
        <v>2461</v>
      </c>
      <c r="B707" s="1708"/>
      <c r="C707" s="1709"/>
      <c r="D707" s="1709"/>
      <c r="E707" s="1710"/>
      <c r="F707" s="1710"/>
      <c r="G707" s="1710"/>
      <c r="H707" s="1710"/>
      <c r="I707" s="1710"/>
      <c r="J707" s="1710"/>
      <c r="K707" s="1710"/>
      <c r="L707" s="1710"/>
      <c r="M707" s="1711"/>
      <c r="N707" s="1711"/>
      <c r="O707" s="1711"/>
      <c r="P707" s="1711"/>
      <c r="Q707" s="1711"/>
      <c r="R707" s="1711"/>
      <c r="S707" s="1711"/>
      <c r="T707" s="1711"/>
      <c r="U707" s="1711"/>
      <c r="V707" s="1711"/>
      <c r="W707" s="1711"/>
      <c r="X707" s="1711"/>
      <c r="Y707" s="1711"/>
      <c r="Z707" s="1712"/>
      <c r="AA707" s="1712"/>
      <c r="AB707" s="1712"/>
      <c r="AC707" s="1712"/>
      <c r="AD707" s="1712"/>
      <c r="AE707" s="1712"/>
      <c r="AF707" s="1712"/>
      <c r="AG707" s="1712"/>
      <c r="AH707" s="1712"/>
      <c r="AI707" s="1712"/>
      <c r="AJ707" s="1712"/>
      <c r="AK707" s="1712"/>
      <c r="AL707" s="1712"/>
      <c r="AM707" s="1712"/>
      <c r="AN707" s="1712"/>
      <c r="AO707" s="1712"/>
      <c r="AP707" s="1712"/>
      <c r="AQ707" s="1712"/>
      <c r="AR707" s="1712"/>
      <c r="AS707" s="1712"/>
      <c r="AT707" s="1712"/>
    </row>
    <row r="708">
      <c r="A708" s="1474" t="s">
        <v>2461</v>
      </c>
      <c r="B708" s="1708"/>
      <c r="C708" s="1709"/>
      <c r="D708" s="1709"/>
      <c r="E708" s="1710"/>
      <c r="F708" s="1710"/>
      <c r="G708" s="1710"/>
      <c r="H708" s="1710"/>
      <c r="I708" s="1710"/>
      <c r="J708" s="1710"/>
      <c r="K708" s="1710"/>
      <c r="L708" s="1710"/>
      <c r="M708" s="1711"/>
      <c r="N708" s="1711"/>
      <c r="O708" s="1711"/>
      <c r="P708" s="1711"/>
      <c r="Q708" s="1711"/>
      <c r="R708" s="1711"/>
      <c r="S708" s="1711"/>
      <c r="T708" s="1711"/>
      <c r="U708" s="1711"/>
      <c r="V708" s="1711"/>
      <c r="W708" s="1711"/>
      <c r="X708" s="1711"/>
      <c r="Y708" s="1711"/>
      <c r="Z708" s="1712"/>
      <c r="AA708" s="1712"/>
      <c r="AB708" s="1712"/>
      <c r="AC708" s="1712"/>
      <c r="AD708" s="1712"/>
      <c r="AE708" s="1712"/>
      <c r="AF708" s="1712"/>
      <c r="AG708" s="1712"/>
      <c r="AH708" s="1712"/>
      <c r="AI708" s="1712"/>
      <c r="AJ708" s="1712"/>
      <c r="AK708" s="1712"/>
      <c r="AL708" s="1712"/>
      <c r="AM708" s="1712"/>
      <c r="AN708" s="1712"/>
      <c r="AO708" s="1712"/>
      <c r="AP708" s="1712"/>
      <c r="AQ708" s="1712"/>
      <c r="AR708" s="1712"/>
      <c r="AS708" s="1712"/>
      <c r="AT708" s="1712"/>
    </row>
    <row r="709">
      <c r="A709" s="1474" t="s">
        <v>2461</v>
      </c>
      <c r="B709" s="1708"/>
      <c r="C709" s="1709"/>
      <c r="D709" s="1709"/>
      <c r="E709" s="1710"/>
      <c r="F709" s="1710"/>
      <c r="G709" s="1710"/>
      <c r="H709" s="1710"/>
      <c r="I709" s="1710"/>
      <c r="J709" s="1710"/>
      <c r="K709" s="1710"/>
      <c r="L709" s="1710"/>
      <c r="M709" s="1711"/>
      <c r="N709" s="1711"/>
      <c r="O709" s="1711"/>
      <c r="P709" s="1711"/>
      <c r="Q709" s="1711"/>
      <c r="R709" s="1711"/>
      <c r="S709" s="1711"/>
      <c r="T709" s="1711"/>
      <c r="U709" s="1711"/>
      <c r="V709" s="1711"/>
      <c r="W709" s="1711"/>
      <c r="X709" s="1711"/>
      <c r="Y709" s="1711"/>
      <c r="Z709" s="1712"/>
      <c r="AA709" s="1712"/>
      <c r="AB709" s="1712"/>
      <c r="AC709" s="1712"/>
      <c r="AD709" s="1712"/>
      <c r="AE709" s="1712"/>
      <c r="AF709" s="1712"/>
      <c r="AG709" s="1712"/>
      <c r="AH709" s="1712"/>
      <c r="AI709" s="1712"/>
      <c r="AJ709" s="1712"/>
      <c r="AK709" s="1712"/>
      <c r="AL709" s="1712"/>
      <c r="AM709" s="1712"/>
      <c r="AN709" s="1712"/>
      <c r="AO709" s="1712"/>
      <c r="AP709" s="1712"/>
      <c r="AQ709" s="1712"/>
      <c r="AR709" s="1712"/>
      <c r="AS709" s="1712"/>
      <c r="AT709" s="1712"/>
    </row>
    <row r="710">
      <c r="A710" s="1474" t="s">
        <v>2461</v>
      </c>
      <c r="B710" s="1708"/>
      <c r="C710" s="1709"/>
      <c r="D710" s="1709"/>
      <c r="E710" s="1710"/>
      <c r="F710" s="1710"/>
      <c r="G710" s="1710"/>
      <c r="H710" s="1710"/>
      <c r="I710" s="1710"/>
      <c r="J710" s="1710"/>
      <c r="K710" s="1710"/>
      <c r="L710" s="1710"/>
      <c r="M710" s="1711"/>
      <c r="N710" s="1711"/>
      <c r="O710" s="1711"/>
      <c r="P710" s="1711"/>
      <c r="Q710" s="1711"/>
      <c r="R710" s="1711"/>
      <c r="S710" s="1711"/>
      <c r="T710" s="1711"/>
      <c r="U710" s="1711"/>
      <c r="V710" s="1711"/>
      <c r="W710" s="1711"/>
      <c r="X710" s="1711"/>
      <c r="Y710" s="1711"/>
      <c r="Z710" s="1712"/>
      <c r="AA710" s="1712"/>
      <c r="AB710" s="1712"/>
      <c r="AC710" s="1712"/>
      <c r="AD710" s="1712"/>
      <c r="AE710" s="1712"/>
      <c r="AF710" s="1712"/>
      <c r="AG710" s="1712"/>
      <c r="AH710" s="1712"/>
      <c r="AI710" s="1712"/>
      <c r="AJ710" s="1712"/>
      <c r="AK710" s="1712"/>
      <c r="AL710" s="1712"/>
      <c r="AM710" s="1712"/>
      <c r="AN710" s="1712"/>
      <c r="AO710" s="1712"/>
      <c r="AP710" s="1712"/>
      <c r="AQ710" s="1712"/>
      <c r="AR710" s="1712"/>
      <c r="AS710" s="1712"/>
      <c r="AT710" s="1712"/>
    </row>
    <row r="711">
      <c r="A711" s="1474" t="s">
        <v>2461</v>
      </c>
      <c r="B711" s="1708"/>
      <c r="C711" s="1709"/>
      <c r="D711" s="1709"/>
      <c r="E711" s="1710"/>
      <c r="F711" s="1710"/>
      <c r="G711" s="1710"/>
      <c r="H711" s="1710"/>
      <c r="I711" s="1710"/>
      <c r="J711" s="1710"/>
      <c r="K711" s="1710"/>
      <c r="L711" s="1710"/>
      <c r="M711" s="1711"/>
      <c r="N711" s="1711"/>
      <c r="O711" s="1711"/>
      <c r="P711" s="1711"/>
      <c r="Q711" s="1711"/>
      <c r="R711" s="1711"/>
      <c r="S711" s="1711"/>
      <c r="T711" s="1711"/>
      <c r="U711" s="1711"/>
      <c r="V711" s="1711"/>
      <c r="W711" s="1711"/>
      <c r="X711" s="1711"/>
      <c r="Y711" s="1711"/>
      <c r="Z711" s="1712"/>
      <c r="AA711" s="1712"/>
      <c r="AB711" s="1712"/>
      <c r="AC711" s="1712"/>
      <c r="AD711" s="1712"/>
      <c r="AE711" s="1712"/>
      <c r="AF711" s="1712"/>
      <c r="AG711" s="1712"/>
      <c r="AH711" s="1712"/>
      <c r="AI711" s="1712"/>
      <c r="AJ711" s="1712"/>
      <c r="AK711" s="1712"/>
      <c r="AL711" s="1712"/>
      <c r="AM711" s="1712"/>
      <c r="AN711" s="1712"/>
      <c r="AO711" s="1712"/>
      <c r="AP711" s="1712"/>
      <c r="AQ711" s="1712"/>
      <c r="AR711" s="1712"/>
      <c r="AS711" s="1712"/>
      <c r="AT711" s="1712"/>
    </row>
    <row r="712">
      <c r="A712" s="1474" t="s">
        <v>2461</v>
      </c>
      <c r="B712" s="1708"/>
      <c r="C712" s="1709"/>
      <c r="D712" s="1709"/>
      <c r="E712" s="1710"/>
      <c r="F712" s="1710"/>
      <c r="G712" s="1710"/>
      <c r="H712" s="1710"/>
      <c r="I712" s="1710"/>
      <c r="J712" s="1710"/>
      <c r="K712" s="1710"/>
      <c r="L712" s="1710"/>
      <c r="M712" s="1711"/>
      <c r="N712" s="1711"/>
      <c r="O712" s="1711"/>
      <c r="P712" s="1711"/>
      <c r="Q712" s="1711"/>
      <c r="R712" s="1711"/>
      <c r="S712" s="1711"/>
      <c r="T712" s="1711"/>
      <c r="U712" s="1711"/>
      <c r="V712" s="1711"/>
      <c r="W712" s="1711"/>
      <c r="X712" s="1711"/>
      <c r="Y712" s="1711"/>
      <c r="Z712" s="1712"/>
      <c r="AA712" s="1712"/>
      <c r="AB712" s="1712"/>
      <c r="AC712" s="1712"/>
      <c r="AD712" s="1712"/>
      <c r="AE712" s="1712"/>
      <c r="AF712" s="1712"/>
      <c r="AG712" s="1712"/>
      <c r="AH712" s="1712"/>
      <c r="AI712" s="1712"/>
      <c r="AJ712" s="1712"/>
      <c r="AK712" s="1712"/>
      <c r="AL712" s="1712"/>
      <c r="AM712" s="1712"/>
      <c r="AN712" s="1712"/>
      <c r="AO712" s="1712"/>
      <c r="AP712" s="1712"/>
      <c r="AQ712" s="1712"/>
      <c r="AR712" s="1712"/>
      <c r="AS712" s="1712"/>
      <c r="AT712" s="1712"/>
    </row>
    <row r="713">
      <c r="A713" s="1474" t="s">
        <v>2461</v>
      </c>
      <c r="B713" s="1708"/>
      <c r="C713" s="1709"/>
      <c r="D713" s="1709"/>
      <c r="E713" s="1710"/>
      <c r="F713" s="1710"/>
      <c r="G713" s="1710"/>
      <c r="H713" s="1710"/>
      <c r="I713" s="1710"/>
      <c r="J713" s="1710"/>
      <c r="K713" s="1710"/>
      <c r="L713" s="1710"/>
      <c r="M713" s="1711"/>
      <c r="N713" s="1711"/>
      <c r="O713" s="1711"/>
      <c r="P713" s="1711"/>
      <c r="Q713" s="1711"/>
      <c r="R713" s="1711"/>
      <c r="S713" s="1711"/>
      <c r="T713" s="1711"/>
      <c r="U713" s="1711"/>
      <c r="V713" s="1711"/>
      <c r="W713" s="1711"/>
      <c r="X713" s="1711"/>
      <c r="Y713" s="1711"/>
      <c r="Z713" s="1712"/>
      <c r="AA713" s="1712"/>
      <c r="AB713" s="1712"/>
      <c r="AC713" s="1712"/>
      <c r="AD713" s="1712"/>
      <c r="AE713" s="1712"/>
      <c r="AF713" s="1712"/>
      <c r="AG713" s="1712"/>
      <c r="AH713" s="1712"/>
      <c r="AI713" s="1712"/>
      <c r="AJ713" s="1712"/>
      <c r="AK713" s="1712"/>
      <c r="AL713" s="1712"/>
      <c r="AM713" s="1712"/>
      <c r="AN713" s="1712"/>
      <c r="AO713" s="1712"/>
      <c r="AP713" s="1712"/>
      <c r="AQ713" s="1712"/>
      <c r="AR713" s="1712"/>
      <c r="AS713" s="1712"/>
      <c r="AT713" s="1712"/>
    </row>
    <row r="714">
      <c r="A714" s="1474" t="s">
        <v>2461</v>
      </c>
      <c r="B714" s="1708"/>
      <c r="C714" s="1709"/>
      <c r="D714" s="1709"/>
      <c r="E714" s="1710"/>
      <c r="F714" s="1710"/>
      <c r="G714" s="1710"/>
      <c r="H714" s="1710"/>
      <c r="I714" s="1710"/>
      <c r="J714" s="1710"/>
      <c r="K714" s="1710"/>
      <c r="L714" s="1710"/>
      <c r="M714" s="1711"/>
      <c r="N714" s="1711"/>
      <c r="O714" s="1711"/>
      <c r="P714" s="1711"/>
      <c r="Q714" s="1711"/>
      <c r="R714" s="1711"/>
      <c r="S714" s="1711"/>
      <c r="T714" s="1711"/>
      <c r="U714" s="1711"/>
      <c r="V714" s="1711"/>
      <c r="W714" s="1711"/>
      <c r="X714" s="1711"/>
      <c r="Y714" s="1711"/>
      <c r="Z714" s="1712"/>
      <c r="AA714" s="1712"/>
      <c r="AB714" s="1712"/>
      <c r="AC714" s="1712"/>
      <c r="AD714" s="1712"/>
      <c r="AE714" s="1712"/>
      <c r="AF714" s="1712"/>
      <c r="AG714" s="1712"/>
      <c r="AH714" s="1712"/>
      <c r="AI714" s="1712"/>
      <c r="AJ714" s="1712"/>
      <c r="AK714" s="1712"/>
      <c r="AL714" s="1712"/>
      <c r="AM714" s="1712"/>
      <c r="AN714" s="1712"/>
      <c r="AO714" s="1712"/>
      <c r="AP714" s="1712"/>
      <c r="AQ714" s="1712"/>
      <c r="AR714" s="1712"/>
      <c r="AS714" s="1712"/>
      <c r="AT714" s="1712"/>
    </row>
    <row r="715">
      <c r="A715" s="1474" t="s">
        <v>2461</v>
      </c>
      <c r="B715" s="1708"/>
      <c r="C715" s="1709"/>
      <c r="D715" s="1709"/>
      <c r="E715" s="1710"/>
      <c r="F715" s="1710"/>
      <c r="G715" s="1710"/>
      <c r="H715" s="1710"/>
      <c r="I715" s="1710"/>
      <c r="J715" s="1710"/>
      <c r="K715" s="1710"/>
      <c r="L715" s="1710"/>
      <c r="M715" s="1711"/>
      <c r="N715" s="1711"/>
      <c r="O715" s="1711"/>
      <c r="P715" s="1711"/>
      <c r="Q715" s="1711"/>
      <c r="R715" s="1711"/>
      <c r="S715" s="1711"/>
      <c r="T715" s="1711"/>
      <c r="U715" s="1711"/>
      <c r="V715" s="1711"/>
      <c r="W715" s="1711"/>
      <c r="X715" s="1711"/>
      <c r="Y715" s="1711"/>
      <c r="Z715" s="1712"/>
      <c r="AA715" s="1712"/>
      <c r="AB715" s="1712"/>
      <c r="AC715" s="1712"/>
      <c r="AD715" s="1712"/>
      <c r="AE715" s="1712"/>
      <c r="AF715" s="1712"/>
      <c r="AG715" s="1712"/>
      <c r="AH715" s="1712"/>
      <c r="AI715" s="1712"/>
      <c r="AJ715" s="1712"/>
      <c r="AK715" s="1712"/>
      <c r="AL715" s="1712"/>
      <c r="AM715" s="1712"/>
      <c r="AN715" s="1712"/>
      <c r="AO715" s="1712"/>
      <c r="AP715" s="1712"/>
      <c r="AQ715" s="1712"/>
      <c r="AR715" s="1712"/>
      <c r="AS715" s="1712"/>
      <c r="AT715" s="1712"/>
    </row>
    <row r="716">
      <c r="A716" s="1474" t="s">
        <v>2461</v>
      </c>
      <c r="B716" s="1708"/>
      <c r="C716" s="1709"/>
      <c r="D716" s="1709"/>
      <c r="E716" s="1710"/>
      <c r="F716" s="1710"/>
      <c r="G716" s="1710"/>
      <c r="H716" s="1710"/>
      <c r="I716" s="1710"/>
      <c r="J716" s="1710"/>
      <c r="K716" s="1710"/>
      <c r="L716" s="1710"/>
      <c r="M716" s="1711"/>
      <c r="N716" s="1711"/>
      <c r="O716" s="1711"/>
      <c r="P716" s="1711"/>
      <c r="Q716" s="1711"/>
      <c r="R716" s="1711"/>
      <c r="S716" s="1711"/>
      <c r="T716" s="1711"/>
      <c r="U716" s="1711"/>
      <c r="V716" s="1711"/>
      <c r="W716" s="1711"/>
      <c r="X716" s="1711"/>
      <c r="Y716" s="1711"/>
      <c r="Z716" s="1712"/>
      <c r="AA716" s="1712"/>
      <c r="AB716" s="1712"/>
      <c r="AC716" s="1712"/>
      <c r="AD716" s="1712"/>
      <c r="AE716" s="1712"/>
      <c r="AF716" s="1712"/>
      <c r="AG716" s="1712"/>
      <c r="AH716" s="1712"/>
      <c r="AI716" s="1712"/>
      <c r="AJ716" s="1712"/>
      <c r="AK716" s="1712"/>
      <c r="AL716" s="1712"/>
      <c r="AM716" s="1712"/>
      <c r="AN716" s="1712"/>
      <c r="AO716" s="1712"/>
      <c r="AP716" s="1712"/>
      <c r="AQ716" s="1712"/>
      <c r="AR716" s="1712"/>
      <c r="AS716" s="1712"/>
      <c r="AT716" s="1712"/>
    </row>
    <row r="717">
      <c r="A717" s="1474" t="s">
        <v>2461</v>
      </c>
      <c r="B717" s="1708"/>
      <c r="C717" s="1709"/>
      <c r="D717" s="1709"/>
      <c r="E717" s="1710"/>
      <c r="F717" s="1710"/>
      <c r="G717" s="1710"/>
      <c r="H717" s="1710"/>
      <c r="I717" s="1710"/>
      <c r="J717" s="1710"/>
      <c r="K717" s="1710"/>
      <c r="L717" s="1710"/>
      <c r="M717" s="1711"/>
      <c r="N717" s="1711"/>
      <c r="O717" s="1711"/>
      <c r="P717" s="1711"/>
      <c r="Q717" s="1711"/>
      <c r="R717" s="1711"/>
      <c r="S717" s="1711"/>
      <c r="T717" s="1711"/>
      <c r="U717" s="1711"/>
      <c r="V717" s="1711"/>
      <c r="W717" s="1711"/>
      <c r="X717" s="1711"/>
      <c r="Y717" s="1711"/>
      <c r="Z717" s="1712"/>
      <c r="AA717" s="1712"/>
      <c r="AB717" s="1712"/>
      <c r="AC717" s="1712"/>
      <c r="AD717" s="1712"/>
      <c r="AE717" s="1712"/>
      <c r="AF717" s="1712"/>
      <c r="AG717" s="1712"/>
      <c r="AH717" s="1712"/>
      <c r="AI717" s="1712"/>
      <c r="AJ717" s="1712"/>
      <c r="AK717" s="1712"/>
      <c r="AL717" s="1712"/>
      <c r="AM717" s="1712"/>
      <c r="AN717" s="1712"/>
      <c r="AO717" s="1712"/>
      <c r="AP717" s="1712"/>
      <c r="AQ717" s="1712"/>
      <c r="AR717" s="1712"/>
      <c r="AS717" s="1712"/>
      <c r="AT717" s="1712"/>
    </row>
    <row r="718">
      <c r="A718" s="1474" t="s">
        <v>2461</v>
      </c>
      <c r="B718" s="1708"/>
      <c r="C718" s="1709"/>
      <c r="D718" s="1709"/>
      <c r="E718" s="1710"/>
      <c r="F718" s="1710"/>
      <c r="G718" s="1710"/>
      <c r="H718" s="1710"/>
      <c r="I718" s="1710"/>
      <c r="J718" s="1710"/>
      <c r="K718" s="1710"/>
      <c r="L718" s="1710"/>
      <c r="M718" s="1711"/>
      <c r="N718" s="1711"/>
      <c r="O718" s="1711"/>
      <c r="P718" s="1711"/>
      <c r="Q718" s="1711"/>
      <c r="R718" s="1711"/>
      <c r="S718" s="1711"/>
      <c r="T718" s="1711"/>
      <c r="U718" s="1711"/>
      <c r="V718" s="1711"/>
      <c r="W718" s="1711"/>
      <c r="X718" s="1711"/>
      <c r="Y718" s="1711"/>
      <c r="Z718" s="1712"/>
      <c r="AA718" s="1712"/>
      <c r="AB718" s="1712"/>
      <c r="AC718" s="1712"/>
      <c r="AD718" s="1712"/>
      <c r="AE718" s="1712"/>
      <c r="AF718" s="1712"/>
      <c r="AG718" s="1712"/>
      <c r="AH718" s="1712"/>
      <c r="AI718" s="1712"/>
      <c r="AJ718" s="1712"/>
      <c r="AK718" s="1712"/>
      <c r="AL718" s="1712"/>
      <c r="AM718" s="1712"/>
      <c r="AN718" s="1712"/>
      <c r="AO718" s="1712"/>
      <c r="AP718" s="1712"/>
      <c r="AQ718" s="1712"/>
      <c r="AR718" s="1712"/>
      <c r="AS718" s="1712"/>
      <c r="AT718" s="1712"/>
    </row>
    <row r="719">
      <c r="A719" s="1474" t="s">
        <v>2461</v>
      </c>
      <c r="B719" s="1708"/>
      <c r="C719" s="1709"/>
      <c r="D719" s="1709"/>
      <c r="E719" s="1710"/>
      <c r="F719" s="1710"/>
      <c r="G719" s="1710"/>
      <c r="H719" s="1710"/>
      <c r="I719" s="1710"/>
      <c r="J719" s="1710"/>
      <c r="K719" s="1710"/>
      <c r="L719" s="1710"/>
      <c r="M719" s="1711"/>
      <c r="N719" s="1711"/>
      <c r="O719" s="1711"/>
      <c r="P719" s="1711"/>
      <c r="Q719" s="1711"/>
      <c r="R719" s="1711"/>
      <c r="S719" s="1711"/>
      <c r="T719" s="1711"/>
      <c r="U719" s="1711"/>
      <c r="V719" s="1711"/>
      <c r="W719" s="1711"/>
      <c r="X719" s="1711"/>
      <c r="Y719" s="1711"/>
      <c r="Z719" s="1712"/>
      <c r="AA719" s="1712"/>
      <c r="AB719" s="1712"/>
      <c r="AC719" s="1712"/>
      <c r="AD719" s="1712"/>
      <c r="AE719" s="1712"/>
      <c r="AF719" s="1712"/>
      <c r="AG719" s="1712"/>
      <c r="AH719" s="1712"/>
      <c r="AI719" s="1712"/>
      <c r="AJ719" s="1712"/>
      <c r="AK719" s="1712"/>
      <c r="AL719" s="1712"/>
      <c r="AM719" s="1712"/>
      <c r="AN719" s="1712"/>
      <c r="AO719" s="1712"/>
      <c r="AP719" s="1712"/>
      <c r="AQ719" s="1712"/>
      <c r="AR719" s="1712"/>
      <c r="AS719" s="1712"/>
      <c r="AT719" s="1712"/>
    </row>
    <row r="720">
      <c r="A720" s="1474" t="s">
        <v>2461</v>
      </c>
      <c r="B720" s="1708"/>
      <c r="C720" s="1709"/>
      <c r="D720" s="1709"/>
      <c r="E720" s="1710"/>
      <c r="F720" s="1710"/>
      <c r="G720" s="1710"/>
      <c r="H720" s="1710"/>
      <c r="I720" s="1710"/>
      <c r="J720" s="1710"/>
      <c r="K720" s="1710"/>
      <c r="L720" s="1710"/>
      <c r="M720" s="1711"/>
      <c r="N720" s="1711"/>
      <c r="O720" s="1711"/>
      <c r="P720" s="1711"/>
      <c r="Q720" s="1711"/>
      <c r="R720" s="1711"/>
      <c r="S720" s="1711"/>
      <c r="T720" s="1711"/>
      <c r="U720" s="1711"/>
      <c r="V720" s="1711"/>
      <c r="W720" s="1711"/>
      <c r="X720" s="1711"/>
      <c r="Y720" s="1711"/>
      <c r="Z720" s="1712"/>
      <c r="AA720" s="1712"/>
      <c r="AB720" s="1712"/>
      <c r="AC720" s="1712"/>
      <c r="AD720" s="1712"/>
      <c r="AE720" s="1712"/>
      <c r="AF720" s="1712"/>
      <c r="AG720" s="1712"/>
      <c r="AH720" s="1712"/>
      <c r="AI720" s="1712"/>
      <c r="AJ720" s="1712"/>
      <c r="AK720" s="1712"/>
      <c r="AL720" s="1712"/>
      <c r="AM720" s="1712"/>
      <c r="AN720" s="1712"/>
      <c r="AO720" s="1712"/>
      <c r="AP720" s="1712"/>
      <c r="AQ720" s="1712"/>
      <c r="AR720" s="1712"/>
      <c r="AS720" s="1712"/>
      <c r="AT720" s="1712"/>
    </row>
    <row r="721">
      <c r="A721" s="1474" t="s">
        <v>2461</v>
      </c>
      <c r="B721" s="1708"/>
      <c r="C721" s="1709"/>
      <c r="D721" s="1709"/>
      <c r="E721" s="1710"/>
      <c r="F721" s="1710"/>
      <c r="G721" s="1710"/>
      <c r="H721" s="1710"/>
      <c r="I721" s="1710"/>
      <c r="J721" s="1710"/>
      <c r="K721" s="1710"/>
      <c r="L721" s="1710"/>
      <c r="M721" s="1711"/>
      <c r="N721" s="1711"/>
      <c r="O721" s="1711"/>
      <c r="P721" s="1711"/>
      <c r="Q721" s="1711"/>
      <c r="R721" s="1711"/>
      <c r="S721" s="1711"/>
      <c r="T721" s="1711"/>
      <c r="U721" s="1711"/>
      <c r="V721" s="1711"/>
      <c r="W721" s="1711"/>
      <c r="X721" s="1711"/>
      <c r="Y721" s="1711"/>
      <c r="Z721" s="1712"/>
      <c r="AA721" s="1712"/>
      <c r="AB721" s="1712"/>
      <c r="AC721" s="1712"/>
      <c r="AD721" s="1712"/>
      <c r="AE721" s="1712"/>
      <c r="AF721" s="1712"/>
      <c r="AG721" s="1712"/>
      <c r="AH721" s="1712"/>
      <c r="AI721" s="1712"/>
      <c r="AJ721" s="1712"/>
      <c r="AK721" s="1712"/>
      <c r="AL721" s="1712"/>
      <c r="AM721" s="1712"/>
      <c r="AN721" s="1712"/>
      <c r="AO721" s="1712"/>
      <c r="AP721" s="1712"/>
      <c r="AQ721" s="1712"/>
      <c r="AR721" s="1712"/>
      <c r="AS721" s="1712"/>
      <c r="AT721" s="1712"/>
    </row>
    <row r="722">
      <c r="A722" s="1474" t="s">
        <v>2461</v>
      </c>
      <c r="B722" s="1708"/>
      <c r="C722" s="1709"/>
      <c r="D722" s="1709"/>
      <c r="E722" s="1710"/>
      <c r="F722" s="1710"/>
      <c r="G722" s="1710"/>
      <c r="H722" s="1710"/>
      <c r="I722" s="1710"/>
      <c r="J722" s="1710"/>
      <c r="K722" s="1710"/>
      <c r="L722" s="1710"/>
      <c r="M722" s="1711"/>
      <c r="N722" s="1711"/>
      <c r="O722" s="1711"/>
      <c r="P722" s="1711"/>
      <c r="Q722" s="1711"/>
      <c r="R722" s="1711"/>
      <c r="S722" s="1711"/>
      <c r="T722" s="1711"/>
      <c r="U722" s="1711"/>
      <c r="V722" s="1711"/>
      <c r="W722" s="1711"/>
      <c r="X722" s="1711"/>
      <c r="Y722" s="1711"/>
      <c r="Z722" s="1712"/>
      <c r="AA722" s="1712"/>
      <c r="AB722" s="1712"/>
      <c r="AC722" s="1712"/>
      <c r="AD722" s="1712"/>
      <c r="AE722" s="1712"/>
      <c r="AF722" s="1712"/>
      <c r="AG722" s="1712"/>
      <c r="AH722" s="1712"/>
      <c r="AI722" s="1712"/>
      <c r="AJ722" s="1712"/>
      <c r="AK722" s="1712"/>
      <c r="AL722" s="1712"/>
      <c r="AM722" s="1712"/>
      <c r="AN722" s="1712"/>
      <c r="AO722" s="1712"/>
      <c r="AP722" s="1712"/>
      <c r="AQ722" s="1712"/>
      <c r="AR722" s="1712"/>
      <c r="AS722" s="1712"/>
      <c r="AT722" s="1712"/>
    </row>
    <row r="723">
      <c r="A723" s="1474" t="s">
        <v>2461</v>
      </c>
      <c r="B723" s="1708"/>
      <c r="C723" s="1709"/>
      <c r="D723" s="1709"/>
      <c r="E723" s="1710"/>
      <c r="F723" s="1710"/>
      <c r="G723" s="1710"/>
      <c r="H723" s="1710"/>
      <c r="I723" s="1710"/>
      <c r="J723" s="1710"/>
      <c r="K723" s="1710"/>
      <c r="L723" s="1710"/>
      <c r="M723" s="1711"/>
      <c r="N723" s="1711"/>
      <c r="O723" s="1711"/>
      <c r="P723" s="1711"/>
      <c r="Q723" s="1711"/>
      <c r="R723" s="1711"/>
      <c r="S723" s="1711"/>
      <c r="T723" s="1711"/>
      <c r="U723" s="1711"/>
      <c r="V723" s="1711"/>
      <c r="W723" s="1711"/>
      <c r="X723" s="1711"/>
      <c r="Y723" s="1711"/>
      <c r="Z723" s="1712"/>
      <c r="AA723" s="1712"/>
      <c r="AB723" s="1712"/>
      <c r="AC723" s="1712"/>
      <c r="AD723" s="1712"/>
      <c r="AE723" s="1712"/>
      <c r="AF723" s="1712"/>
      <c r="AG723" s="1712"/>
      <c r="AH723" s="1712"/>
      <c r="AI723" s="1712"/>
      <c r="AJ723" s="1712"/>
      <c r="AK723" s="1712"/>
      <c r="AL723" s="1712"/>
      <c r="AM723" s="1712"/>
      <c r="AN723" s="1712"/>
      <c r="AO723" s="1712"/>
      <c r="AP723" s="1712"/>
      <c r="AQ723" s="1712"/>
      <c r="AR723" s="1712"/>
      <c r="AS723" s="1712"/>
      <c r="AT723" s="1712"/>
    </row>
    <row r="724">
      <c r="A724" s="1474" t="s">
        <v>2461</v>
      </c>
      <c r="B724" s="1708"/>
      <c r="C724" s="1709"/>
      <c r="D724" s="1709"/>
      <c r="E724" s="1710"/>
      <c r="F724" s="1710"/>
      <c r="G724" s="1710"/>
      <c r="H724" s="1710"/>
      <c r="I724" s="1710"/>
      <c r="J724" s="1710"/>
      <c r="K724" s="1710"/>
      <c r="L724" s="1710"/>
      <c r="M724" s="1711"/>
      <c r="N724" s="1711"/>
      <c r="O724" s="1711"/>
      <c r="P724" s="1711"/>
      <c r="Q724" s="1711"/>
      <c r="R724" s="1711"/>
      <c r="S724" s="1711"/>
      <c r="T724" s="1711"/>
      <c r="U724" s="1711"/>
      <c r="V724" s="1711"/>
      <c r="W724" s="1711"/>
      <c r="X724" s="1711"/>
      <c r="Y724" s="1711"/>
      <c r="Z724" s="1712"/>
      <c r="AA724" s="1712"/>
      <c r="AB724" s="1712"/>
      <c r="AC724" s="1712"/>
      <c r="AD724" s="1712"/>
      <c r="AE724" s="1712"/>
      <c r="AF724" s="1712"/>
      <c r="AG724" s="1712"/>
      <c r="AH724" s="1712"/>
      <c r="AI724" s="1712"/>
      <c r="AJ724" s="1712"/>
      <c r="AK724" s="1712"/>
      <c r="AL724" s="1712"/>
      <c r="AM724" s="1712"/>
      <c r="AN724" s="1712"/>
      <c r="AO724" s="1712"/>
      <c r="AP724" s="1712"/>
      <c r="AQ724" s="1712"/>
      <c r="AR724" s="1712"/>
      <c r="AS724" s="1712"/>
      <c r="AT724" s="1712"/>
    </row>
    <row r="725">
      <c r="A725" s="1474" t="s">
        <v>2461</v>
      </c>
      <c r="B725" s="1708"/>
      <c r="C725" s="1709"/>
      <c r="D725" s="1709"/>
      <c r="E725" s="1710"/>
      <c r="F725" s="1710"/>
      <c r="G725" s="1710"/>
      <c r="H725" s="1710"/>
      <c r="I725" s="1710"/>
      <c r="J725" s="1710"/>
      <c r="K725" s="1710"/>
      <c r="L725" s="1710"/>
      <c r="M725" s="1711"/>
      <c r="N725" s="1711"/>
      <c r="O725" s="1711"/>
      <c r="P725" s="1711"/>
      <c r="Q725" s="1711"/>
      <c r="R725" s="1711"/>
      <c r="S725" s="1711"/>
      <c r="T725" s="1711"/>
      <c r="U725" s="1711"/>
      <c r="V725" s="1711"/>
      <c r="W725" s="1711"/>
      <c r="X725" s="1711"/>
      <c r="Y725" s="1711"/>
      <c r="Z725" s="1712"/>
      <c r="AA725" s="1712"/>
      <c r="AB725" s="1712"/>
      <c r="AC725" s="1712"/>
      <c r="AD725" s="1712"/>
      <c r="AE725" s="1712"/>
      <c r="AF725" s="1712"/>
      <c r="AG725" s="1712"/>
      <c r="AH725" s="1712"/>
      <c r="AI725" s="1712"/>
      <c r="AJ725" s="1712"/>
      <c r="AK725" s="1712"/>
      <c r="AL725" s="1712"/>
      <c r="AM725" s="1712"/>
      <c r="AN725" s="1712"/>
      <c r="AO725" s="1712"/>
      <c r="AP725" s="1712"/>
      <c r="AQ725" s="1712"/>
      <c r="AR725" s="1712"/>
      <c r="AS725" s="1712"/>
      <c r="AT725" s="1712"/>
    </row>
    <row r="726">
      <c r="A726" s="1474" t="s">
        <v>2461</v>
      </c>
      <c r="B726" s="1708"/>
      <c r="C726" s="1709"/>
      <c r="D726" s="1709"/>
      <c r="E726" s="1710"/>
      <c r="F726" s="1710"/>
      <c r="G726" s="1710"/>
      <c r="H726" s="1710"/>
      <c r="I726" s="1710"/>
      <c r="J726" s="1710"/>
      <c r="K726" s="1710"/>
      <c r="L726" s="1710"/>
      <c r="M726" s="1711"/>
      <c r="N726" s="1711"/>
      <c r="O726" s="1711"/>
      <c r="P726" s="1711"/>
      <c r="Q726" s="1711"/>
      <c r="R726" s="1711"/>
      <c r="S726" s="1711"/>
      <c r="T726" s="1711"/>
      <c r="U726" s="1711"/>
      <c r="V726" s="1711"/>
      <c r="W726" s="1711"/>
      <c r="X726" s="1711"/>
      <c r="Y726" s="1711"/>
      <c r="Z726" s="1712"/>
      <c r="AA726" s="1712"/>
      <c r="AB726" s="1712"/>
      <c r="AC726" s="1712"/>
      <c r="AD726" s="1712"/>
      <c r="AE726" s="1712"/>
      <c r="AF726" s="1712"/>
      <c r="AG726" s="1712"/>
      <c r="AH726" s="1712"/>
      <c r="AI726" s="1712"/>
      <c r="AJ726" s="1712"/>
      <c r="AK726" s="1712"/>
      <c r="AL726" s="1712"/>
      <c r="AM726" s="1712"/>
      <c r="AN726" s="1712"/>
      <c r="AO726" s="1712"/>
      <c r="AP726" s="1712"/>
      <c r="AQ726" s="1712"/>
      <c r="AR726" s="1712"/>
      <c r="AS726" s="1712"/>
      <c r="AT726" s="1712"/>
    </row>
    <row r="727">
      <c r="A727" s="1474" t="s">
        <v>2461</v>
      </c>
      <c r="B727" s="1708"/>
      <c r="C727" s="1709"/>
      <c r="D727" s="1709"/>
      <c r="E727" s="1710"/>
      <c r="F727" s="1710"/>
      <c r="G727" s="1710"/>
      <c r="H727" s="1710"/>
      <c r="I727" s="1710"/>
      <c r="J727" s="1710"/>
      <c r="K727" s="1710"/>
      <c r="L727" s="1710"/>
      <c r="M727" s="1711"/>
      <c r="N727" s="1711"/>
      <c r="O727" s="1711"/>
      <c r="P727" s="1711"/>
      <c r="Q727" s="1711"/>
      <c r="R727" s="1711"/>
      <c r="S727" s="1711"/>
      <c r="T727" s="1711"/>
      <c r="U727" s="1711"/>
      <c r="V727" s="1711"/>
      <c r="W727" s="1711"/>
      <c r="X727" s="1711"/>
      <c r="Y727" s="1711"/>
      <c r="Z727" s="1712"/>
      <c r="AA727" s="1712"/>
      <c r="AB727" s="1712"/>
      <c r="AC727" s="1712"/>
      <c r="AD727" s="1712"/>
      <c r="AE727" s="1712"/>
      <c r="AF727" s="1712"/>
      <c r="AG727" s="1712"/>
      <c r="AH727" s="1712"/>
      <c r="AI727" s="1712"/>
      <c r="AJ727" s="1712"/>
      <c r="AK727" s="1712"/>
      <c r="AL727" s="1712"/>
      <c r="AM727" s="1712"/>
      <c r="AN727" s="1712"/>
      <c r="AO727" s="1712"/>
      <c r="AP727" s="1712"/>
      <c r="AQ727" s="1712"/>
      <c r="AR727" s="1712"/>
      <c r="AS727" s="1712"/>
      <c r="AT727" s="1712"/>
    </row>
    <row r="728">
      <c r="A728" s="1474" t="s">
        <v>2461</v>
      </c>
      <c r="B728" s="1708"/>
      <c r="C728" s="1709"/>
      <c r="D728" s="1709"/>
      <c r="E728" s="1710"/>
      <c r="F728" s="1710"/>
      <c r="G728" s="1710"/>
      <c r="H728" s="1710"/>
      <c r="I728" s="1710"/>
      <c r="J728" s="1710"/>
      <c r="K728" s="1710"/>
      <c r="L728" s="1710"/>
      <c r="M728" s="1711"/>
      <c r="N728" s="1711"/>
      <c r="O728" s="1711"/>
      <c r="P728" s="1711"/>
      <c r="Q728" s="1711"/>
      <c r="R728" s="1711"/>
      <c r="S728" s="1711"/>
      <c r="T728" s="1711"/>
      <c r="U728" s="1711"/>
      <c r="V728" s="1711"/>
      <c r="W728" s="1711"/>
      <c r="X728" s="1711"/>
      <c r="Y728" s="1711"/>
      <c r="Z728" s="1712"/>
      <c r="AA728" s="1712"/>
      <c r="AB728" s="1712"/>
      <c r="AC728" s="1712"/>
      <c r="AD728" s="1712"/>
      <c r="AE728" s="1712"/>
      <c r="AF728" s="1712"/>
      <c r="AG728" s="1712"/>
      <c r="AH728" s="1712"/>
      <c r="AI728" s="1712"/>
      <c r="AJ728" s="1712"/>
      <c r="AK728" s="1712"/>
      <c r="AL728" s="1712"/>
      <c r="AM728" s="1712"/>
      <c r="AN728" s="1712"/>
      <c r="AO728" s="1712"/>
      <c r="AP728" s="1712"/>
      <c r="AQ728" s="1712"/>
      <c r="AR728" s="1712"/>
      <c r="AS728" s="1712"/>
      <c r="AT728" s="1712"/>
    </row>
    <row r="729">
      <c r="A729" s="1474" t="s">
        <v>2461</v>
      </c>
      <c r="B729" s="1708"/>
      <c r="C729" s="1709"/>
      <c r="D729" s="1709"/>
      <c r="E729" s="1710"/>
      <c r="F729" s="1710"/>
      <c r="G729" s="1710"/>
      <c r="H729" s="1710"/>
      <c r="I729" s="1710"/>
      <c r="J729" s="1710"/>
      <c r="K729" s="1710"/>
      <c r="L729" s="1710"/>
      <c r="M729" s="1711"/>
      <c r="N729" s="1711"/>
      <c r="O729" s="1711"/>
      <c r="P729" s="1711"/>
      <c r="Q729" s="1711"/>
      <c r="R729" s="1711"/>
      <c r="S729" s="1711"/>
      <c r="T729" s="1711"/>
      <c r="U729" s="1711"/>
      <c r="V729" s="1711"/>
      <c r="W729" s="1711"/>
      <c r="X729" s="1711"/>
      <c r="Y729" s="1711"/>
      <c r="Z729" s="1712"/>
      <c r="AA729" s="1712"/>
      <c r="AB729" s="1712"/>
      <c r="AC729" s="1712"/>
      <c r="AD729" s="1712"/>
      <c r="AE729" s="1712"/>
      <c r="AF729" s="1712"/>
      <c r="AG729" s="1712"/>
      <c r="AH729" s="1712"/>
      <c r="AI729" s="1712"/>
      <c r="AJ729" s="1712"/>
      <c r="AK729" s="1712"/>
      <c r="AL729" s="1712"/>
      <c r="AM729" s="1712"/>
      <c r="AN729" s="1712"/>
      <c r="AO729" s="1712"/>
      <c r="AP729" s="1712"/>
      <c r="AQ729" s="1712"/>
      <c r="AR729" s="1712"/>
      <c r="AS729" s="1712"/>
      <c r="AT729" s="1712"/>
    </row>
    <row r="730">
      <c r="A730" s="1474" t="s">
        <v>2461</v>
      </c>
      <c r="B730" s="1708"/>
      <c r="C730" s="1709"/>
      <c r="D730" s="1709"/>
      <c r="E730" s="1710"/>
      <c r="F730" s="1710"/>
      <c r="G730" s="1710"/>
      <c r="H730" s="1710"/>
      <c r="I730" s="1710"/>
      <c r="J730" s="1710"/>
      <c r="K730" s="1710"/>
      <c r="L730" s="1710"/>
      <c r="M730" s="1711"/>
      <c r="N730" s="1711"/>
      <c r="O730" s="1711"/>
      <c r="P730" s="1711"/>
      <c r="Q730" s="1711"/>
      <c r="R730" s="1711"/>
      <c r="S730" s="1711"/>
      <c r="T730" s="1711"/>
      <c r="U730" s="1711"/>
      <c r="V730" s="1711"/>
      <c r="W730" s="1711"/>
      <c r="X730" s="1711"/>
      <c r="Y730" s="1711"/>
      <c r="Z730" s="1712"/>
      <c r="AA730" s="1712"/>
      <c r="AB730" s="1712"/>
      <c r="AC730" s="1712"/>
      <c r="AD730" s="1712"/>
      <c r="AE730" s="1712"/>
      <c r="AF730" s="1712"/>
      <c r="AG730" s="1712"/>
      <c r="AH730" s="1712"/>
      <c r="AI730" s="1712"/>
      <c r="AJ730" s="1712"/>
      <c r="AK730" s="1712"/>
      <c r="AL730" s="1712"/>
      <c r="AM730" s="1712"/>
      <c r="AN730" s="1712"/>
      <c r="AO730" s="1712"/>
      <c r="AP730" s="1712"/>
      <c r="AQ730" s="1712"/>
      <c r="AR730" s="1712"/>
      <c r="AS730" s="1712"/>
      <c r="AT730" s="1712"/>
    </row>
    <row r="731">
      <c r="A731" s="1474" t="s">
        <v>2461</v>
      </c>
      <c r="B731" s="1708"/>
      <c r="C731" s="1709"/>
      <c r="D731" s="1709"/>
      <c r="E731" s="1710"/>
      <c r="F731" s="1710"/>
      <c r="G731" s="1710"/>
      <c r="H731" s="1710"/>
      <c r="I731" s="1710"/>
      <c r="J731" s="1710"/>
      <c r="K731" s="1710"/>
      <c r="L731" s="1710"/>
      <c r="M731" s="1711"/>
      <c r="N731" s="1711"/>
      <c r="O731" s="1711"/>
      <c r="P731" s="1711"/>
      <c r="Q731" s="1711"/>
      <c r="R731" s="1711"/>
      <c r="S731" s="1711"/>
      <c r="T731" s="1711"/>
      <c r="U731" s="1711"/>
      <c r="V731" s="1711"/>
      <c r="W731" s="1711"/>
      <c r="X731" s="1711"/>
      <c r="Y731" s="1711"/>
      <c r="Z731" s="1712"/>
      <c r="AA731" s="1712"/>
      <c r="AB731" s="1712"/>
      <c r="AC731" s="1712"/>
      <c r="AD731" s="1712"/>
      <c r="AE731" s="1712"/>
      <c r="AF731" s="1712"/>
      <c r="AG731" s="1712"/>
      <c r="AH731" s="1712"/>
      <c r="AI731" s="1712"/>
      <c r="AJ731" s="1712"/>
      <c r="AK731" s="1712"/>
      <c r="AL731" s="1712"/>
      <c r="AM731" s="1712"/>
      <c r="AN731" s="1712"/>
      <c r="AO731" s="1712"/>
      <c r="AP731" s="1712"/>
      <c r="AQ731" s="1712"/>
      <c r="AR731" s="1712"/>
      <c r="AS731" s="1712"/>
      <c r="AT731" s="1712"/>
    </row>
    <row r="732">
      <c r="A732" s="1474" t="s">
        <v>2461</v>
      </c>
      <c r="B732" s="1708"/>
      <c r="C732" s="1709"/>
      <c r="D732" s="1709"/>
      <c r="E732" s="1710"/>
      <c r="F732" s="1710"/>
      <c r="G732" s="1710"/>
      <c r="H732" s="1710"/>
      <c r="I732" s="1710"/>
      <c r="J732" s="1710"/>
      <c r="K732" s="1710"/>
      <c r="L732" s="1710"/>
      <c r="M732" s="1711"/>
      <c r="N732" s="1711"/>
      <c r="O732" s="1711"/>
      <c r="P732" s="1711"/>
      <c r="Q732" s="1711"/>
      <c r="R732" s="1711"/>
      <c r="S732" s="1711"/>
      <c r="T732" s="1711"/>
      <c r="U732" s="1711"/>
      <c r="V732" s="1711"/>
      <c r="W732" s="1711"/>
      <c r="X732" s="1711"/>
      <c r="Y732" s="1711"/>
      <c r="Z732" s="1712"/>
      <c r="AA732" s="1712"/>
      <c r="AB732" s="1712"/>
      <c r="AC732" s="1712"/>
      <c r="AD732" s="1712"/>
      <c r="AE732" s="1712"/>
      <c r="AF732" s="1712"/>
      <c r="AG732" s="1712"/>
      <c r="AH732" s="1712"/>
      <c r="AI732" s="1712"/>
      <c r="AJ732" s="1712"/>
      <c r="AK732" s="1712"/>
      <c r="AL732" s="1712"/>
      <c r="AM732" s="1712"/>
      <c r="AN732" s="1712"/>
      <c r="AO732" s="1712"/>
      <c r="AP732" s="1712"/>
      <c r="AQ732" s="1712"/>
      <c r="AR732" s="1712"/>
      <c r="AS732" s="1712"/>
      <c r="AT732" s="1712"/>
    </row>
    <row r="733">
      <c r="A733" s="1474" t="s">
        <v>2461</v>
      </c>
      <c r="B733" s="1708"/>
      <c r="C733" s="1709"/>
      <c r="D733" s="1709"/>
      <c r="E733" s="1710"/>
      <c r="F733" s="1710"/>
      <c r="G733" s="1710"/>
      <c r="H733" s="1710"/>
      <c r="I733" s="1710"/>
      <c r="J733" s="1710"/>
      <c r="K733" s="1710"/>
      <c r="L733" s="1710"/>
      <c r="M733" s="1711"/>
      <c r="N733" s="1711"/>
      <c r="O733" s="1711"/>
      <c r="P733" s="1711"/>
      <c r="Q733" s="1711"/>
      <c r="R733" s="1711"/>
      <c r="S733" s="1711"/>
      <c r="T733" s="1711"/>
      <c r="U733" s="1711"/>
      <c r="V733" s="1711"/>
      <c r="W733" s="1711"/>
      <c r="X733" s="1711"/>
      <c r="Y733" s="1711"/>
      <c r="Z733" s="1712"/>
      <c r="AA733" s="1712"/>
      <c r="AB733" s="1712"/>
      <c r="AC733" s="1712"/>
      <c r="AD733" s="1712"/>
      <c r="AE733" s="1712"/>
      <c r="AF733" s="1712"/>
      <c r="AG733" s="1712"/>
      <c r="AH733" s="1712"/>
      <c r="AI733" s="1712"/>
      <c r="AJ733" s="1712"/>
      <c r="AK733" s="1712"/>
      <c r="AL733" s="1712"/>
      <c r="AM733" s="1712"/>
      <c r="AN733" s="1712"/>
      <c r="AO733" s="1712"/>
      <c r="AP733" s="1712"/>
      <c r="AQ733" s="1712"/>
      <c r="AR733" s="1712"/>
      <c r="AS733" s="1712"/>
      <c r="AT733" s="1712"/>
    </row>
    <row r="734">
      <c r="A734" s="1474" t="s">
        <v>2461</v>
      </c>
      <c r="B734" s="1708"/>
      <c r="C734" s="1709"/>
      <c r="D734" s="1709"/>
      <c r="E734" s="1710"/>
      <c r="F734" s="1710"/>
      <c r="G734" s="1710"/>
      <c r="H734" s="1710"/>
      <c r="I734" s="1710"/>
      <c r="J734" s="1710"/>
      <c r="K734" s="1710"/>
      <c r="L734" s="1710"/>
      <c r="M734" s="1711"/>
      <c r="N734" s="1711"/>
      <c r="O734" s="1711"/>
      <c r="P734" s="1711"/>
      <c r="Q734" s="1711"/>
      <c r="R734" s="1711"/>
      <c r="S734" s="1711"/>
      <c r="T734" s="1711"/>
      <c r="U734" s="1711"/>
      <c r="V734" s="1711"/>
      <c r="W734" s="1711"/>
      <c r="X734" s="1711"/>
      <c r="Y734" s="1711"/>
      <c r="Z734" s="1712"/>
      <c r="AA734" s="1712"/>
      <c r="AB734" s="1712"/>
      <c r="AC734" s="1712"/>
      <c r="AD734" s="1712"/>
      <c r="AE734" s="1712"/>
      <c r="AF734" s="1712"/>
      <c r="AG734" s="1712"/>
      <c r="AH734" s="1712"/>
      <c r="AI734" s="1712"/>
      <c r="AJ734" s="1712"/>
      <c r="AK734" s="1712"/>
      <c r="AL734" s="1712"/>
      <c r="AM734" s="1712"/>
      <c r="AN734" s="1712"/>
      <c r="AO734" s="1712"/>
      <c r="AP734" s="1712"/>
      <c r="AQ734" s="1712"/>
      <c r="AR734" s="1712"/>
      <c r="AS734" s="1712"/>
      <c r="AT734" s="1712"/>
    </row>
    <row r="735">
      <c r="A735" s="1474" t="s">
        <v>2461</v>
      </c>
      <c r="B735" s="1708"/>
      <c r="C735" s="1709"/>
      <c r="D735" s="1709"/>
      <c r="E735" s="1710"/>
      <c r="F735" s="1710"/>
      <c r="G735" s="1710"/>
      <c r="H735" s="1710"/>
      <c r="I735" s="1710"/>
      <c r="J735" s="1710"/>
      <c r="K735" s="1710"/>
      <c r="L735" s="1710"/>
      <c r="M735" s="1711"/>
      <c r="N735" s="1711"/>
      <c r="O735" s="1711"/>
      <c r="P735" s="1711"/>
      <c r="Q735" s="1711"/>
      <c r="R735" s="1711"/>
      <c r="S735" s="1711"/>
      <c r="T735" s="1711"/>
      <c r="U735" s="1711"/>
      <c r="V735" s="1711"/>
      <c r="W735" s="1711"/>
      <c r="X735" s="1711"/>
      <c r="Y735" s="1711"/>
      <c r="Z735" s="1712"/>
      <c r="AA735" s="1712"/>
      <c r="AB735" s="1712"/>
      <c r="AC735" s="1712"/>
      <c r="AD735" s="1712"/>
      <c r="AE735" s="1712"/>
      <c r="AF735" s="1712"/>
      <c r="AG735" s="1712"/>
      <c r="AH735" s="1712"/>
      <c r="AI735" s="1712"/>
      <c r="AJ735" s="1712"/>
      <c r="AK735" s="1712"/>
      <c r="AL735" s="1712"/>
      <c r="AM735" s="1712"/>
      <c r="AN735" s="1712"/>
      <c r="AO735" s="1712"/>
      <c r="AP735" s="1712"/>
      <c r="AQ735" s="1712"/>
      <c r="AR735" s="1712"/>
      <c r="AS735" s="1712"/>
      <c r="AT735" s="1712"/>
    </row>
    <row r="736">
      <c r="A736" s="1474" t="s">
        <v>2461</v>
      </c>
      <c r="B736" s="1708"/>
      <c r="C736" s="1709"/>
      <c r="D736" s="1709"/>
      <c r="E736" s="1710"/>
      <c r="F736" s="1710"/>
      <c r="G736" s="1710"/>
      <c r="H736" s="1710"/>
      <c r="I736" s="1710"/>
      <c r="J736" s="1710"/>
      <c r="K736" s="1710"/>
      <c r="L736" s="1710"/>
      <c r="M736" s="1711"/>
      <c r="N736" s="1711"/>
      <c r="O736" s="1711"/>
      <c r="P736" s="1711"/>
      <c r="Q736" s="1711"/>
      <c r="R736" s="1711"/>
      <c r="S736" s="1711"/>
      <c r="T736" s="1711"/>
      <c r="U736" s="1711"/>
      <c r="V736" s="1711"/>
      <c r="W736" s="1711"/>
      <c r="X736" s="1711"/>
      <c r="Y736" s="1711"/>
      <c r="Z736" s="1712"/>
      <c r="AA736" s="1712"/>
      <c r="AB736" s="1712"/>
      <c r="AC736" s="1712"/>
      <c r="AD736" s="1712"/>
      <c r="AE736" s="1712"/>
      <c r="AF736" s="1712"/>
      <c r="AG736" s="1712"/>
      <c r="AH736" s="1712"/>
      <c r="AI736" s="1712"/>
      <c r="AJ736" s="1712"/>
      <c r="AK736" s="1712"/>
      <c r="AL736" s="1712"/>
      <c r="AM736" s="1712"/>
      <c r="AN736" s="1712"/>
      <c r="AO736" s="1712"/>
      <c r="AP736" s="1712"/>
      <c r="AQ736" s="1712"/>
      <c r="AR736" s="1712"/>
      <c r="AS736" s="1712"/>
      <c r="AT736" s="1712"/>
    </row>
    <row r="737">
      <c r="A737" s="1474" t="s">
        <v>2461</v>
      </c>
      <c r="B737" s="1708"/>
      <c r="C737" s="1709"/>
      <c r="D737" s="1709"/>
      <c r="E737" s="1710"/>
      <c r="F737" s="1710"/>
      <c r="G737" s="1710"/>
      <c r="H737" s="1710"/>
      <c r="I737" s="1710"/>
      <c r="J737" s="1710"/>
      <c r="K737" s="1710"/>
      <c r="L737" s="1710"/>
      <c r="M737" s="1711"/>
      <c r="N737" s="1711"/>
      <c r="O737" s="1711"/>
      <c r="P737" s="1711"/>
      <c r="Q737" s="1711"/>
      <c r="R737" s="1711"/>
      <c r="S737" s="1711"/>
      <c r="T737" s="1711"/>
      <c r="U737" s="1711"/>
      <c r="V737" s="1711"/>
      <c r="W737" s="1711"/>
      <c r="X737" s="1711"/>
      <c r="Y737" s="1711"/>
      <c r="Z737" s="1712"/>
      <c r="AA737" s="1712"/>
      <c r="AB737" s="1712"/>
      <c r="AC737" s="1712"/>
      <c r="AD737" s="1712"/>
      <c r="AE737" s="1712"/>
      <c r="AF737" s="1712"/>
      <c r="AG737" s="1712"/>
      <c r="AH737" s="1712"/>
      <c r="AI737" s="1712"/>
      <c r="AJ737" s="1712"/>
      <c r="AK737" s="1712"/>
      <c r="AL737" s="1712"/>
      <c r="AM737" s="1712"/>
      <c r="AN737" s="1712"/>
      <c r="AO737" s="1712"/>
      <c r="AP737" s="1712"/>
      <c r="AQ737" s="1712"/>
      <c r="AR737" s="1712"/>
      <c r="AS737" s="1712"/>
      <c r="AT737" s="1712"/>
    </row>
    <row r="738">
      <c r="A738" s="1474" t="s">
        <v>2461</v>
      </c>
      <c r="B738" s="1708"/>
      <c r="C738" s="1709"/>
      <c r="D738" s="1709"/>
      <c r="E738" s="1710"/>
      <c r="F738" s="1710"/>
      <c r="G738" s="1710"/>
      <c r="H738" s="1710"/>
      <c r="I738" s="1710"/>
      <c r="J738" s="1710"/>
      <c r="K738" s="1710"/>
      <c r="L738" s="1710"/>
      <c r="M738" s="1711"/>
      <c r="N738" s="1711"/>
      <c r="O738" s="1711"/>
      <c r="P738" s="1711"/>
      <c r="Q738" s="1711"/>
      <c r="R738" s="1711"/>
      <c r="S738" s="1711"/>
      <c r="T738" s="1711"/>
      <c r="U738" s="1711"/>
      <c r="V738" s="1711"/>
      <c r="W738" s="1711"/>
      <c r="X738" s="1711"/>
      <c r="Y738" s="1711"/>
      <c r="Z738" s="1712"/>
      <c r="AA738" s="1712"/>
      <c r="AB738" s="1712"/>
      <c r="AC738" s="1712"/>
      <c r="AD738" s="1712"/>
      <c r="AE738" s="1712"/>
      <c r="AF738" s="1712"/>
      <c r="AG738" s="1712"/>
      <c r="AH738" s="1712"/>
      <c r="AI738" s="1712"/>
      <c r="AJ738" s="1712"/>
      <c r="AK738" s="1712"/>
      <c r="AL738" s="1712"/>
      <c r="AM738" s="1712"/>
      <c r="AN738" s="1712"/>
      <c r="AO738" s="1712"/>
      <c r="AP738" s="1712"/>
      <c r="AQ738" s="1712"/>
      <c r="AR738" s="1712"/>
      <c r="AS738" s="1712"/>
      <c r="AT738" s="1712"/>
    </row>
    <row r="739">
      <c r="A739" s="1474" t="s">
        <v>2461</v>
      </c>
      <c r="B739" s="1708"/>
      <c r="C739" s="1709"/>
      <c r="D739" s="1709"/>
      <c r="E739" s="1710"/>
      <c r="F739" s="1710"/>
      <c r="G739" s="1710"/>
      <c r="H739" s="1710"/>
      <c r="I739" s="1710"/>
      <c r="J739" s="1710"/>
      <c r="K739" s="1710"/>
      <c r="L739" s="1710"/>
      <c r="M739" s="1711"/>
      <c r="N739" s="1711"/>
      <c r="O739" s="1711"/>
      <c r="P739" s="1711"/>
      <c r="Q739" s="1711"/>
      <c r="R739" s="1711"/>
      <c r="S739" s="1711"/>
      <c r="T739" s="1711"/>
      <c r="U739" s="1711"/>
      <c r="V739" s="1711"/>
      <c r="W739" s="1711"/>
      <c r="X739" s="1711"/>
      <c r="Y739" s="1711"/>
      <c r="Z739" s="1712"/>
      <c r="AA739" s="1712"/>
      <c r="AB739" s="1712"/>
      <c r="AC739" s="1712"/>
      <c r="AD739" s="1712"/>
      <c r="AE739" s="1712"/>
      <c r="AF739" s="1712"/>
      <c r="AG739" s="1712"/>
      <c r="AH739" s="1712"/>
      <c r="AI739" s="1712"/>
      <c r="AJ739" s="1712"/>
      <c r="AK739" s="1712"/>
      <c r="AL739" s="1712"/>
      <c r="AM739" s="1712"/>
      <c r="AN739" s="1712"/>
      <c r="AO739" s="1712"/>
      <c r="AP739" s="1712"/>
      <c r="AQ739" s="1712"/>
      <c r="AR739" s="1712"/>
      <c r="AS739" s="1712"/>
      <c r="AT739" s="1712"/>
    </row>
    <row r="740">
      <c r="A740" s="1474" t="s">
        <v>2461</v>
      </c>
      <c r="B740" s="1708"/>
      <c r="C740" s="1709"/>
      <c r="D740" s="1709"/>
      <c r="E740" s="1710"/>
      <c r="F740" s="1710"/>
      <c r="G740" s="1710"/>
      <c r="H740" s="1710"/>
      <c r="I740" s="1710"/>
      <c r="J740" s="1710"/>
      <c r="K740" s="1710"/>
      <c r="L740" s="1710"/>
      <c r="M740" s="1711"/>
      <c r="N740" s="1711"/>
      <c r="O740" s="1711"/>
      <c r="P740" s="1711"/>
      <c r="Q740" s="1711"/>
      <c r="R740" s="1711"/>
      <c r="S740" s="1711"/>
      <c r="T740" s="1711"/>
      <c r="U740" s="1711"/>
      <c r="V740" s="1711"/>
      <c r="W740" s="1711"/>
      <c r="X740" s="1711"/>
      <c r="Y740" s="1711"/>
      <c r="Z740" s="1712"/>
      <c r="AA740" s="1712"/>
      <c r="AB740" s="1712"/>
      <c r="AC740" s="1712"/>
      <c r="AD740" s="1712"/>
      <c r="AE740" s="1712"/>
      <c r="AF740" s="1712"/>
      <c r="AG740" s="1712"/>
      <c r="AH740" s="1712"/>
      <c r="AI740" s="1712"/>
      <c r="AJ740" s="1712"/>
      <c r="AK740" s="1712"/>
      <c r="AL740" s="1712"/>
      <c r="AM740" s="1712"/>
      <c r="AN740" s="1712"/>
      <c r="AO740" s="1712"/>
      <c r="AP740" s="1712"/>
      <c r="AQ740" s="1712"/>
      <c r="AR740" s="1712"/>
      <c r="AS740" s="1712"/>
      <c r="AT740" s="1712"/>
    </row>
    <row r="741">
      <c r="A741" s="1474" t="s">
        <v>2461</v>
      </c>
      <c r="B741" s="1708"/>
      <c r="C741" s="1709"/>
      <c r="D741" s="1709"/>
      <c r="E741" s="1710"/>
      <c r="F741" s="1710"/>
      <c r="G741" s="1710"/>
      <c r="H741" s="1710"/>
      <c r="I741" s="1710"/>
      <c r="J741" s="1710"/>
      <c r="K741" s="1710"/>
      <c r="L741" s="1710"/>
      <c r="M741" s="1711"/>
      <c r="N741" s="1711"/>
      <c r="O741" s="1711"/>
      <c r="P741" s="1711"/>
      <c r="Q741" s="1711"/>
      <c r="R741" s="1711"/>
      <c r="S741" s="1711"/>
      <c r="T741" s="1711"/>
      <c r="U741" s="1711"/>
      <c r="V741" s="1711"/>
      <c r="W741" s="1711"/>
      <c r="X741" s="1711"/>
      <c r="Y741" s="1711"/>
      <c r="Z741" s="1712"/>
      <c r="AA741" s="1712"/>
      <c r="AB741" s="1712"/>
      <c r="AC741" s="1712"/>
      <c r="AD741" s="1712"/>
      <c r="AE741" s="1712"/>
      <c r="AF741" s="1712"/>
      <c r="AG741" s="1712"/>
      <c r="AH741" s="1712"/>
      <c r="AI741" s="1712"/>
      <c r="AJ741" s="1712"/>
      <c r="AK741" s="1712"/>
      <c r="AL741" s="1712"/>
      <c r="AM741" s="1712"/>
      <c r="AN741" s="1712"/>
      <c r="AO741" s="1712"/>
      <c r="AP741" s="1712"/>
      <c r="AQ741" s="1712"/>
      <c r="AR741" s="1712"/>
      <c r="AS741" s="1712"/>
      <c r="AT741" s="1712"/>
    </row>
    <row r="742">
      <c r="A742" s="1474" t="s">
        <v>2461</v>
      </c>
      <c r="B742" s="1708"/>
      <c r="C742" s="1709"/>
      <c r="D742" s="1709"/>
      <c r="E742" s="1710"/>
      <c r="F742" s="1710"/>
      <c r="G742" s="1710"/>
      <c r="H742" s="1710"/>
      <c r="I742" s="1710"/>
      <c r="J742" s="1710"/>
      <c r="K742" s="1710"/>
      <c r="L742" s="1710"/>
      <c r="M742" s="1711"/>
      <c r="N742" s="1711"/>
      <c r="O742" s="1711"/>
      <c r="P742" s="1711"/>
      <c r="Q742" s="1711"/>
      <c r="R742" s="1711"/>
      <c r="S742" s="1711"/>
      <c r="T742" s="1711"/>
      <c r="U742" s="1711"/>
      <c r="V742" s="1711"/>
      <c r="W742" s="1711"/>
      <c r="X742" s="1711"/>
      <c r="Y742" s="1711"/>
      <c r="Z742" s="1712"/>
      <c r="AA742" s="1712"/>
      <c r="AB742" s="1712"/>
      <c r="AC742" s="1712"/>
      <c r="AD742" s="1712"/>
      <c r="AE742" s="1712"/>
      <c r="AF742" s="1712"/>
      <c r="AG742" s="1712"/>
      <c r="AH742" s="1712"/>
      <c r="AI742" s="1712"/>
      <c r="AJ742" s="1712"/>
      <c r="AK742" s="1712"/>
      <c r="AL742" s="1712"/>
      <c r="AM742" s="1712"/>
      <c r="AN742" s="1712"/>
      <c r="AO742" s="1712"/>
      <c r="AP742" s="1712"/>
      <c r="AQ742" s="1712"/>
      <c r="AR742" s="1712"/>
      <c r="AS742" s="1712"/>
      <c r="AT742" s="1712"/>
    </row>
    <row r="743">
      <c r="A743" s="1474" t="s">
        <v>2461</v>
      </c>
      <c r="B743" s="1708"/>
      <c r="C743" s="1709"/>
      <c r="D743" s="1709"/>
      <c r="E743" s="1710"/>
      <c r="F743" s="1710"/>
      <c r="G743" s="1710"/>
      <c r="H743" s="1710"/>
      <c r="I743" s="1710"/>
      <c r="J743" s="1710"/>
      <c r="K743" s="1710"/>
      <c r="L743" s="1710"/>
      <c r="M743" s="1711"/>
      <c r="N743" s="1711"/>
      <c r="O743" s="1711"/>
      <c r="P743" s="1711"/>
      <c r="Q743" s="1711"/>
      <c r="R743" s="1711"/>
      <c r="S743" s="1711"/>
      <c r="T743" s="1711"/>
      <c r="U743" s="1711"/>
      <c r="V743" s="1711"/>
      <c r="W743" s="1711"/>
      <c r="X743" s="1711"/>
      <c r="Y743" s="1711"/>
      <c r="Z743" s="1712"/>
      <c r="AA743" s="1712"/>
      <c r="AB743" s="1712"/>
      <c r="AC743" s="1712"/>
      <c r="AD743" s="1712"/>
      <c r="AE743" s="1712"/>
      <c r="AF743" s="1712"/>
      <c r="AG743" s="1712"/>
      <c r="AH743" s="1712"/>
      <c r="AI743" s="1712"/>
      <c r="AJ743" s="1712"/>
      <c r="AK743" s="1712"/>
      <c r="AL743" s="1712"/>
      <c r="AM743" s="1712"/>
      <c r="AN743" s="1712"/>
      <c r="AO743" s="1712"/>
      <c r="AP743" s="1712"/>
      <c r="AQ743" s="1712"/>
      <c r="AR743" s="1712"/>
      <c r="AS743" s="1712"/>
      <c r="AT743" s="1712"/>
    </row>
    <row r="744">
      <c r="A744" s="1474" t="s">
        <v>2461</v>
      </c>
      <c r="B744" s="1708"/>
      <c r="C744" s="1709"/>
      <c r="D744" s="1709"/>
      <c r="E744" s="1710"/>
      <c r="F744" s="1710"/>
      <c r="G744" s="1710"/>
      <c r="H744" s="1710"/>
      <c r="I744" s="1710"/>
      <c r="J744" s="1710"/>
      <c r="K744" s="1710"/>
      <c r="L744" s="1710"/>
      <c r="M744" s="1711"/>
      <c r="N744" s="1711"/>
      <c r="O744" s="1711"/>
      <c r="P744" s="1711"/>
      <c r="Q744" s="1711"/>
      <c r="R744" s="1711"/>
      <c r="S744" s="1711"/>
      <c r="T744" s="1711"/>
      <c r="U744" s="1711"/>
      <c r="V744" s="1711"/>
      <c r="W744" s="1711"/>
      <c r="X744" s="1711"/>
      <c r="Y744" s="1711"/>
      <c r="Z744" s="1712"/>
      <c r="AA744" s="1712"/>
      <c r="AB744" s="1712"/>
      <c r="AC744" s="1712"/>
      <c r="AD744" s="1712"/>
      <c r="AE744" s="1712"/>
      <c r="AF744" s="1712"/>
      <c r="AG744" s="1712"/>
      <c r="AH744" s="1712"/>
      <c r="AI744" s="1712"/>
      <c r="AJ744" s="1712"/>
      <c r="AK744" s="1712"/>
      <c r="AL744" s="1712"/>
      <c r="AM744" s="1712"/>
      <c r="AN744" s="1712"/>
      <c r="AO744" s="1712"/>
      <c r="AP744" s="1712"/>
      <c r="AQ744" s="1712"/>
      <c r="AR744" s="1712"/>
      <c r="AS744" s="1712"/>
      <c r="AT744" s="1712"/>
    </row>
    <row r="745">
      <c r="A745" s="1474" t="s">
        <v>2461</v>
      </c>
      <c r="B745" s="1708"/>
      <c r="C745" s="1709"/>
      <c r="D745" s="1709"/>
      <c r="E745" s="1710"/>
      <c r="F745" s="1710"/>
      <c r="G745" s="1710"/>
      <c r="H745" s="1710"/>
      <c r="I745" s="1710"/>
      <c r="J745" s="1710"/>
      <c r="K745" s="1710"/>
      <c r="L745" s="1710"/>
      <c r="M745" s="1711"/>
      <c r="N745" s="1711"/>
      <c r="O745" s="1711"/>
      <c r="P745" s="1711"/>
      <c r="Q745" s="1711"/>
      <c r="R745" s="1711"/>
      <c r="S745" s="1711"/>
      <c r="T745" s="1711"/>
      <c r="U745" s="1711"/>
      <c r="V745" s="1711"/>
      <c r="W745" s="1711"/>
      <c r="X745" s="1711"/>
      <c r="Y745" s="1711"/>
      <c r="Z745" s="1712"/>
      <c r="AA745" s="1712"/>
      <c r="AB745" s="1712"/>
      <c r="AC745" s="1712"/>
      <c r="AD745" s="1712"/>
      <c r="AE745" s="1712"/>
      <c r="AF745" s="1712"/>
      <c r="AG745" s="1712"/>
      <c r="AH745" s="1712"/>
      <c r="AI745" s="1712"/>
      <c r="AJ745" s="1712"/>
      <c r="AK745" s="1712"/>
      <c r="AL745" s="1712"/>
      <c r="AM745" s="1712"/>
      <c r="AN745" s="1712"/>
      <c r="AO745" s="1712"/>
      <c r="AP745" s="1712"/>
      <c r="AQ745" s="1712"/>
      <c r="AR745" s="1712"/>
      <c r="AS745" s="1712"/>
      <c r="AT745" s="1712"/>
    </row>
    <row r="746">
      <c r="A746" s="1474" t="s">
        <v>2461</v>
      </c>
      <c r="B746" s="1708"/>
      <c r="C746" s="1709"/>
      <c r="D746" s="1709"/>
      <c r="E746" s="1710"/>
      <c r="F746" s="1710"/>
      <c r="G746" s="1710"/>
      <c r="H746" s="1710"/>
      <c r="I746" s="1710"/>
      <c r="J746" s="1710"/>
      <c r="K746" s="1710"/>
      <c r="L746" s="1710"/>
      <c r="M746" s="1711"/>
      <c r="N746" s="1711"/>
      <c r="O746" s="1711"/>
      <c r="P746" s="1711"/>
      <c r="Q746" s="1711"/>
      <c r="R746" s="1711"/>
      <c r="S746" s="1711"/>
      <c r="T746" s="1711"/>
      <c r="U746" s="1711"/>
      <c r="V746" s="1711"/>
      <c r="W746" s="1711"/>
      <c r="X746" s="1711"/>
      <c r="Y746" s="1711"/>
      <c r="Z746" s="1712"/>
      <c r="AA746" s="1712"/>
      <c r="AB746" s="1712"/>
      <c r="AC746" s="1712"/>
      <c r="AD746" s="1712"/>
      <c r="AE746" s="1712"/>
      <c r="AF746" s="1712"/>
      <c r="AG746" s="1712"/>
      <c r="AH746" s="1712"/>
      <c r="AI746" s="1712"/>
      <c r="AJ746" s="1712"/>
      <c r="AK746" s="1712"/>
      <c r="AL746" s="1712"/>
      <c r="AM746" s="1712"/>
      <c r="AN746" s="1712"/>
      <c r="AO746" s="1712"/>
      <c r="AP746" s="1712"/>
      <c r="AQ746" s="1712"/>
      <c r="AR746" s="1712"/>
      <c r="AS746" s="1712"/>
      <c r="AT746" s="1712"/>
    </row>
    <row r="747">
      <c r="A747" s="1474" t="s">
        <v>2461</v>
      </c>
      <c r="B747" s="1708"/>
      <c r="C747" s="1709"/>
      <c r="D747" s="1709"/>
      <c r="E747" s="1710"/>
      <c r="F747" s="1710"/>
      <c r="G747" s="1710"/>
      <c r="H747" s="1710"/>
      <c r="I747" s="1710"/>
      <c r="J747" s="1710"/>
      <c r="K747" s="1710"/>
      <c r="L747" s="1710"/>
      <c r="M747" s="1711"/>
      <c r="N747" s="1711"/>
      <c r="O747" s="1711"/>
      <c r="P747" s="1711"/>
      <c r="Q747" s="1711"/>
      <c r="R747" s="1711"/>
      <c r="S747" s="1711"/>
      <c r="T747" s="1711"/>
      <c r="U747" s="1711"/>
      <c r="V747" s="1711"/>
      <c r="W747" s="1711"/>
      <c r="X747" s="1711"/>
      <c r="Y747" s="1711"/>
      <c r="Z747" s="1712"/>
      <c r="AA747" s="1712"/>
      <c r="AB747" s="1712"/>
      <c r="AC747" s="1712"/>
      <c r="AD747" s="1712"/>
      <c r="AE747" s="1712"/>
      <c r="AF747" s="1712"/>
      <c r="AG747" s="1712"/>
      <c r="AH747" s="1712"/>
      <c r="AI747" s="1712"/>
      <c r="AJ747" s="1712"/>
      <c r="AK747" s="1712"/>
      <c r="AL747" s="1712"/>
      <c r="AM747" s="1712"/>
      <c r="AN747" s="1712"/>
      <c r="AO747" s="1712"/>
      <c r="AP747" s="1712"/>
      <c r="AQ747" s="1712"/>
      <c r="AR747" s="1712"/>
      <c r="AS747" s="1712"/>
      <c r="AT747" s="1712"/>
    </row>
    <row r="748">
      <c r="A748" s="1474" t="s">
        <v>2461</v>
      </c>
      <c r="B748" s="1708"/>
      <c r="C748" s="1709"/>
      <c r="D748" s="1709"/>
      <c r="E748" s="1710"/>
      <c r="F748" s="1710"/>
      <c r="G748" s="1710"/>
      <c r="H748" s="1710"/>
      <c r="I748" s="1710"/>
      <c r="J748" s="1710"/>
      <c r="K748" s="1710"/>
      <c r="L748" s="1710"/>
      <c r="M748" s="1711"/>
      <c r="N748" s="1711"/>
      <c r="O748" s="1711"/>
      <c r="P748" s="1711"/>
      <c r="Q748" s="1711"/>
      <c r="R748" s="1711"/>
      <c r="S748" s="1711"/>
      <c r="T748" s="1711"/>
      <c r="U748" s="1711"/>
      <c r="V748" s="1711"/>
      <c r="W748" s="1711"/>
      <c r="X748" s="1711"/>
      <c r="Y748" s="1711"/>
      <c r="Z748" s="1712"/>
      <c r="AA748" s="1712"/>
      <c r="AB748" s="1712"/>
      <c r="AC748" s="1712"/>
      <c r="AD748" s="1712"/>
      <c r="AE748" s="1712"/>
      <c r="AF748" s="1712"/>
      <c r="AG748" s="1712"/>
      <c r="AH748" s="1712"/>
      <c r="AI748" s="1712"/>
      <c r="AJ748" s="1712"/>
      <c r="AK748" s="1712"/>
      <c r="AL748" s="1712"/>
      <c r="AM748" s="1712"/>
      <c r="AN748" s="1712"/>
      <c r="AO748" s="1712"/>
      <c r="AP748" s="1712"/>
      <c r="AQ748" s="1712"/>
      <c r="AR748" s="1712"/>
      <c r="AS748" s="1712"/>
      <c r="AT748" s="1712"/>
    </row>
    <row r="749">
      <c r="A749" s="1474" t="s">
        <v>2461</v>
      </c>
      <c r="B749" s="1708"/>
      <c r="C749" s="1709"/>
      <c r="D749" s="1709"/>
      <c r="E749" s="1710"/>
      <c r="F749" s="1710"/>
      <c r="G749" s="1710"/>
      <c r="H749" s="1710"/>
      <c r="I749" s="1710"/>
      <c r="J749" s="1710"/>
      <c r="K749" s="1710"/>
      <c r="L749" s="1710"/>
      <c r="M749" s="1711"/>
      <c r="N749" s="1711"/>
      <c r="O749" s="1711"/>
      <c r="P749" s="1711"/>
      <c r="Q749" s="1711"/>
      <c r="R749" s="1711"/>
      <c r="S749" s="1711"/>
      <c r="T749" s="1711"/>
      <c r="U749" s="1711"/>
      <c r="V749" s="1711"/>
      <c r="W749" s="1711"/>
      <c r="X749" s="1711"/>
      <c r="Y749" s="1711"/>
      <c r="Z749" s="1712"/>
      <c r="AA749" s="1712"/>
      <c r="AB749" s="1712"/>
      <c r="AC749" s="1712"/>
      <c r="AD749" s="1712"/>
      <c r="AE749" s="1712"/>
      <c r="AF749" s="1712"/>
      <c r="AG749" s="1712"/>
      <c r="AH749" s="1712"/>
      <c r="AI749" s="1712"/>
      <c r="AJ749" s="1712"/>
      <c r="AK749" s="1712"/>
      <c r="AL749" s="1712"/>
      <c r="AM749" s="1712"/>
      <c r="AN749" s="1712"/>
      <c r="AO749" s="1712"/>
      <c r="AP749" s="1712"/>
      <c r="AQ749" s="1712"/>
      <c r="AR749" s="1712"/>
      <c r="AS749" s="1712"/>
      <c r="AT749" s="1712"/>
    </row>
    <row r="750">
      <c r="A750" s="1474" t="s">
        <v>2461</v>
      </c>
      <c r="B750" s="1708"/>
      <c r="C750" s="1709"/>
      <c r="D750" s="1709"/>
      <c r="E750" s="1710"/>
      <c r="F750" s="1710"/>
      <c r="G750" s="1710"/>
      <c r="H750" s="1710"/>
      <c r="I750" s="1710"/>
      <c r="J750" s="1710"/>
      <c r="K750" s="1710"/>
      <c r="L750" s="1710"/>
      <c r="M750" s="1711"/>
      <c r="N750" s="1711"/>
      <c r="O750" s="1711"/>
      <c r="P750" s="1711"/>
      <c r="Q750" s="1711"/>
      <c r="R750" s="1711"/>
      <c r="S750" s="1711"/>
      <c r="T750" s="1711"/>
      <c r="U750" s="1711"/>
      <c r="V750" s="1711"/>
      <c r="W750" s="1711"/>
      <c r="X750" s="1711"/>
      <c r="Y750" s="1711"/>
      <c r="Z750" s="1712"/>
      <c r="AA750" s="1712"/>
      <c r="AB750" s="1712"/>
      <c r="AC750" s="1712"/>
      <c r="AD750" s="1712"/>
      <c r="AE750" s="1712"/>
      <c r="AF750" s="1712"/>
      <c r="AG750" s="1712"/>
      <c r="AH750" s="1712"/>
      <c r="AI750" s="1712"/>
      <c r="AJ750" s="1712"/>
      <c r="AK750" s="1712"/>
      <c r="AL750" s="1712"/>
      <c r="AM750" s="1712"/>
      <c r="AN750" s="1712"/>
      <c r="AO750" s="1712"/>
      <c r="AP750" s="1712"/>
      <c r="AQ750" s="1712"/>
      <c r="AR750" s="1712"/>
      <c r="AS750" s="1712"/>
      <c r="AT750" s="1712"/>
    </row>
    <row r="751">
      <c r="A751" s="1474" t="s">
        <v>2461</v>
      </c>
      <c r="B751" s="1708"/>
      <c r="C751" s="1709"/>
      <c r="D751" s="1709"/>
      <c r="E751" s="1710"/>
      <c r="F751" s="1710"/>
      <c r="G751" s="1710"/>
      <c r="H751" s="1710"/>
      <c r="I751" s="1710"/>
      <c r="J751" s="1710"/>
      <c r="K751" s="1710"/>
      <c r="L751" s="1710"/>
      <c r="M751" s="1711"/>
      <c r="N751" s="1711"/>
      <c r="O751" s="1711"/>
      <c r="P751" s="1711"/>
      <c r="Q751" s="1711"/>
      <c r="R751" s="1711"/>
      <c r="S751" s="1711"/>
      <c r="T751" s="1711"/>
      <c r="U751" s="1711"/>
      <c r="V751" s="1711"/>
      <c r="W751" s="1711"/>
      <c r="X751" s="1711"/>
      <c r="Y751" s="1711"/>
      <c r="Z751" s="1712"/>
      <c r="AA751" s="1712"/>
      <c r="AB751" s="1712"/>
      <c r="AC751" s="1712"/>
      <c r="AD751" s="1712"/>
      <c r="AE751" s="1712"/>
      <c r="AF751" s="1712"/>
      <c r="AG751" s="1712"/>
      <c r="AH751" s="1712"/>
      <c r="AI751" s="1712"/>
      <c r="AJ751" s="1712"/>
      <c r="AK751" s="1712"/>
      <c r="AL751" s="1712"/>
      <c r="AM751" s="1712"/>
      <c r="AN751" s="1712"/>
      <c r="AO751" s="1712"/>
      <c r="AP751" s="1712"/>
      <c r="AQ751" s="1712"/>
      <c r="AR751" s="1712"/>
      <c r="AS751" s="1712"/>
      <c r="AT751" s="1712"/>
    </row>
    <row r="752">
      <c r="A752" s="1474" t="s">
        <v>2461</v>
      </c>
      <c r="B752" s="1708"/>
      <c r="C752" s="1709"/>
      <c r="D752" s="1709"/>
      <c r="E752" s="1710"/>
      <c r="F752" s="1710"/>
      <c r="G752" s="1710"/>
      <c r="H752" s="1710"/>
      <c r="I752" s="1710"/>
      <c r="J752" s="1710"/>
      <c r="K752" s="1710"/>
      <c r="L752" s="1710"/>
      <c r="M752" s="1711"/>
      <c r="N752" s="1711"/>
      <c r="O752" s="1711"/>
      <c r="P752" s="1711"/>
      <c r="Q752" s="1711"/>
      <c r="R752" s="1711"/>
      <c r="S752" s="1711"/>
      <c r="T752" s="1711"/>
      <c r="U752" s="1711"/>
      <c r="V752" s="1711"/>
      <c r="W752" s="1711"/>
      <c r="X752" s="1711"/>
      <c r="Y752" s="1711"/>
      <c r="Z752" s="1712"/>
      <c r="AA752" s="1712"/>
      <c r="AB752" s="1712"/>
      <c r="AC752" s="1712"/>
      <c r="AD752" s="1712"/>
      <c r="AE752" s="1712"/>
      <c r="AF752" s="1712"/>
      <c r="AG752" s="1712"/>
      <c r="AH752" s="1712"/>
      <c r="AI752" s="1712"/>
      <c r="AJ752" s="1712"/>
      <c r="AK752" s="1712"/>
      <c r="AL752" s="1712"/>
      <c r="AM752" s="1712"/>
      <c r="AN752" s="1712"/>
      <c r="AO752" s="1712"/>
      <c r="AP752" s="1712"/>
      <c r="AQ752" s="1712"/>
      <c r="AR752" s="1712"/>
      <c r="AS752" s="1712"/>
      <c r="AT752" s="1712"/>
    </row>
    <row r="753">
      <c r="A753" s="1474" t="s">
        <v>2461</v>
      </c>
      <c r="B753" s="1708"/>
      <c r="C753" s="1709"/>
      <c r="D753" s="1709"/>
      <c r="E753" s="1710"/>
      <c r="F753" s="1710"/>
      <c r="G753" s="1710"/>
      <c r="H753" s="1710"/>
      <c r="I753" s="1710"/>
      <c r="J753" s="1710"/>
      <c r="K753" s="1710"/>
      <c r="L753" s="1710"/>
      <c r="M753" s="1711"/>
      <c r="N753" s="1711"/>
      <c r="O753" s="1711"/>
      <c r="P753" s="1711"/>
      <c r="Q753" s="1711"/>
      <c r="R753" s="1711"/>
      <c r="S753" s="1711"/>
      <c r="T753" s="1711"/>
      <c r="U753" s="1711"/>
      <c r="V753" s="1711"/>
      <c r="W753" s="1711"/>
      <c r="X753" s="1711"/>
      <c r="Y753" s="1711"/>
      <c r="Z753" s="1712"/>
      <c r="AA753" s="1712"/>
      <c r="AB753" s="1712"/>
      <c r="AC753" s="1712"/>
      <c r="AD753" s="1712"/>
      <c r="AE753" s="1712"/>
      <c r="AF753" s="1712"/>
      <c r="AG753" s="1712"/>
      <c r="AH753" s="1712"/>
      <c r="AI753" s="1712"/>
      <c r="AJ753" s="1712"/>
      <c r="AK753" s="1712"/>
      <c r="AL753" s="1712"/>
      <c r="AM753" s="1712"/>
      <c r="AN753" s="1712"/>
      <c r="AO753" s="1712"/>
      <c r="AP753" s="1712"/>
      <c r="AQ753" s="1712"/>
      <c r="AR753" s="1712"/>
      <c r="AS753" s="1712"/>
      <c r="AT753" s="1712"/>
    </row>
    <row r="754">
      <c r="A754" s="1474" t="s">
        <v>2461</v>
      </c>
      <c r="B754" s="1708"/>
      <c r="C754" s="1709"/>
      <c r="D754" s="1709"/>
      <c r="E754" s="1710"/>
      <c r="F754" s="1710"/>
      <c r="G754" s="1710"/>
      <c r="H754" s="1710"/>
      <c r="I754" s="1710"/>
      <c r="J754" s="1710"/>
      <c r="K754" s="1710"/>
      <c r="L754" s="1710"/>
      <c r="M754" s="1711"/>
      <c r="N754" s="1711"/>
      <c r="O754" s="1711"/>
      <c r="P754" s="1711"/>
      <c r="Q754" s="1711"/>
      <c r="R754" s="1711"/>
      <c r="S754" s="1711"/>
      <c r="T754" s="1711"/>
      <c r="U754" s="1711"/>
      <c r="V754" s="1711"/>
      <c r="W754" s="1711"/>
      <c r="X754" s="1711"/>
      <c r="Y754" s="1711"/>
      <c r="Z754" s="1712"/>
      <c r="AA754" s="1712"/>
      <c r="AB754" s="1712"/>
      <c r="AC754" s="1712"/>
      <c r="AD754" s="1712"/>
      <c r="AE754" s="1712"/>
      <c r="AF754" s="1712"/>
      <c r="AG754" s="1712"/>
      <c r="AH754" s="1712"/>
      <c r="AI754" s="1712"/>
      <c r="AJ754" s="1712"/>
      <c r="AK754" s="1712"/>
      <c r="AL754" s="1712"/>
      <c r="AM754" s="1712"/>
      <c r="AN754" s="1712"/>
      <c r="AO754" s="1712"/>
      <c r="AP754" s="1712"/>
      <c r="AQ754" s="1712"/>
      <c r="AR754" s="1712"/>
      <c r="AS754" s="1712"/>
      <c r="AT754" s="1712"/>
    </row>
    <row r="755">
      <c r="A755" s="1474" t="s">
        <v>2461</v>
      </c>
      <c r="B755" s="1708"/>
      <c r="C755" s="1709"/>
      <c r="D755" s="1709"/>
      <c r="E755" s="1710"/>
      <c r="F755" s="1710"/>
      <c r="G755" s="1710"/>
      <c r="H755" s="1710"/>
      <c r="I755" s="1710"/>
      <c r="J755" s="1710"/>
      <c r="K755" s="1710"/>
      <c r="L755" s="1710"/>
      <c r="M755" s="1711"/>
      <c r="N755" s="1711"/>
      <c r="O755" s="1711"/>
      <c r="P755" s="1711"/>
      <c r="Q755" s="1711"/>
      <c r="R755" s="1711"/>
      <c r="S755" s="1711"/>
      <c r="T755" s="1711"/>
      <c r="U755" s="1711"/>
      <c r="V755" s="1711"/>
      <c r="W755" s="1711"/>
      <c r="X755" s="1711"/>
      <c r="Y755" s="1711"/>
      <c r="Z755" s="1712"/>
      <c r="AA755" s="1712"/>
      <c r="AB755" s="1712"/>
      <c r="AC755" s="1712"/>
      <c r="AD755" s="1712"/>
      <c r="AE755" s="1712"/>
      <c r="AF755" s="1712"/>
      <c r="AG755" s="1712"/>
      <c r="AH755" s="1712"/>
      <c r="AI755" s="1712"/>
      <c r="AJ755" s="1712"/>
      <c r="AK755" s="1712"/>
      <c r="AL755" s="1712"/>
      <c r="AM755" s="1712"/>
      <c r="AN755" s="1712"/>
      <c r="AO755" s="1712"/>
      <c r="AP755" s="1712"/>
      <c r="AQ755" s="1712"/>
      <c r="AR755" s="1712"/>
      <c r="AS755" s="1712"/>
      <c r="AT755" s="1712"/>
    </row>
    <row r="756">
      <c r="A756" s="1474" t="s">
        <v>2461</v>
      </c>
      <c r="B756" s="1708"/>
      <c r="C756" s="1709"/>
      <c r="D756" s="1709"/>
      <c r="E756" s="1710"/>
      <c r="F756" s="1710"/>
      <c r="G756" s="1710"/>
      <c r="H756" s="1710"/>
      <c r="I756" s="1710"/>
      <c r="J756" s="1710"/>
      <c r="K756" s="1710"/>
      <c r="L756" s="1710"/>
      <c r="M756" s="1711"/>
      <c r="N756" s="1711"/>
      <c r="O756" s="1711"/>
      <c r="P756" s="1711"/>
      <c r="Q756" s="1711"/>
      <c r="R756" s="1711"/>
      <c r="S756" s="1711"/>
      <c r="T756" s="1711"/>
      <c r="U756" s="1711"/>
      <c r="V756" s="1711"/>
      <c r="W756" s="1711"/>
      <c r="X756" s="1711"/>
      <c r="Y756" s="1711"/>
      <c r="Z756" s="1712"/>
      <c r="AA756" s="1712"/>
      <c r="AB756" s="1712"/>
      <c r="AC756" s="1712"/>
      <c r="AD756" s="1712"/>
      <c r="AE756" s="1712"/>
      <c r="AF756" s="1712"/>
      <c r="AG756" s="1712"/>
      <c r="AH756" s="1712"/>
      <c r="AI756" s="1712"/>
      <c r="AJ756" s="1712"/>
      <c r="AK756" s="1712"/>
      <c r="AL756" s="1712"/>
      <c r="AM756" s="1712"/>
      <c r="AN756" s="1712"/>
      <c r="AO756" s="1712"/>
      <c r="AP756" s="1712"/>
      <c r="AQ756" s="1712"/>
      <c r="AR756" s="1712"/>
      <c r="AS756" s="1712"/>
      <c r="AT756" s="1712"/>
    </row>
    <row r="757">
      <c r="A757" s="1474" t="s">
        <v>2461</v>
      </c>
      <c r="B757" s="1708"/>
      <c r="C757" s="1709"/>
      <c r="D757" s="1709"/>
      <c r="E757" s="1710"/>
      <c r="F757" s="1710"/>
      <c r="G757" s="1710"/>
      <c r="H757" s="1710"/>
      <c r="I757" s="1710"/>
      <c r="J757" s="1710"/>
      <c r="K757" s="1710"/>
      <c r="L757" s="1710"/>
      <c r="M757" s="1711"/>
      <c r="N757" s="1711"/>
      <c r="O757" s="1711"/>
      <c r="P757" s="1711"/>
      <c r="Q757" s="1711"/>
      <c r="R757" s="1711"/>
      <c r="S757" s="1711"/>
      <c r="T757" s="1711"/>
      <c r="U757" s="1711"/>
      <c r="V757" s="1711"/>
      <c r="W757" s="1711"/>
      <c r="X757" s="1711"/>
      <c r="Y757" s="1711"/>
      <c r="Z757" s="1712"/>
      <c r="AA757" s="1712"/>
      <c r="AB757" s="1712"/>
      <c r="AC757" s="1712"/>
      <c r="AD757" s="1712"/>
      <c r="AE757" s="1712"/>
      <c r="AF757" s="1712"/>
      <c r="AG757" s="1712"/>
      <c r="AH757" s="1712"/>
      <c r="AI757" s="1712"/>
      <c r="AJ757" s="1712"/>
      <c r="AK757" s="1712"/>
      <c r="AL757" s="1712"/>
      <c r="AM757" s="1712"/>
      <c r="AN757" s="1712"/>
      <c r="AO757" s="1712"/>
      <c r="AP757" s="1712"/>
      <c r="AQ757" s="1712"/>
      <c r="AR757" s="1712"/>
      <c r="AS757" s="1712"/>
      <c r="AT757" s="1712"/>
    </row>
    <row r="758">
      <c r="A758" s="1474" t="s">
        <v>2461</v>
      </c>
      <c r="B758" s="1708"/>
      <c r="C758" s="1709"/>
      <c r="D758" s="1709"/>
      <c r="E758" s="1710"/>
      <c r="F758" s="1710"/>
      <c r="G758" s="1710"/>
      <c r="H758" s="1710"/>
      <c r="I758" s="1710"/>
      <c r="J758" s="1710"/>
      <c r="K758" s="1710"/>
      <c r="L758" s="1710"/>
      <c r="M758" s="1711"/>
      <c r="N758" s="1711"/>
      <c r="O758" s="1711"/>
      <c r="P758" s="1711"/>
      <c r="Q758" s="1711"/>
      <c r="R758" s="1711"/>
      <c r="S758" s="1711"/>
      <c r="T758" s="1711"/>
      <c r="U758" s="1711"/>
      <c r="V758" s="1711"/>
      <c r="W758" s="1711"/>
      <c r="X758" s="1711"/>
      <c r="Y758" s="1711"/>
      <c r="Z758" s="1712"/>
      <c r="AA758" s="1712"/>
      <c r="AB758" s="1712"/>
      <c r="AC758" s="1712"/>
      <c r="AD758" s="1712"/>
      <c r="AE758" s="1712"/>
      <c r="AF758" s="1712"/>
      <c r="AG758" s="1712"/>
      <c r="AH758" s="1712"/>
      <c r="AI758" s="1712"/>
      <c r="AJ758" s="1712"/>
      <c r="AK758" s="1712"/>
      <c r="AL758" s="1712"/>
      <c r="AM758" s="1712"/>
      <c r="AN758" s="1712"/>
      <c r="AO758" s="1712"/>
      <c r="AP758" s="1712"/>
      <c r="AQ758" s="1712"/>
      <c r="AR758" s="1712"/>
      <c r="AS758" s="1712"/>
      <c r="AT758" s="1712"/>
    </row>
    <row r="759">
      <c r="A759" s="1474" t="s">
        <v>2461</v>
      </c>
      <c r="B759" s="1708"/>
      <c r="C759" s="1709"/>
      <c r="D759" s="1709"/>
      <c r="E759" s="1710"/>
      <c r="F759" s="1710"/>
      <c r="G759" s="1710"/>
      <c r="H759" s="1710"/>
      <c r="I759" s="1710"/>
      <c r="J759" s="1710"/>
      <c r="K759" s="1710"/>
      <c r="L759" s="1710"/>
      <c r="M759" s="1711"/>
      <c r="N759" s="1711"/>
      <c r="O759" s="1711"/>
      <c r="P759" s="1711"/>
      <c r="Q759" s="1711"/>
      <c r="R759" s="1711"/>
      <c r="S759" s="1711"/>
      <c r="T759" s="1711"/>
      <c r="U759" s="1711"/>
      <c r="V759" s="1711"/>
      <c r="W759" s="1711"/>
      <c r="X759" s="1711"/>
      <c r="Y759" s="1711"/>
      <c r="Z759" s="1712"/>
      <c r="AA759" s="1712"/>
      <c r="AB759" s="1712"/>
      <c r="AC759" s="1712"/>
      <c r="AD759" s="1712"/>
      <c r="AE759" s="1712"/>
      <c r="AF759" s="1712"/>
      <c r="AG759" s="1712"/>
      <c r="AH759" s="1712"/>
      <c r="AI759" s="1712"/>
      <c r="AJ759" s="1712"/>
      <c r="AK759" s="1712"/>
      <c r="AL759" s="1712"/>
      <c r="AM759" s="1712"/>
      <c r="AN759" s="1712"/>
      <c r="AO759" s="1712"/>
      <c r="AP759" s="1712"/>
      <c r="AQ759" s="1712"/>
      <c r="AR759" s="1712"/>
      <c r="AS759" s="1712"/>
      <c r="AT759" s="1712"/>
    </row>
    <row r="760">
      <c r="A760" s="1474" t="s">
        <v>2461</v>
      </c>
      <c r="B760" s="1708"/>
      <c r="C760" s="1709"/>
      <c r="D760" s="1709"/>
      <c r="E760" s="1710"/>
      <c r="F760" s="1710"/>
      <c r="G760" s="1710"/>
      <c r="H760" s="1710"/>
      <c r="I760" s="1710"/>
      <c r="J760" s="1710"/>
      <c r="K760" s="1710"/>
      <c r="L760" s="1710"/>
      <c r="M760" s="1711"/>
      <c r="N760" s="1711"/>
      <c r="O760" s="1711"/>
      <c r="P760" s="1711"/>
      <c r="Q760" s="1711"/>
      <c r="R760" s="1711"/>
      <c r="S760" s="1711"/>
      <c r="T760" s="1711"/>
      <c r="U760" s="1711"/>
      <c r="V760" s="1711"/>
      <c r="W760" s="1711"/>
      <c r="X760" s="1711"/>
      <c r="Y760" s="1711"/>
      <c r="Z760" s="1712"/>
      <c r="AA760" s="1712"/>
      <c r="AB760" s="1712"/>
      <c r="AC760" s="1712"/>
      <c r="AD760" s="1712"/>
      <c r="AE760" s="1712"/>
      <c r="AF760" s="1712"/>
      <c r="AG760" s="1712"/>
      <c r="AH760" s="1712"/>
      <c r="AI760" s="1712"/>
      <c r="AJ760" s="1712"/>
      <c r="AK760" s="1712"/>
      <c r="AL760" s="1712"/>
      <c r="AM760" s="1712"/>
      <c r="AN760" s="1712"/>
      <c r="AO760" s="1712"/>
      <c r="AP760" s="1712"/>
      <c r="AQ760" s="1712"/>
      <c r="AR760" s="1712"/>
      <c r="AS760" s="1712"/>
      <c r="AT760" s="1712"/>
    </row>
    <row r="761">
      <c r="A761" s="1474" t="s">
        <v>2461</v>
      </c>
      <c r="B761" s="1708"/>
      <c r="C761" s="1709"/>
      <c r="D761" s="1709"/>
      <c r="E761" s="1710"/>
      <c r="F761" s="1710"/>
      <c r="G761" s="1710"/>
      <c r="H761" s="1710"/>
      <c r="I761" s="1710"/>
      <c r="J761" s="1710"/>
      <c r="K761" s="1710"/>
      <c r="L761" s="1710"/>
      <c r="M761" s="1711"/>
      <c r="N761" s="1711"/>
      <c r="O761" s="1711"/>
      <c r="P761" s="1711"/>
      <c r="Q761" s="1711"/>
      <c r="R761" s="1711"/>
      <c r="S761" s="1711"/>
      <c r="T761" s="1711"/>
      <c r="U761" s="1711"/>
      <c r="V761" s="1711"/>
      <c r="W761" s="1711"/>
      <c r="X761" s="1711"/>
      <c r="Y761" s="1711"/>
      <c r="Z761" s="1712"/>
      <c r="AA761" s="1712"/>
      <c r="AB761" s="1712"/>
      <c r="AC761" s="1712"/>
      <c r="AD761" s="1712"/>
      <c r="AE761" s="1712"/>
      <c r="AF761" s="1712"/>
      <c r="AG761" s="1712"/>
      <c r="AH761" s="1712"/>
      <c r="AI761" s="1712"/>
      <c r="AJ761" s="1712"/>
      <c r="AK761" s="1712"/>
      <c r="AL761" s="1712"/>
      <c r="AM761" s="1712"/>
      <c r="AN761" s="1712"/>
      <c r="AO761" s="1712"/>
      <c r="AP761" s="1712"/>
      <c r="AQ761" s="1712"/>
      <c r="AR761" s="1712"/>
      <c r="AS761" s="1712"/>
      <c r="AT761" s="1712"/>
    </row>
    <row r="762">
      <c r="A762" s="1474" t="s">
        <v>2461</v>
      </c>
      <c r="B762" s="1708"/>
      <c r="C762" s="1709"/>
      <c r="D762" s="1709"/>
      <c r="E762" s="1710"/>
      <c r="F762" s="1710"/>
      <c r="G762" s="1710"/>
      <c r="H762" s="1710"/>
      <c r="I762" s="1710"/>
      <c r="J762" s="1710"/>
      <c r="K762" s="1710"/>
      <c r="L762" s="1710"/>
      <c r="M762" s="1711"/>
      <c r="N762" s="1711"/>
      <c r="O762" s="1711"/>
      <c r="P762" s="1711"/>
      <c r="Q762" s="1711"/>
      <c r="R762" s="1711"/>
      <c r="S762" s="1711"/>
      <c r="T762" s="1711"/>
      <c r="U762" s="1711"/>
      <c r="V762" s="1711"/>
      <c r="W762" s="1711"/>
      <c r="X762" s="1711"/>
      <c r="Y762" s="1711"/>
      <c r="Z762" s="1712"/>
      <c r="AA762" s="1712"/>
      <c r="AB762" s="1712"/>
      <c r="AC762" s="1712"/>
      <c r="AD762" s="1712"/>
      <c r="AE762" s="1712"/>
      <c r="AF762" s="1712"/>
      <c r="AG762" s="1712"/>
      <c r="AH762" s="1712"/>
      <c r="AI762" s="1712"/>
      <c r="AJ762" s="1712"/>
      <c r="AK762" s="1712"/>
      <c r="AL762" s="1712"/>
      <c r="AM762" s="1712"/>
      <c r="AN762" s="1712"/>
      <c r="AO762" s="1712"/>
      <c r="AP762" s="1712"/>
      <c r="AQ762" s="1712"/>
      <c r="AR762" s="1712"/>
      <c r="AS762" s="1712"/>
      <c r="AT762" s="1712"/>
    </row>
    <row r="763">
      <c r="A763" s="1474" t="s">
        <v>2461</v>
      </c>
      <c r="B763" s="1708"/>
      <c r="C763" s="1709"/>
      <c r="D763" s="1709"/>
      <c r="E763" s="1710"/>
      <c r="F763" s="1710"/>
      <c r="G763" s="1710"/>
      <c r="H763" s="1710"/>
      <c r="I763" s="1710"/>
      <c r="J763" s="1710"/>
      <c r="K763" s="1710"/>
      <c r="L763" s="1710"/>
      <c r="M763" s="1711"/>
      <c r="N763" s="1711"/>
      <c r="O763" s="1711"/>
      <c r="P763" s="1711"/>
      <c r="Q763" s="1711"/>
      <c r="R763" s="1711"/>
      <c r="S763" s="1711"/>
      <c r="T763" s="1711"/>
      <c r="U763" s="1711"/>
      <c r="V763" s="1711"/>
      <c r="W763" s="1711"/>
      <c r="X763" s="1711"/>
      <c r="Y763" s="1711"/>
      <c r="Z763" s="1712"/>
      <c r="AA763" s="1712"/>
      <c r="AB763" s="1712"/>
      <c r="AC763" s="1712"/>
      <c r="AD763" s="1712"/>
      <c r="AE763" s="1712"/>
      <c r="AF763" s="1712"/>
      <c r="AG763" s="1712"/>
      <c r="AH763" s="1712"/>
      <c r="AI763" s="1712"/>
      <c r="AJ763" s="1712"/>
      <c r="AK763" s="1712"/>
      <c r="AL763" s="1712"/>
      <c r="AM763" s="1712"/>
      <c r="AN763" s="1712"/>
      <c r="AO763" s="1712"/>
      <c r="AP763" s="1712"/>
      <c r="AQ763" s="1712"/>
      <c r="AR763" s="1712"/>
      <c r="AS763" s="1712"/>
      <c r="AT763" s="1712"/>
    </row>
    <row r="764">
      <c r="A764" s="1474" t="s">
        <v>2461</v>
      </c>
      <c r="B764" s="1708"/>
      <c r="C764" s="1709"/>
      <c r="D764" s="1709"/>
      <c r="E764" s="1710"/>
      <c r="F764" s="1710"/>
      <c r="G764" s="1710"/>
      <c r="H764" s="1710"/>
      <c r="I764" s="1710"/>
      <c r="J764" s="1710"/>
      <c r="K764" s="1710"/>
      <c r="L764" s="1710"/>
      <c r="M764" s="1711"/>
      <c r="N764" s="1711"/>
      <c r="O764" s="1711"/>
      <c r="P764" s="1711"/>
      <c r="Q764" s="1711"/>
      <c r="R764" s="1711"/>
      <c r="S764" s="1711"/>
      <c r="T764" s="1711"/>
      <c r="U764" s="1711"/>
      <c r="V764" s="1711"/>
      <c r="W764" s="1711"/>
      <c r="X764" s="1711"/>
      <c r="Y764" s="1711"/>
      <c r="Z764" s="1712"/>
      <c r="AA764" s="1712"/>
      <c r="AB764" s="1712"/>
      <c r="AC764" s="1712"/>
      <c r="AD764" s="1712"/>
      <c r="AE764" s="1712"/>
      <c r="AF764" s="1712"/>
      <c r="AG764" s="1712"/>
      <c r="AH764" s="1712"/>
      <c r="AI764" s="1712"/>
      <c r="AJ764" s="1712"/>
      <c r="AK764" s="1712"/>
      <c r="AL764" s="1712"/>
      <c r="AM764" s="1712"/>
      <c r="AN764" s="1712"/>
      <c r="AO764" s="1712"/>
      <c r="AP764" s="1712"/>
      <c r="AQ764" s="1712"/>
      <c r="AR764" s="1712"/>
      <c r="AS764" s="1712"/>
      <c r="AT764" s="1712"/>
    </row>
    <row r="765">
      <c r="A765" s="1474" t="s">
        <v>2461</v>
      </c>
      <c r="B765" s="1708"/>
      <c r="C765" s="1709"/>
      <c r="D765" s="1709"/>
      <c r="E765" s="1710"/>
      <c r="F765" s="1710"/>
      <c r="G765" s="1710"/>
      <c r="H765" s="1710"/>
      <c r="I765" s="1710"/>
      <c r="J765" s="1710"/>
      <c r="K765" s="1710"/>
      <c r="L765" s="1710"/>
      <c r="M765" s="1711"/>
      <c r="N765" s="1711"/>
      <c r="O765" s="1711"/>
      <c r="P765" s="1711"/>
      <c r="Q765" s="1711"/>
      <c r="R765" s="1711"/>
      <c r="S765" s="1711"/>
      <c r="T765" s="1711"/>
      <c r="U765" s="1711"/>
      <c r="V765" s="1711"/>
      <c r="W765" s="1711"/>
      <c r="X765" s="1711"/>
      <c r="Y765" s="1711"/>
      <c r="Z765" s="1712"/>
      <c r="AA765" s="1712"/>
      <c r="AB765" s="1712"/>
      <c r="AC765" s="1712"/>
      <c r="AD765" s="1712"/>
      <c r="AE765" s="1712"/>
      <c r="AF765" s="1712"/>
      <c r="AG765" s="1712"/>
      <c r="AH765" s="1712"/>
      <c r="AI765" s="1712"/>
      <c r="AJ765" s="1712"/>
      <c r="AK765" s="1712"/>
      <c r="AL765" s="1712"/>
      <c r="AM765" s="1712"/>
      <c r="AN765" s="1712"/>
      <c r="AO765" s="1712"/>
      <c r="AP765" s="1712"/>
      <c r="AQ765" s="1712"/>
      <c r="AR765" s="1712"/>
      <c r="AS765" s="1712"/>
      <c r="AT765" s="1712"/>
    </row>
    <row r="766">
      <c r="A766" s="1474" t="s">
        <v>2461</v>
      </c>
      <c r="B766" s="1708"/>
      <c r="C766" s="1709"/>
      <c r="D766" s="1709"/>
      <c r="E766" s="1710"/>
      <c r="F766" s="1710"/>
      <c r="G766" s="1710"/>
      <c r="H766" s="1710"/>
      <c r="I766" s="1710"/>
      <c r="J766" s="1710"/>
      <c r="K766" s="1710"/>
      <c r="L766" s="1710"/>
      <c r="M766" s="1711"/>
      <c r="N766" s="1711"/>
      <c r="O766" s="1711"/>
      <c r="P766" s="1711"/>
      <c r="Q766" s="1711"/>
      <c r="R766" s="1711"/>
      <c r="S766" s="1711"/>
      <c r="T766" s="1711"/>
      <c r="U766" s="1711"/>
      <c r="V766" s="1711"/>
      <c r="W766" s="1711"/>
      <c r="X766" s="1711"/>
      <c r="Y766" s="1711"/>
      <c r="Z766" s="1712"/>
      <c r="AA766" s="1712"/>
      <c r="AB766" s="1712"/>
      <c r="AC766" s="1712"/>
      <c r="AD766" s="1712"/>
      <c r="AE766" s="1712"/>
      <c r="AF766" s="1712"/>
      <c r="AG766" s="1712"/>
      <c r="AH766" s="1712"/>
      <c r="AI766" s="1712"/>
      <c r="AJ766" s="1712"/>
      <c r="AK766" s="1712"/>
      <c r="AL766" s="1712"/>
      <c r="AM766" s="1712"/>
      <c r="AN766" s="1712"/>
      <c r="AO766" s="1712"/>
      <c r="AP766" s="1712"/>
      <c r="AQ766" s="1712"/>
      <c r="AR766" s="1712"/>
      <c r="AS766" s="1712"/>
      <c r="AT766" s="1712"/>
    </row>
    <row r="767">
      <c r="A767" s="1474" t="s">
        <v>2461</v>
      </c>
      <c r="B767" s="1708"/>
      <c r="C767" s="1709"/>
      <c r="D767" s="1709"/>
      <c r="E767" s="1710"/>
      <c r="F767" s="1710"/>
      <c r="G767" s="1710"/>
      <c r="H767" s="1710"/>
      <c r="I767" s="1710"/>
      <c r="J767" s="1710"/>
      <c r="K767" s="1710"/>
      <c r="L767" s="1710"/>
      <c r="M767" s="1711"/>
      <c r="N767" s="1711"/>
      <c r="O767" s="1711"/>
      <c r="P767" s="1711"/>
      <c r="Q767" s="1711"/>
      <c r="R767" s="1711"/>
      <c r="S767" s="1711"/>
      <c r="T767" s="1711"/>
      <c r="U767" s="1711"/>
      <c r="V767" s="1711"/>
      <c r="W767" s="1711"/>
      <c r="X767" s="1711"/>
      <c r="Y767" s="1711"/>
      <c r="Z767" s="1712"/>
      <c r="AA767" s="1712"/>
      <c r="AB767" s="1712"/>
      <c r="AC767" s="1712"/>
      <c r="AD767" s="1712"/>
      <c r="AE767" s="1712"/>
      <c r="AF767" s="1712"/>
      <c r="AG767" s="1712"/>
      <c r="AH767" s="1712"/>
      <c r="AI767" s="1712"/>
      <c r="AJ767" s="1712"/>
      <c r="AK767" s="1712"/>
      <c r="AL767" s="1712"/>
      <c r="AM767" s="1712"/>
      <c r="AN767" s="1712"/>
      <c r="AO767" s="1712"/>
      <c r="AP767" s="1712"/>
      <c r="AQ767" s="1712"/>
      <c r="AR767" s="1712"/>
      <c r="AS767" s="1712"/>
      <c r="AT767" s="1712"/>
    </row>
    <row r="768">
      <c r="A768" s="1474" t="s">
        <v>2461</v>
      </c>
      <c r="B768" s="1708"/>
      <c r="C768" s="1709"/>
      <c r="D768" s="1709"/>
      <c r="E768" s="1710"/>
      <c r="F768" s="1710"/>
      <c r="G768" s="1710"/>
      <c r="H768" s="1710"/>
      <c r="I768" s="1710"/>
      <c r="J768" s="1710"/>
      <c r="K768" s="1710"/>
      <c r="L768" s="1710"/>
      <c r="M768" s="1711"/>
      <c r="N768" s="1711"/>
      <c r="O768" s="1711"/>
      <c r="P768" s="1711"/>
      <c r="Q768" s="1711"/>
      <c r="R768" s="1711"/>
      <c r="S768" s="1711"/>
      <c r="T768" s="1711"/>
      <c r="U768" s="1711"/>
      <c r="V768" s="1711"/>
      <c r="W768" s="1711"/>
      <c r="X768" s="1711"/>
      <c r="Y768" s="1711"/>
      <c r="Z768" s="1712"/>
      <c r="AA768" s="1712"/>
      <c r="AB768" s="1712"/>
      <c r="AC768" s="1712"/>
      <c r="AD768" s="1712"/>
      <c r="AE768" s="1712"/>
      <c r="AF768" s="1712"/>
      <c r="AG768" s="1712"/>
      <c r="AH768" s="1712"/>
      <c r="AI768" s="1712"/>
      <c r="AJ768" s="1712"/>
      <c r="AK768" s="1712"/>
      <c r="AL768" s="1712"/>
      <c r="AM768" s="1712"/>
      <c r="AN768" s="1712"/>
      <c r="AO768" s="1712"/>
      <c r="AP768" s="1712"/>
      <c r="AQ768" s="1712"/>
      <c r="AR768" s="1712"/>
      <c r="AS768" s="1712"/>
      <c r="AT768" s="1712"/>
    </row>
    <row r="769">
      <c r="A769" s="1474" t="s">
        <v>2461</v>
      </c>
      <c r="B769" s="1708"/>
      <c r="C769" s="1709"/>
      <c r="D769" s="1709"/>
      <c r="E769" s="1710"/>
      <c r="F769" s="1710"/>
      <c r="G769" s="1710"/>
      <c r="H769" s="1710"/>
      <c r="I769" s="1710"/>
      <c r="J769" s="1710"/>
      <c r="K769" s="1710"/>
      <c r="L769" s="1710"/>
      <c r="M769" s="1711"/>
      <c r="N769" s="1711"/>
      <c r="O769" s="1711"/>
      <c r="P769" s="1711"/>
      <c r="Q769" s="1711"/>
      <c r="R769" s="1711"/>
      <c r="S769" s="1711"/>
      <c r="T769" s="1711"/>
      <c r="U769" s="1711"/>
      <c r="V769" s="1711"/>
      <c r="W769" s="1711"/>
      <c r="X769" s="1711"/>
      <c r="Y769" s="1711"/>
      <c r="Z769" s="1712"/>
      <c r="AA769" s="1712"/>
      <c r="AB769" s="1712"/>
      <c r="AC769" s="1712"/>
      <c r="AD769" s="1712"/>
      <c r="AE769" s="1712"/>
      <c r="AF769" s="1712"/>
      <c r="AG769" s="1712"/>
      <c r="AH769" s="1712"/>
      <c r="AI769" s="1712"/>
      <c r="AJ769" s="1712"/>
      <c r="AK769" s="1712"/>
      <c r="AL769" s="1712"/>
      <c r="AM769" s="1712"/>
      <c r="AN769" s="1712"/>
      <c r="AO769" s="1712"/>
      <c r="AP769" s="1712"/>
      <c r="AQ769" s="1712"/>
      <c r="AR769" s="1712"/>
      <c r="AS769" s="1712"/>
      <c r="AT769" s="1712"/>
    </row>
    <row r="770">
      <c r="A770" s="1474" t="s">
        <v>2461</v>
      </c>
      <c r="B770" s="1708"/>
      <c r="C770" s="1709"/>
      <c r="D770" s="1709"/>
      <c r="E770" s="1710"/>
      <c r="F770" s="1710"/>
      <c r="G770" s="1710"/>
      <c r="H770" s="1710"/>
      <c r="I770" s="1710"/>
      <c r="J770" s="1710"/>
      <c r="K770" s="1710"/>
      <c r="L770" s="1710"/>
      <c r="M770" s="1711"/>
      <c r="N770" s="1711"/>
      <c r="O770" s="1711"/>
      <c r="P770" s="1711"/>
      <c r="Q770" s="1711"/>
      <c r="R770" s="1711"/>
      <c r="S770" s="1711"/>
      <c r="T770" s="1711"/>
      <c r="U770" s="1711"/>
      <c r="V770" s="1711"/>
      <c r="W770" s="1711"/>
      <c r="X770" s="1711"/>
      <c r="Y770" s="1711"/>
      <c r="Z770" s="1712"/>
      <c r="AA770" s="1712"/>
      <c r="AB770" s="1712"/>
      <c r="AC770" s="1712"/>
      <c r="AD770" s="1712"/>
      <c r="AE770" s="1712"/>
      <c r="AF770" s="1712"/>
      <c r="AG770" s="1712"/>
      <c r="AH770" s="1712"/>
      <c r="AI770" s="1712"/>
      <c r="AJ770" s="1712"/>
      <c r="AK770" s="1712"/>
      <c r="AL770" s="1712"/>
      <c r="AM770" s="1712"/>
      <c r="AN770" s="1712"/>
      <c r="AO770" s="1712"/>
      <c r="AP770" s="1712"/>
      <c r="AQ770" s="1712"/>
      <c r="AR770" s="1712"/>
      <c r="AS770" s="1712"/>
      <c r="AT770" s="1712"/>
    </row>
    <row r="771">
      <c r="A771" s="1474" t="s">
        <v>2461</v>
      </c>
      <c r="B771" s="1708"/>
      <c r="C771" s="1709"/>
      <c r="D771" s="1709"/>
      <c r="E771" s="1710"/>
      <c r="F771" s="1710"/>
      <c r="G771" s="1710"/>
      <c r="H771" s="1710"/>
      <c r="I771" s="1710"/>
      <c r="J771" s="1710"/>
      <c r="K771" s="1710"/>
      <c r="L771" s="1710"/>
      <c r="M771" s="1711"/>
      <c r="N771" s="1711"/>
      <c r="O771" s="1711"/>
      <c r="P771" s="1711"/>
      <c r="Q771" s="1711"/>
      <c r="R771" s="1711"/>
      <c r="S771" s="1711"/>
      <c r="T771" s="1711"/>
      <c r="U771" s="1711"/>
      <c r="V771" s="1711"/>
      <c r="W771" s="1711"/>
      <c r="X771" s="1711"/>
      <c r="Y771" s="1711"/>
      <c r="Z771" s="1712"/>
      <c r="AA771" s="1712"/>
      <c r="AB771" s="1712"/>
      <c r="AC771" s="1712"/>
      <c r="AD771" s="1712"/>
      <c r="AE771" s="1712"/>
      <c r="AF771" s="1712"/>
      <c r="AG771" s="1712"/>
      <c r="AH771" s="1712"/>
      <c r="AI771" s="1712"/>
      <c r="AJ771" s="1712"/>
      <c r="AK771" s="1712"/>
      <c r="AL771" s="1712"/>
      <c r="AM771" s="1712"/>
      <c r="AN771" s="1712"/>
      <c r="AO771" s="1712"/>
      <c r="AP771" s="1712"/>
      <c r="AQ771" s="1712"/>
      <c r="AR771" s="1712"/>
      <c r="AS771" s="1712"/>
      <c r="AT771" s="1712"/>
    </row>
    <row r="772">
      <c r="A772" s="1474" t="s">
        <v>2461</v>
      </c>
      <c r="B772" s="1708"/>
      <c r="C772" s="1709"/>
      <c r="D772" s="1709"/>
      <c r="E772" s="1710"/>
      <c r="F772" s="1710"/>
      <c r="G772" s="1710"/>
      <c r="H772" s="1710"/>
      <c r="I772" s="1710"/>
      <c r="J772" s="1710"/>
      <c r="K772" s="1710"/>
      <c r="L772" s="1710"/>
      <c r="M772" s="1711"/>
      <c r="N772" s="1711"/>
      <c r="O772" s="1711"/>
      <c r="P772" s="1711"/>
      <c r="Q772" s="1711"/>
      <c r="R772" s="1711"/>
      <c r="S772" s="1711"/>
      <c r="T772" s="1711"/>
      <c r="U772" s="1711"/>
      <c r="V772" s="1711"/>
      <c r="W772" s="1711"/>
      <c r="X772" s="1711"/>
      <c r="Y772" s="1711"/>
      <c r="Z772" s="1712"/>
      <c r="AA772" s="1712"/>
      <c r="AB772" s="1712"/>
      <c r="AC772" s="1712"/>
      <c r="AD772" s="1712"/>
      <c r="AE772" s="1712"/>
      <c r="AF772" s="1712"/>
      <c r="AG772" s="1712"/>
      <c r="AH772" s="1712"/>
      <c r="AI772" s="1712"/>
      <c r="AJ772" s="1712"/>
      <c r="AK772" s="1712"/>
      <c r="AL772" s="1712"/>
      <c r="AM772" s="1712"/>
      <c r="AN772" s="1712"/>
      <c r="AO772" s="1712"/>
      <c r="AP772" s="1712"/>
      <c r="AQ772" s="1712"/>
      <c r="AR772" s="1712"/>
      <c r="AS772" s="1712"/>
      <c r="AT772" s="1712"/>
    </row>
    <row r="773">
      <c r="A773" s="1474" t="s">
        <v>2461</v>
      </c>
      <c r="B773" s="1708"/>
      <c r="C773" s="1709"/>
      <c r="D773" s="1709"/>
      <c r="E773" s="1710"/>
      <c r="F773" s="1710"/>
      <c r="G773" s="1710"/>
      <c r="H773" s="1710"/>
      <c r="I773" s="1710"/>
      <c r="J773" s="1710"/>
      <c r="K773" s="1710"/>
      <c r="L773" s="1710"/>
      <c r="M773" s="1711"/>
      <c r="N773" s="1711"/>
      <c r="O773" s="1711"/>
      <c r="P773" s="1711"/>
      <c r="Q773" s="1711"/>
      <c r="R773" s="1711"/>
      <c r="S773" s="1711"/>
      <c r="T773" s="1711"/>
      <c r="U773" s="1711"/>
      <c r="V773" s="1711"/>
      <c r="W773" s="1711"/>
      <c r="X773" s="1711"/>
      <c r="Y773" s="1711"/>
      <c r="Z773" s="1712"/>
      <c r="AA773" s="1712"/>
      <c r="AB773" s="1712"/>
      <c r="AC773" s="1712"/>
      <c r="AD773" s="1712"/>
      <c r="AE773" s="1712"/>
      <c r="AF773" s="1712"/>
      <c r="AG773" s="1712"/>
      <c r="AH773" s="1712"/>
      <c r="AI773" s="1712"/>
      <c r="AJ773" s="1712"/>
      <c r="AK773" s="1712"/>
      <c r="AL773" s="1712"/>
      <c r="AM773" s="1712"/>
      <c r="AN773" s="1712"/>
      <c r="AO773" s="1712"/>
      <c r="AP773" s="1712"/>
      <c r="AQ773" s="1712"/>
      <c r="AR773" s="1712"/>
      <c r="AS773" s="1712"/>
      <c r="AT773" s="1712"/>
    </row>
    <row r="774">
      <c r="A774" s="1474" t="s">
        <v>2461</v>
      </c>
      <c r="B774" s="1708"/>
      <c r="C774" s="1709"/>
      <c r="D774" s="1709"/>
      <c r="E774" s="1710"/>
      <c r="F774" s="1710"/>
      <c r="G774" s="1710"/>
      <c r="H774" s="1710"/>
      <c r="I774" s="1710"/>
      <c r="J774" s="1710"/>
      <c r="K774" s="1710"/>
      <c r="L774" s="1710"/>
      <c r="M774" s="1711"/>
      <c r="N774" s="1711"/>
      <c r="O774" s="1711"/>
      <c r="P774" s="1711"/>
      <c r="Q774" s="1711"/>
      <c r="R774" s="1711"/>
      <c r="S774" s="1711"/>
      <c r="T774" s="1711"/>
      <c r="U774" s="1711"/>
      <c r="V774" s="1711"/>
      <c r="W774" s="1711"/>
      <c r="X774" s="1711"/>
      <c r="Y774" s="1711"/>
      <c r="Z774" s="1712"/>
      <c r="AA774" s="1712"/>
      <c r="AB774" s="1712"/>
      <c r="AC774" s="1712"/>
      <c r="AD774" s="1712"/>
      <c r="AE774" s="1712"/>
      <c r="AF774" s="1712"/>
      <c r="AG774" s="1712"/>
      <c r="AH774" s="1712"/>
      <c r="AI774" s="1712"/>
      <c r="AJ774" s="1712"/>
      <c r="AK774" s="1712"/>
      <c r="AL774" s="1712"/>
      <c r="AM774" s="1712"/>
      <c r="AN774" s="1712"/>
      <c r="AO774" s="1712"/>
      <c r="AP774" s="1712"/>
      <c r="AQ774" s="1712"/>
      <c r="AR774" s="1712"/>
      <c r="AS774" s="1712"/>
      <c r="AT774" s="1712"/>
    </row>
    <row r="775">
      <c r="A775" s="1474" t="s">
        <v>2461</v>
      </c>
      <c r="B775" s="1708"/>
      <c r="C775" s="1709"/>
      <c r="D775" s="1709"/>
      <c r="E775" s="1710"/>
      <c r="F775" s="1710"/>
      <c r="G775" s="1710"/>
      <c r="H775" s="1710"/>
      <c r="I775" s="1710"/>
      <c r="J775" s="1710"/>
      <c r="K775" s="1710"/>
      <c r="L775" s="1710"/>
      <c r="M775" s="1711"/>
      <c r="N775" s="1711"/>
      <c r="O775" s="1711"/>
      <c r="P775" s="1711"/>
      <c r="Q775" s="1711"/>
      <c r="R775" s="1711"/>
      <c r="S775" s="1711"/>
      <c r="T775" s="1711"/>
      <c r="U775" s="1711"/>
      <c r="V775" s="1711"/>
      <c r="W775" s="1711"/>
      <c r="X775" s="1711"/>
      <c r="Y775" s="1711"/>
      <c r="Z775" s="1712"/>
      <c r="AA775" s="1712"/>
      <c r="AB775" s="1712"/>
      <c r="AC775" s="1712"/>
      <c r="AD775" s="1712"/>
      <c r="AE775" s="1712"/>
      <c r="AF775" s="1712"/>
      <c r="AG775" s="1712"/>
      <c r="AH775" s="1712"/>
      <c r="AI775" s="1712"/>
      <c r="AJ775" s="1712"/>
      <c r="AK775" s="1712"/>
      <c r="AL775" s="1712"/>
      <c r="AM775" s="1712"/>
      <c r="AN775" s="1712"/>
      <c r="AO775" s="1712"/>
      <c r="AP775" s="1712"/>
      <c r="AQ775" s="1712"/>
      <c r="AR775" s="1712"/>
      <c r="AS775" s="1712"/>
      <c r="AT775" s="1712"/>
    </row>
    <row r="776">
      <c r="A776" s="1474" t="s">
        <v>2461</v>
      </c>
      <c r="B776" s="1708"/>
      <c r="C776" s="1709"/>
      <c r="D776" s="1709"/>
      <c r="E776" s="1710"/>
      <c r="F776" s="1710"/>
      <c r="G776" s="1710"/>
      <c r="H776" s="1710"/>
      <c r="I776" s="1710"/>
      <c r="J776" s="1710"/>
      <c r="K776" s="1710"/>
      <c r="L776" s="1710"/>
      <c r="M776" s="1711"/>
      <c r="N776" s="1711"/>
      <c r="O776" s="1711"/>
      <c r="P776" s="1711"/>
      <c r="Q776" s="1711"/>
      <c r="R776" s="1711"/>
      <c r="S776" s="1711"/>
      <c r="T776" s="1711"/>
      <c r="U776" s="1711"/>
      <c r="V776" s="1711"/>
      <c r="W776" s="1711"/>
      <c r="X776" s="1711"/>
      <c r="Y776" s="1711"/>
      <c r="Z776" s="1712"/>
      <c r="AA776" s="1712"/>
      <c r="AB776" s="1712"/>
      <c r="AC776" s="1712"/>
      <c r="AD776" s="1712"/>
      <c r="AE776" s="1712"/>
      <c r="AF776" s="1712"/>
      <c r="AG776" s="1712"/>
      <c r="AH776" s="1712"/>
      <c r="AI776" s="1712"/>
      <c r="AJ776" s="1712"/>
      <c r="AK776" s="1712"/>
      <c r="AL776" s="1712"/>
      <c r="AM776" s="1712"/>
      <c r="AN776" s="1712"/>
      <c r="AO776" s="1712"/>
      <c r="AP776" s="1712"/>
      <c r="AQ776" s="1712"/>
      <c r="AR776" s="1712"/>
      <c r="AS776" s="1712"/>
      <c r="AT776" s="1712"/>
    </row>
    <row r="777">
      <c r="A777" s="1474" t="s">
        <v>2461</v>
      </c>
      <c r="B777" s="1708"/>
      <c r="C777" s="1709"/>
      <c r="D777" s="1709"/>
      <c r="E777" s="1710"/>
      <c r="F777" s="1710"/>
      <c r="G777" s="1710"/>
      <c r="H777" s="1710"/>
      <c r="I777" s="1710"/>
      <c r="J777" s="1710"/>
      <c r="K777" s="1710"/>
      <c r="L777" s="1710"/>
      <c r="M777" s="1711"/>
      <c r="N777" s="1711"/>
      <c r="O777" s="1711"/>
      <c r="P777" s="1711"/>
      <c r="Q777" s="1711"/>
      <c r="R777" s="1711"/>
      <c r="S777" s="1711"/>
      <c r="T777" s="1711"/>
      <c r="U777" s="1711"/>
      <c r="V777" s="1711"/>
      <c r="W777" s="1711"/>
      <c r="X777" s="1711"/>
      <c r="Y777" s="1711"/>
      <c r="Z777" s="1712"/>
      <c r="AA777" s="1712"/>
      <c r="AB777" s="1712"/>
      <c r="AC777" s="1712"/>
      <c r="AD777" s="1712"/>
      <c r="AE777" s="1712"/>
      <c r="AF777" s="1712"/>
      <c r="AG777" s="1712"/>
      <c r="AH777" s="1712"/>
      <c r="AI777" s="1712"/>
      <c r="AJ777" s="1712"/>
      <c r="AK777" s="1712"/>
      <c r="AL777" s="1712"/>
      <c r="AM777" s="1712"/>
      <c r="AN777" s="1712"/>
      <c r="AO777" s="1712"/>
      <c r="AP777" s="1712"/>
      <c r="AQ777" s="1712"/>
      <c r="AR777" s="1712"/>
      <c r="AS777" s="1712"/>
      <c r="AT777" s="1712"/>
    </row>
    <row r="778">
      <c r="A778" s="1474" t="s">
        <v>2461</v>
      </c>
      <c r="B778" s="1708"/>
      <c r="C778" s="1709"/>
      <c r="D778" s="1709"/>
      <c r="E778" s="1710"/>
      <c r="F778" s="1710"/>
      <c r="G778" s="1710"/>
      <c r="H778" s="1710"/>
      <c r="I778" s="1710"/>
      <c r="J778" s="1710"/>
      <c r="K778" s="1710"/>
      <c r="L778" s="1710"/>
      <c r="M778" s="1711"/>
      <c r="N778" s="1711"/>
      <c r="O778" s="1711"/>
      <c r="P778" s="1711"/>
      <c r="Q778" s="1711"/>
      <c r="R778" s="1711"/>
      <c r="S778" s="1711"/>
      <c r="T778" s="1711"/>
      <c r="U778" s="1711"/>
      <c r="V778" s="1711"/>
      <c r="W778" s="1711"/>
      <c r="X778" s="1711"/>
      <c r="Y778" s="1711"/>
      <c r="Z778" s="1712"/>
      <c r="AA778" s="1712"/>
      <c r="AB778" s="1712"/>
      <c r="AC778" s="1712"/>
      <c r="AD778" s="1712"/>
      <c r="AE778" s="1712"/>
      <c r="AF778" s="1712"/>
      <c r="AG778" s="1712"/>
      <c r="AH778" s="1712"/>
      <c r="AI778" s="1712"/>
      <c r="AJ778" s="1712"/>
      <c r="AK778" s="1712"/>
      <c r="AL778" s="1712"/>
      <c r="AM778" s="1712"/>
      <c r="AN778" s="1712"/>
      <c r="AO778" s="1712"/>
      <c r="AP778" s="1712"/>
      <c r="AQ778" s="1712"/>
      <c r="AR778" s="1712"/>
      <c r="AS778" s="1712"/>
      <c r="AT778" s="1712"/>
    </row>
    <row r="779">
      <c r="A779" s="1474" t="s">
        <v>2461</v>
      </c>
      <c r="B779" s="1708"/>
      <c r="C779" s="1709"/>
      <c r="D779" s="1709"/>
      <c r="E779" s="1710"/>
      <c r="F779" s="1710"/>
      <c r="G779" s="1710"/>
      <c r="H779" s="1710"/>
      <c r="I779" s="1710"/>
      <c r="J779" s="1710"/>
      <c r="K779" s="1710"/>
      <c r="L779" s="1710"/>
      <c r="M779" s="1711"/>
      <c r="N779" s="1711"/>
      <c r="O779" s="1711"/>
      <c r="P779" s="1711"/>
      <c r="Q779" s="1711"/>
      <c r="R779" s="1711"/>
      <c r="S779" s="1711"/>
      <c r="T779" s="1711"/>
      <c r="U779" s="1711"/>
      <c r="V779" s="1711"/>
      <c r="W779" s="1711"/>
      <c r="X779" s="1711"/>
      <c r="Y779" s="1711"/>
      <c r="Z779" s="1712"/>
      <c r="AA779" s="1712"/>
      <c r="AB779" s="1712"/>
      <c r="AC779" s="1712"/>
      <c r="AD779" s="1712"/>
      <c r="AE779" s="1712"/>
      <c r="AF779" s="1712"/>
      <c r="AG779" s="1712"/>
      <c r="AH779" s="1712"/>
      <c r="AI779" s="1712"/>
      <c r="AJ779" s="1712"/>
      <c r="AK779" s="1712"/>
      <c r="AL779" s="1712"/>
      <c r="AM779" s="1712"/>
      <c r="AN779" s="1712"/>
      <c r="AO779" s="1712"/>
      <c r="AP779" s="1712"/>
      <c r="AQ779" s="1712"/>
      <c r="AR779" s="1712"/>
      <c r="AS779" s="1712"/>
      <c r="AT779" s="1712"/>
    </row>
    <row r="780">
      <c r="A780" s="1474" t="s">
        <v>2461</v>
      </c>
      <c r="B780" s="1708"/>
      <c r="C780" s="1709"/>
      <c r="D780" s="1709"/>
      <c r="E780" s="1710"/>
      <c r="F780" s="1710"/>
      <c r="G780" s="1710"/>
      <c r="H780" s="1710"/>
      <c r="I780" s="1710"/>
      <c r="J780" s="1710"/>
      <c r="K780" s="1710"/>
      <c r="L780" s="1710"/>
      <c r="M780" s="1711"/>
      <c r="N780" s="1711"/>
      <c r="O780" s="1711"/>
      <c r="P780" s="1711"/>
      <c r="Q780" s="1711"/>
      <c r="R780" s="1711"/>
      <c r="S780" s="1711"/>
      <c r="T780" s="1711"/>
      <c r="U780" s="1711"/>
      <c r="V780" s="1711"/>
      <c r="W780" s="1711"/>
      <c r="X780" s="1711"/>
      <c r="Y780" s="1711"/>
      <c r="Z780" s="1712"/>
      <c r="AA780" s="1712"/>
      <c r="AB780" s="1712"/>
      <c r="AC780" s="1712"/>
      <c r="AD780" s="1712"/>
      <c r="AE780" s="1712"/>
      <c r="AF780" s="1712"/>
      <c r="AG780" s="1712"/>
      <c r="AH780" s="1712"/>
      <c r="AI780" s="1712"/>
      <c r="AJ780" s="1712"/>
      <c r="AK780" s="1712"/>
      <c r="AL780" s="1712"/>
      <c r="AM780" s="1712"/>
      <c r="AN780" s="1712"/>
      <c r="AO780" s="1712"/>
      <c r="AP780" s="1712"/>
      <c r="AQ780" s="1712"/>
      <c r="AR780" s="1712"/>
      <c r="AS780" s="1712"/>
      <c r="AT780" s="1712"/>
    </row>
    <row r="781">
      <c r="A781" s="1474" t="s">
        <v>2461</v>
      </c>
      <c r="B781" s="1708"/>
      <c r="C781" s="1709"/>
      <c r="D781" s="1709"/>
      <c r="E781" s="1710"/>
      <c r="F781" s="1710"/>
      <c r="G781" s="1710"/>
      <c r="H781" s="1710"/>
      <c r="I781" s="1710"/>
      <c r="J781" s="1710"/>
      <c r="K781" s="1710"/>
      <c r="L781" s="1710"/>
      <c r="M781" s="1711"/>
      <c r="N781" s="1711"/>
      <c r="O781" s="1711"/>
      <c r="P781" s="1711"/>
      <c r="Q781" s="1711"/>
      <c r="R781" s="1711"/>
      <c r="S781" s="1711"/>
      <c r="T781" s="1711"/>
      <c r="U781" s="1711"/>
      <c r="V781" s="1711"/>
      <c r="W781" s="1711"/>
      <c r="X781" s="1711"/>
      <c r="Y781" s="1711"/>
      <c r="Z781" s="1712"/>
      <c r="AA781" s="1712"/>
      <c r="AB781" s="1712"/>
      <c r="AC781" s="1712"/>
      <c r="AD781" s="1712"/>
      <c r="AE781" s="1712"/>
      <c r="AF781" s="1712"/>
      <c r="AG781" s="1712"/>
      <c r="AH781" s="1712"/>
      <c r="AI781" s="1712"/>
      <c r="AJ781" s="1712"/>
      <c r="AK781" s="1712"/>
      <c r="AL781" s="1712"/>
      <c r="AM781" s="1712"/>
      <c r="AN781" s="1712"/>
      <c r="AO781" s="1712"/>
      <c r="AP781" s="1712"/>
      <c r="AQ781" s="1712"/>
      <c r="AR781" s="1712"/>
      <c r="AS781" s="1712"/>
      <c r="AT781" s="1712"/>
    </row>
    <row r="782">
      <c r="A782" s="1474" t="s">
        <v>2461</v>
      </c>
      <c r="B782" s="1708"/>
      <c r="C782" s="1709"/>
      <c r="D782" s="1709"/>
      <c r="E782" s="1710"/>
      <c r="F782" s="1710"/>
      <c r="G782" s="1710"/>
      <c r="H782" s="1710"/>
      <c r="I782" s="1710"/>
      <c r="J782" s="1710"/>
      <c r="K782" s="1710"/>
      <c r="L782" s="1710"/>
      <c r="M782" s="1711"/>
      <c r="N782" s="1711"/>
      <c r="O782" s="1711"/>
      <c r="P782" s="1711"/>
      <c r="Q782" s="1711"/>
      <c r="R782" s="1711"/>
      <c r="S782" s="1711"/>
      <c r="T782" s="1711"/>
      <c r="U782" s="1711"/>
      <c r="V782" s="1711"/>
      <c r="W782" s="1711"/>
      <c r="X782" s="1711"/>
      <c r="Y782" s="1711"/>
      <c r="Z782" s="1712"/>
      <c r="AA782" s="1712"/>
      <c r="AB782" s="1712"/>
      <c r="AC782" s="1712"/>
      <c r="AD782" s="1712"/>
      <c r="AE782" s="1712"/>
      <c r="AF782" s="1712"/>
      <c r="AG782" s="1712"/>
      <c r="AH782" s="1712"/>
      <c r="AI782" s="1712"/>
      <c r="AJ782" s="1712"/>
      <c r="AK782" s="1712"/>
      <c r="AL782" s="1712"/>
      <c r="AM782" s="1712"/>
      <c r="AN782" s="1712"/>
      <c r="AO782" s="1712"/>
      <c r="AP782" s="1712"/>
      <c r="AQ782" s="1712"/>
      <c r="AR782" s="1712"/>
      <c r="AS782" s="1712"/>
      <c r="AT782" s="1712"/>
    </row>
    <row r="783">
      <c r="A783" s="1474" t="s">
        <v>2461</v>
      </c>
      <c r="B783" s="1708"/>
      <c r="C783" s="1709"/>
      <c r="D783" s="1709"/>
      <c r="E783" s="1710"/>
      <c r="F783" s="1710"/>
      <c r="G783" s="1710"/>
      <c r="H783" s="1710"/>
      <c r="I783" s="1710"/>
      <c r="J783" s="1710"/>
      <c r="K783" s="1710"/>
      <c r="L783" s="1710"/>
      <c r="M783" s="1711"/>
      <c r="N783" s="1711"/>
      <c r="O783" s="1711"/>
      <c r="P783" s="1711"/>
      <c r="Q783" s="1711"/>
      <c r="R783" s="1711"/>
      <c r="S783" s="1711"/>
      <c r="T783" s="1711"/>
      <c r="U783" s="1711"/>
      <c r="V783" s="1711"/>
      <c r="W783" s="1711"/>
      <c r="X783" s="1711"/>
      <c r="Y783" s="1711"/>
      <c r="Z783" s="1712"/>
      <c r="AA783" s="1712"/>
      <c r="AB783" s="1712"/>
      <c r="AC783" s="1712"/>
      <c r="AD783" s="1712"/>
      <c r="AE783" s="1712"/>
      <c r="AF783" s="1712"/>
      <c r="AG783" s="1712"/>
      <c r="AH783" s="1712"/>
      <c r="AI783" s="1712"/>
      <c r="AJ783" s="1712"/>
      <c r="AK783" s="1712"/>
      <c r="AL783" s="1712"/>
      <c r="AM783" s="1712"/>
      <c r="AN783" s="1712"/>
      <c r="AO783" s="1712"/>
      <c r="AP783" s="1712"/>
      <c r="AQ783" s="1712"/>
      <c r="AR783" s="1712"/>
      <c r="AS783" s="1712"/>
      <c r="AT783" s="1712"/>
    </row>
    <row r="784">
      <c r="A784" s="1474" t="s">
        <v>2461</v>
      </c>
      <c r="B784" s="1708"/>
      <c r="C784" s="1709"/>
      <c r="D784" s="1709"/>
      <c r="E784" s="1710"/>
      <c r="F784" s="1710"/>
      <c r="G784" s="1710"/>
      <c r="H784" s="1710"/>
      <c r="I784" s="1710"/>
      <c r="J784" s="1710"/>
      <c r="K784" s="1710"/>
      <c r="L784" s="1710"/>
      <c r="M784" s="1711"/>
      <c r="N784" s="1711"/>
      <c r="O784" s="1711"/>
      <c r="P784" s="1711"/>
      <c r="Q784" s="1711"/>
      <c r="R784" s="1711"/>
      <c r="S784" s="1711"/>
      <c r="T784" s="1711"/>
      <c r="U784" s="1711"/>
      <c r="V784" s="1711"/>
      <c r="W784" s="1711"/>
      <c r="X784" s="1711"/>
      <c r="Y784" s="1711"/>
      <c r="Z784" s="1712"/>
      <c r="AA784" s="1712"/>
      <c r="AB784" s="1712"/>
      <c r="AC784" s="1712"/>
      <c r="AD784" s="1712"/>
      <c r="AE784" s="1712"/>
      <c r="AF784" s="1712"/>
      <c r="AG784" s="1712"/>
      <c r="AH784" s="1712"/>
      <c r="AI784" s="1712"/>
      <c r="AJ784" s="1712"/>
      <c r="AK784" s="1712"/>
      <c r="AL784" s="1712"/>
      <c r="AM784" s="1712"/>
      <c r="AN784" s="1712"/>
      <c r="AO784" s="1712"/>
      <c r="AP784" s="1712"/>
      <c r="AQ784" s="1712"/>
      <c r="AR784" s="1712"/>
      <c r="AS784" s="1712"/>
      <c r="AT784" s="1712"/>
    </row>
    <row r="785">
      <c r="A785" s="1474" t="s">
        <v>2461</v>
      </c>
      <c r="B785" s="1708"/>
      <c r="C785" s="1709"/>
      <c r="D785" s="1709"/>
      <c r="E785" s="1710"/>
      <c r="F785" s="1710"/>
      <c r="G785" s="1710"/>
      <c r="H785" s="1710"/>
      <c r="I785" s="1710"/>
      <c r="J785" s="1710"/>
      <c r="K785" s="1710"/>
      <c r="L785" s="1710"/>
      <c r="M785" s="1711"/>
      <c r="N785" s="1711"/>
      <c r="O785" s="1711"/>
      <c r="P785" s="1711"/>
      <c r="Q785" s="1711"/>
      <c r="R785" s="1711"/>
      <c r="S785" s="1711"/>
      <c r="T785" s="1711"/>
      <c r="U785" s="1711"/>
      <c r="V785" s="1711"/>
      <c r="W785" s="1711"/>
      <c r="X785" s="1711"/>
      <c r="Y785" s="1711"/>
      <c r="Z785" s="1712"/>
      <c r="AA785" s="1712"/>
      <c r="AB785" s="1712"/>
      <c r="AC785" s="1712"/>
      <c r="AD785" s="1712"/>
      <c r="AE785" s="1712"/>
      <c r="AF785" s="1712"/>
      <c r="AG785" s="1712"/>
      <c r="AH785" s="1712"/>
      <c r="AI785" s="1712"/>
      <c r="AJ785" s="1712"/>
      <c r="AK785" s="1712"/>
      <c r="AL785" s="1712"/>
      <c r="AM785" s="1712"/>
      <c r="AN785" s="1712"/>
      <c r="AO785" s="1712"/>
      <c r="AP785" s="1712"/>
      <c r="AQ785" s="1712"/>
      <c r="AR785" s="1712"/>
      <c r="AS785" s="1712"/>
      <c r="AT785" s="1712"/>
    </row>
    <row r="786">
      <c r="A786" s="1474" t="s">
        <v>2461</v>
      </c>
      <c r="B786" s="1708"/>
      <c r="C786" s="1709"/>
      <c r="D786" s="1709"/>
      <c r="E786" s="1710"/>
      <c r="F786" s="1710"/>
      <c r="G786" s="1710"/>
      <c r="H786" s="1710"/>
      <c r="I786" s="1710"/>
      <c r="J786" s="1710"/>
      <c r="K786" s="1710"/>
      <c r="L786" s="1710"/>
      <c r="M786" s="1711"/>
      <c r="N786" s="1711"/>
      <c r="O786" s="1711"/>
      <c r="P786" s="1711"/>
      <c r="Q786" s="1711"/>
      <c r="R786" s="1711"/>
      <c r="S786" s="1711"/>
      <c r="T786" s="1711"/>
      <c r="U786" s="1711"/>
      <c r="V786" s="1711"/>
      <c r="W786" s="1711"/>
      <c r="X786" s="1711"/>
      <c r="Y786" s="1711"/>
      <c r="Z786" s="1712"/>
      <c r="AA786" s="1712"/>
      <c r="AB786" s="1712"/>
      <c r="AC786" s="1712"/>
      <c r="AD786" s="1712"/>
      <c r="AE786" s="1712"/>
      <c r="AF786" s="1712"/>
      <c r="AG786" s="1712"/>
      <c r="AH786" s="1712"/>
      <c r="AI786" s="1712"/>
      <c r="AJ786" s="1712"/>
      <c r="AK786" s="1712"/>
      <c r="AL786" s="1712"/>
      <c r="AM786" s="1712"/>
      <c r="AN786" s="1712"/>
      <c r="AO786" s="1712"/>
      <c r="AP786" s="1712"/>
      <c r="AQ786" s="1712"/>
      <c r="AR786" s="1712"/>
      <c r="AS786" s="1712"/>
      <c r="AT786" s="1712"/>
    </row>
    <row r="787">
      <c r="A787" s="1474" t="s">
        <v>2461</v>
      </c>
      <c r="B787" s="1708"/>
      <c r="C787" s="1709"/>
      <c r="D787" s="1709"/>
      <c r="E787" s="1710"/>
      <c r="F787" s="1710"/>
      <c r="G787" s="1710"/>
      <c r="H787" s="1710"/>
      <c r="I787" s="1710"/>
      <c r="J787" s="1710"/>
      <c r="K787" s="1710"/>
      <c r="L787" s="1710"/>
      <c r="M787" s="1711"/>
      <c r="N787" s="1711"/>
      <c r="O787" s="1711"/>
      <c r="P787" s="1711"/>
      <c r="Q787" s="1711"/>
      <c r="R787" s="1711"/>
      <c r="S787" s="1711"/>
      <c r="T787" s="1711"/>
      <c r="U787" s="1711"/>
      <c r="V787" s="1711"/>
      <c r="W787" s="1711"/>
      <c r="X787" s="1711"/>
      <c r="Y787" s="1711"/>
      <c r="Z787" s="1712"/>
      <c r="AA787" s="1712"/>
      <c r="AB787" s="1712"/>
      <c r="AC787" s="1712"/>
      <c r="AD787" s="1712"/>
      <c r="AE787" s="1712"/>
      <c r="AF787" s="1712"/>
      <c r="AG787" s="1712"/>
      <c r="AH787" s="1712"/>
      <c r="AI787" s="1712"/>
      <c r="AJ787" s="1712"/>
      <c r="AK787" s="1712"/>
      <c r="AL787" s="1712"/>
      <c r="AM787" s="1712"/>
      <c r="AN787" s="1712"/>
      <c r="AO787" s="1712"/>
      <c r="AP787" s="1712"/>
      <c r="AQ787" s="1712"/>
      <c r="AR787" s="1712"/>
      <c r="AS787" s="1712"/>
      <c r="AT787" s="1712"/>
    </row>
    <row r="788">
      <c r="A788" s="1474" t="s">
        <v>2461</v>
      </c>
      <c r="B788" s="1708"/>
      <c r="C788" s="1709"/>
      <c r="D788" s="1709"/>
      <c r="E788" s="1710"/>
      <c r="F788" s="1710"/>
      <c r="G788" s="1710"/>
      <c r="H788" s="1710"/>
      <c r="I788" s="1710"/>
      <c r="J788" s="1710"/>
      <c r="K788" s="1710"/>
      <c r="L788" s="1710"/>
      <c r="M788" s="1711"/>
      <c r="N788" s="1711"/>
      <c r="O788" s="1711"/>
      <c r="P788" s="1711"/>
      <c r="Q788" s="1711"/>
      <c r="R788" s="1711"/>
      <c r="S788" s="1711"/>
      <c r="T788" s="1711"/>
      <c r="U788" s="1711"/>
      <c r="V788" s="1711"/>
      <c r="W788" s="1711"/>
      <c r="X788" s="1711"/>
      <c r="Y788" s="1711"/>
      <c r="Z788" s="1712"/>
      <c r="AA788" s="1712"/>
      <c r="AB788" s="1712"/>
      <c r="AC788" s="1712"/>
      <c r="AD788" s="1712"/>
      <c r="AE788" s="1712"/>
      <c r="AF788" s="1712"/>
      <c r="AG788" s="1712"/>
      <c r="AH788" s="1712"/>
      <c r="AI788" s="1712"/>
      <c r="AJ788" s="1712"/>
      <c r="AK788" s="1712"/>
      <c r="AL788" s="1712"/>
      <c r="AM788" s="1712"/>
      <c r="AN788" s="1712"/>
      <c r="AO788" s="1712"/>
      <c r="AP788" s="1712"/>
      <c r="AQ788" s="1712"/>
      <c r="AR788" s="1712"/>
      <c r="AS788" s="1712"/>
      <c r="AT788" s="1712"/>
    </row>
    <row r="789">
      <c r="A789" s="1474" t="s">
        <v>2461</v>
      </c>
      <c r="B789" s="1708"/>
      <c r="C789" s="1709"/>
      <c r="D789" s="1709"/>
      <c r="E789" s="1710"/>
      <c r="F789" s="1710"/>
      <c r="G789" s="1710"/>
      <c r="H789" s="1710"/>
      <c r="I789" s="1710"/>
      <c r="J789" s="1710"/>
      <c r="K789" s="1710"/>
      <c r="L789" s="1710"/>
      <c r="M789" s="1711"/>
      <c r="N789" s="1711"/>
      <c r="O789" s="1711"/>
      <c r="P789" s="1711"/>
      <c r="Q789" s="1711"/>
      <c r="R789" s="1711"/>
      <c r="S789" s="1711"/>
      <c r="T789" s="1711"/>
      <c r="U789" s="1711"/>
      <c r="V789" s="1711"/>
      <c r="W789" s="1711"/>
      <c r="X789" s="1711"/>
      <c r="Y789" s="1711"/>
      <c r="Z789" s="1712"/>
      <c r="AA789" s="1712"/>
      <c r="AB789" s="1712"/>
      <c r="AC789" s="1712"/>
      <c r="AD789" s="1712"/>
      <c r="AE789" s="1712"/>
      <c r="AF789" s="1712"/>
      <c r="AG789" s="1712"/>
      <c r="AH789" s="1712"/>
      <c r="AI789" s="1712"/>
      <c r="AJ789" s="1712"/>
      <c r="AK789" s="1712"/>
      <c r="AL789" s="1712"/>
      <c r="AM789" s="1712"/>
      <c r="AN789" s="1712"/>
      <c r="AO789" s="1712"/>
      <c r="AP789" s="1712"/>
      <c r="AQ789" s="1712"/>
      <c r="AR789" s="1712"/>
      <c r="AS789" s="1712"/>
      <c r="AT789" s="1712"/>
    </row>
    <row r="790">
      <c r="A790" s="1474" t="s">
        <v>2461</v>
      </c>
      <c r="B790" s="1708"/>
      <c r="C790" s="1709"/>
      <c r="D790" s="1709"/>
      <c r="E790" s="1710"/>
      <c r="F790" s="1710"/>
      <c r="G790" s="1710"/>
      <c r="H790" s="1710"/>
      <c r="I790" s="1710"/>
      <c r="J790" s="1710"/>
      <c r="K790" s="1710"/>
      <c r="L790" s="1710"/>
      <c r="M790" s="1711"/>
      <c r="N790" s="1711"/>
      <c r="O790" s="1711"/>
      <c r="P790" s="1711"/>
      <c r="Q790" s="1711"/>
      <c r="R790" s="1711"/>
      <c r="S790" s="1711"/>
      <c r="T790" s="1711"/>
      <c r="U790" s="1711"/>
      <c r="V790" s="1711"/>
      <c r="W790" s="1711"/>
      <c r="X790" s="1711"/>
      <c r="Y790" s="1711"/>
      <c r="Z790" s="1712"/>
      <c r="AA790" s="1712"/>
      <c r="AB790" s="1712"/>
      <c r="AC790" s="1712"/>
      <c r="AD790" s="1712"/>
      <c r="AE790" s="1712"/>
      <c r="AF790" s="1712"/>
      <c r="AG790" s="1712"/>
      <c r="AH790" s="1712"/>
      <c r="AI790" s="1712"/>
      <c r="AJ790" s="1712"/>
      <c r="AK790" s="1712"/>
      <c r="AL790" s="1712"/>
      <c r="AM790" s="1712"/>
      <c r="AN790" s="1712"/>
      <c r="AO790" s="1712"/>
      <c r="AP790" s="1712"/>
      <c r="AQ790" s="1712"/>
      <c r="AR790" s="1712"/>
      <c r="AS790" s="1712"/>
      <c r="AT790" s="1712"/>
    </row>
    <row r="791">
      <c r="A791" s="1474" t="s">
        <v>2461</v>
      </c>
      <c r="B791" s="1708"/>
      <c r="C791" s="1709"/>
      <c r="D791" s="1709"/>
      <c r="E791" s="1710"/>
      <c r="F791" s="1710"/>
      <c r="G791" s="1710"/>
      <c r="H791" s="1710"/>
      <c r="I791" s="1710"/>
      <c r="J791" s="1710"/>
      <c r="K791" s="1710"/>
      <c r="L791" s="1710"/>
      <c r="M791" s="1711"/>
      <c r="N791" s="1711"/>
      <c r="O791" s="1711"/>
      <c r="P791" s="1711"/>
      <c r="Q791" s="1711"/>
      <c r="R791" s="1711"/>
      <c r="S791" s="1711"/>
      <c r="T791" s="1711"/>
      <c r="U791" s="1711"/>
      <c r="V791" s="1711"/>
      <c r="W791" s="1711"/>
      <c r="X791" s="1711"/>
      <c r="Y791" s="1711"/>
      <c r="Z791" s="1712"/>
      <c r="AA791" s="1712"/>
      <c r="AB791" s="1712"/>
      <c r="AC791" s="1712"/>
      <c r="AD791" s="1712"/>
      <c r="AE791" s="1712"/>
      <c r="AF791" s="1712"/>
      <c r="AG791" s="1712"/>
      <c r="AH791" s="1712"/>
      <c r="AI791" s="1712"/>
      <c r="AJ791" s="1712"/>
      <c r="AK791" s="1712"/>
      <c r="AL791" s="1712"/>
      <c r="AM791" s="1712"/>
      <c r="AN791" s="1712"/>
      <c r="AO791" s="1712"/>
      <c r="AP791" s="1712"/>
      <c r="AQ791" s="1712"/>
      <c r="AR791" s="1712"/>
      <c r="AS791" s="1712"/>
      <c r="AT791" s="1712"/>
    </row>
    <row r="792">
      <c r="A792" s="1474" t="s">
        <v>2461</v>
      </c>
      <c r="B792" s="1708"/>
      <c r="C792" s="1709"/>
      <c r="D792" s="1709"/>
      <c r="E792" s="1710"/>
      <c r="F792" s="1710"/>
      <c r="G792" s="1710"/>
      <c r="H792" s="1710"/>
      <c r="I792" s="1710"/>
      <c r="J792" s="1710"/>
      <c r="K792" s="1710"/>
      <c r="L792" s="1710"/>
      <c r="M792" s="1711"/>
      <c r="N792" s="1711"/>
      <c r="O792" s="1711"/>
      <c r="P792" s="1711"/>
      <c r="Q792" s="1711"/>
      <c r="R792" s="1711"/>
      <c r="S792" s="1711"/>
      <c r="T792" s="1711"/>
      <c r="U792" s="1711"/>
      <c r="V792" s="1711"/>
      <c r="W792" s="1711"/>
      <c r="X792" s="1711"/>
      <c r="Y792" s="1711"/>
      <c r="Z792" s="1712"/>
      <c r="AA792" s="1712"/>
      <c r="AB792" s="1712"/>
      <c r="AC792" s="1712"/>
      <c r="AD792" s="1712"/>
      <c r="AE792" s="1712"/>
      <c r="AF792" s="1712"/>
      <c r="AG792" s="1712"/>
      <c r="AH792" s="1712"/>
      <c r="AI792" s="1712"/>
      <c r="AJ792" s="1712"/>
      <c r="AK792" s="1712"/>
      <c r="AL792" s="1712"/>
      <c r="AM792" s="1712"/>
      <c r="AN792" s="1712"/>
      <c r="AO792" s="1712"/>
      <c r="AP792" s="1712"/>
      <c r="AQ792" s="1712"/>
      <c r="AR792" s="1712"/>
      <c r="AS792" s="1712"/>
      <c r="AT792" s="1712"/>
    </row>
    <row r="793">
      <c r="A793" s="1474" t="s">
        <v>2461</v>
      </c>
      <c r="B793" s="1708"/>
      <c r="C793" s="1709"/>
      <c r="D793" s="1709"/>
      <c r="E793" s="1710"/>
      <c r="F793" s="1710"/>
      <c r="G793" s="1710"/>
      <c r="H793" s="1710"/>
      <c r="I793" s="1710"/>
      <c r="J793" s="1710"/>
      <c r="K793" s="1710"/>
      <c r="L793" s="1710"/>
      <c r="M793" s="1711"/>
      <c r="N793" s="1711"/>
      <c r="O793" s="1711"/>
      <c r="P793" s="1711"/>
      <c r="Q793" s="1711"/>
      <c r="R793" s="1711"/>
      <c r="S793" s="1711"/>
      <c r="T793" s="1711"/>
      <c r="U793" s="1711"/>
      <c r="V793" s="1711"/>
      <c r="W793" s="1711"/>
      <c r="X793" s="1711"/>
      <c r="Y793" s="1711"/>
      <c r="Z793" s="1712"/>
      <c r="AA793" s="1712"/>
      <c r="AB793" s="1712"/>
      <c r="AC793" s="1712"/>
      <c r="AD793" s="1712"/>
      <c r="AE793" s="1712"/>
      <c r="AF793" s="1712"/>
      <c r="AG793" s="1712"/>
      <c r="AH793" s="1712"/>
      <c r="AI793" s="1712"/>
      <c r="AJ793" s="1712"/>
      <c r="AK793" s="1712"/>
      <c r="AL793" s="1712"/>
      <c r="AM793" s="1712"/>
      <c r="AN793" s="1712"/>
      <c r="AO793" s="1712"/>
      <c r="AP793" s="1712"/>
      <c r="AQ793" s="1712"/>
      <c r="AR793" s="1712"/>
      <c r="AS793" s="1712"/>
      <c r="AT793" s="1712"/>
    </row>
    <row r="794">
      <c r="A794" s="1474" t="s">
        <v>2461</v>
      </c>
      <c r="B794" s="1708"/>
      <c r="C794" s="1709"/>
      <c r="D794" s="1709"/>
      <c r="E794" s="1710"/>
      <c r="F794" s="1710"/>
      <c r="G794" s="1710"/>
      <c r="H794" s="1710"/>
      <c r="I794" s="1710"/>
      <c r="J794" s="1710"/>
      <c r="K794" s="1710"/>
      <c r="L794" s="1710"/>
      <c r="M794" s="1711"/>
      <c r="N794" s="1711"/>
      <c r="O794" s="1711"/>
      <c r="P794" s="1711"/>
      <c r="Q794" s="1711"/>
      <c r="R794" s="1711"/>
      <c r="S794" s="1711"/>
      <c r="T794" s="1711"/>
      <c r="U794" s="1711"/>
      <c r="V794" s="1711"/>
      <c r="W794" s="1711"/>
      <c r="X794" s="1711"/>
      <c r="Y794" s="1711"/>
      <c r="Z794" s="1712"/>
      <c r="AA794" s="1712"/>
      <c r="AB794" s="1712"/>
      <c r="AC794" s="1712"/>
      <c r="AD794" s="1712"/>
      <c r="AE794" s="1712"/>
      <c r="AF794" s="1712"/>
      <c r="AG794" s="1712"/>
      <c r="AH794" s="1712"/>
      <c r="AI794" s="1712"/>
      <c r="AJ794" s="1712"/>
      <c r="AK794" s="1712"/>
      <c r="AL794" s="1712"/>
      <c r="AM794" s="1712"/>
      <c r="AN794" s="1712"/>
      <c r="AO794" s="1712"/>
      <c r="AP794" s="1712"/>
      <c r="AQ794" s="1712"/>
      <c r="AR794" s="1712"/>
      <c r="AS794" s="1712"/>
      <c r="AT794" s="1712"/>
    </row>
    <row r="795">
      <c r="A795" s="1474" t="s">
        <v>2461</v>
      </c>
      <c r="B795" s="1708"/>
      <c r="C795" s="1709"/>
      <c r="D795" s="1709"/>
      <c r="E795" s="1710"/>
      <c r="F795" s="1710"/>
      <c r="G795" s="1710"/>
      <c r="H795" s="1710"/>
      <c r="I795" s="1710"/>
      <c r="J795" s="1710"/>
      <c r="K795" s="1710"/>
      <c r="L795" s="1710"/>
      <c r="M795" s="1711"/>
      <c r="N795" s="1711"/>
      <c r="O795" s="1711"/>
      <c r="P795" s="1711"/>
      <c r="Q795" s="1711"/>
      <c r="R795" s="1711"/>
      <c r="S795" s="1711"/>
      <c r="T795" s="1711"/>
      <c r="U795" s="1711"/>
      <c r="V795" s="1711"/>
      <c r="W795" s="1711"/>
      <c r="X795" s="1711"/>
      <c r="Y795" s="1711"/>
      <c r="Z795" s="1712"/>
      <c r="AA795" s="1712"/>
      <c r="AB795" s="1712"/>
      <c r="AC795" s="1712"/>
      <c r="AD795" s="1712"/>
      <c r="AE795" s="1712"/>
      <c r="AF795" s="1712"/>
      <c r="AG795" s="1712"/>
      <c r="AH795" s="1712"/>
      <c r="AI795" s="1712"/>
      <c r="AJ795" s="1712"/>
      <c r="AK795" s="1712"/>
      <c r="AL795" s="1712"/>
      <c r="AM795" s="1712"/>
      <c r="AN795" s="1712"/>
      <c r="AO795" s="1712"/>
      <c r="AP795" s="1712"/>
      <c r="AQ795" s="1712"/>
      <c r="AR795" s="1712"/>
      <c r="AS795" s="1712"/>
      <c r="AT795" s="1712"/>
    </row>
    <row r="796">
      <c r="A796" s="1474" t="s">
        <v>2461</v>
      </c>
      <c r="B796" s="1708"/>
      <c r="C796" s="1709"/>
      <c r="D796" s="1709"/>
      <c r="E796" s="1710"/>
      <c r="F796" s="1710"/>
      <c r="G796" s="1710"/>
      <c r="H796" s="1710"/>
      <c r="I796" s="1710"/>
      <c r="J796" s="1710"/>
      <c r="K796" s="1710"/>
      <c r="L796" s="1710"/>
      <c r="M796" s="1711"/>
      <c r="N796" s="1711"/>
      <c r="O796" s="1711"/>
      <c r="P796" s="1711"/>
      <c r="Q796" s="1711"/>
      <c r="R796" s="1711"/>
      <c r="S796" s="1711"/>
      <c r="T796" s="1711"/>
      <c r="U796" s="1711"/>
      <c r="V796" s="1711"/>
      <c r="W796" s="1711"/>
      <c r="X796" s="1711"/>
      <c r="Y796" s="1711"/>
      <c r="Z796" s="1712"/>
      <c r="AA796" s="1712"/>
      <c r="AB796" s="1712"/>
      <c r="AC796" s="1712"/>
      <c r="AD796" s="1712"/>
      <c r="AE796" s="1712"/>
      <c r="AF796" s="1712"/>
      <c r="AG796" s="1712"/>
      <c r="AH796" s="1712"/>
      <c r="AI796" s="1712"/>
      <c r="AJ796" s="1712"/>
      <c r="AK796" s="1712"/>
      <c r="AL796" s="1712"/>
      <c r="AM796" s="1712"/>
      <c r="AN796" s="1712"/>
      <c r="AO796" s="1712"/>
      <c r="AP796" s="1712"/>
      <c r="AQ796" s="1712"/>
      <c r="AR796" s="1712"/>
      <c r="AS796" s="1712"/>
      <c r="AT796" s="1712"/>
    </row>
    <row r="797">
      <c r="A797" s="1474" t="s">
        <v>2461</v>
      </c>
      <c r="B797" s="1708"/>
      <c r="C797" s="1709"/>
      <c r="D797" s="1709"/>
      <c r="E797" s="1710"/>
      <c r="F797" s="1710"/>
      <c r="G797" s="1710"/>
      <c r="H797" s="1710"/>
      <c r="I797" s="1710"/>
      <c r="J797" s="1710"/>
      <c r="K797" s="1710"/>
      <c r="L797" s="1710"/>
      <c r="M797" s="1711"/>
      <c r="N797" s="1711"/>
      <c r="O797" s="1711"/>
      <c r="P797" s="1711"/>
      <c r="Q797" s="1711"/>
      <c r="R797" s="1711"/>
      <c r="S797" s="1711"/>
      <c r="T797" s="1711"/>
      <c r="U797" s="1711"/>
      <c r="V797" s="1711"/>
      <c r="W797" s="1711"/>
      <c r="X797" s="1711"/>
      <c r="Y797" s="1711"/>
      <c r="Z797" s="1712"/>
      <c r="AA797" s="1712"/>
      <c r="AB797" s="1712"/>
      <c r="AC797" s="1712"/>
      <c r="AD797" s="1712"/>
      <c r="AE797" s="1712"/>
      <c r="AF797" s="1712"/>
      <c r="AG797" s="1712"/>
      <c r="AH797" s="1712"/>
      <c r="AI797" s="1712"/>
      <c r="AJ797" s="1712"/>
      <c r="AK797" s="1712"/>
      <c r="AL797" s="1712"/>
      <c r="AM797" s="1712"/>
      <c r="AN797" s="1712"/>
      <c r="AO797" s="1712"/>
      <c r="AP797" s="1712"/>
      <c r="AQ797" s="1712"/>
      <c r="AR797" s="1712"/>
      <c r="AS797" s="1712"/>
      <c r="AT797" s="1712"/>
    </row>
    <row r="798">
      <c r="A798" s="1474" t="s">
        <v>2461</v>
      </c>
      <c r="B798" s="1708"/>
      <c r="C798" s="1709"/>
      <c r="D798" s="1709"/>
      <c r="E798" s="1710"/>
      <c r="F798" s="1710"/>
      <c r="G798" s="1710"/>
      <c r="H798" s="1710"/>
      <c r="I798" s="1710"/>
      <c r="J798" s="1710"/>
      <c r="K798" s="1710"/>
      <c r="L798" s="1710"/>
      <c r="M798" s="1711"/>
      <c r="N798" s="1711"/>
      <c r="O798" s="1711"/>
      <c r="P798" s="1711"/>
      <c r="Q798" s="1711"/>
      <c r="R798" s="1711"/>
      <c r="S798" s="1711"/>
      <c r="T798" s="1711"/>
      <c r="U798" s="1711"/>
      <c r="V798" s="1711"/>
      <c r="W798" s="1711"/>
      <c r="X798" s="1711"/>
      <c r="Y798" s="1711"/>
      <c r="Z798" s="1712"/>
      <c r="AA798" s="1712"/>
      <c r="AB798" s="1712"/>
      <c r="AC798" s="1712"/>
      <c r="AD798" s="1712"/>
      <c r="AE798" s="1712"/>
      <c r="AF798" s="1712"/>
      <c r="AG798" s="1712"/>
      <c r="AH798" s="1712"/>
      <c r="AI798" s="1712"/>
      <c r="AJ798" s="1712"/>
      <c r="AK798" s="1712"/>
      <c r="AL798" s="1712"/>
      <c r="AM798" s="1712"/>
      <c r="AN798" s="1712"/>
      <c r="AO798" s="1712"/>
      <c r="AP798" s="1712"/>
      <c r="AQ798" s="1712"/>
      <c r="AR798" s="1712"/>
      <c r="AS798" s="1712"/>
      <c r="AT798" s="1712"/>
    </row>
    <row r="799">
      <c r="A799" s="1474" t="s">
        <v>2461</v>
      </c>
      <c r="B799" s="1708"/>
      <c r="C799" s="1709"/>
      <c r="D799" s="1709"/>
      <c r="E799" s="1710"/>
      <c r="F799" s="1710"/>
      <c r="G799" s="1710"/>
      <c r="H799" s="1710"/>
      <c r="I799" s="1710"/>
      <c r="J799" s="1710"/>
      <c r="K799" s="1710"/>
      <c r="L799" s="1710"/>
      <c r="M799" s="1711"/>
      <c r="N799" s="1711"/>
      <c r="O799" s="1711"/>
      <c r="P799" s="1711"/>
      <c r="Q799" s="1711"/>
      <c r="R799" s="1711"/>
      <c r="S799" s="1711"/>
      <c r="T799" s="1711"/>
      <c r="U799" s="1711"/>
      <c r="V799" s="1711"/>
      <c r="W799" s="1711"/>
      <c r="X799" s="1711"/>
      <c r="Y799" s="1711"/>
      <c r="Z799" s="1712"/>
      <c r="AA799" s="1712"/>
      <c r="AB799" s="1712"/>
      <c r="AC799" s="1712"/>
      <c r="AD799" s="1712"/>
      <c r="AE799" s="1712"/>
      <c r="AF799" s="1712"/>
      <c r="AG799" s="1712"/>
      <c r="AH799" s="1712"/>
      <c r="AI799" s="1712"/>
      <c r="AJ799" s="1712"/>
      <c r="AK799" s="1712"/>
      <c r="AL799" s="1712"/>
      <c r="AM799" s="1712"/>
      <c r="AN799" s="1712"/>
      <c r="AO799" s="1712"/>
      <c r="AP799" s="1712"/>
      <c r="AQ799" s="1712"/>
      <c r="AR799" s="1712"/>
      <c r="AS799" s="1712"/>
      <c r="AT799" s="1712"/>
    </row>
    <row r="800">
      <c r="A800" s="1474" t="s">
        <v>2461</v>
      </c>
      <c r="B800" s="1708"/>
      <c r="C800" s="1709"/>
      <c r="D800" s="1709"/>
      <c r="E800" s="1710"/>
      <c r="F800" s="1710"/>
      <c r="G800" s="1710"/>
      <c r="H800" s="1710"/>
      <c r="I800" s="1710"/>
      <c r="J800" s="1710"/>
      <c r="K800" s="1710"/>
      <c r="L800" s="1710"/>
      <c r="M800" s="1711"/>
      <c r="N800" s="1711"/>
      <c r="O800" s="1711"/>
      <c r="P800" s="1711"/>
      <c r="Q800" s="1711"/>
      <c r="R800" s="1711"/>
      <c r="S800" s="1711"/>
      <c r="T800" s="1711"/>
      <c r="U800" s="1711"/>
      <c r="V800" s="1711"/>
      <c r="W800" s="1711"/>
      <c r="X800" s="1711"/>
      <c r="Y800" s="1711"/>
      <c r="Z800" s="1712"/>
      <c r="AA800" s="1712"/>
      <c r="AB800" s="1712"/>
      <c r="AC800" s="1712"/>
      <c r="AD800" s="1712"/>
      <c r="AE800" s="1712"/>
      <c r="AF800" s="1712"/>
      <c r="AG800" s="1712"/>
      <c r="AH800" s="1712"/>
      <c r="AI800" s="1712"/>
      <c r="AJ800" s="1712"/>
      <c r="AK800" s="1712"/>
      <c r="AL800" s="1712"/>
      <c r="AM800" s="1712"/>
      <c r="AN800" s="1712"/>
      <c r="AO800" s="1712"/>
      <c r="AP800" s="1712"/>
      <c r="AQ800" s="1712"/>
      <c r="AR800" s="1712"/>
      <c r="AS800" s="1712"/>
      <c r="AT800" s="1712"/>
    </row>
    <row r="801">
      <c r="A801" s="1474" t="s">
        <v>2461</v>
      </c>
      <c r="B801" s="1708"/>
      <c r="C801" s="1709"/>
      <c r="D801" s="1709"/>
      <c r="E801" s="1710"/>
      <c r="F801" s="1710"/>
      <c r="G801" s="1710"/>
      <c r="H801" s="1710"/>
      <c r="I801" s="1710"/>
      <c r="J801" s="1710"/>
      <c r="K801" s="1710"/>
      <c r="L801" s="1710"/>
      <c r="M801" s="1711"/>
      <c r="N801" s="1711"/>
      <c r="O801" s="1711"/>
      <c r="P801" s="1711"/>
      <c r="Q801" s="1711"/>
      <c r="R801" s="1711"/>
      <c r="S801" s="1711"/>
      <c r="T801" s="1711"/>
      <c r="U801" s="1711"/>
      <c r="V801" s="1711"/>
      <c r="W801" s="1711"/>
      <c r="X801" s="1711"/>
      <c r="Y801" s="1711"/>
      <c r="Z801" s="1712"/>
      <c r="AA801" s="1712"/>
      <c r="AB801" s="1712"/>
      <c r="AC801" s="1712"/>
      <c r="AD801" s="1712"/>
      <c r="AE801" s="1712"/>
      <c r="AF801" s="1712"/>
      <c r="AG801" s="1712"/>
      <c r="AH801" s="1712"/>
      <c r="AI801" s="1712"/>
      <c r="AJ801" s="1712"/>
      <c r="AK801" s="1712"/>
      <c r="AL801" s="1712"/>
      <c r="AM801" s="1712"/>
      <c r="AN801" s="1712"/>
      <c r="AO801" s="1712"/>
      <c r="AP801" s="1712"/>
      <c r="AQ801" s="1712"/>
      <c r="AR801" s="1712"/>
      <c r="AS801" s="1712"/>
      <c r="AT801" s="1712"/>
    </row>
    <row r="802">
      <c r="A802" s="1474" t="s">
        <v>2461</v>
      </c>
      <c r="B802" s="1708"/>
      <c r="C802" s="1709"/>
      <c r="D802" s="1709"/>
      <c r="E802" s="1710"/>
      <c r="F802" s="1710"/>
      <c r="G802" s="1710"/>
      <c r="H802" s="1710"/>
      <c r="I802" s="1710"/>
      <c r="J802" s="1710"/>
      <c r="K802" s="1710"/>
      <c r="L802" s="1710"/>
      <c r="M802" s="1711"/>
      <c r="N802" s="1711"/>
      <c r="O802" s="1711"/>
      <c r="P802" s="1711"/>
      <c r="Q802" s="1711"/>
      <c r="R802" s="1711"/>
      <c r="S802" s="1711"/>
      <c r="T802" s="1711"/>
      <c r="U802" s="1711"/>
      <c r="V802" s="1711"/>
      <c r="W802" s="1711"/>
      <c r="X802" s="1711"/>
      <c r="Y802" s="1711"/>
      <c r="Z802" s="1712"/>
      <c r="AA802" s="1712"/>
      <c r="AB802" s="1712"/>
      <c r="AC802" s="1712"/>
      <c r="AD802" s="1712"/>
      <c r="AE802" s="1712"/>
      <c r="AF802" s="1712"/>
      <c r="AG802" s="1712"/>
      <c r="AH802" s="1712"/>
      <c r="AI802" s="1712"/>
      <c r="AJ802" s="1712"/>
      <c r="AK802" s="1712"/>
      <c r="AL802" s="1712"/>
      <c r="AM802" s="1712"/>
      <c r="AN802" s="1712"/>
      <c r="AO802" s="1712"/>
      <c r="AP802" s="1712"/>
      <c r="AQ802" s="1712"/>
      <c r="AR802" s="1712"/>
      <c r="AS802" s="1712"/>
      <c r="AT802" s="1712"/>
    </row>
    <row r="803">
      <c r="A803" s="1474" t="s">
        <v>2461</v>
      </c>
      <c r="B803" s="1708"/>
      <c r="C803" s="1709"/>
      <c r="D803" s="1709"/>
      <c r="E803" s="1710"/>
      <c r="F803" s="1710"/>
      <c r="G803" s="1710"/>
      <c r="H803" s="1710"/>
      <c r="I803" s="1710"/>
      <c r="J803" s="1710"/>
      <c r="K803" s="1710"/>
      <c r="L803" s="1710"/>
      <c r="M803" s="1711"/>
      <c r="N803" s="1711"/>
      <c r="O803" s="1711"/>
      <c r="P803" s="1711"/>
      <c r="Q803" s="1711"/>
      <c r="R803" s="1711"/>
      <c r="S803" s="1711"/>
      <c r="T803" s="1711"/>
      <c r="U803" s="1711"/>
      <c r="V803" s="1711"/>
      <c r="W803" s="1711"/>
      <c r="X803" s="1711"/>
      <c r="Y803" s="1711"/>
      <c r="Z803" s="1712"/>
      <c r="AA803" s="1712"/>
      <c r="AB803" s="1712"/>
      <c r="AC803" s="1712"/>
      <c r="AD803" s="1712"/>
      <c r="AE803" s="1712"/>
      <c r="AF803" s="1712"/>
      <c r="AG803" s="1712"/>
      <c r="AH803" s="1712"/>
      <c r="AI803" s="1712"/>
      <c r="AJ803" s="1712"/>
      <c r="AK803" s="1712"/>
      <c r="AL803" s="1712"/>
      <c r="AM803" s="1712"/>
      <c r="AN803" s="1712"/>
      <c r="AO803" s="1712"/>
      <c r="AP803" s="1712"/>
      <c r="AQ803" s="1712"/>
      <c r="AR803" s="1712"/>
      <c r="AS803" s="1712"/>
      <c r="AT803" s="1712"/>
    </row>
    <row r="804">
      <c r="A804" s="1474" t="s">
        <v>2461</v>
      </c>
      <c r="B804" s="1708"/>
      <c r="C804" s="1709"/>
      <c r="D804" s="1709"/>
      <c r="E804" s="1710"/>
      <c r="F804" s="1710"/>
      <c r="G804" s="1710"/>
      <c r="H804" s="1710"/>
      <c r="I804" s="1710"/>
      <c r="J804" s="1710"/>
      <c r="K804" s="1710"/>
      <c r="L804" s="1710"/>
      <c r="M804" s="1711"/>
      <c r="N804" s="1711"/>
      <c r="O804" s="1711"/>
      <c r="P804" s="1711"/>
      <c r="Q804" s="1711"/>
      <c r="R804" s="1711"/>
      <c r="S804" s="1711"/>
      <c r="T804" s="1711"/>
      <c r="U804" s="1711"/>
      <c r="V804" s="1711"/>
      <c r="W804" s="1711"/>
      <c r="X804" s="1711"/>
      <c r="Y804" s="1711"/>
      <c r="Z804" s="1712"/>
      <c r="AA804" s="1712"/>
      <c r="AB804" s="1712"/>
      <c r="AC804" s="1712"/>
      <c r="AD804" s="1712"/>
      <c r="AE804" s="1712"/>
      <c r="AF804" s="1712"/>
      <c r="AG804" s="1712"/>
      <c r="AH804" s="1712"/>
      <c r="AI804" s="1712"/>
      <c r="AJ804" s="1712"/>
      <c r="AK804" s="1712"/>
      <c r="AL804" s="1712"/>
      <c r="AM804" s="1712"/>
      <c r="AN804" s="1712"/>
      <c r="AO804" s="1712"/>
      <c r="AP804" s="1712"/>
      <c r="AQ804" s="1712"/>
      <c r="AR804" s="1712"/>
      <c r="AS804" s="1712"/>
      <c r="AT804" s="1712"/>
    </row>
    <row r="805">
      <c r="A805" s="1474" t="s">
        <v>2461</v>
      </c>
      <c r="B805" s="1708"/>
      <c r="C805" s="1709"/>
      <c r="D805" s="1709"/>
      <c r="E805" s="1710"/>
      <c r="F805" s="1710"/>
      <c r="G805" s="1710"/>
      <c r="H805" s="1710"/>
      <c r="I805" s="1710"/>
      <c r="J805" s="1710"/>
      <c r="K805" s="1710"/>
      <c r="L805" s="1710"/>
      <c r="M805" s="1711"/>
      <c r="N805" s="1711"/>
      <c r="O805" s="1711"/>
      <c r="P805" s="1711"/>
      <c r="Q805" s="1711"/>
      <c r="R805" s="1711"/>
      <c r="S805" s="1711"/>
      <c r="T805" s="1711"/>
      <c r="U805" s="1711"/>
      <c r="V805" s="1711"/>
      <c r="W805" s="1711"/>
      <c r="X805" s="1711"/>
      <c r="Y805" s="1711"/>
      <c r="Z805" s="1712"/>
      <c r="AA805" s="1712"/>
      <c r="AB805" s="1712"/>
      <c r="AC805" s="1712"/>
      <c r="AD805" s="1712"/>
      <c r="AE805" s="1712"/>
      <c r="AF805" s="1712"/>
      <c r="AG805" s="1712"/>
      <c r="AH805" s="1712"/>
      <c r="AI805" s="1712"/>
      <c r="AJ805" s="1712"/>
      <c r="AK805" s="1712"/>
      <c r="AL805" s="1712"/>
      <c r="AM805" s="1712"/>
      <c r="AN805" s="1712"/>
      <c r="AO805" s="1712"/>
      <c r="AP805" s="1712"/>
      <c r="AQ805" s="1712"/>
      <c r="AR805" s="1712"/>
      <c r="AS805" s="1712"/>
      <c r="AT805" s="1712"/>
    </row>
    <row r="806">
      <c r="A806" s="1474" t="s">
        <v>2461</v>
      </c>
      <c r="B806" s="1708"/>
      <c r="C806" s="1709"/>
      <c r="D806" s="1709"/>
      <c r="E806" s="1710"/>
      <c r="F806" s="1710"/>
      <c r="G806" s="1710"/>
      <c r="H806" s="1710"/>
      <c r="I806" s="1710"/>
      <c r="J806" s="1710"/>
      <c r="K806" s="1710"/>
      <c r="L806" s="1710"/>
      <c r="M806" s="1711"/>
      <c r="N806" s="1711"/>
      <c r="O806" s="1711"/>
      <c r="P806" s="1711"/>
      <c r="Q806" s="1711"/>
      <c r="R806" s="1711"/>
      <c r="S806" s="1711"/>
      <c r="T806" s="1711"/>
      <c r="U806" s="1711"/>
      <c r="V806" s="1711"/>
      <c r="W806" s="1711"/>
      <c r="X806" s="1711"/>
      <c r="Y806" s="1711"/>
      <c r="Z806" s="1712"/>
      <c r="AA806" s="1712"/>
      <c r="AB806" s="1712"/>
      <c r="AC806" s="1712"/>
      <c r="AD806" s="1712"/>
      <c r="AE806" s="1712"/>
      <c r="AF806" s="1712"/>
      <c r="AG806" s="1712"/>
      <c r="AH806" s="1712"/>
      <c r="AI806" s="1712"/>
      <c r="AJ806" s="1712"/>
      <c r="AK806" s="1712"/>
      <c r="AL806" s="1712"/>
      <c r="AM806" s="1712"/>
      <c r="AN806" s="1712"/>
      <c r="AO806" s="1712"/>
      <c r="AP806" s="1712"/>
      <c r="AQ806" s="1712"/>
      <c r="AR806" s="1712"/>
      <c r="AS806" s="1712"/>
      <c r="AT806" s="1712"/>
    </row>
    <row r="807">
      <c r="A807" s="1474" t="s">
        <v>2461</v>
      </c>
      <c r="B807" s="1708"/>
      <c r="C807" s="1709"/>
      <c r="D807" s="1709"/>
      <c r="E807" s="1710"/>
      <c r="F807" s="1710"/>
      <c r="G807" s="1710"/>
      <c r="H807" s="1710"/>
      <c r="I807" s="1710"/>
      <c r="J807" s="1710"/>
      <c r="K807" s="1710"/>
      <c r="L807" s="1710"/>
      <c r="M807" s="1711"/>
      <c r="N807" s="1711"/>
      <c r="O807" s="1711"/>
      <c r="P807" s="1711"/>
      <c r="Q807" s="1711"/>
      <c r="R807" s="1711"/>
      <c r="S807" s="1711"/>
      <c r="T807" s="1711"/>
      <c r="U807" s="1711"/>
      <c r="V807" s="1711"/>
      <c r="W807" s="1711"/>
      <c r="X807" s="1711"/>
      <c r="Y807" s="1711"/>
      <c r="Z807" s="1712"/>
      <c r="AA807" s="1712"/>
      <c r="AB807" s="1712"/>
      <c r="AC807" s="1712"/>
      <c r="AD807" s="1712"/>
      <c r="AE807" s="1712"/>
      <c r="AF807" s="1712"/>
      <c r="AG807" s="1712"/>
      <c r="AH807" s="1712"/>
      <c r="AI807" s="1712"/>
      <c r="AJ807" s="1712"/>
      <c r="AK807" s="1712"/>
      <c r="AL807" s="1712"/>
      <c r="AM807" s="1712"/>
      <c r="AN807" s="1712"/>
      <c r="AO807" s="1712"/>
      <c r="AP807" s="1712"/>
      <c r="AQ807" s="1712"/>
      <c r="AR807" s="1712"/>
      <c r="AS807" s="1712"/>
      <c r="AT807" s="1712"/>
    </row>
    <row r="808">
      <c r="A808" s="1474" t="s">
        <v>2461</v>
      </c>
      <c r="B808" s="1708"/>
      <c r="C808" s="1709"/>
      <c r="D808" s="1709"/>
      <c r="E808" s="1710"/>
      <c r="F808" s="1710"/>
      <c r="G808" s="1710"/>
      <c r="H808" s="1710"/>
      <c r="I808" s="1710"/>
      <c r="J808" s="1710"/>
      <c r="K808" s="1710"/>
      <c r="L808" s="1710"/>
      <c r="M808" s="1711"/>
      <c r="N808" s="1711"/>
      <c r="O808" s="1711"/>
      <c r="P808" s="1711"/>
      <c r="Q808" s="1711"/>
      <c r="R808" s="1711"/>
      <c r="S808" s="1711"/>
      <c r="T808" s="1711"/>
      <c r="U808" s="1711"/>
      <c r="V808" s="1711"/>
      <c r="W808" s="1711"/>
      <c r="X808" s="1711"/>
      <c r="Y808" s="1711"/>
      <c r="Z808" s="1712"/>
      <c r="AA808" s="1712"/>
      <c r="AB808" s="1712"/>
      <c r="AC808" s="1712"/>
      <c r="AD808" s="1712"/>
      <c r="AE808" s="1712"/>
      <c r="AF808" s="1712"/>
      <c r="AG808" s="1712"/>
      <c r="AH808" s="1712"/>
      <c r="AI808" s="1712"/>
      <c r="AJ808" s="1712"/>
      <c r="AK808" s="1712"/>
      <c r="AL808" s="1712"/>
      <c r="AM808" s="1712"/>
      <c r="AN808" s="1712"/>
      <c r="AO808" s="1712"/>
      <c r="AP808" s="1712"/>
      <c r="AQ808" s="1712"/>
      <c r="AR808" s="1712"/>
      <c r="AS808" s="1712"/>
      <c r="AT808" s="1712"/>
    </row>
    <row r="809">
      <c r="A809" s="1474" t="s">
        <v>2461</v>
      </c>
      <c r="B809" s="1708"/>
      <c r="C809" s="1709"/>
      <c r="D809" s="1709"/>
      <c r="E809" s="1710"/>
      <c r="F809" s="1710"/>
      <c r="G809" s="1710"/>
      <c r="H809" s="1710"/>
      <c r="I809" s="1710"/>
      <c r="J809" s="1710"/>
      <c r="K809" s="1710"/>
      <c r="L809" s="1710"/>
      <c r="M809" s="1711"/>
      <c r="N809" s="1711"/>
      <c r="O809" s="1711"/>
      <c r="P809" s="1711"/>
      <c r="Q809" s="1711"/>
      <c r="R809" s="1711"/>
      <c r="S809" s="1711"/>
      <c r="T809" s="1711"/>
      <c r="U809" s="1711"/>
      <c r="V809" s="1711"/>
      <c r="W809" s="1711"/>
      <c r="X809" s="1711"/>
      <c r="Y809" s="1711"/>
      <c r="Z809" s="1712"/>
      <c r="AA809" s="1712"/>
      <c r="AB809" s="1712"/>
      <c r="AC809" s="1712"/>
      <c r="AD809" s="1712"/>
      <c r="AE809" s="1712"/>
      <c r="AF809" s="1712"/>
      <c r="AG809" s="1712"/>
      <c r="AH809" s="1712"/>
      <c r="AI809" s="1712"/>
      <c r="AJ809" s="1712"/>
      <c r="AK809" s="1712"/>
      <c r="AL809" s="1712"/>
      <c r="AM809" s="1712"/>
      <c r="AN809" s="1712"/>
      <c r="AO809" s="1712"/>
      <c r="AP809" s="1712"/>
      <c r="AQ809" s="1712"/>
      <c r="AR809" s="1712"/>
      <c r="AS809" s="1712"/>
      <c r="AT809" s="1712"/>
    </row>
    <row r="810">
      <c r="A810" s="1474" t="s">
        <v>2461</v>
      </c>
      <c r="B810" s="1708"/>
      <c r="C810" s="1709"/>
      <c r="D810" s="1709"/>
      <c r="E810" s="1710"/>
      <c r="F810" s="1710"/>
      <c r="G810" s="1710"/>
      <c r="H810" s="1710"/>
      <c r="I810" s="1710"/>
      <c r="J810" s="1710"/>
      <c r="K810" s="1710"/>
      <c r="L810" s="1710"/>
      <c r="M810" s="1711"/>
      <c r="N810" s="1711"/>
      <c r="O810" s="1711"/>
      <c r="P810" s="1711"/>
      <c r="Q810" s="1711"/>
      <c r="R810" s="1711"/>
      <c r="S810" s="1711"/>
      <c r="T810" s="1711"/>
      <c r="U810" s="1711"/>
      <c r="V810" s="1711"/>
      <c r="W810" s="1711"/>
      <c r="X810" s="1711"/>
      <c r="Y810" s="1711"/>
      <c r="Z810" s="1712"/>
      <c r="AA810" s="1712"/>
      <c r="AB810" s="1712"/>
      <c r="AC810" s="1712"/>
      <c r="AD810" s="1712"/>
      <c r="AE810" s="1712"/>
      <c r="AF810" s="1712"/>
      <c r="AG810" s="1712"/>
      <c r="AH810" s="1712"/>
      <c r="AI810" s="1712"/>
      <c r="AJ810" s="1712"/>
      <c r="AK810" s="1712"/>
      <c r="AL810" s="1712"/>
      <c r="AM810" s="1712"/>
      <c r="AN810" s="1712"/>
      <c r="AO810" s="1712"/>
      <c r="AP810" s="1712"/>
      <c r="AQ810" s="1712"/>
      <c r="AR810" s="1712"/>
      <c r="AS810" s="1712"/>
      <c r="AT810" s="1712"/>
    </row>
    <row r="811">
      <c r="A811" s="1474" t="s">
        <v>2461</v>
      </c>
      <c r="B811" s="1708"/>
      <c r="C811" s="1709"/>
      <c r="D811" s="1709"/>
      <c r="E811" s="1710"/>
      <c r="F811" s="1710"/>
      <c r="G811" s="1710"/>
      <c r="H811" s="1710"/>
      <c r="I811" s="1710"/>
      <c r="J811" s="1710"/>
      <c r="K811" s="1710"/>
      <c r="L811" s="1710"/>
      <c r="M811" s="1711"/>
      <c r="N811" s="1711"/>
      <c r="O811" s="1711"/>
      <c r="P811" s="1711"/>
      <c r="Q811" s="1711"/>
      <c r="R811" s="1711"/>
      <c r="S811" s="1711"/>
      <c r="T811" s="1711"/>
      <c r="U811" s="1711"/>
      <c r="V811" s="1711"/>
      <c r="W811" s="1711"/>
      <c r="X811" s="1711"/>
      <c r="Y811" s="1711"/>
      <c r="Z811" s="1712"/>
      <c r="AA811" s="1712"/>
      <c r="AB811" s="1712"/>
      <c r="AC811" s="1712"/>
      <c r="AD811" s="1712"/>
      <c r="AE811" s="1712"/>
      <c r="AF811" s="1712"/>
      <c r="AG811" s="1712"/>
      <c r="AH811" s="1712"/>
      <c r="AI811" s="1712"/>
      <c r="AJ811" s="1712"/>
      <c r="AK811" s="1712"/>
      <c r="AL811" s="1712"/>
      <c r="AM811" s="1712"/>
      <c r="AN811" s="1712"/>
      <c r="AO811" s="1712"/>
      <c r="AP811" s="1712"/>
      <c r="AQ811" s="1712"/>
      <c r="AR811" s="1712"/>
      <c r="AS811" s="1712"/>
      <c r="AT811" s="1712"/>
    </row>
    <row r="812">
      <c r="A812" s="1474" t="s">
        <v>2461</v>
      </c>
      <c r="B812" s="1708"/>
      <c r="C812" s="1709"/>
      <c r="D812" s="1709"/>
      <c r="E812" s="1710"/>
      <c r="F812" s="1710"/>
      <c r="G812" s="1710"/>
      <c r="H812" s="1710"/>
      <c r="I812" s="1710"/>
      <c r="J812" s="1710"/>
      <c r="K812" s="1710"/>
      <c r="L812" s="1710"/>
      <c r="M812" s="1711"/>
      <c r="N812" s="1711"/>
      <c r="O812" s="1711"/>
      <c r="P812" s="1711"/>
      <c r="Q812" s="1711"/>
      <c r="R812" s="1711"/>
      <c r="S812" s="1711"/>
      <c r="T812" s="1711"/>
      <c r="U812" s="1711"/>
      <c r="V812" s="1711"/>
      <c r="W812" s="1711"/>
      <c r="X812" s="1711"/>
      <c r="Y812" s="1711"/>
      <c r="Z812" s="1712"/>
      <c r="AA812" s="1712"/>
      <c r="AB812" s="1712"/>
      <c r="AC812" s="1712"/>
      <c r="AD812" s="1712"/>
      <c r="AE812" s="1712"/>
      <c r="AF812" s="1712"/>
      <c r="AG812" s="1712"/>
      <c r="AH812" s="1712"/>
      <c r="AI812" s="1712"/>
      <c r="AJ812" s="1712"/>
      <c r="AK812" s="1712"/>
      <c r="AL812" s="1712"/>
      <c r="AM812" s="1712"/>
      <c r="AN812" s="1712"/>
      <c r="AO812" s="1712"/>
      <c r="AP812" s="1712"/>
      <c r="AQ812" s="1712"/>
      <c r="AR812" s="1712"/>
      <c r="AS812" s="1712"/>
      <c r="AT812" s="1712"/>
    </row>
    <row r="813">
      <c r="A813" s="1474" t="s">
        <v>2461</v>
      </c>
      <c r="B813" s="1708"/>
      <c r="C813" s="1709"/>
      <c r="D813" s="1709"/>
      <c r="E813" s="1710"/>
      <c r="F813" s="1710"/>
      <c r="G813" s="1710"/>
      <c r="H813" s="1710"/>
      <c r="I813" s="1710"/>
      <c r="J813" s="1710"/>
      <c r="K813" s="1710"/>
      <c r="L813" s="1710"/>
      <c r="M813" s="1711"/>
      <c r="N813" s="1711"/>
      <c r="O813" s="1711"/>
      <c r="P813" s="1711"/>
      <c r="Q813" s="1711"/>
      <c r="R813" s="1711"/>
      <c r="S813" s="1711"/>
      <c r="T813" s="1711"/>
      <c r="U813" s="1711"/>
      <c r="V813" s="1711"/>
      <c r="W813" s="1711"/>
      <c r="X813" s="1711"/>
      <c r="Y813" s="1711"/>
      <c r="Z813" s="1712"/>
      <c r="AA813" s="1712"/>
      <c r="AB813" s="1712"/>
      <c r="AC813" s="1712"/>
      <c r="AD813" s="1712"/>
      <c r="AE813" s="1712"/>
      <c r="AF813" s="1712"/>
      <c r="AG813" s="1712"/>
      <c r="AH813" s="1712"/>
      <c r="AI813" s="1712"/>
      <c r="AJ813" s="1712"/>
      <c r="AK813" s="1712"/>
      <c r="AL813" s="1712"/>
      <c r="AM813" s="1712"/>
      <c r="AN813" s="1712"/>
      <c r="AO813" s="1712"/>
      <c r="AP813" s="1712"/>
      <c r="AQ813" s="1712"/>
      <c r="AR813" s="1712"/>
      <c r="AS813" s="1712"/>
      <c r="AT813" s="1712"/>
    </row>
    <row r="814">
      <c r="A814" s="1474" t="s">
        <v>2461</v>
      </c>
      <c r="B814" s="1708"/>
      <c r="C814" s="1709"/>
      <c r="D814" s="1709"/>
      <c r="E814" s="1710"/>
      <c r="F814" s="1710"/>
      <c r="G814" s="1710"/>
      <c r="H814" s="1710"/>
      <c r="I814" s="1710"/>
      <c r="J814" s="1710"/>
      <c r="K814" s="1710"/>
      <c r="L814" s="1710"/>
      <c r="M814" s="1711"/>
      <c r="N814" s="1711"/>
      <c r="O814" s="1711"/>
      <c r="P814" s="1711"/>
      <c r="Q814" s="1711"/>
      <c r="R814" s="1711"/>
      <c r="S814" s="1711"/>
      <c r="T814" s="1711"/>
      <c r="U814" s="1711"/>
      <c r="V814" s="1711"/>
      <c r="W814" s="1711"/>
      <c r="X814" s="1711"/>
      <c r="Y814" s="1711"/>
      <c r="Z814" s="1712"/>
      <c r="AA814" s="1712"/>
      <c r="AB814" s="1712"/>
      <c r="AC814" s="1712"/>
      <c r="AD814" s="1712"/>
      <c r="AE814" s="1712"/>
      <c r="AF814" s="1712"/>
      <c r="AG814" s="1712"/>
      <c r="AH814" s="1712"/>
      <c r="AI814" s="1712"/>
      <c r="AJ814" s="1712"/>
      <c r="AK814" s="1712"/>
      <c r="AL814" s="1712"/>
      <c r="AM814" s="1712"/>
      <c r="AN814" s="1712"/>
      <c r="AO814" s="1712"/>
      <c r="AP814" s="1712"/>
      <c r="AQ814" s="1712"/>
      <c r="AR814" s="1712"/>
      <c r="AS814" s="1712"/>
      <c r="AT814" s="1712"/>
    </row>
    <row r="815">
      <c r="A815" s="1474" t="s">
        <v>2461</v>
      </c>
      <c r="B815" s="1708"/>
      <c r="C815" s="1709"/>
      <c r="D815" s="1709"/>
      <c r="E815" s="1710"/>
      <c r="F815" s="1710"/>
      <c r="G815" s="1710"/>
      <c r="H815" s="1710"/>
      <c r="I815" s="1710"/>
      <c r="J815" s="1710"/>
      <c r="K815" s="1710"/>
      <c r="L815" s="1710"/>
      <c r="M815" s="1711"/>
      <c r="N815" s="1711"/>
      <c r="O815" s="1711"/>
      <c r="P815" s="1711"/>
      <c r="Q815" s="1711"/>
      <c r="R815" s="1711"/>
      <c r="S815" s="1711"/>
      <c r="T815" s="1711"/>
      <c r="U815" s="1711"/>
      <c r="V815" s="1711"/>
      <c r="W815" s="1711"/>
      <c r="X815" s="1711"/>
      <c r="Y815" s="1711"/>
      <c r="Z815" s="1712"/>
      <c r="AA815" s="1712"/>
      <c r="AB815" s="1712"/>
      <c r="AC815" s="1712"/>
      <c r="AD815" s="1712"/>
      <c r="AE815" s="1712"/>
      <c r="AF815" s="1712"/>
      <c r="AG815" s="1712"/>
      <c r="AH815" s="1712"/>
      <c r="AI815" s="1712"/>
      <c r="AJ815" s="1712"/>
      <c r="AK815" s="1712"/>
      <c r="AL815" s="1712"/>
      <c r="AM815" s="1712"/>
      <c r="AN815" s="1712"/>
      <c r="AO815" s="1712"/>
      <c r="AP815" s="1712"/>
      <c r="AQ815" s="1712"/>
      <c r="AR815" s="1712"/>
      <c r="AS815" s="1712"/>
      <c r="AT815" s="1712"/>
    </row>
    <row r="816">
      <c r="A816" s="1474" t="s">
        <v>2461</v>
      </c>
      <c r="B816" s="1708"/>
      <c r="C816" s="1709"/>
      <c r="D816" s="1709"/>
      <c r="E816" s="1710"/>
      <c r="F816" s="1710"/>
      <c r="G816" s="1710"/>
      <c r="H816" s="1710"/>
      <c r="I816" s="1710"/>
      <c r="J816" s="1710"/>
      <c r="K816" s="1710"/>
      <c r="L816" s="1710"/>
      <c r="M816" s="1711"/>
      <c r="N816" s="1711"/>
      <c r="O816" s="1711"/>
      <c r="P816" s="1711"/>
      <c r="Q816" s="1711"/>
      <c r="R816" s="1711"/>
      <c r="S816" s="1711"/>
      <c r="T816" s="1711"/>
      <c r="U816" s="1711"/>
      <c r="V816" s="1711"/>
      <c r="W816" s="1711"/>
      <c r="X816" s="1711"/>
      <c r="Y816" s="1711"/>
      <c r="Z816" s="1712"/>
      <c r="AA816" s="1712"/>
      <c r="AB816" s="1712"/>
      <c r="AC816" s="1712"/>
      <c r="AD816" s="1712"/>
      <c r="AE816" s="1712"/>
      <c r="AF816" s="1712"/>
      <c r="AG816" s="1712"/>
      <c r="AH816" s="1712"/>
      <c r="AI816" s="1712"/>
      <c r="AJ816" s="1712"/>
      <c r="AK816" s="1712"/>
      <c r="AL816" s="1712"/>
      <c r="AM816" s="1712"/>
      <c r="AN816" s="1712"/>
      <c r="AO816" s="1712"/>
      <c r="AP816" s="1712"/>
      <c r="AQ816" s="1712"/>
      <c r="AR816" s="1712"/>
      <c r="AS816" s="1712"/>
      <c r="AT816" s="1712"/>
    </row>
    <row r="817">
      <c r="A817" s="1474" t="s">
        <v>2461</v>
      </c>
      <c r="B817" s="1708"/>
      <c r="C817" s="1709"/>
      <c r="D817" s="1709"/>
      <c r="E817" s="1710"/>
      <c r="F817" s="1710"/>
      <c r="G817" s="1710"/>
      <c r="H817" s="1710"/>
      <c r="I817" s="1710"/>
      <c r="J817" s="1710"/>
      <c r="K817" s="1710"/>
      <c r="L817" s="1710"/>
      <c r="M817" s="1711"/>
      <c r="N817" s="1711"/>
      <c r="O817" s="1711"/>
      <c r="P817" s="1711"/>
      <c r="Q817" s="1711"/>
      <c r="R817" s="1711"/>
      <c r="S817" s="1711"/>
      <c r="T817" s="1711"/>
      <c r="U817" s="1711"/>
      <c r="V817" s="1711"/>
      <c r="W817" s="1711"/>
      <c r="X817" s="1711"/>
      <c r="Y817" s="1711"/>
      <c r="Z817" s="1712"/>
      <c r="AA817" s="1712"/>
      <c r="AB817" s="1712"/>
      <c r="AC817" s="1712"/>
      <c r="AD817" s="1712"/>
      <c r="AE817" s="1712"/>
      <c r="AF817" s="1712"/>
      <c r="AG817" s="1712"/>
      <c r="AH817" s="1712"/>
      <c r="AI817" s="1712"/>
      <c r="AJ817" s="1712"/>
      <c r="AK817" s="1712"/>
      <c r="AL817" s="1712"/>
      <c r="AM817" s="1712"/>
      <c r="AN817" s="1712"/>
      <c r="AO817" s="1712"/>
      <c r="AP817" s="1712"/>
      <c r="AQ817" s="1712"/>
      <c r="AR817" s="1712"/>
      <c r="AS817" s="1712"/>
      <c r="AT817" s="1712"/>
    </row>
    <row r="818">
      <c r="A818" s="1474" t="s">
        <v>2461</v>
      </c>
      <c r="B818" s="1708"/>
      <c r="C818" s="1709"/>
      <c r="D818" s="1709"/>
      <c r="E818" s="1710"/>
      <c r="F818" s="1710"/>
      <c r="G818" s="1710"/>
      <c r="H818" s="1710"/>
      <c r="I818" s="1710"/>
      <c r="J818" s="1710"/>
      <c r="K818" s="1710"/>
      <c r="L818" s="1710"/>
      <c r="M818" s="1711"/>
      <c r="N818" s="1711"/>
      <c r="O818" s="1711"/>
      <c r="P818" s="1711"/>
      <c r="Q818" s="1711"/>
      <c r="R818" s="1711"/>
      <c r="S818" s="1711"/>
      <c r="T818" s="1711"/>
      <c r="U818" s="1711"/>
      <c r="V818" s="1711"/>
      <c r="W818" s="1711"/>
      <c r="X818" s="1711"/>
      <c r="Y818" s="1711"/>
      <c r="Z818" s="1712"/>
      <c r="AA818" s="1712"/>
      <c r="AB818" s="1712"/>
      <c r="AC818" s="1712"/>
      <c r="AD818" s="1712"/>
      <c r="AE818" s="1712"/>
      <c r="AF818" s="1712"/>
      <c r="AG818" s="1712"/>
      <c r="AH818" s="1712"/>
      <c r="AI818" s="1712"/>
      <c r="AJ818" s="1712"/>
      <c r="AK818" s="1712"/>
      <c r="AL818" s="1712"/>
      <c r="AM818" s="1712"/>
      <c r="AN818" s="1712"/>
      <c r="AO818" s="1712"/>
      <c r="AP818" s="1712"/>
      <c r="AQ818" s="1712"/>
      <c r="AR818" s="1712"/>
      <c r="AS818" s="1712"/>
      <c r="AT818" s="1712"/>
    </row>
    <row r="819">
      <c r="A819" s="1474" t="s">
        <v>2461</v>
      </c>
      <c r="B819" s="1708"/>
      <c r="C819" s="1709"/>
      <c r="D819" s="1709"/>
      <c r="E819" s="1710"/>
      <c r="F819" s="1710"/>
      <c r="G819" s="1710"/>
      <c r="H819" s="1710"/>
      <c r="I819" s="1710"/>
      <c r="J819" s="1710"/>
      <c r="K819" s="1710"/>
      <c r="L819" s="1710"/>
      <c r="M819" s="1711"/>
      <c r="N819" s="1711"/>
      <c r="O819" s="1711"/>
      <c r="P819" s="1711"/>
      <c r="Q819" s="1711"/>
      <c r="R819" s="1711"/>
      <c r="S819" s="1711"/>
      <c r="T819" s="1711"/>
      <c r="U819" s="1711"/>
      <c r="V819" s="1711"/>
      <c r="W819" s="1711"/>
      <c r="X819" s="1711"/>
      <c r="Y819" s="1711"/>
      <c r="Z819" s="1712"/>
      <c r="AA819" s="1712"/>
      <c r="AB819" s="1712"/>
      <c r="AC819" s="1712"/>
      <c r="AD819" s="1712"/>
      <c r="AE819" s="1712"/>
      <c r="AF819" s="1712"/>
      <c r="AG819" s="1712"/>
      <c r="AH819" s="1712"/>
      <c r="AI819" s="1712"/>
      <c r="AJ819" s="1712"/>
      <c r="AK819" s="1712"/>
      <c r="AL819" s="1712"/>
      <c r="AM819" s="1712"/>
      <c r="AN819" s="1712"/>
      <c r="AO819" s="1712"/>
      <c r="AP819" s="1712"/>
      <c r="AQ819" s="1712"/>
      <c r="AR819" s="1712"/>
      <c r="AS819" s="1712"/>
      <c r="AT819" s="1712"/>
    </row>
    <row r="820">
      <c r="A820" s="1474" t="s">
        <v>2461</v>
      </c>
      <c r="B820" s="1708"/>
      <c r="C820" s="1709"/>
      <c r="D820" s="1709"/>
      <c r="E820" s="1710"/>
      <c r="F820" s="1710"/>
      <c r="G820" s="1710"/>
      <c r="H820" s="1710"/>
      <c r="I820" s="1710"/>
      <c r="J820" s="1710"/>
      <c r="K820" s="1710"/>
      <c r="L820" s="1710"/>
      <c r="M820" s="1711"/>
      <c r="N820" s="1711"/>
      <c r="O820" s="1711"/>
      <c r="P820" s="1711"/>
      <c r="Q820" s="1711"/>
      <c r="R820" s="1711"/>
      <c r="S820" s="1711"/>
      <c r="T820" s="1711"/>
      <c r="U820" s="1711"/>
      <c r="V820" s="1711"/>
      <c r="W820" s="1711"/>
      <c r="X820" s="1711"/>
      <c r="Y820" s="1711"/>
      <c r="Z820" s="1712"/>
      <c r="AA820" s="1712"/>
      <c r="AB820" s="1712"/>
      <c r="AC820" s="1712"/>
      <c r="AD820" s="1712"/>
      <c r="AE820" s="1712"/>
      <c r="AF820" s="1712"/>
      <c r="AG820" s="1712"/>
      <c r="AH820" s="1712"/>
      <c r="AI820" s="1712"/>
      <c r="AJ820" s="1712"/>
      <c r="AK820" s="1712"/>
      <c r="AL820" s="1712"/>
      <c r="AM820" s="1712"/>
      <c r="AN820" s="1712"/>
      <c r="AO820" s="1712"/>
      <c r="AP820" s="1712"/>
      <c r="AQ820" s="1712"/>
      <c r="AR820" s="1712"/>
      <c r="AS820" s="1712"/>
      <c r="AT820" s="1712"/>
    </row>
    <row r="821">
      <c r="A821" s="1474" t="s">
        <v>2461</v>
      </c>
      <c r="B821" s="1708"/>
      <c r="C821" s="1709"/>
      <c r="D821" s="1709"/>
      <c r="E821" s="1710"/>
      <c r="F821" s="1710"/>
      <c r="G821" s="1710"/>
      <c r="H821" s="1710"/>
      <c r="I821" s="1710"/>
      <c r="J821" s="1710"/>
      <c r="K821" s="1710"/>
      <c r="L821" s="1710"/>
      <c r="M821" s="1711"/>
      <c r="N821" s="1711"/>
      <c r="O821" s="1711"/>
      <c r="P821" s="1711"/>
      <c r="Q821" s="1711"/>
      <c r="R821" s="1711"/>
      <c r="S821" s="1711"/>
      <c r="T821" s="1711"/>
      <c r="U821" s="1711"/>
      <c r="V821" s="1711"/>
      <c r="W821" s="1711"/>
      <c r="X821" s="1711"/>
      <c r="Y821" s="1711"/>
      <c r="Z821" s="1712"/>
      <c r="AA821" s="1712"/>
      <c r="AB821" s="1712"/>
      <c r="AC821" s="1712"/>
      <c r="AD821" s="1712"/>
      <c r="AE821" s="1712"/>
      <c r="AF821" s="1712"/>
      <c r="AG821" s="1712"/>
      <c r="AH821" s="1712"/>
      <c r="AI821" s="1712"/>
      <c r="AJ821" s="1712"/>
      <c r="AK821" s="1712"/>
      <c r="AL821" s="1712"/>
      <c r="AM821" s="1712"/>
      <c r="AN821" s="1712"/>
      <c r="AO821" s="1712"/>
      <c r="AP821" s="1712"/>
      <c r="AQ821" s="1712"/>
      <c r="AR821" s="1712"/>
      <c r="AS821" s="1712"/>
      <c r="AT821" s="1712"/>
    </row>
    <row r="822">
      <c r="A822" s="1474" t="s">
        <v>2461</v>
      </c>
      <c r="B822" s="1708"/>
      <c r="C822" s="1709"/>
      <c r="D822" s="1709"/>
      <c r="E822" s="1710"/>
      <c r="F822" s="1710"/>
      <c r="G822" s="1710"/>
      <c r="H822" s="1710"/>
      <c r="I822" s="1710"/>
      <c r="J822" s="1710"/>
      <c r="K822" s="1710"/>
      <c r="L822" s="1710"/>
      <c r="M822" s="1711"/>
      <c r="N822" s="1711"/>
      <c r="O822" s="1711"/>
      <c r="P822" s="1711"/>
      <c r="Q822" s="1711"/>
      <c r="R822" s="1711"/>
      <c r="S822" s="1711"/>
      <c r="T822" s="1711"/>
      <c r="U822" s="1711"/>
      <c r="V822" s="1711"/>
      <c r="W822" s="1711"/>
      <c r="X822" s="1711"/>
      <c r="Y822" s="1711"/>
      <c r="Z822" s="1712"/>
      <c r="AA822" s="1712"/>
      <c r="AB822" s="1712"/>
      <c r="AC822" s="1712"/>
      <c r="AD822" s="1712"/>
      <c r="AE822" s="1712"/>
      <c r="AF822" s="1712"/>
      <c r="AG822" s="1712"/>
      <c r="AH822" s="1712"/>
      <c r="AI822" s="1712"/>
      <c r="AJ822" s="1712"/>
      <c r="AK822" s="1712"/>
      <c r="AL822" s="1712"/>
      <c r="AM822" s="1712"/>
      <c r="AN822" s="1712"/>
      <c r="AO822" s="1712"/>
      <c r="AP822" s="1712"/>
      <c r="AQ822" s="1712"/>
      <c r="AR822" s="1712"/>
      <c r="AS822" s="1712"/>
      <c r="AT822" s="1712"/>
    </row>
    <row r="823">
      <c r="A823" s="1474" t="s">
        <v>2461</v>
      </c>
      <c r="B823" s="1708"/>
      <c r="C823" s="1709"/>
      <c r="D823" s="1709"/>
      <c r="E823" s="1710"/>
      <c r="F823" s="1710"/>
      <c r="G823" s="1710"/>
      <c r="H823" s="1710"/>
      <c r="I823" s="1710"/>
      <c r="J823" s="1710"/>
      <c r="K823" s="1710"/>
      <c r="L823" s="1710"/>
      <c r="M823" s="1711"/>
      <c r="N823" s="1711"/>
      <c r="O823" s="1711"/>
      <c r="P823" s="1711"/>
      <c r="Q823" s="1711"/>
      <c r="R823" s="1711"/>
      <c r="S823" s="1711"/>
      <c r="T823" s="1711"/>
      <c r="U823" s="1711"/>
      <c r="V823" s="1711"/>
      <c r="W823" s="1711"/>
      <c r="X823" s="1711"/>
      <c r="Y823" s="1711"/>
      <c r="Z823" s="1712"/>
      <c r="AA823" s="1712"/>
      <c r="AB823" s="1712"/>
      <c r="AC823" s="1712"/>
      <c r="AD823" s="1712"/>
      <c r="AE823" s="1712"/>
      <c r="AF823" s="1712"/>
      <c r="AG823" s="1712"/>
      <c r="AH823" s="1712"/>
      <c r="AI823" s="1712"/>
      <c r="AJ823" s="1712"/>
      <c r="AK823" s="1712"/>
      <c r="AL823" s="1712"/>
      <c r="AM823" s="1712"/>
      <c r="AN823" s="1712"/>
      <c r="AO823" s="1712"/>
      <c r="AP823" s="1712"/>
      <c r="AQ823" s="1712"/>
      <c r="AR823" s="1712"/>
      <c r="AS823" s="1712"/>
      <c r="AT823" s="1712"/>
    </row>
    <row r="824">
      <c r="A824" s="1474" t="s">
        <v>2461</v>
      </c>
      <c r="B824" s="1708"/>
      <c r="C824" s="1709"/>
      <c r="D824" s="1709"/>
      <c r="E824" s="1710"/>
      <c r="F824" s="1710"/>
      <c r="G824" s="1710"/>
      <c r="H824" s="1710"/>
      <c r="I824" s="1710"/>
      <c r="J824" s="1710"/>
      <c r="K824" s="1710"/>
      <c r="L824" s="1710"/>
      <c r="M824" s="1711"/>
      <c r="N824" s="1711"/>
      <c r="O824" s="1711"/>
      <c r="P824" s="1711"/>
      <c r="Q824" s="1711"/>
      <c r="R824" s="1711"/>
      <c r="S824" s="1711"/>
      <c r="T824" s="1711"/>
      <c r="U824" s="1711"/>
      <c r="V824" s="1711"/>
      <c r="W824" s="1711"/>
      <c r="X824" s="1711"/>
      <c r="Y824" s="1711"/>
      <c r="Z824" s="1712"/>
      <c r="AA824" s="1712"/>
      <c r="AB824" s="1712"/>
      <c r="AC824" s="1712"/>
      <c r="AD824" s="1712"/>
      <c r="AE824" s="1712"/>
      <c r="AF824" s="1712"/>
      <c r="AG824" s="1712"/>
      <c r="AH824" s="1712"/>
      <c r="AI824" s="1712"/>
      <c r="AJ824" s="1712"/>
      <c r="AK824" s="1712"/>
      <c r="AL824" s="1712"/>
      <c r="AM824" s="1712"/>
      <c r="AN824" s="1712"/>
      <c r="AO824" s="1712"/>
      <c r="AP824" s="1712"/>
      <c r="AQ824" s="1712"/>
      <c r="AR824" s="1712"/>
      <c r="AS824" s="1712"/>
      <c r="AT824" s="1712"/>
    </row>
    <row r="825">
      <c r="A825" s="1474" t="s">
        <v>2461</v>
      </c>
      <c r="B825" s="1708"/>
      <c r="C825" s="1709"/>
      <c r="D825" s="1709"/>
      <c r="E825" s="1710"/>
      <c r="F825" s="1710"/>
      <c r="G825" s="1710"/>
      <c r="H825" s="1710"/>
      <c r="I825" s="1710"/>
      <c r="J825" s="1710"/>
      <c r="K825" s="1710"/>
      <c r="L825" s="1710"/>
      <c r="M825" s="1711"/>
      <c r="N825" s="1711"/>
      <c r="O825" s="1711"/>
      <c r="P825" s="1711"/>
      <c r="Q825" s="1711"/>
      <c r="R825" s="1711"/>
      <c r="S825" s="1711"/>
      <c r="T825" s="1711"/>
      <c r="U825" s="1711"/>
      <c r="V825" s="1711"/>
      <c r="W825" s="1711"/>
      <c r="X825" s="1711"/>
      <c r="Y825" s="1711"/>
      <c r="Z825" s="1712"/>
      <c r="AA825" s="1712"/>
      <c r="AB825" s="1712"/>
      <c r="AC825" s="1712"/>
      <c r="AD825" s="1712"/>
      <c r="AE825" s="1712"/>
      <c r="AF825" s="1712"/>
      <c r="AG825" s="1712"/>
      <c r="AH825" s="1712"/>
      <c r="AI825" s="1712"/>
      <c r="AJ825" s="1712"/>
      <c r="AK825" s="1712"/>
      <c r="AL825" s="1712"/>
      <c r="AM825" s="1712"/>
      <c r="AN825" s="1712"/>
      <c r="AO825" s="1712"/>
      <c r="AP825" s="1712"/>
      <c r="AQ825" s="1712"/>
      <c r="AR825" s="1712"/>
      <c r="AS825" s="1712"/>
      <c r="AT825" s="1712"/>
    </row>
    <row r="826">
      <c r="A826" s="1474" t="s">
        <v>2461</v>
      </c>
      <c r="B826" s="1708"/>
      <c r="C826" s="1709"/>
      <c r="D826" s="1709"/>
      <c r="E826" s="1710"/>
      <c r="F826" s="1710"/>
      <c r="G826" s="1710"/>
      <c r="H826" s="1710"/>
      <c r="I826" s="1710"/>
      <c r="J826" s="1710"/>
      <c r="K826" s="1710"/>
      <c r="L826" s="1710"/>
      <c r="M826" s="1711"/>
      <c r="N826" s="1711"/>
      <c r="O826" s="1711"/>
      <c r="P826" s="1711"/>
      <c r="Q826" s="1711"/>
      <c r="R826" s="1711"/>
      <c r="S826" s="1711"/>
      <c r="T826" s="1711"/>
      <c r="U826" s="1711"/>
      <c r="V826" s="1711"/>
      <c r="W826" s="1711"/>
      <c r="X826" s="1711"/>
      <c r="Y826" s="1711"/>
      <c r="Z826" s="1712"/>
      <c r="AA826" s="1712"/>
      <c r="AB826" s="1712"/>
      <c r="AC826" s="1712"/>
      <c r="AD826" s="1712"/>
      <c r="AE826" s="1712"/>
      <c r="AF826" s="1712"/>
      <c r="AG826" s="1712"/>
      <c r="AH826" s="1712"/>
      <c r="AI826" s="1712"/>
      <c r="AJ826" s="1712"/>
      <c r="AK826" s="1712"/>
      <c r="AL826" s="1712"/>
      <c r="AM826" s="1712"/>
      <c r="AN826" s="1712"/>
      <c r="AO826" s="1712"/>
      <c r="AP826" s="1712"/>
      <c r="AQ826" s="1712"/>
      <c r="AR826" s="1712"/>
      <c r="AS826" s="1712"/>
      <c r="AT826" s="1712"/>
    </row>
    <row r="827">
      <c r="A827" s="1474" t="s">
        <v>2461</v>
      </c>
      <c r="B827" s="1708"/>
      <c r="C827" s="1709"/>
      <c r="D827" s="1709"/>
      <c r="E827" s="1710"/>
      <c r="F827" s="1710"/>
      <c r="G827" s="1710"/>
      <c r="H827" s="1710"/>
      <c r="I827" s="1710"/>
      <c r="J827" s="1710"/>
      <c r="K827" s="1710"/>
      <c r="L827" s="1710"/>
      <c r="M827" s="1711"/>
      <c r="N827" s="1711"/>
      <c r="O827" s="1711"/>
      <c r="P827" s="1711"/>
      <c r="Q827" s="1711"/>
      <c r="R827" s="1711"/>
      <c r="S827" s="1711"/>
      <c r="T827" s="1711"/>
      <c r="U827" s="1711"/>
      <c r="V827" s="1711"/>
      <c r="W827" s="1711"/>
      <c r="X827" s="1711"/>
      <c r="Y827" s="1711"/>
      <c r="Z827" s="1712"/>
      <c r="AA827" s="1712"/>
      <c r="AB827" s="1712"/>
      <c r="AC827" s="1712"/>
      <c r="AD827" s="1712"/>
      <c r="AE827" s="1712"/>
      <c r="AF827" s="1712"/>
      <c r="AG827" s="1712"/>
      <c r="AH827" s="1712"/>
      <c r="AI827" s="1712"/>
      <c r="AJ827" s="1712"/>
      <c r="AK827" s="1712"/>
      <c r="AL827" s="1712"/>
      <c r="AM827" s="1712"/>
      <c r="AN827" s="1712"/>
      <c r="AO827" s="1712"/>
      <c r="AP827" s="1712"/>
      <c r="AQ827" s="1712"/>
      <c r="AR827" s="1712"/>
      <c r="AS827" s="1712"/>
      <c r="AT827" s="1712"/>
    </row>
    <row r="828">
      <c r="A828" s="1474" t="s">
        <v>2461</v>
      </c>
      <c r="B828" s="1708"/>
      <c r="C828" s="1709"/>
      <c r="D828" s="1709"/>
      <c r="E828" s="1710"/>
      <c r="F828" s="1710"/>
      <c r="G828" s="1710"/>
      <c r="H828" s="1710"/>
      <c r="I828" s="1710"/>
      <c r="J828" s="1710"/>
      <c r="K828" s="1710"/>
      <c r="L828" s="1710"/>
      <c r="M828" s="1711"/>
      <c r="N828" s="1711"/>
      <c r="O828" s="1711"/>
      <c r="P828" s="1711"/>
      <c r="Q828" s="1711"/>
      <c r="R828" s="1711"/>
      <c r="S828" s="1711"/>
      <c r="T828" s="1711"/>
      <c r="U828" s="1711"/>
      <c r="V828" s="1711"/>
      <c r="W828" s="1711"/>
      <c r="X828" s="1711"/>
      <c r="Y828" s="1711"/>
      <c r="Z828" s="1712"/>
      <c r="AA828" s="1712"/>
      <c r="AB828" s="1712"/>
      <c r="AC828" s="1712"/>
      <c r="AD828" s="1712"/>
      <c r="AE828" s="1712"/>
      <c r="AF828" s="1712"/>
      <c r="AG828" s="1712"/>
      <c r="AH828" s="1712"/>
      <c r="AI828" s="1712"/>
      <c r="AJ828" s="1712"/>
      <c r="AK828" s="1712"/>
      <c r="AL828" s="1712"/>
      <c r="AM828" s="1712"/>
      <c r="AN828" s="1712"/>
      <c r="AO828" s="1712"/>
      <c r="AP828" s="1712"/>
      <c r="AQ828" s="1712"/>
      <c r="AR828" s="1712"/>
      <c r="AS828" s="1712"/>
      <c r="AT828" s="1712"/>
    </row>
    <row r="829">
      <c r="A829" s="1474" t="s">
        <v>2461</v>
      </c>
      <c r="B829" s="1708"/>
      <c r="C829" s="1709"/>
      <c r="D829" s="1709"/>
      <c r="E829" s="1710"/>
      <c r="F829" s="1710"/>
      <c r="G829" s="1710"/>
      <c r="H829" s="1710"/>
      <c r="I829" s="1710"/>
      <c r="J829" s="1710"/>
      <c r="K829" s="1710"/>
      <c r="L829" s="1710"/>
      <c r="M829" s="1711"/>
      <c r="N829" s="1711"/>
      <c r="O829" s="1711"/>
      <c r="P829" s="1711"/>
      <c r="Q829" s="1711"/>
      <c r="R829" s="1711"/>
      <c r="S829" s="1711"/>
      <c r="T829" s="1711"/>
      <c r="U829" s="1711"/>
      <c r="V829" s="1711"/>
      <c r="W829" s="1711"/>
      <c r="X829" s="1711"/>
      <c r="Y829" s="1711"/>
      <c r="Z829" s="1712"/>
      <c r="AA829" s="1712"/>
      <c r="AB829" s="1712"/>
      <c r="AC829" s="1712"/>
      <c r="AD829" s="1712"/>
      <c r="AE829" s="1712"/>
      <c r="AF829" s="1712"/>
      <c r="AG829" s="1712"/>
      <c r="AH829" s="1712"/>
      <c r="AI829" s="1712"/>
      <c r="AJ829" s="1712"/>
      <c r="AK829" s="1712"/>
      <c r="AL829" s="1712"/>
      <c r="AM829" s="1712"/>
      <c r="AN829" s="1712"/>
      <c r="AO829" s="1712"/>
      <c r="AP829" s="1712"/>
      <c r="AQ829" s="1712"/>
      <c r="AR829" s="1712"/>
      <c r="AS829" s="1712"/>
      <c r="AT829" s="1712"/>
    </row>
    <row r="830">
      <c r="A830" s="1474" t="s">
        <v>2461</v>
      </c>
      <c r="B830" s="1708"/>
      <c r="C830" s="1709"/>
      <c r="D830" s="1709"/>
      <c r="E830" s="1710"/>
      <c r="F830" s="1710"/>
      <c r="G830" s="1710"/>
      <c r="H830" s="1710"/>
      <c r="I830" s="1710"/>
      <c r="J830" s="1710"/>
      <c r="K830" s="1710"/>
      <c r="L830" s="1710"/>
      <c r="M830" s="1711"/>
      <c r="N830" s="1711"/>
      <c r="O830" s="1711"/>
      <c r="P830" s="1711"/>
      <c r="Q830" s="1711"/>
      <c r="R830" s="1711"/>
      <c r="S830" s="1711"/>
      <c r="T830" s="1711"/>
      <c r="U830" s="1711"/>
      <c r="V830" s="1711"/>
      <c r="W830" s="1711"/>
      <c r="X830" s="1711"/>
      <c r="Y830" s="1711"/>
      <c r="Z830" s="1712"/>
      <c r="AA830" s="1712"/>
      <c r="AB830" s="1712"/>
      <c r="AC830" s="1712"/>
      <c r="AD830" s="1712"/>
      <c r="AE830" s="1712"/>
      <c r="AF830" s="1712"/>
      <c r="AG830" s="1712"/>
      <c r="AH830" s="1712"/>
      <c r="AI830" s="1712"/>
      <c r="AJ830" s="1712"/>
      <c r="AK830" s="1712"/>
      <c r="AL830" s="1712"/>
      <c r="AM830" s="1712"/>
      <c r="AN830" s="1712"/>
      <c r="AO830" s="1712"/>
      <c r="AP830" s="1712"/>
      <c r="AQ830" s="1712"/>
      <c r="AR830" s="1712"/>
      <c r="AS830" s="1712"/>
      <c r="AT830" s="1712"/>
    </row>
    <row r="831">
      <c r="A831" s="1474" t="s">
        <v>2461</v>
      </c>
      <c r="B831" s="1708"/>
      <c r="C831" s="1709"/>
      <c r="D831" s="1709"/>
      <c r="E831" s="1710"/>
      <c r="F831" s="1710"/>
      <c r="G831" s="1710"/>
      <c r="H831" s="1710"/>
      <c r="I831" s="1710"/>
      <c r="J831" s="1710"/>
      <c r="K831" s="1710"/>
      <c r="L831" s="1710"/>
      <c r="M831" s="1711"/>
      <c r="N831" s="1711"/>
      <c r="O831" s="1711"/>
      <c r="P831" s="1711"/>
      <c r="Q831" s="1711"/>
      <c r="R831" s="1711"/>
      <c r="S831" s="1711"/>
      <c r="T831" s="1711"/>
      <c r="U831" s="1711"/>
      <c r="V831" s="1711"/>
      <c r="W831" s="1711"/>
      <c r="X831" s="1711"/>
      <c r="Y831" s="1711"/>
      <c r="Z831" s="1712"/>
      <c r="AA831" s="1712"/>
      <c r="AB831" s="1712"/>
      <c r="AC831" s="1712"/>
      <c r="AD831" s="1712"/>
      <c r="AE831" s="1712"/>
      <c r="AF831" s="1712"/>
      <c r="AG831" s="1712"/>
      <c r="AH831" s="1712"/>
      <c r="AI831" s="1712"/>
      <c r="AJ831" s="1712"/>
      <c r="AK831" s="1712"/>
      <c r="AL831" s="1712"/>
      <c r="AM831" s="1712"/>
      <c r="AN831" s="1712"/>
      <c r="AO831" s="1712"/>
      <c r="AP831" s="1712"/>
      <c r="AQ831" s="1712"/>
      <c r="AR831" s="1712"/>
      <c r="AS831" s="1712"/>
      <c r="AT831" s="1712"/>
    </row>
    <row r="832">
      <c r="A832" s="1474" t="s">
        <v>2461</v>
      </c>
      <c r="B832" s="1708"/>
      <c r="C832" s="1709"/>
      <c r="D832" s="1709"/>
      <c r="E832" s="1710"/>
      <c r="F832" s="1710"/>
      <c r="G832" s="1710"/>
      <c r="H832" s="1710"/>
      <c r="I832" s="1710"/>
      <c r="J832" s="1710"/>
      <c r="K832" s="1710"/>
      <c r="L832" s="1710"/>
      <c r="M832" s="1711"/>
      <c r="N832" s="1711"/>
      <c r="O832" s="1711"/>
      <c r="P832" s="1711"/>
      <c r="Q832" s="1711"/>
      <c r="R832" s="1711"/>
      <c r="S832" s="1711"/>
      <c r="T832" s="1711"/>
      <c r="U832" s="1711"/>
      <c r="V832" s="1711"/>
      <c r="W832" s="1711"/>
      <c r="X832" s="1711"/>
      <c r="Y832" s="1711"/>
      <c r="Z832" s="1712"/>
      <c r="AA832" s="1712"/>
      <c r="AB832" s="1712"/>
      <c r="AC832" s="1712"/>
      <c r="AD832" s="1712"/>
      <c r="AE832" s="1712"/>
      <c r="AF832" s="1712"/>
      <c r="AG832" s="1712"/>
      <c r="AH832" s="1712"/>
      <c r="AI832" s="1712"/>
      <c r="AJ832" s="1712"/>
      <c r="AK832" s="1712"/>
      <c r="AL832" s="1712"/>
      <c r="AM832" s="1712"/>
      <c r="AN832" s="1712"/>
      <c r="AO832" s="1712"/>
      <c r="AP832" s="1712"/>
      <c r="AQ832" s="1712"/>
      <c r="AR832" s="1712"/>
      <c r="AS832" s="1712"/>
      <c r="AT832" s="1712"/>
    </row>
    <row r="833">
      <c r="A833" s="1474" t="s">
        <v>2461</v>
      </c>
      <c r="B833" s="1708"/>
      <c r="C833" s="1709"/>
      <c r="D833" s="1709"/>
      <c r="E833" s="1710"/>
      <c r="F833" s="1710"/>
      <c r="G833" s="1710"/>
      <c r="H833" s="1710"/>
      <c r="I833" s="1710"/>
      <c r="J833" s="1710"/>
      <c r="K833" s="1710"/>
      <c r="L833" s="1710"/>
      <c r="M833" s="1711"/>
      <c r="N833" s="1711"/>
      <c r="O833" s="1711"/>
      <c r="P833" s="1711"/>
      <c r="Q833" s="1711"/>
      <c r="R833" s="1711"/>
      <c r="S833" s="1711"/>
      <c r="T833" s="1711"/>
      <c r="U833" s="1711"/>
      <c r="V833" s="1711"/>
      <c r="W833" s="1711"/>
      <c r="X833" s="1711"/>
      <c r="Y833" s="1711"/>
      <c r="Z833" s="1712"/>
      <c r="AA833" s="1712"/>
      <c r="AB833" s="1712"/>
      <c r="AC833" s="1712"/>
      <c r="AD833" s="1712"/>
      <c r="AE833" s="1712"/>
      <c r="AF833" s="1712"/>
      <c r="AG833" s="1712"/>
      <c r="AH833" s="1712"/>
      <c r="AI833" s="1712"/>
      <c r="AJ833" s="1712"/>
      <c r="AK833" s="1712"/>
      <c r="AL833" s="1712"/>
      <c r="AM833" s="1712"/>
      <c r="AN833" s="1712"/>
      <c r="AO833" s="1712"/>
      <c r="AP833" s="1712"/>
      <c r="AQ833" s="1712"/>
      <c r="AR833" s="1712"/>
      <c r="AS833" s="1712"/>
      <c r="AT833" s="1712"/>
    </row>
    <row r="834">
      <c r="A834" s="1474" t="s">
        <v>2461</v>
      </c>
      <c r="B834" s="1708"/>
      <c r="C834" s="1709"/>
      <c r="D834" s="1709"/>
      <c r="E834" s="1710"/>
      <c r="F834" s="1710"/>
      <c r="G834" s="1710"/>
      <c r="H834" s="1710"/>
      <c r="I834" s="1710"/>
      <c r="J834" s="1710"/>
      <c r="K834" s="1710"/>
      <c r="L834" s="1710"/>
      <c r="M834" s="1711"/>
      <c r="N834" s="1711"/>
      <c r="O834" s="1711"/>
      <c r="P834" s="1711"/>
      <c r="Q834" s="1711"/>
      <c r="R834" s="1711"/>
      <c r="S834" s="1711"/>
      <c r="T834" s="1711"/>
      <c r="U834" s="1711"/>
      <c r="V834" s="1711"/>
      <c r="W834" s="1711"/>
      <c r="X834" s="1711"/>
      <c r="Y834" s="1711"/>
      <c r="Z834" s="1712"/>
      <c r="AA834" s="1712"/>
      <c r="AB834" s="1712"/>
      <c r="AC834" s="1712"/>
      <c r="AD834" s="1712"/>
      <c r="AE834" s="1712"/>
      <c r="AF834" s="1712"/>
      <c r="AG834" s="1712"/>
      <c r="AH834" s="1712"/>
      <c r="AI834" s="1712"/>
      <c r="AJ834" s="1712"/>
      <c r="AK834" s="1712"/>
      <c r="AL834" s="1712"/>
      <c r="AM834" s="1712"/>
      <c r="AN834" s="1712"/>
      <c r="AO834" s="1712"/>
      <c r="AP834" s="1712"/>
      <c r="AQ834" s="1712"/>
      <c r="AR834" s="1712"/>
      <c r="AS834" s="1712"/>
      <c r="AT834" s="1712"/>
    </row>
    <row r="835">
      <c r="A835" s="1474" t="s">
        <v>2461</v>
      </c>
      <c r="B835" s="1708"/>
      <c r="C835" s="1709"/>
      <c r="D835" s="1709"/>
      <c r="E835" s="1710"/>
      <c r="F835" s="1710"/>
      <c r="G835" s="1710"/>
      <c r="H835" s="1710"/>
      <c r="I835" s="1710"/>
      <c r="J835" s="1710"/>
      <c r="K835" s="1710"/>
      <c r="L835" s="1710"/>
      <c r="M835" s="1711"/>
      <c r="N835" s="1711"/>
      <c r="O835" s="1711"/>
      <c r="P835" s="1711"/>
      <c r="Q835" s="1711"/>
      <c r="R835" s="1711"/>
      <c r="S835" s="1711"/>
      <c r="T835" s="1711"/>
      <c r="U835" s="1711"/>
      <c r="V835" s="1711"/>
      <c r="W835" s="1711"/>
      <c r="X835" s="1711"/>
      <c r="Y835" s="1711"/>
      <c r="Z835" s="1712"/>
      <c r="AA835" s="1712"/>
      <c r="AB835" s="1712"/>
      <c r="AC835" s="1712"/>
      <c r="AD835" s="1712"/>
      <c r="AE835" s="1712"/>
      <c r="AF835" s="1712"/>
      <c r="AG835" s="1712"/>
      <c r="AH835" s="1712"/>
      <c r="AI835" s="1712"/>
      <c r="AJ835" s="1712"/>
      <c r="AK835" s="1712"/>
      <c r="AL835" s="1712"/>
      <c r="AM835" s="1712"/>
      <c r="AN835" s="1712"/>
      <c r="AO835" s="1712"/>
      <c r="AP835" s="1712"/>
      <c r="AQ835" s="1712"/>
      <c r="AR835" s="1712"/>
      <c r="AS835" s="1712"/>
      <c r="AT835" s="1712"/>
    </row>
    <row r="836">
      <c r="A836" s="1474" t="s">
        <v>2461</v>
      </c>
      <c r="B836" s="1708"/>
      <c r="C836" s="1709"/>
      <c r="D836" s="1709"/>
      <c r="E836" s="1710"/>
      <c r="F836" s="1710"/>
      <c r="G836" s="1710"/>
      <c r="H836" s="1710"/>
      <c r="I836" s="1710"/>
      <c r="J836" s="1710"/>
      <c r="K836" s="1710"/>
      <c r="L836" s="1710"/>
      <c r="M836" s="1711"/>
      <c r="N836" s="1711"/>
      <c r="O836" s="1711"/>
      <c r="P836" s="1711"/>
      <c r="Q836" s="1711"/>
      <c r="R836" s="1711"/>
      <c r="S836" s="1711"/>
      <c r="T836" s="1711"/>
      <c r="U836" s="1711"/>
      <c r="V836" s="1711"/>
      <c r="W836" s="1711"/>
      <c r="X836" s="1711"/>
      <c r="Y836" s="1711"/>
      <c r="Z836" s="1712"/>
      <c r="AA836" s="1712"/>
      <c r="AB836" s="1712"/>
      <c r="AC836" s="1712"/>
      <c r="AD836" s="1712"/>
      <c r="AE836" s="1712"/>
      <c r="AF836" s="1712"/>
      <c r="AG836" s="1712"/>
      <c r="AH836" s="1712"/>
      <c r="AI836" s="1712"/>
      <c r="AJ836" s="1712"/>
      <c r="AK836" s="1712"/>
      <c r="AL836" s="1712"/>
      <c r="AM836" s="1712"/>
      <c r="AN836" s="1712"/>
      <c r="AO836" s="1712"/>
      <c r="AP836" s="1712"/>
      <c r="AQ836" s="1712"/>
      <c r="AR836" s="1712"/>
      <c r="AS836" s="1712"/>
      <c r="AT836" s="1712"/>
    </row>
    <row r="837">
      <c r="A837" s="1474" t="s">
        <v>2461</v>
      </c>
      <c r="B837" s="1708"/>
      <c r="C837" s="1709"/>
      <c r="D837" s="1709"/>
      <c r="E837" s="1710"/>
      <c r="F837" s="1710"/>
      <c r="G837" s="1710"/>
      <c r="H837" s="1710"/>
      <c r="I837" s="1710"/>
      <c r="J837" s="1710"/>
      <c r="K837" s="1710"/>
      <c r="L837" s="1710"/>
      <c r="M837" s="1711"/>
      <c r="N837" s="1711"/>
      <c r="O837" s="1711"/>
      <c r="P837" s="1711"/>
      <c r="Q837" s="1711"/>
      <c r="R837" s="1711"/>
      <c r="S837" s="1711"/>
      <c r="T837" s="1711"/>
      <c r="U837" s="1711"/>
      <c r="V837" s="1711"/>
      <c r="W837" s="1711"/>
      <c r="X837" s="1711"/>
      <c r="Y837" s="1711"/>
      <c r="Z837" s="1712"/>
      <c r="AA837" s="1712"/>
      <c r="AB837" s="1712"/>
      <c r="AC837" s="1712"/>
      <c r="AD837" s="1712"/>
      <c r="AE837" s="1712"/>
      <c r="AF837" s="1712"/>
      <c r="AG837" s="1712"/>
      <c r="AH837" s="1712"/>
      <c r="AI837" s="1712"/>
      <c r="AJ837" s="1712"/>
      <c r="AK837" s="1712"/>
      <c r="AL837" s="1712"/>
      <c r="AM837" s="1712"/>
      <c r="AN837" s="1712"/>
      <c r="AO837" s="1712"/>
      <c r="AP837" s="1712"/>
      <c r="AQ837" s="1712"/>
      <c r="AR837" s="1712"/>
      <c r="AS837" s="1712"/>
      <c r="AT837" s="1712"/>
    </row>
    <row r="838">
      <c r="A838" s="1474" t="s">
        <v>2461</v>
      </c>
      <c r="B838" s="1708"/>
      <c r="C838" s="1709"/>
      <c r="D838" s="1709"/>
      <c r="E838" s="1710"/>
      <c r="F838" s="1710"/>
      <c r="G838" s="1710"/>
      <c r="H838" s="1710"/>
      <c r="I838" s="1710"/>
      <c r="J838" s="1710"/>
      <c r="K838" s="1710"/>
      <c r="L838" s="1710"/>
      <c r="M838" s="1711"/>
      <c r="N838" s="1711"/>
      <c r="O838" s="1711"/>
      <c r="P838" s="1711"/>
      <c r="Q838" s="1711"/>
      <c r="R838" s="1711"/>
      <c r="S838" s="1711"/>
      <c r="T838" s="1711"/>
      <c r="U838" s="1711"/>
      <c r="V838" s="1711"/>
      <c r="W838" s="1711"/>
      <c r="X838" s="1711"/>
      <c r="Y838" s="1711"/>
      <c r="Z838" s="1712"/>
      <c r="AA838" s="1712"/>
      <c r="AB838" s="1712"/>
      <c r="AC838" s="1712"/>
      <c r="AD838" s="1712"/>
      <c r="AE838" s="1712"/>
      <c r="AF838" s="1712"/>
      <c r="AG838" s="1712"/>
      <c r="AH838" s="1712"/>
      <c r="AI838" s="1712"/>
      <c r="AJ838" s="1712"/>
      <c r="AK838" s="1712"/>
      <c r="AL838" s="1712"/>
      <c r="AM838" s="1712"/>
      <c r="AN838" s="1712"/>
      <c r="AO838" s="1712"/>
      <c r="AP838" s="1712"/>
      <c r="AQ838" s="1712"/>
      <c r="AR838" s="1712"/>
      <c r="AS838" s="1712"/>
      <c r="AT838" s="1712"/>
    </row>
    <row r="839">
      <c r="A839" s="1474" t="s">
        <v>2461</v>
      </c>
      <c r="B839" s="1708"/>
      <c r="C839" s="1709"/>
      <c r="D839" s="1709"/>
      <c r="E839" s="1710"/>
      <c r="F839" s="1710"/>
      <c r="G839" s="1710"/>
      <c r="H839" s="1710"/>
      <c r="I839" s="1710"/>
      <c r="J839" s="1710"/>
      <c r="K839" s="1710"/>
      <c r="L839" s="1710"/>
      <c r="M839" s="1711"/>
      <c r="N839" s="1711"/>
      <c r="O839" s="1711"/>
      <c r="P839" s="1711"/>
      <c r="Q839" s="1711"/>
      <c r="R839" s="1711"/>
      <c r="S839" s="1711"/>
      <c r="T839" s="1711"/>
      <c r="U839" s="1711"/>
      <c r="V839" s="1711"/>
      <c r="W839" s="1711"/>
      <c r="X839" s="1711"/>
      <c r="Y839" s="1711"/>
      <c r="Z839" s="1712"/>
      <c r="AA839" s="1712"/>
      <c r="AB839" s="1712"/>
      <c r="AC839" s="1712"/>
      <c r="AD839" s="1712"/>
      <c r="AE839" s="1712"/>
      <c r="AF839" s="1712"/>
      <c r="AG839" s="1712"/>
      <c r="AH839" s="1712"/>
      <c r="AI839" s="1712"/>
      <c r="AJ839" s="1712"/>
      <c r="AK839" s="1712"/>
      <c r="AL839" s="1712"/>
      <c r="AM839" s="1712"/>
      <c r="AN839" s="1712"/>
      <c r="AO839" s="1712"/>
      <c r="AP839" s="1712"/>
      <c r="AQ839" s="1712"/>
      <c r="AR839" s="1712"/>
      <c r="AS839" s="1712"/>
      <c r="AT839" s="1712"/>
    </row>
    <row r="840">
      <c r="A840" s="1474" t="s">
        <v>2461</v>
      </c>
      <c r="B840" s="1708"/>
      <c r="C840" s="1709"/>
      <c r="D840" s="1709"/>
      <c r="E840" s="1710"/>
      <c r="F840" s="1710"/>
      <c r="G840" s="1710"/>
      <c r="H840" s="1710"/>
      <c r="I840" s="1710"/>
      <c r="J840" s="1710"/>
      <c r="K840" s="1710"/>
      <c r="L840" s="1710"/>
      <c r="M840" s="1711"/>
      <c r="N840" s="1711"/>
      <c r="O840" s="1711"/>
      <c r="P840" s="1711"/>
      <c r="Q840" s="1711"/>
      <c r="R840" s="1711"/>
      <c r="S840" s="1711"/>
      <c r="T840" s="1711"/>
      <c r="U840" s="1711"/>
      <c r="V840" s="1711"/>
      <c r="W840" s="1711"/>
      <c r="X840" s="1711"/>
      <c r="Y840" s="1711"/>
      <c r="Z840" s="1712"/>
      <c r="AA840" s="1712"/>
      <c r="AB840" s="1712"/>
      <c r="AC840" s="1712"/>
      <c r="AD840" s="1712"/>
      <c r="AE840" s="1712"/>
      <c r="AF840" s="1712"/>
      <c r="AG840" s="1712"/>
      <c r="AH840" s="1712"/>
      <c r="AI840" s="1712"/>
      <c r="AJ840" s="1712"/>
      <c r="AK840" s="1712"/>
      <c r="AL840" s="1712"/>
      <c r="AM840" s="1712"/>
      <c r="AN840" s="1712"/>
      <c r="AO840" s="1712"/>
      <c r="AP840" s="1712"/>
      <c r="AQ840" s="1712"/>
      <c r="AR840" s="1712"/>
      <c r="AS840" s="1712"/>
      <c r="AT840" s="1712"/>
    </row>
    <row r="841">
      <c r="A841" s="1474" t="s">
        <v>2461</v>
      </c>
      <c r="B841" s="1708"/>
      <c r="C841" s="1709"/>
      <c r="D841" s="1709"/>
      <c r="E841" s="1710"/>
      <c r="F841" s="1710"/>
      <c r="G841" s="1710"/>
      <c r="H841" s="1710"/>
      <c r="I841" s="1710"/>
      <c r="J841" s="1710"/>
      <c r="K841" s="1710"/>
      <c r="L841" s="1710"/>
      <c r="M841" s="1711"/>
      <c r="N841" s="1711"/>
      <c r="O841" s="1711"/>
      <c r="P841" s="1711"/>
      <c r="Q841" s="1711"/>
      <c r="R841" s="1711"/>
      <c r="S841" s="1711"/>
      <c r="T841" s="1711"/>
      <c r="U841" s="1711"/>
      <c r="V841" s="1711"/>
      <c r="W841" s="1711"/>
      <c r="X841" s="1711"/>
      <c r="Y841" s="1711"/>
      <c r="Z841" s="1712"/>
      <c r="AA841" s="1712"/>
      <c r="AB841" s="1712"/>
      <c r="AC841" s="1712"/>
      <c r="AD841" s="1712"/>
      <c r="AE841" s="1712"/>
      <c r="AF841" s="1712"/>
      <c r="AG841" s="1712"/>
      <c r="AH841" s="1712"/>
      <c r="AI841" s="1712"/>
      <c r="AJ841" s="1712"/>
      <c r="AK841" s="1712"/>
      <c r="AL841" s="1712"/>
      <c r="AM841" s="1712"/>
      <c r="AN841" s="1712"/>
      <c r="AO841" s="1712"/>
      <c r="AP841" s="1712"/>
      <c r="AQ841" s="1712"/>
      <c r="AR841" s="1712"/>
      <c r="AS841" s="1712"/>
      <c r="AT841" s="1712"/>
    </row>
    <row r="842">
      <c r="A842" s="1474" t="s">
        <v>2461</v>
      </c>
      <c r="B842" s="1708"/>
      <c r="C842" s="1709"/>
      <c r="D842" s="1709"/>
      <c r="E842" s="1710"/>
      <c r="F842" s="1710"/>
      <c r="G842" s="1710"/>
      <c r="H842" s="1710"/>
      <c r="I842" s="1710"/>
      <c r="J842" s="1710"/>
      <c r="K842" s="1710"/>
      <c r="L842" s="1710"/>
      <c r="M842" s="1711"/>
      <c r="N842" s="1711"/>
      <c r="O842" s="1711"/>
      <c r="P842" s="1711"/>
      <c r="Q842" s="1711"/>
      <c r="R842" s="1711"/>
      <c r="S842" s="1711"/>
      <c r="T842" s="1711"/>
      <c r="U842" s="1711"/>
      <c r="V842" s="1711"/>
      <c r="W842" s="1711"/>
      <c r="X842" s="1711"/>
      <c r="Y842" s="1711"/>
      <c r="Z842" s="1712"/>
      <c r="AA842" s="1712"/>
      <c r="AB842" s="1712"/>
      <c r="AC842" s="1712"/>
      <c r="AD842" s="1712"/>
      <c r="AE842" s="1712"/>
      <c r="AF842" s="1712"/>
      <c r="AG842" s="1712"/>
      <c r="AH842" s="1712"/>
      <c r="AI842" s="1712"/>
      <c r="AJ842" s="1712"/>
      <c r="AK842" s="1712"/>
      <c r="AL842" s="1712"/>
      <c r="AM842" s="1712"/>
      <c r="AN842" s="1712"/>
      <c r="AO842" s="1712"/>
      <c r="AP842" s="1712"/>
      <c r="AQ842" s="1712"/>
      <c r="AR842" s="1712"/>
      <c r="AS842" s="1712"/>
      <c r="AT842" s="1712"/>
    </row>
    <row r="843">
      <c r="A843" s="1474" t="s">
        <v>2461</v>
      </c>
      <c r="B843" s="1708"/>
      <c r="C843" s="1709"/>
      <c r="D843" s="1709"/>
      <c r="E843" s="1710"/>
      <c r="F843" s="1710"/>
      <c r="G843" s="1710"/>
      <c r="H843" s="1710"/>
      <c r="I843" s="1710"/>
      <c r="J843" s="1710"/>
      <c r="K843" s="1710"/>
      <c r="L843" s="1710"/>
      <c r="M843" s="1711"/>
      <c r="N843" s="1711"/>
      <c r="O843" s="1711"/>
      <c r="P843" s="1711"/>
      <c r="Q843" s="1711"/>
      <c r="R843" s="1711"/>
      <c r="S843" s="1711"/>
      <c r="T843" s="1711"/>
      <c r="U843" s="1711"/>
      <c r="V843" s="1711"/>
      <c r="W843" s="1711"/>
      <c r="X843" s="1711"/>
      <c r="Y843" s="1711"/>
      <c r="Z843" s="1712"/>
      <c r="AA843" s="1712"/>
      <c r="AB843" s="1712"/>
      <c r="AC843" s="1712"/>
      <c r="AD843" s="1712"/>
      <c r="AE843" s="1712"/>
      <c r="AF843" s="1712"/>
      <c r="AG843" s="1712"/>
      <c r="AH843" s="1712"/>
      <c r="AI843" s="1712"/>
      <c r="AJ843" s="1712"/>
      <c r="AK843" s="1712"/>
      <c r="AL843" s="1712"/>
      <c r="AM843" s="1712"/>
      <c r="AN843" s="1712"/>
      <c r="AO843" s="1712"/>
      <c r="AP843" s="1712"/>
      <c r="AQ843" s="1712"/>
      <c r="AR843" s="1712"/>
      <c r="AS843" s="1712"/>
      <c r="AT843" s="1712"/>
    </row>
    <row r="844">
      <c r="A844" s="1474" t="s">
        <v>2461</v>
      </c>
      <c r="B844" s="1708"/>
      <c r="C844" s="1709"/>
      <c r="D844" s="1709"/>
      <c r="E844" s="1710"/>
      <c r="F844" s="1710"/>
      <c r="G844" s="1710"/>
      <c r="H844" s="1710"/>
      <c r="I844" s="1710"/>
      <c r="J844" s="1710"/>
      <c r="K844" s="1710"/>
      <c r="L844" s="1710"/>
      <c r="M844" s="1711"/>
      <c r="N844" s="1711"/>
      <c r="O844" s="1711"/>
      <c r="P844" s="1711"/>
      <c r="Q844" s="1711"/>
      <c r="R844" s="1711"/>
      <c r="S844" s="1711"/>
      <c r="T844" s="1711"/>
      <c r="U844" s="1711"/>
      <c r="V844" s="1711"/>
      <c r="W844" s="1711"/>
      <c r="X844" s="1711"/>
      <c r="Y844" s="1711"/>
      <c r="Z844" s="1712"/>
      <c r="AA844" s="1712"/>
      <c r="AB844" s="1712"/>
      <c r="AC844" s="1712"/>
      <c r="AD844" s="1712"/>
      <c r="AE844" s="1712"/>
      <c r="AF844" s="1712"/>
      <c r="AG844" s="1712"/>
      <c r="AH844" s="1712"/>
      <c r="AI844" s="1712"/>
      <c r="AJ844" s="1712"/>
      <c r="AK844" s="1712"/>
      <c r="AL844" s="1712"/>
      <c r="AM844" s="1712"/>
      <c r="AN844" s="1712"/>
      <c r="AO844" s="1712"/>
      <c r="AP844" s="1712"/>
      <c r="AQ844" s="1712"/>
      <c r="AR844" s="1712"/>
      <c r="AS844" s="1712"/>
      <c r="AT844" s="1712"/>
    </row>
    <row r="845">
      <c r="A845" s="1474" t="s">
        <v>2461</v>
      </c>
      <c r="B845" s="1708"/>
      <c r="C845" s="1709"/>
      <c r="D845" s="1709"/>
      <c r="E845" s="1710"/>
      <c r="F845" s="1710"/>
      <c r="G845" s="1710"/>
      <c r="H845" s="1710"/>
      <c r="I845" s="1710"/>
      <c r="J845" s="1710"/>
      <c r="K845" s="1710"/>
      <c r="L845" s="1710"/>
      <c r="M845" s="1711"/>
      <c r="N845" s="1711"/>
      <c r="O845" s="1711"/>
      <c r="P845" s="1711"/>
      <c r="Q845" s="1711"/>
      <c r="R845" s="1711"/>
      <c r="S845" s="1711"/>
      <c r="T845" s="1711"/>
      <c r="U845" s="1711"/>
      <c r="V845" s="1711"/>
      <c r="W845" s="1711"/>
      <c r="X845" s="1711"/>
      <c r="Y845" s="1711"/>
      <c r="Z845" s="1712"/>
      <c r="AA845" s="1712"/>
      <c r="AB845" s="1712"/>
      <c r="AC845" s="1712"/>
      <c r="AD845" s="1712"/>
      <c r="AE845" s="1712"/>
      <c r="AF845" s="1712"/>
      <c r="AG845" s="1712"/>
      <c r="AH845" s="1712"/>
      <c r="AI845" s="1712"/>
      <c r="AJ845" s="1712"/>
      <c r="AK845" s="1712"/>
      <c r="AL845" s="1712"/>
      <c r="AM845" s="1712"/>
      <c r="AN845" s="1712"/>
      <c r="AO845" s="1712"/>
      <c r="AP845" s="1712"/>
      <c r="AQ845" s="1712"/>
      <c r="AR845" s="1712"/>
      <c r="AS845" s="1712"/>
      <c r="AT845" s="1712"/>
    </row>
    <row r="846">
      <c r="A846" s="1474" t="s">
        <v>2461</v>
      </c>
      <c r="B846" s="1708"/>
      <c r="C846" s="1709"/>
      <c r="D846" s="1709"/>
      <c r="E846" s="1710"/>
      <c r="F846" s="1710"/>
      <c r="G846" s="1710"/>
      <c r="H846" s="1710"/>
      <c r="I846" s="1710"/>
      <c r="J846" s="1710"/>
      <c r="K846" s="1710"/>
      <c r="L846" s="1710"/>
      <c r="M846" s="1711"/>
      <c r="N846" s="1711"/>
      <c r="O846" s="1711"/>
      <c r="P846" s="1711"/>
      <c r="Q846" s="1711"/>
      <c r="R846" s="1711"/>
      <c r="S846" s="1711"/>
      <c r="T846" s="1711"/>
      <c r="U846" s="1711"/>
      <c r="V846" s="1711"/>
      <c r="W846" s="1711"/>
      <c r="X846" s="1711"/>
      <c r="Y846" s="1711"/>
      <c r="Z846" s="1712"/>
      <c r="AA846" s="1712"/>
      <c r="AB846" s="1712"/>
      <c r="AC846" s="1712"/>
      <c r="AD846" s="1712"/>
      <c r="AE846" s="1712"/>
      <c r="AF846" s="1712"/>
      <c r="AG846" s="1712"/>
      <c r="AH846" s="1712"/>
      <c r="AI846" s="1712"/>
      <c r="AJ846" s="1712"/>
      <c r="AK846" s="1712"/>
      <c r="AL846" s="1712"/>
      <c r="AM846" s="1712"/>
      <c r="AN846" s="1712"/>
      <c r="AO846" s="1712"/>
      <c r="AP846" s="1712"/>
      <c r="AQ846" s="1712"/>
      <c r="AR846" s="1712"/>
      <c r="AS846" s="1712"/>
      <c r="AT846" s="1712"/>
    </row>
    <row r="847">
      <c r="A847" s="1474" t="s">
        <v>2461</v>
      </c>
      <c r="B847" s="1708"/>
      <c r="C847" s="1709"/>
      <c r="D847" s="1709"/>
      <c r="E847" s="1710"/>
      <c r="F847" s="1710"/>
      <c r="G847" s="1710"/>
      <c r="H847" s="1710"/>
      <c r="I847" s="1710"/>
      <c r="J847" s="1710"/>
      <c r="K847" s="1710"/>
      <c r="L847" s="1710"/>
      <c r="M847" s="1711"/>
      <c r="N847" s="1711"/>
      <c r="O847" s="1711"/>
      <c r="P847" s="1711"/>
      <c r="Q847" s="1711"/>
      <c r="R847" s="1711"/>
      <c r="S847" s="1711"/>
      <c r="T847" s="1711"/>
      <c r="U847" s="1711"/>
      <c r="V847" s="1711"/>
      <c r="W847" s="1711"/>
      <c r="X847" s="1711"/>
      <c r="Y847" s="1711"/>
      <c r="Z847" s="1712"/>
      <c r="AA847" s="1712"/>
      <c r="AB847" s="1712"/>
      <c r="AC847" s="1712"/>
      <c r="AD847" s="1712"/>
      <c r="AE847" s="1712"/>
      <c r="AF847" s="1712"/>
      <c r="AG847" s="1712"/>
      <c r="AH847" s="1712"/>
      <c r="AI847" s="1712"/>
      <c r="AJ847" s="1712"/>
      <c r="AK847" s="1712"/>
      <c r="AL847" s="1712"/>
      <c r="AM847" s="1712"/>
      <c r="AN847" s="1712"/>
      <c r="AO847" s="1712"/>
      <c r="AP847" s="1712"/>
      <c r="AQ847" s="1712"/>
      <c r="AR847" s="1712"/>
      <c r="AS847" s="1712"/>
      <c r="AT847" s="1712"/>
    </row>
    <row r="848">
      <c r="A848" s="1474" t="s">
        <v>2461</v>
      </c>
      <c r="B848" s="1708"/>
      <c r="C848" s="1709"/>
      <c r="D848" s="1709"/>
      <c r="E848" s="1710"/>
      <c r="F848" s="1710"/>
      <c r="G848" s="1710"/>
      <c r="H848" s="1710"/>
      <c r="I848" s="1710"/>
      <c r="J848" s="1710"/>
      <c r="K848" s="1710"/>
      <c r="L848" s="1710"/>
      <c r="M848" s="1711"/>
      <c r="N848" s="1711"/>
      <c r="O848" s="1711"/>
      <c r="P848" s="1711"/>
      <c r="Q848" s="1711"/>
      <c r="R848" s="1711"/>
      <c r="S848" s="1711"/>
      <c r="T848" s="1711"/>
      <c r="U848" s="1711"/>
      <c r="V848" s="1711"/>
      <c r="W848" s="1711"/>
      <c r="X848" s="1711"/>
      <c r="Y848" s="1711"/>
      <c r="Z848" s="1712"/>
      <c r="AA848" s="1712"/>
      <c r="AB848" s="1712"/>
      <c r="AC848" s="1712"/>
      <c r="AD848" s="1712"/>
      <c r="AE848" s="1712"/>
      <c r="AF848" s="1712"/>
      <c r="AG848" s="1712"/>
      <c r="AH848" s="1712"/>
      <c r="AI848" s="1712"/>
      <c r="AJ848" s="1712"/>
      <c r="AK848" s="1712"/>
      <c r="AL848" s="1712"/>
      <c r="AM848" s="1712"/>
      <c r="AN848" s="1712"/>
      <c r="AO848" s="1712"/>
      <c r="AP848" s="1712"/>
      <c r="AQ848" s="1712"/>
      <c r="AR848" s="1712"/>
      <c r="AS848" s="1712"/>
      <c r="AT848" s="1712"/>
    </row>
    <row r="849">
      <c r="A849" s="1474" t="s">
        <v>2461</v>
      </c>
      <c r="B849" s="1708"/>
      <c r="C849" s="1709"/>
      <c r="D849" s="1709"/>
      <c r="E849" s="1710"/>
      <c r="F849" s="1710"/>
      <c r="G849" s="1710"/>
      <c r="H849" s="1710"/>
      <c r="I849" s="1710"/>
      <c r="J849" s="1710"/>
      <c r="K849" s="1710"/>
      <c r="L849" s="1710"/>
      <c r="M849" s="1711"/>
      <c r="N849" s="1711"/>
      <c r="O849" s="1711"/>
      <c r="P849" s="1711"/>
      <c r="Q849" s="1711"/>
      <c r="R849" s="1711"/>
      <c r="S849" s="1711"/>
      <c r="T849" s="1711"/>
      <c r="U849" s="1711"/>
      <c r="V849" s="1711"/>
      <c r="W849" s="1711"/>
      <c r="X849" s="1711"/>
      <c r="Y849" s="1711"/>
      <c r="Z849" s="1712"/>
      <c r="AA849" s="1712"/>
      <c r="AB849" s="1712"/>
      <c r="AC849" s="1712"/>
      <c r="AD849" s="1712"/>
      <c r="AE849" s="1712"/>
      <c r="AF849" s="1712"/>
      <c r="AG849" s="1712"/>
      <c r="AH849" s="1712"/>
      <c r="AI849" s="1712"/>
      <c r="AJ849" s="1712"/>
      <c r="AK849" s="1712"/>
      <c r="AL849" s="1712"/>
      <c r="AM849" s="1712"/>
      <c r="AN849" s="1712"/>
      <c r="AO849" s="1712"/>
      <c r="AP849" s="1712"/>
      <c r="AQ849" s="1712"/>
      <c r="AR849" s="1712"/>
      <c r="AS849" s="1712"/>
      <c r="AT849" s="1712"/>
    </row>
    <row r="850">
      <c r="A850" s="1474" t="s">
        <v>2461</v>
      </c>
      <c r="B850" s="1708"/>
      <c r="C850" s="1709"/>
      <c r="D850" s="1709"/>
      <c r="E850" s="1710"/>
      <c r="F850" s="1710"/>
      <c r="G850" s="1710"/>
      <c r="H850" s="1710"/>
      <c r="I850" s="1710"/>
      <c r="J850" s="1710"/>
      <c r="K850" s="1710"/>
      <c r="L850" s="1710"/>
      <c r="M850" s="1711"/>
      <c r="N850" s="1711"/>
      <c r="O850" s="1711"/>
      <c r="P850" s="1711"/>
      <c r="Q850" s="1711"/>
      <c r="R850" s="1711"/>
      <c r="S850" s="1711"/>
      <c r="T850" s="1711"/>
      <c r="U850" s="1711"/>
      <c r="V850" s="1711"/>
      <c r="W850" s="1711"/>
      <c r="X850" s="1711"/>
      <c r="Y850" s="1711"/>
      <c r="Z850" s="1712"/>
      <c r="AA850" s="1712"/>
      <c r="AB850" s="1712"/>
      <c r="AC850" s="1712"/>
      <c r="AD850" s="1712"/>
      <c r="AE850" s="1712"/>
      <c r="AF850" s="1712"/>
      <c r="AG850" s="1712"/>
      <c r="AH850" s="1712"/>
      <c r="AI850" s="1712"/>
      <c r="AJ850" s="1712"/>
      <c r="AK850" s="1712"/>
      <c r="AL850" s="1712"/>
      <c r="AM850" s="1712"/>
      <c r="AN850" s="1712"/>
      <c r="AO850" s="1712"/>
      <c r="AP850" s="1712"/>
      <c r="AQ850" s="1712"/>
      <c r="AR850" s="1712"/>
      <c r="AS850" s="1712"/>
      <c r="AT850" s="1712"/>
    </row>
    <row r="851">
      <c r="A851" s="1474" t="s">
        <v>2461</v>
      </c>
      <c r="B851" s="1708"/>
      <c r="C851" s="1709"/>
      <c r="D851" s="1709"/>
      <c r="E851" s="1710"/>
      <c r="F851" s="1710"/>
      <c r="G851" s="1710"/>
      <c r="H851" s="1710"/>
      <c r="I851" s="1710"/>
      <c r="J851" s="1710"/>
      <c r="K851" s="1710"/>
      <c r="L851" s="1710"/>
      <c r="M851" s="1711"/>
      <c r="N851" s="1711"/>
      <c r="O851" s="1711"/>
      <c r="P851" s="1711"/>
      <c r="Q851" s="1711"/>
      <c r="R851" s="1711"/>
      <c r="S851" s="1711"/>
      <c r="T851" s="1711"/>
      <c r="U851" s="1711"/>
      <c r="V851" s="1711"/>
      <c r="W851" s="1711"/>
      <c r="X851" s="1711"/>
      <c r="Y851" s="1711"/>
      <c r="Z851" s="1712"/>
      <c r="AA851" s="1712"/>
      <c r="AB851" s="1712"/>
      <c r="AC851" s="1712"/>
      <c r="AD851" s="1712"/>
      <c r="AE851" s="1712"/>
      <c r="AF851" s="1712"/>
      <c r="AG851" s="1712"/>
      <c r="AH851" s="1712"/>
      <c r="AI851" s="1712"/>
      <c r="AJ851" s="1712"/>
      <c r="AK851" s="1712"/>
      <c r="AL851" s="1712"/>
      <c r="AM851" s="1712"/>
      <c r="AN851" s="1712"/>
      <c r="AO851" s="1712"/>
      <c r="AP851" s="1712"/>
      <c r="AQ851" s="1712"/>
      <c r="AR851" s="1712"/>
      <c r="AS851" s="1712"/>
      <c r="AT851" s="1712"/>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700"/>
    <outlinePr summaryBelow="0" summaryRight="0"/>
  </sheetPr>
  <sheetViews>
    <sheetView workbookViewId="0"/>
  </sheetViews>
  <sheetFormatPr customHeight="1" defaultColWidth="14.43" defaultRowHeight="15.0" outlineLevelCol="1" outlineLevelRow="1"/>
  <cols>
    <col customWidth="1" min="1" max="2" width="2.29"/>
    <col customWidth="1" min="3" max="3" width="11.57"/>
    <col customWidth="1" min="6" max="7" width="8.71"/>
    <col customWidth="1" min="9" max="9" width="60.14"/>
    <col customWidth="1" min="10" max="10" width="2.29"/>
    <col customWidth="1" hidden="1" min="11" max="12" width="2.29"/>
    <col hidden="1" min="13" max="13" width="14.43"/>
    <col customWidth="1" hidden="1" min="14" max="15" width="13.0"/>
    <col customWidth="1" hidden="1" min="16" max="16" width="7.14"/>
    <col hidden="1" min="17" max="17" width="14.43"/>
    <col customWidth="1" hidden="1" min="18" max="18" width="4.43"/>
    <col customWidth="1" hidden="1" min="19" max="19" width="2.29"/>
    <col collapsed="1" customWidth="1" min="20" max="20" width="2.29"/>
    <col customWidth="1" hidden="1" min="21" max="28" width="7.29" outlineLevel="1"/>
  </cols>
  <sheetData>
    <row r="1" ht="11.25" customHeight="1">
      <c r="A1" s="1716"/>
      <c r="B1" s="1716"/>
      <c r="C1" s="1716"/>
      <c r="D1" s="1716"/>
      <c r="E1" s="1716"/>
      <c r="F1" s="1716"/>
      <c r="G1" s="1716"/>
      <c r="H1" s="1716"/>
      <c r="I1" s="1716"/>
      <c r="J1" s="1716"/>
      <c r="K1" s="1716"/>
      <c r="L1" s="1716"/>
      <c r="M1" s="1716"/>
      <c r="N1" s="1716"/>
      <c r="O1" s="1716"/>
      <c r="P1" s="1716"/>
      <c r="Q1" s="1716"/>
      <c r="R1" s="1716"/>
      <c r="S1" s="1716"/>
      <c r="T1" s="1716"/>
      <c r="Z1" s="1717"/>
      <c r="AA1" s="1717"/>
      <c r="AB1" s="1717"/>
    </row>
    <row r="2" ht="11.25" customHeight="1">
      <c r="A2" s="1716"/>
      <c r="B2" s="1718"/>
      <c r="C2" s="1719"/>
      <c r="D2" s="1719"/>
      <c r="E2" s="1719"/>
      <c r="F2" s="1719"/>
      <c r="G2" s="1719"/>
      <c r="H2" s="1719"/>
      <c r="I2" s="1719"/>
      <c r="J2" s="1718"/>
      <c r="K2" s="1716"/>
      <c r="L2" s="1720"/>
      <c r="M2" s="1721"/>
      <c r="N2" s="1721"/>
      <c r="O2" s="1721"/>
      <c r="P2" s="1721"/>
      <c r="Q2" s="1721"/>
      <c r="R2" s="1721"/>
      <c r="S2" s="93"/>
      <c r="T2" s="1716"/>
      <c r="Z2" s="1722" t="s">
        <v>1446</v>
      </c>
      <c r="AA2" s="1722" t="s">
        <v>1447</v>
      </c>
      <c r="AB2" s="1722" t="s">
        <v>1448</v>
      </c>
    </row>
    <row r="3">
      <c r="A3" s="1716"/>
      <c r="B3" s="1723"/>
      <c r="C3" s="346" t="s">
        <v>4415</v>
      </c>
      <c r="D3" s="19"/>
      <c r="E3" s="19"/>
      <c r="F3" s="19"/>
      <c r="G3" s="19"/>
      <c r="H3" s="19"/>
      <c r="I3" s="20"/>
      <c r="J3" s="1724"/>
      <c r="K3" s="1716"/>
      <c r="L3" s="17"/>
      <c r="M3" s="346" t="s">
        <v>4416</v>
      </c>
      <c r="N3" s="19"/>
      <c r="O3" s="19"/>
      <c r="P3" s="19"/>
      <c r="Q3" s="19"/>
      <c r="R3" s="20"/>
      <c r="S3" s="3"/>
      <c r="T3" s="1716"/>
      <c r="U3" s="1725" t="s">
        <v>4417</v>
      </c>
      <c r="V3" s="1725" t="s">
        <v>4418</v>
      </c>
      <c r="W3" s="1725" t="s">
        <v>4419</v>
      </c>
      <c r="X3" s="1725" t="s">
        <v>4420</v>
      </c>
      <c r="Y3" s="1725" t="s">
        <v>4421</v>
      </c>
      <c r="Z3" s="1726">
        <f>ROUNDDOWN(AB5,0)</f>
        <v>0</v>
      </c>
      <c r="AA3" s="1727">
        <f>ROUNDDOWN(RIGHT(AB5,2)/10,0)</f>
        <v>0</v>
      </c>
      <c r="AB3" s="1728" t="str">
        <f>RIGHT(AB5,1)</f>
        <v>0</v>
      </c>
    </row>
    <row r="4">
      <c r="A4" s="1716"/>
      <c r="B4" s="1723"/>
      <c r="C4" s="1729" t="s">
        <v>4422</v>
      </c>
      <c r="D4" s="1730" t="s">
        <v>4423</v>
      </c>
      <c r="E4" s="1730" t="s">
        <v>4424</v>
      </c>
      <c r="F4" s="1730" t="s">
        <v>4425</v>
      </c>
      <c r="G4" s="1731" t="s">
        <v>4426</v>
      </c>
      <c r="H4" s="1730" t="s">
        <v>4427</v>
      </c>
      <c r="I4" s="1732" t="s">
        <v>4428</v>
      </c>
      <c r="J4" s="1724"/>
      <c r="K4" s="1716"/>
      <c r="L4" s="17"/>
      <c r="M4" s="1733" t="s">
        <v>4429</v>
      </c>
      <c r="N4" s="1733" t="s">
        <v>4430</v>
      </c>
      <c r="O4" s="1734" t="s">
        <v>4431</v>
      </c>
      <c r="P4" s="1733"/>
      <c r="Q4" s="1735" t="s">
        <v>4432</v>
      </c>
      <c r="R4" s="20"/>
      <c r="S4" s="3"/>
      <c r="T4" s="1716"/>
      <c r="U4" s="1736">
        <f>SUM(U5:U105)-SUMIF(N5:N105,"=GP",M5:M105)+SUMIF(O5:O105,"=GP",Q5:Q105)</f>
        <v>0</v>
      </c>
      <c r="V4" s="1737">
        <f>SUM(V5:V105)-SUMIF(N5:N105,"=SP",M5:M105)+SUMIF(O5:O105,"=SP",Q5:Q105)</f>
        <v>0</v>
      </c>
      <c r="W4" s="1738">
        <f>SUM(W5:W105)-SUMIF(N5:N105,"=CP",M5:M105)+SUMIF(O5:O105,"=CP",Q5:Q105)</f>
        <v>0</v>
      </c>
      <c r="X4" s="1739">
        <f>SUM(X5:X105)-SUMIF(N5:N105,"=PP",M5:M105)+SUMIF(O5:O105,"=PP",Q5:Q105)</f>
        <v>0</v>
      </c>
      <c r="Y4" s="1740">
        <f>SUM(Y5:Y105)-SUMIF(N5:N105,"=EP",M5:M105)+SUMIF(O5:O105,"=EP",Q5:Q105)</f>
        <v>0</v>
      </c>
      <c r="Z4" s="1722" t="s">
        <v>4433</v>
      </c>
      <c r="AA4" s="1722" t="s">
        <v>4434</v>
      </c>
      <c r="AB4" s="1722" t="s">
        <v>4435</v>
      </c>
    </row>
    <row r="5">
      <c r="A5" s="1716"/>
      <c r="B5" s="1723"/>
      <c r="C5" s="1741" t="s">
        <v>4436</v>
      </c>
      <c r="D5" s="1742"/>
      <c r="E5" s="1743"/>
      <c r="F5" s="1743" t="s">
        <v>4437</v>
      </c>
      <c r="G5" s="1744">
        <v>1.0</v>
      </c>
      <c r="H5" s="1745" t="str">
        <f>IFERROR(E5*G5*IFS($F5="GP",1,$F5="SP",0.1,$F5="CP",0.01,$F5="PP",10,$F5="EP",0.5),"")&amp;" GP"</f>
        <v>0 GP</v>
      </c>
      <c r="I5" s="1746"/>
      <c r="J5" s="1724"/>
      <c r="K5" s="1716"/>
      <c r="L5" s="17"/>
      <c r="M5" s="1747"/>
      <c r="N5" s="1748"/>
      <c r="O5" s="1749"/>
      <c r="P5" s="1750" t="str">
        <f t="shared" ref="P5:P103" si="1">if(counta(M5:O5)=3,"→","")</f>
        <v/>
      </c>
      <c r="Q5" s="1751" t="str">
        <f>IFERROR(VLOOKUP(N5,'金錢紀錄'!$AA$14:$AB$18,2,0)*M5/VLOOKUP(O5,'金錢紀錄'!$AA$14:$AB$18,2,0),"")</f>
        <v/>
      </c>
      <c r="R5" s="1752" t="str">
        <f t="shared" ref="R5:R103" si="2">if(P5&lt;&gt;"",O5,"")</f>
        <v/>
      </c>
      <c r="S5" s="3"/>
      <c r="T5" s="1716"/>
      <c r="U5" s="1753">
        <f>AND(F5="GP",C5="職業金錢") *E5  *G5</f>
        <v>0</v>
      </c>
      <c r="V5" s="1753">
        <f>AND(F5="SP",C5="開卡額外金錢") *E5  *G5</f>
        <v>0</v>
      </c>
      <c r="W5" s="1753">
        <f>AND(F5="CP",C5="開卡額外金錢") *E5  *G5</f>
        <v>0</v>
      </c>
      <c r="X5" s="1753">
        <f>AND(F5="PP",C5="開卡額外金錢") *E5  *G5</f>
        <v>0</v>
      </c>
      <c r="Y5" s="1753">
        <f>AND(F5="EP",C5="開卡額外金錢") *E5  *G5</f>
        <v>0</v>
      </c>
      <c r="Z5" s="1754">
        <f>SUM(X5:X105)-SUMIF(N5:N105,"=PP",M5:M105)+SUMIF(O5:O105,"=PP",Q5:Q105)</f>
        <v>0</v>
      </c>
      <c r="AA5" s="1755">
        <f>SUM(Y5:Y105)-SUMIF(N5:N105,"=EP",M5:M105)+SUMIF(O5:O105,"=EP",Q5:Q105)</f>
        <v>0</v>
      </c>
      <c r="AB5" s="1756">
        <f>U4*1+V4*0.1+W4*0.01+X4*10+Y4*0.5</f>
        <v>0</v>
      </c>
    </row>
    <row r="6">
      <c r="A6" s="1716"/>
      <c r="B6" s="1723"/>
      <c r="C6" s="1757" t="s">
        <v>4438</v>
      </c>
      <c r="D6" s="1758"/>
      <c r="E6" s="1759"/>
      <c r="F6" s="1759" t="s">
        <v>4437</v>
      </c>
      <c r="G6" s="1744">
        <v>1.0</v>
      </c>
      <c r="H6" s="1760" t="str">
        <f>IFERROR(E6*G6*IFS($F6="GP",1,$F6="SP",0.1,$F6="CP",0.01,$F6="PP",10,$F6="EP",0.5),"")&amp;" GP"</f>
        <v>0 GP</v>
      </c>
      <c r="I6" s="1761"/>
      <c r="J6" s="1724"/>
      <c r="K6" s="1716"/>
      <c r="L6" s="17"/>
      <c r="M6" s="1762"/>
      <c r="N6" s="1763"/>
      <c r="O6" s="1764"/>
      <c r="P6" s="1750" t="str">
        <f t="shared" si="1"/>
        <v/>
      </c>
      <c r="Q6" s="1765" t="str">
        <f>IFERROR(VLOOKUP(N6,'金錢紀錄'!$AA$14:$AB$18,2,0)*M6/VLOOKUP(O6,'金錢紀錄'!$AA$14:$AB$18,2,0),"")</f>
        <v/>
      </c>
      <c r="R6" s="1766" t="str">
        <f t="shared" si="2"/>
        <v/>
      </c>
      <c r="S6" s="3"/>
      <c r="T6" s="1716"/>
      <c r="U6" s="1753">
        <f>AND(F6="GP",C6="背景金錢") *E6  *G6</f>
        <v>0</v>
      </c>
      <c r="V6" s="1753">
        <f>AND(F6="SP",C6="背景金錢") *E6  *G6</f>
        <v>0</v>
      </c>
      <c r="W6" s="1753">
        <f>AND(F6="CP",C6="背景金錢") *E6  *G6</f>
        <v>0</v>
      </c>
      <c r="X6" s="1753">
        <f>AND(F6="PP",C6="背景金錢") *E6  *G6</f>
        <v>0</v>
      </c>
      <c r="Y6" s="1753">
        <f>AND(F6="EP",C6="背景金錢") *E6  *G6</f>
        <v>0</v>
      </c>
      <c r="Z6" s="1767"/>
      <c r="AA6" s="1767"/>
      <c r="AB6" s="1767"/>
    </row>
    <row r="7">
      <c r="A7" s="1716"/>
      <c r="B7" s="1723"/>
      <c r="C7" s="1757" t="s">
        <v>4439</v>
      </c>
      <c r="D7" s="1768"/>
      <c r="E7" s="1769">
        <f>U7+(V7/10)+(W7/100)</f>
        <v>0</v>
      </c>
      <c r="F7" s="1759" t="s">
        <v>4437</v>
      </c>
      <c r="G7" s="1770">
        <v>1.0</v>
      </c>
      <c r="H7" s="1760" t="str">
        <f>"≥ "&amp;E7&amp;" GP"</f>
        <v>≥ 0 GP</v>
      </c>
      <c r="I7" s="1771"/>
      <c r="J7" s="1724"/>
      <c r="K7" s="1716"/>
      <c r="L7" s="17"/>
      <c r="M7" s="1772"/>
      <c r="N7" s="1773"/>
      <c r="O7" s="1774"/>
      <c r="P7" s="1750" t="str">
        <f t="shared" si="1"/>
        <v/>
      </c>
      <c r="Q7" s="1775" t="str">
        <f>IFERROR(VLOOKUP(N7,'金錢紀錄'!$AA$14:$AB$18,2,0)*M7/VLOOKUP(O7,'金錢紀錄'!$AA$14:$AB$18,2,0),"")</f>
        <v/>
      </c>
      <c r="R7" s="1776" t="str">
        <f t="shared" si="2"/>
        <v/>
      </c>
      <c r="S7" s="3"/>
      <c r="T7" s="1716"/>
      <c r="U7" s="1753">
        <f>SUM('團務紀錄卡'!G6:G105)</f>
        <v>0</v>
      </c>
      <c r="V7" s="1753">
        <f>SUM('團務紀錄卡'!I6:I105)</f>
        <v>0</v>
      </c>
      <c r="W7" s="1753">
        <f>SUM('團務紀錄卡'!K6:K105)</f>
        <v>0</v>
      </c>
      <c r="X7" s="1753"/>
      <c r="Y7" s="1753"/>
      <c r="Z7" s="1717"/>
      <c r="AA7" s="1717"/>
      <c r="AB7" s="1717"/>
    </row>
    <row r="8">
      <c r="A8" s="1716"/>
      <c r="B8" s="1723"/>
      <c r="C8" s="1777"/>
      <c r="D8" s="1778"/>
      <c r="E8" s="1778"/>
      <c r="F8" s="1778"/>
      <c r="G8" s="1778"/>
      <c r="H8" s="1779" t="str">
        <f t="shared" ref="H8:H103" si="3">IFERROR((SWITCH(F8,"GP",U8,"SP",V8,"CP",W8,"PP",X8,"EP",Y8)*if(isna(vlookup(F8,$AA$14:$AB$18,2,false)),　,vlookup(F8,$AA$14:$AB$18,2,false))&amp;" GP"),"")</f>
        <v/>
      </c>
      <c r="I8" s="1780"/>
      <c r="J8" s="1781"/>
      <c r="K8" s="1716"/>
      <c r="L8" s="17"/>
      <c r="M8" s="1762"/>
      <c r="N8" s="1763"/>
      <c r="O8" s="1764"/>
      <c r="P8" s="1750" t="str">
        <f t="shared" si="1"/>
        <v/>
      </c>
      <c r="Q8" s="1765" t="str">
        <f>IFERROR(VLOOKUP(N8,'金錢紀錄'!$AA$14:$AB$18,2,0)*M8/VLOOKUP(O8,'金錢紀錄'!$AA$14:$AB$18,2,0),"")</f>
        <v/>
      </c>
      <c r="R8" s="1766" t="str">
        <f t="shared" si="2"/>
        <v/>
      </c>
      <c r="S8" s="3"/>
      <c r="T8" s="1716"/>
      <c r="U8" s="1782">
        <f t="shared" ref="U8:U103" si="4">AND(F8="GP",C8="賣出")*E8*IF(G8="",1,G8)*0.5+AND(F8="GP",C8="收入") *E8  *IF(G8="",1,G8) + AND(F8="GP",OR(C8="買入",C8="支出")) *E8  *IF(G8="",1,G8)  * -1</f>
        <v>0</v>
      </c>
      <c r="V8" s="1782">
        <f t="shared" ref="V8:V103" si="5">AND(F8="SP",C8="賣出")*E8*IF(G8="",1,G8)*0.5+AND(F8="SP",C8="收入") *E8  *IF(G8="",1,G8) + AND(F8="SP",OR(C8="買入",C8="支出")) *E8  *IF(G8="",1,G8)  * -1</f>
        <v>0</v>
      </c>
      <c r="W8" s="1782">
        <f t="shared" ref="W8:W103" si="6">AND(F8="CP",C8="賣出")*E8*IF(G8="",1,G8)*0.5+AND(F8="CP",C8="收入") *E8  *IF(G8="",1,G8) + AND(F8="CP",OR(C8="買入",C8="支出")) *E8  *IF(G8="",1,G8)  * -1</f>
        <v>0</v>
      </c>
      <c r="X8" s="1782">
        <f t="shared" ref="X8:X103" si="7">AND(F8="PP",C8="賣出")*E8*IF(G8="",1,G8)*0.5+AND(F8="PP",C8="收入") *E8  *IF(G8="",1,G8) + AND(F8="PP",OR(C8="買入",C8="支出")) *E8  *IF(G8="",1,G8)  * -1</f>
        <v>0</v>
      </c>
      <c r="Y8" s="1782">
        <f t="shared" ref="Y8:Y103" si="8">AND(F8="EP",C8="賣出")*E8*IF(G8="",1,G8)*0.5+AND(F8="EP",C8="收入") *E8  *IF(G8="",1,G8) + AND(F8="EP",OR(C8="買入",C8="支出")) *E8  *IF(G8="",1,G8)  * -1</f>
        <v>0</v>
      </c>
    </row>
    <row r="9">
      <c r="A9" s="1716"/>
      <c r="B9" s="1723"/>
      <c r="C9" s="1783"/>
      <c r="D9" s="1784"/>
      <c r="E9" s="1784"/>
      <c r="F9" s="1784"/>
      <c r="G9" s="1784"/>
      <c r="H9" s="1785" t="str">
        <f t="shared" si="3"/>
        <v/>
      </c>
      <c r="I9" s="1786"/>
      <c r="J9" s="1781"/>
      <c r="K9" s="1716"/>
      <c r="L9" s="17"/>
      <c r="M9" s="1772"/>
      <c r="N9" s="1773"/>
      <c r="O9" s="1774"/>
      <c r="P9" s="1750" t="str">
        <f t="shared" si="1"/>
        <v/>
      </c>
      <c r="Q9" s="1775" t="str">
        <f>IFERROR(VLOOKUP(N9,'金錢紀錄'!$AA$14:$AB$18,2,0)*M9/VLOOKUP(O9,'金錢紀錄'!$AA$14:$AB$18,2,0),"")</f>
        <v/>
      </c>
      <c r="R9" s="1776" t="str">
        <f t="shared" si="2"/>
        <v/>
      </c>
      <c r="S9" s="3"/>
      <c r="T9" s="1716"/>
      <c r="U9" s="1787">
        <f t="shared" si="4"/>
        <v>0</v>
      </c>
      <c r="V9" s="1787">
        <f t="shared" si="5"/>
        <v>0</v>
      </c>
      <c r="W9" s="1787">
        <f t="shared" si="6"/>
        <v>0</v>
      </c>
      <c r="X9" s="1787">
        <f t="shared" si="7"/>
        <v>0</v>
      </c>
      <c r="Y9" s="1787">
        <f t="shared" si="8"/>
        <v>0</v>
      </c>
    </row>
    <row r="10">
      <c r="A10" s="1716"/>
      <c r="B10" s="1723"/>
      <c r="C10" s="1777"/>
      <c r="D10" s="1778"/>
      <c r="E10" s="1778"/>
      <c r="F10" s="1778"/>
      <c r="G10" s="1778"/>
      <c r="H10" s="1779" t="str">
        <f t="shared" si="3"/>
        <v/>
      </c>
      <c r="I10" s="1780"/>
      <c r="J10" s="1781"/>
      <c r="K10" s="1716"/>
      <c r="L10" s="17"/>
      <c r="M10" s="1762"/>
      <c r="N10" s="1763"/>
      <c r="O10" s="1764"/>
      <c r="P10" s="1750" t="str">
        <f t="shared" si="1"/>
        <v/>
      </c>
      <c r="Q10" s="1765" t="str">
        <f>IFERROR(VLOOKUP(N10,'金錢紀錄'!$AA$14:$AB$18,2,0)*M10/VLOOKUP(O10,'金錢紀錄'!$AA$14:$AB$18,2,0),"")</f>
        <v/>
      </c>
      <c r="R10" s="1766" t="str">
        <f t="shared" si="2"/>
        <v/>
      </c>
      <c r="S10" s="3"/>
      <c r="T10" s="1716"/>
      <c r="U10" s="1782">
        <f t="shared" si="4"/>
        <v>0</v>
      </c>
      <c r="V10" s="1782">
        <f t="shared" si="5"/>
        <v>0</v>
      </c>
      <c r="W10" s="1782">
        <f t="shared" si="6"/>
        <v>0</v>
      </c>
      <c r="X10" s="1782">
        <f t="shared" si="7"/>
        <v>0</v>
      </c>
      <c r="Y10" s="1782">
        <f t="shared" si="8"/>
        <v>0</v>
      </c>
    </row>
    <row r="11">
      <c r="A11" s="1716"/>
      <c r="B11" s="1723"/>
      <c r="C11" s="1783"/>
      <c r="D11" s="1784"/>
      <c r="E11" s="1784"/>
      <c r="F11" s="1784"/>
      <c r="G11" s="1784"/>
      <c r="H11" s="1785" t="str">
        <f t="shared" si="3"/>
        <v/>
      </c>
      <c r="I11" s="1786"/>
      <c r="J11" s="1781"/>
      <c r="K11" s="1716"/>
      <c r="L11" s="17"/>
      <c r="M11" s="1772"/>
      <c r="N11" s="1773"/>
      <c r="O11" s="1774"/>
      <c r="P11" s="1750" t="str">
        <f t="shared" si="1"/>
        <v/>
      </c>
      <c r="Q11" s="1775" t="str">
        <f>IFERROR(VLOOKUP(N11,'金錢紀錄'!$AA$14:$AB$18,2,0)*M11/VLOOKUP(O11,'金錢紀錄'!$AA$14:$AB$18,2,0),"")</f>
        <v/>
      </c>
      <c r="R11" s="1776" t="str">
        <f t="shared" si="2"/>
        <v/>
      </c>
      <c r="S11" s="3"/>
      <c r="T11" s="1716"/>
      <c r="U11" s="1787">
        <f t="shared" si="4"/>
        <v>0</v>
      </c>
      <c r="V11" s="1787">
        <f t="shared" si="5"/>
        <v>0</v>
      </c>
      <c r="W11" s="1787">
        <f t="shared" si="6"/>
        <v>0</v>
      </c>
      <c r="X11" s="1787">
        <f t="shared" si="7"/>
        <v>0</v>
      </c>
      <c r="Y11" s="1787">
        <f t="shared" si="8"/>
        <v>0</v>
      </c>
    </row>
    <row r="12">
      <c r="A12" s="1716"/>
      <c r="B12" s="1723"/>
      <c r="C12" s="1777"/>
      <c r="D12" s="1778"/>
      <c r="E12" s="1778"/>
      <c r="F12" s="1778"/>
      <c r="G12" s="1778"/>
      <c r="H12" s="1779" t="str">
        <f t="shared" si="3"/>
        <v/>
      </c>
      <c r="I12" s="1780"/>
      <c r="J12" s="1781"/>
      <c r="K12" s="1716"/>
      <c r="L12" s="17"/>
      <c r="M12" s="1762"/>
      <c r="N12" s="1763"/>
      <c r="O12" s="1764"/>
      <c r="P12" s="1750" t="str">
        <f t="shared" si="1"/>
        <v/>
      </c>
      <c r="Q12" s="1765" t="str">
        <f>IFERROR(VLOOKUP(N12,'金錢紀錄'!$AA$14:$AB$18,2,0)*M12/VLOOKUP(O12,'金錢紀錄'!$AA$14:$AB$18,2,0),"")</f>
        <v/>
      </c>
      <c r="R12" s="1766" t="str">
        <f t="shared" si="2"/>
        <v/>
      </c>
      <c r="S12" s="3"/>
      <c r="T12" s="1716"/>
      <c r="U12" s="1782">
        <f t="shared" si="4"/>
        <v>0</v>
      </c>
      <c r="V12" s="1782">
        <f t="shared" si="5"/>
        <v>0</v>
      </c>
      <c r="W12" s="1782">
        <f t="shared" si="6"/>
        <v>0</v>
      </c>
      <c r="X12" s="1782">
        <f t="shared" si="7"/>
        <v>0</v>
      </c>
      <c r="Y12" s="1782">
        <f t="shared" si="8"/>
        <v>0</v>
      </c>
      <c r="Z12" s="1767"/>
    </row>
    <row r="13">
      <c r="A13" s="1716"/>
      <c r="B13" s="1723"/>
      <c r="C13" s="1783"/>
      <c r="D13" s="1784"/>
      <c r="E13" s="1784"/>
      <c r="F13" s="1784"/>
      <c r="G13" s="1784"/>
      <c r="H13" s="1785" t="str">
        <f t="shared" si="3"/>
        <v/>
      </c>
      <c r="I13" s="1786"/>
      <c r="J13" s="1781"/>
      <c r="K13" s="1716"/>
      <c r="L13" s="17"/>
      <c r="M13" s="1772"/>
      <c r="N13" s="1773"/>
      <c r="O13" s="1774"/>
      <c r="P13" s="1750" t="str">
        <f t="shared" si="1"/>
        <v/>
      </c>
      <c r="Q13" s="1775" t="str">
        <f>IFERROR(VLOOKUP(N13,'金錢紀錄'!$AA$14:$AB$18,2,0)*M13/VLOOKUP(O13,'金錢紀錄'!$AA$14:$AB$18,2,0),"")</f>
        <v/>
      </c>
      <c r="R13" s="1776" t="str">
        <f t="shared" si="2"/>
        <v/>
      </c>
      <c r="S13" s="3"/>
      <c r="T13" s="1716"/>
      <c r="U13" s="1787">
        <f t="shared" si="4"/>
        <v>0</v>
      </c>
      <c r="V13" s="1787">
        <f t="shared" si="5"/>
        <v>0</v>
      </c>
      <c r="W13" s="1787">
        <f t="shared" si="6"/>
        <v>0</v>
      </c>
      <c r="X13" s="1787">
        <f t="shared" si="7"/>
        <v>0</v>
      </c>
      <c r="Y13" s="1787">
        <f t="shared" si="8"/>
        <v>0</v>
      </c>
      <c r="Z13" s="1788"/>
      <c r="AA13" s="1789" t="s">
        <v>4440</v>
      </c>
      <c r="AB13" s="20"/>
    </row>
    <row r="14">
      <c r="A14" s="1716"/>
      <c r="B14" s="1723"/>
      <c r="C14" s="1777"/>
      <c r="D14" s="1778"/>
      <c r="E14" s="1778"/>
      <c r="F14" s="1778"/>
      <c r="G14" s="1779"/>
      <c r="H14" s="1779" t="str">
        <f t="shared" si="3"/>
        <v/>
      </c>
      <c r="I14" s="1780"/>
      <c r="J14" s="1781"/>
      <c r="K14" s="1716"/>
      <c r="L14" s="17"/>
      <c r="M14" s="1762"/>
      <c r="N14" s="1763"/>
      <c r="O14" s="1764"/>
      <c r="P14" s="1750" t="str">
        <f t="shared" si="1"/>
        <v/>
      </c>
      <c r="Q14" s="1765" t="str">
        <f>IFERROR(VLOOKUP(N14,'金錢紀錄'!$AA$14:$AB$18,2,0)*M14/VLOOKUP(O14,'金錢紀錄'!$AA$14:$AB$18,2,0),"")</f>
        <v/>
      </c>
      <c r="R14" s="1766" t="str">
        <f t="shared" si="2"/>
        <v/>
      </c>
      <c r="S14" s="3"/>
      <c r="T14" s="1716"/>
      <c r="U14" s="1782">
        <f t="shared" si="4"/>
        <v>0</v>
      </c>
      <c r="V14" s="1782">
        <f t="shared" si="5"/>
        <v>0</v>
      </c>
      <c r="W14" s="1782">
        <f t="shared" si="6"/>
        <v>0</v>
      </c>
      <c r="X14" s="1782">
        <f t="shared" si="7"/>
        <v>0</v>
      </c>
      <c r="Y14" s="1782">
        <f t="shared" si="8"/>
        <v>0</v>
      </c>
      <c r="Z14" s="1788"/>
      <c r="AA14" s="1790" t="s">
        <v>4441</v>
      </c>
      <c r="AB14" s="1790">
        <v>10.0</v>
      </c>
    </row>
    <row r="15">
      <c r="A15" s="1716"/>
      <c r="B15" s="1723"/>
      <c r="C15" s="1783"/>
      <c r="D15" s="1785"/>
      <c r="E15" s="1784"/>
      <c r="F15" s="1784"/>
      <c r="G15" s="1784"/>
      <c r="H15" s="1785" t="str">
        <f t="shared" si="3"/>
        <v/>
      </c>
      <c r="I15" s="1786"/>
      <c r="J15" s="1781"/>
      <c r="K15" s="1716"/>
      <c r="L15" s="17"/>
      <c r="M15" s="1772"/>
      <c r="N15" s="1773"/>
      <c r="O15" s="1774"/>
      <c r="P15" s="1750" t="str">
        <f t="shared" si="1"/>
        <v/>
      </c>
      <c r="Q15" s="1775" t="str">
        <f>IFERROR(VLOOKUP(N15,'金錢紀錄'!$AA$14:$AB$18,2,0)*M15/VLOOKUP(O15,'金錢紀錄'!$AA$14:$AB$18,2,0),"")</f>
        <v/>
      </c>
      <c r="R15" s="1776" t="str">
        <f t="shared" si="2"/>
        <v/>
      </c>
      <c r="S15" s="3"/>
      <c r="T15" s="1716"/>
      <c r="U15" s="1787">
        <f t="shared" si="4"/>
        <v>0</v>
      </c>
      <c r="V15" s="1787">
        <f t="shared" si="5"/>
        <v>0</v>
      </c>
      <c r="W15" s="1787">
        <f t="shared" si="6"/>
        <v>0</v>
      </c>
      <c r="X15" s="1787">
        <f t="shared" si="7"/>
        <v>0</v>
      </c>
      <c r="Y15" s="1787">
        <f t="shared" si="8"/>
        <v>0</v>
      </c>
      <c r="Z15" s="1788"/>
      <c r="AA15" s="1790" t="s">
        <v>4437</v>
      </c>
      <c r="AB15" s="1790">
        <v>1.0</v>
      </c>
    </row>
    <row r="16">
      <c r="A16" s="1716"/>
      <c r="B16" s="1723"/>
      <c r="C16" s="1777"/>
      <c r="D16" s="1779"/>
      <c r="E16" s="1779"/>
      <c r="F16" s="1779"/>
      <c r="G16" s="1779"/>
      <c r="H16" s="1779" t="str">
        <f t="shared" si="3"/>
        <v/>
      </c>
      <c r="I16" s="1780"/>
      <c r="J16" s="1781"/>
      <c r="K16" s="1716"/>
      <c r="L16" s="17"/>
      <c r="M16" s="1762"/>
      <c r="N16" s="1763"/>
      <c r="O16" s="1764"/>
      <c r="P16" s="1750" t="str">
        <f t="shared" si="1"/>
        <v/>
      </c>
      <c r="Q16" s="1765" t="str">
        <f>IFERROR(VLOOKUP(N16,'金錢紀錄'!$AA$14:$AB$18,2,0)*M16/VLOOKUP(O16,'金錢紀錄'!$AA$14:$AB$18,2,0),"")</f>
        <v/>
      </c>
      <c r="R16" s="1766" t="str">
        <f t="shared" si="2"/>
        <v/>
      </c>
      <c r="S16" s="3"/>
      <c r="T16" s="1716"/>
      <c r="U16" s="1782">
        <f t="shared" si="4"/>
        <v>0</v>
      </c>
      <c r="V16" s="1782">
        <f t="shared" si="5"/>
        <v>0</v>
      </c>
      <c r="W16" s="1782">
        <f t="shared" si="6"/>
        <v>0</v>
      </c>
      <c r="X16" s="1782">
        <f t="shared" si="7"/>
        <v>0</v>
      </c>
      <c r="Y16" s="1782">
        <f t="shared" si="8"/>
        <v>0</v>
      </c>
      <c r="Z16" s="1788"/>
      <c r="AA16" s="1790" t="s">
        <v>4442</v>
      </c>
      <c r="AB16" s="1790">
        <v>0.5</v>
      </c>
    </row>
    <row r="17">
      <c r="A17" s="1716"/>
      <c r="B17" s="1723"/>
      <c r="C17" s="1783"/>
      <c r="D17" s="1785"/>
      <c r="E17" s="1784"/>
      <c r="F17" s="1784"/>
      <c r="G17" s="1784"/>
      <c r="H17" s="1785" t="str">
        <f t="shared" si="3"/>
        <v/>
      </c>
      <c r="I17" s="1786"/>
      <c r="J17" s="1781"/>
      <c r="K17" s="1716"/>
      <c r="L17" s="17"/>
      <c r="M17" s="1772"/>
      <c r="N17" s="1773"/>
      <c r="O17" s="1774"/>
      <c r="P17" s="1750" t="str">
        <f t="shared" si="1"/>
        <v/>
      </c>
      <c r="Q17" s="1775" t="str">
        <f>IFERROR(VLOOKUP(N17,'金錢紀錄'!$AA$14:$AB$18,2,0)*M17/VLOOKUP(O17,'金錢紀錄'!$AA$14:$AB$18,2,0),"")</f>
        <v/>
      </c>
      <c r="R17" s="1776" t="str">
        <f t="shared" si="2"/>
        <v/>
      </c>
      <c r="S17" s="3"/>
      <c r="T17" s="1716"/>
      <c r="U17" s="1787">
        <f t="shared" si="4"/>
        <v>0</v>
      </c>
      <c r="V17" s="1787">
        <f t="shared" si="5"/>
        <v>0</v>
      </c>
      <c r="W17" s="1787">
        <f t="shared" si="6"/>
        <v>0</v>
      </c>
      <c r="X17" s="1787">
        <f t="shared" si="7"/>
        <v>0</v>
      </c>
      <c r="Y17" s="1787">
        <f t="shared" si="8"/>
        <v>0</v>
      </c>
      <c r="Z17" s="1788"/>
      <c r="AA17" s="1790" t="s">
        <v>4443</v>
      </c>
      <c r="AB17" s="1790">
        <v>0.1</v>
      </c>
    </row>
    <row r="18">
      <c r="A18" s="1716"/>
      <c r="B18" s="1723"/>
      <c r="C18" s="1777"/>
      <c r="D18" s="1779"/>
      <c r="E18" s="1779"/>
      <c r="F18" s="1779"/>
      <c r="G18" s="1779"/>
      <c r="H18" s="1779" t="str">
        <f t="shared" si="3"/>
        <v/>
      </c>
      <c r="I18" s="1780"/>
      <c r="J18" s="1781"/>
      <c r="K18" s="1716"/>
      <c r="L18" s="17"/>
      <c r="M18" s="1762"/>
      <c r="N18" s="1763"/>
      <c r="O18" s="1764"/>
      <c r="P18" s="1750" t="str">
        <f t="shared" si="1"/>
        <v/>
      </c>
      <c r="Q18" s="1765" t="str">
        <f>IFERROR(VLOOKUP(N18,'金錢紀錄'!$AA$14:$AB$18,2,0)*M18/VLOOKUP(O18,'金錢紀錄'!$AA$14:$AB$18,2,0),"")</f>
        <v/>
      </c>
      <c r="R18" s="1766" t="str">
        <f t="shared" si="2"/>
        <v/>
      </c>
      <c r="S18" s="3"/>
      <c r="T18" s="1716"/>
      <c r="U18" s="1782">
        <f t="shared" si="4"/>
        <v>0</v>
      </c>
      <c r="V18" s="1782">
        <f t="shared" si="5"/>
        <v>0</v>
      </c>
      <c r="W18" s="1782">
        <f t="shared" si="6"/>
        <v>0</v>
      </c>
      <c r="X18" s="1782">
        <f t="shared" si="7"/>
        <v>0</v>
      </c>
      <c r="Y18" s="1782">
        <f t="shared" si="8"/>
        <v>0</v>
      </c>
      <c r="Z18" s="1788"/>
      <c r="AA18" s="1790" t="s">
        <v>4444</v>
      </c>
      <c r="AB18" s="1790">
        <v>0.01</v>
      </c>
    </row>
    <row r="19">
      <c r="A19" s="1716"/>
      <c r="B19" s="1723"/>
      <c r="C19" s="1783"/>
      <c r="D19" s="1785"/>
      <c r="E19" s="1784"/>
      <c r="F19" s="1784"/>
      <c r="G19" s="1784"/>
      <c r="H19" s="1785" t="str">
        <f t="shared" si="3"/>
        <v/>
      </c>
      <c r="I19" s="1786"/>
      <c r="J19" s="1781"/>
      <c r="K19" s="1716"/>
      <c r="L19" s="17"/>
      <c r="M19" s="1772"/>
      <c r="N19" s="1773"/>
      <c r="O19" s="1774"/>
      <c r="P19" s="1750" t="str">
        <f t="shared" si="1"/>
        <v/>
      </c>
      <c r="Q19" s="1775" t="str">
        <f>IFERROR(VLOOKUP(N19,'金錢紀錄'!$AA$14:$AB$18,2,0)*M19/VLOOKUP(O19,'金錢紀錄'!$AA$14:$AB$18,2,0),"")</f>
        <v/>
      </c>
      <c r="R19" s="1776" t="str">
        <f t="shared" si="2"/>
        <v/>
      </c>
      <c r="S19" s="3"/>
      <c r="T19" s="1716"/>
      <c r="U19" s="1787">
        <f t="shared" si="4"/>
        <v>0</v>
      </c>
      <c r="V19" s="1787">
        <f t="shared" si="5"/>
        <v>0</v>
      </c>
      <c r="W19" s="1787">
        <f t="shared" si="6"/>
        <v>0</v>
      </c>
      <c r="X19" s="1787">
        <f t="shared" si="7"/>
        <v>0</v>
      </c>
      <c r="Y19" s="1787">
        <f t="shared" si="8"/>
        <v>0</v>
      </c>
      <c r="Z19" s="1788"/>
    </row>
    <row r="20">
      <c r="A20" s="1716"/>
      <c r="B20" s="1723"/>
      <c r="C20" s="1777"/>
      <c r="D20" s="1779"/>
      <c r="E20" s="1779"/>
      <c r="F20" s="1779"/>
      <c r="G20" s="1779"/>
      <c r="H20" s="1779" t="str">
        <f t="shared" si="3"/>
        <v/>
      </c>
      <c r="I20" s="1780"/>
      <c r="J20" s="1781"/>
      <c r="K20" s="1716"/>
      <c r="L20" s="17"/>
      <c r="M20" s="1762"/>
      <c r="N20" s="1763"/>
      <c r="O20" s="1764"/>
      <c r="P20" s="1750" t="str">
        <f t="shared" si="1"/>
        <v/>
      </c>
      <c r="Q20" s="1765" t="str">
        <f>IFERROR(VLOOKUP(N20,'金錢紀錄'!$AA$14:$AB$18,2,0)*M20/VLOOKUP(O20,'金錢紀錄'!$AA$14:$AB$18,2,0),"")</f>
        <v/>
      </c>
      <c r="R20" s="1766" t="str">
        <f t="shared" si="2"/>
        <v/>
      </c>
      <c r="S20" s="3"/>
      <c r="T20" s="1716"/>
      <c r="U20" s="1782">
        <f t="shared" si="4"/>
        <v>0</v>
      </c>
      <c r="V20" s="1782">
        <f t="shared" si="5"/>
        <v>0</v>
      </c>
      <c r="W20" s="1782">
        <f t="shared" si="6"/>
        <v>0</v>
      </c>
      <c r="X20" s="1782">
        <f t="shared" si="7"/>
        <v>0</v>
      </c>
      <c r="Y20" s="1782">
        <f t="shared" si="8"/>
        <v>0</v>
      </c>
      <c r="Z20" s="1788"/>
    </row>
    <row r="21">
      <c r="A21" s="1716"/>
      <c r="B21" s="1723"/>
      <c r="C21" s="1783"/>
      <c r="D21" s="1785"/>
      <c r="E21" s="1784"/>
      <c r="F21" s="1784"/>
      <c r="G21" s="1784"/>
      <c r="H21" s="1785" t="str">
        <f t="shared" si="3"/>
        <v/>
      </c>
      <c r="I21" s="1786"/>
      <c r="J21" s="1781"/>
      <c r="K21" s="1716"/>
      <c r="L21" s="17"/>
      <c r="M21" s="1772"/>
      <c r="N21" s="1773"/>
      <c r="O21" s="1774"/>
      <c r="P21" s="1750" t="str">
        <f t="shared" si="1"/>
        <v/>
      </c>
      <c r="Q21" s="1775" t="str">
        <f>IFERROR(VLOOKUP(N21,'金錢紀錄'!$AA$14:$AB$18,2,0)*M21/VLOOKUP(O21,'金錢紀錄'!$AA$14:$AB$18,2,0),"")</f>
        <v/>
      </c>
      <c r="R21" s="1776" t="str">
        <f t="shared" si="2"/>
        <v/>
      </c>
      <c r="S21" s="3"/>
      <c r="T21" s="1716"/>
      <c r="U21" s="1787">
        <f t="shared" si="4"/>
        <v>0</v>
      </c>
      <c r="V21" s="1787">
        <f t="shared" si="5"/>
        <v>0</v>
      </c>
      <c r="W21" s="1787">
        <f t="shared" si="6"/>
        <v>0</v>
      </c>
      <c r="X21" s="1787">
        <f t="shared" si="7"/>
        <v>0</v>
      </c>
      <c r="Y21" s="1787">
        <f t="shared" si="8"/>
        <v>0</v>
      </c>
      <c r="Z21" s="1788"/>
    </row>
    <row r="22">
      <c r="A22" s="1716"/>
      <c r="B22" s="1723"/>
      <c r="C22" s="1777"/>
      <c r="D22" s="1779"/>
      <c r="E22" s="1779"/>
      <c r="F22" s="1779"/>
      <c r="G22" s="1779"/>
      <c r="H22" s="1779" t="str">
        <f t="shared" si="3"/>
        <v/>
      </c>
      <c r="I22" s="1780"/>
      <c r="J22" s="1781"/>
      <c r="K22" s="1716"/>
      <c r="L22" s="17"/>
      <c r="M22" s="1762"/>
      <c r="N22" s="1763"/>
      <c r="O22" s="1764"/>
      <c r="P22" s="1750" t="str">
        <f t="shared" si="1"/>
        <v/>
      </c>
      <c r="Q22" s="1765" t="str">
        <f>IFERROR(VLOOKUP(N22,'金錢紀錄'!$AA$14:$AB$18,2,0)*M22/VLOOKUP(O22,'金錢紀錄'!$AA$14:$AB$18,2,0),"")</f>
        <v/>
      </c>
      <c r="R22" s="1766" t="str">
        <f t="shared" si="2"/>
        <v/>
      </c>
      <c r="S22" s="3"/>
      <c r="T22" s="1716"/>
      <c r="U22" s="1782">
        <f t="shared" si="4"/>
        <v>0</v>
      </c>
      <c r="V22" s="1782">
        <f t="shared" si="5"/>
        <v>0</v>
      </c>
      <c r="W22" s="1782">
        <f t="shared" si="6"/>
        <v>0</v>
      </c>
      <c r="X22" s="1782">
        <f t="shared" si="7"/>
        <v>0</v>
      </c>
      <c r="Y22" s="1782">
        <f t="shared" si="8"/>
        <v>0</v>
      </c>
      <c r="Z22" s="1788"/>
    </row>
    <row r="23">
      <c r="A23" s="1716"/>
      <c r="B23" s="1723"/>
      <c r="C23" s="1783"/>
      <c r="D23" s="1785"/>
      <c r="E23" s="1784"/>
      <c r="F23" s="1784"/>
      <c r="G23" s="1784"/>
      <c r="H23" s="1785" t="str">
        <f t="shared" si="3"/>
        <v/>
      </c>
      <c r="I23" s="1786"/>
      <c r="J23" s="1781"/>
      <c r="K23" s="1716"/>
      <c r="L23" s="17"/>
      <c r="M23" s="1772"/>
      <c r="N23" s="1773"/>
      <c r="O23" s="1774"/>
      <c r="P23" s="1750" t="str">
        <f t="shared" si="1"/>
        <v/>
      </c>
      <c r="Q23" s="1775" t="str">
        <f>IFERROR(VLOOKUP(N23,'金錢紀錄'!$AA$14:$AB$18,2,0)*M23/VLOOKUP(O23,'金錢紀錄'!$AA$14:$AB$18,2,0),"")</f>
        <v/>
      </c>
      <c r="R23" s="1776" t="str">
        <f t="shared" si="2"/>
        <v/>
      </c>
      <c r="S23" s="3"/>
      <c r="T23" s="1716"/>
      <c r="U23" s="1787">
        <f t="shared" si="4"/>
        <v>0</v>
      </c>
      <c r="V23" s="1787">
        <f t="shared" si="5"/>
        <v>0</v>
      </c>
      <c r="W23" s="1787">
        <f t="shared" si="6"/>
        <v>0</v>
      </c>
      <c r="X23" s="1787">
        <f t="shared" si="7"/>
        <v>0</v>
      </c>
      <c r="Y23" s="1787">
        <f t="shared" si="8"/>
        <v>0</v>
      </c>
      <c r="Z23" s="1788"/>
    </row>
    <row r="24">
      <c r="A24" s="1716"/>
      <c r="B24" s="1723"/>
      <c r="C24" s="1777"/>
      <c r="D24" s="1779"/>
      <c r="E24" s="1779"/>
      <c r="F24" s="1779"/>
      <c r="G24" s="1779"/>
      <c r="H24" s="1779" t="str">
        <f t="shared" si="3"/>
        <v/>
      </c>
      <c r="I24" s="1780"/>
      <c r="J24" s="1781"/>
      <c r="K24" s="1716"/>
      <c r="L24" s="17"/>
      <c r="M24" s="1762"/>
      <c r="N24" s="1763"/>
      <c r="O24" s="1764"/>
      <c r="P24" s="1750" t="str">
        <f t="shared" si="1"/>
        <v/>
      </c>
      <c r="Q24" s="1765" t="str">
        <f>IFERROR(VLOOKUP(N24,'金錢紀錄'!$AA$14:$AB$18,2,0)*M24/VLOOKUP(O24,'金錢紀錄'!$AA$14:$AB$18,2,0),"")</f>
        <v/>
      </c>
      <c r="R24" s="1766" t="str">
        <f t="shared" si="2"/>
        <v/>
      </c>
      <c r="S24" s="3"/>
      <c r="T24" s="1716"/>
      <c r="U24" s="1782">
        <f t="shared" si="4"/>
        <v>0</v>
      </c>
      <c r="V24" s="1782">
        <f t="shared" si="5"/>
        <v>0</v>
      </c>
      <c r="W24" s="1782">
        <f t="shared" si="6"/>
        <v>0</v>
      </c>
      <c r="X24" s="1782">
        <f t="shared" si="7"/>
        <v>0</v>
      </c>
      <c r="Y24" s="1782">
        <f t="shared" si="8"/>
        <v>0</v>
      </c>
      <c r="Z24" s="1788"/>
    </row>
    <row r="25">
      <c r="A25" s="1716"/>
      <c r="B25" s="1723"/>
      <c r="C25" s="1783"/>
      <c r="D25" s="1785"/>
      <c r="E25" s="1784"/>
      <c r="F25" s="1784"/>
      <c r="G25" s="1784"/>
      <c r="H25" s="1785" t="str">
        <f t="shared" si="3"/>
        <v/>
      </c>
      <c r="I25" s="1786"/>
      <c r="J25" s="1781"/>
      <c r="K25" s="1716"/>
      <c r="L25" s="17"/>
      <c r="M25" s="1772"/>
      <c r="N25" s="1773"/>
      <c r="O25" s="1774"/>
      <c r="P25" s="1750" t="str">
        <f t="shared" si="1"/>
        <v/>
      </c>
      <c r="Q25" s="1775" t="str">
        <f>IFERROR(VLOOKUP(N25,'金錢紀錄'!$AA$14:$AB$18,2,0)*M25/VLOOKUP(O25,'金錢紀錄'!$AA$14:$AB$18,2,0),"")</f>
        <v/>
      </c>
      <c r="R25" s="1776" t="str">
        <f t="shared" si="2"/>
        <v/>
      </c>
      <c r="S25" s="3"/>
      <c r="T25" s="1716"/>
      <c r="U25" s="1787">
        <f t="shared" si="4"/>
        <v>0</v>
      </c>
      <c r="V25" s="1787">
        <f t="shared" si="5"/>
        <v>0</v>
      </c>
      <c r="W25" s="1787">
        <f t="shared" si="6"/>
        <v>0</v>
      </c>
      <c r="X25" s="1787">
        <f t="shared" si="7"/>
        <v>0</v>
      </c>
      <c r="Y25" s="1787">
        <f t="shared" si="8"/>
        <v>0</v>
      </c>
      <c r="Z25" s="1788"/>
    </row>
    <row r="26">
      <c r="A26" s="1716"/>
      <c r="B26" s="1723"/>
      <c r="C26" s="1777"/>
      <c r="D26" s="1779"/>
      <c r="E26" s="1779"/>
      <c r="F26" s="1779"/>
      <c r="G26" s="1779"/>
      <c r="H26" s="1779" t="str">
        <f t="shared" si="3"/>
        <v/>
      </c>
      <c r="I26" s="1780"/>
      <c r="J26" s="1781"/>
      <c r="K26" s="1716"/>
      <c r="L26" s="17"/>
      <c r="M26" s="1762"/>
      <c r="N26" s="1763"/>
      <c r="O26" s="1764"/>
      <c r="P26" s="1750" t="str">
        <f t="shared" si="1"/>
        <v/>
      </c>
      <c r="Q26" s="1765" t="str">
        <f>IFERROR(VLOOKUP(N26,'金錢紀錄'!$AA$14:$AB$18,2,0)*M26/VLOOKUP(O26,'金錢紀錄'!$AA$14:$AB$18,2,0),"")</f>
        <v/>
      </c>
      <c r="R26" s="1766" t="str">
        <f t="shared" si="2"/>
        <v/>
      </c>
      <c r="S26" s="3"/>
      <c r="T26" s="1716"/>
      <c r="U26" s="1782">
        <f t="shared" si="4"/>
        <v>0</v>
      </c>
      <c r="V26" s="1782">
        <f t="shared" si="5"/>
        <v>0</v>
      </c>
      <c r="W26" s="1782">
        <f t="shared" si="6"/>
        <v>0</v>
      </c>
      <c r="X26" s="1782">
        <f t="shared" si="7"/>
        <v>0</v>
      </c>
      <c r="Y26" s="1782">
        <f t="shared" si="8"/>
        <v>0</v>
      </c>
      <c r="Z26" s="1788"/>
    </row>
    <row r="27">
      <c r="A27" s="1716"/>
      <c r="B27" s="1723"/>
      <c r="C27" s="1783"/>
      <c r="D27" s="1785"/>
      <c r="E27" s="1784"/>
      <c r="F27" s="1784"/>
      <c r="G27" s="1784"/>
      <c r="H27" s="1785" t="str">
        <f t="shared" si="3"/>
        <v/>
      </c>
      <c r="I27" s="1786"/>
      <c r="J27" s="1781"/>
      <c r="K27" s="1716"/>
      <c r="L27" s="17"/>
      <c r="M27" s="1772"/>
      <c r="N27" s="1773"/>
      <c r="O27" s="1774"/>
      <c r="P27" s="1750" t="str">
        <f t="shared" si="1"/>
        <v/>
      </c>
      <c r="Q27" s="1775" t="str">
        <f>IFERROR(VLOOKUP(N27,'金錢紀錄'!$AA$14:$AB$18,2,0)*M27/VLOOKUP(O27,'金錢紀錄'!$AA$14:$AB$18,2,0),"")</f>
        <v/>
      </c>
      <c r="R27" s="1776" t="str">
        <f t="shared" si="2"/>
        <v/>
      </c>
      <c r="S27" s="3"/>
      <c r="T27" s="1716"/>
      <c r="U27" s="1787">
        <f t="shared" si="4"/>
        <v>0</v>
      </c>
      <c r="V27" s="1787">
        <f t="shared" si="5"/>
        <v>0</v>
      </c>
      <c r="W27" s="1787">
        <f t="shared" si="6"/>
        <v>0</v>
      </c>
      <c r="X27" s="1787">
        <f t="shared" si="7"/>
        <v>0</v>
      </c>
      <c r="Y27" s="1787">
        <f t="shared" si="8"/>
        <v>0</v>
      </c>
      <c r="Z27" s="1788"/>
    </row>
    <row r="28" collapsed="1">
      <c r="A28" s="1716"/>
      <c r="B28" s="1723"/>
      <c r="C28" s="1777"/>
      <c r="D28" s="1779"/>
      <c r="E28" s="1779"/>
      <c r="F28" s="1779"/>
      <c r="G28" s="1779"/>
      <c r="H28" s="1779" t="str">
        <f t="shared" si="3"/>
        <v/>
      </c>
      <c r="I28" s="1780"/>
      <c r="J28" s="1781"/>
      <c r="K28" s="1716"/>
      <c r="L28" s="17"/>
      <c r="M28" s="1762"/>
      <c r="N28" s="1763"/>
      <c r="O28" s="1764"/>
      <c r="P28" s="1750" t="str">
        <f t="shared" si="1"/>
        <v/>
      </c>
      <c r="Q28" s="1765" t="str">
        <f>IFERROR(VLOOKUP(N28,'金錢紀錄'!$AA$14:$AB$18,2,0)*M28/VLOOKUP(O28,'金錢紀錄'!$AA$14:$AB$18,2,0),"")</f>
        <v/>
      </c>
      <c r="R28" s="1766" t="str">
        <f t="shared" si="2"/>
        <v/>
      </c>
      <c r="S28" s="3"/>
      <c r="T28" s="1716"/>
      <c r="U28" s="1782">
        <f t="shared" si="4"/>
        <v>0</v>
      </c>
      <c r="V28" s="1782">
        <f t="shared" si="5"/>
        <v>0</v>
      </c>
      <c r="W28" s="1782">
        <f t="shared" si="6"/>
        <v>0</v>
      </c>
      <c r="X28" s="1782">
        <f t="shared" si="7"/>
        <v>0</v>
      </c>
      <c r="Y28" s="1782">
        <f t="shared" si="8"/>
        <v>0</v>
      </c>
      <c r="Z28" s="1788"/>
    </row>
    <row r="29" hidden="1" outlineLevel="1">
      <c r="A29" s="1716"/>
      <c r="B29" s="1723"/>
      <c r="C29" s="1783"/>
      <c r="D29" s="1785"/>
      <c r="E29" s="1784"/>
      <c r="F29" s="1784"/>
      <c r="G29" s="1784"/>
      <c r="H29" s="1785" t="str">
        <f t="shared" si="3"/>
        <v/>
      </c>
      <c r="I29" s="1786"/>
      <c r="J29" s="1781"/>
      <c r="K29" s="1716"/>
      <c r="L29" s="17"/>
      <c r="M29" s="1772"/>
      <c r="N29" s="1773"/>
      <c r="O29" s="1774"/>
      <c r="P29" s="1750" t="str">
        <f t="shared" si="1"/>
        <v/>
      </c>
      <c r="Q29" s="1775" t="str">
        <f>IFERROR(VLOOKUP(N29,'金錢紀錄'!$AA$14:$AB$18,2,0)*M29/VLOOKUP(O29,'金錢紀錄'!$AA$14:$AB$18,2,0),"")</f>
        <v/>
      </c>
      <c r="R29" s="1776" t="str">
        <f t="shared" si="2"/>
        <v/>
      </c>
      <c r="S29" s="3"/>
      <c r="T29" s="1716"/>
      <c r="U29" s="1787">
        <f t="shared" si="4"/>
        <v>0</v>
      </c>
      <c r="V29" s="1787">
        <f t="shared" si="5"/>
        <v>0</v>
      </c>
      <c r="W29" s="1787">
        <f t="shared" si="6"/>
        <v>0</v>
      </c>
      <c r="X29" s="1787">
        <f t="shared" si="7"/>
        <v>0</v>
      </c>
      <c r="Y29" s="1787">
        <f t="shared" si="8"/>
        <v>0</v>
      </c>
      <c r="Z29" s="1788"/>
    </row>
    <row r="30" hidden="1" outlineLevel="1">
      <c r="A30" s="1716"/>
      <c r="B30" s="1723"/>
      <c r="C30" s="1777"/>
      <c r="D30" s="1779"/>
      <c r="E30" s="1779"/>
      <c r="F30" s="1779"/>
      <c r="G30" s="1779"/>
      <c r="H30" s="1779" t="str">
        <f t="shared" si="3"/>
        <v/>
      </c>
      <c r="I30" s="1780"/>
      <c r="J30" s="1781"/>
      <c r="K30" s="1716"/>
      <c r="L30" s="17"/>
      <c r="M30" s="1762"/>
      <c r="N30" s="1763"/>
      <c r="O30" s="1764"/>
      <c r="P30" s="1750" t="str">
        <f t="shared" si="1"/>
        <v/>
      </c>
      <c r="Q30" s="1765" t="str">
        <f>IFERROR(VLOOKUP(N30,'金錢紀錄'!$AA$14:$AB$18,2,0)*M30/VLOOKUP(O30,'金錢紀錄'!$AA$14:$AB$18,2,0),"")</f>
        <v/>
      </c>
      <c r="R30" s="1766" t="str">
        <f t="shared" si="2"/>
        <v/>
      </c>
      <c r="S30" s="3"/>
      <c r="T30" s="1716"/>
      <c r="U30" s="1782">
        <f t="shared" si="4"/>
        <v>0</v>
      </c>
      <c r="V30" s="1782">
        <f t="shared" si="5"/>
        <v>0</v>
      </c>
      <c r="W30" s="1782">
        <f t="shared" si="6"/>
        <v>0</v>
      </c>
      <c r="X30" s="1782">
        <f t="shared" si="7"/>
        <v>0</v>
      </c>
      <c r="Y30" s="1782">
        <f t="shared" si="8"/>
        <v>0</v>
      </c>
      <c r="Z30" s="1788"/>
    </row>
    <row r="31" hidden="1" outlineLevel="1">
      <c r="A31" s="1716"/>
      <c r="B31" s="1723"/>
      <c r="C31" s="1783"/>
      <c r="D31" s="1785"/>
      <c r="E31" s="1784"/>
      <c r="F31" s="1784"/>
      <c r="G31" s="1784"/>
      <c r="H31" s="1785" t="str">
        <f t="shared" si="3"/>
        <v/>
      </c>
      <c r="I31" s="1786"/>
      <c r="J31" s="1781"/>
      <c r="K31" s="1716"/>
      <c r="L31" s="17"/>
      <c r="M31" s="1772"/>
      <c r="N31" s="1773"/>
      <c r="O31" s="1774"/>
      <c r="P31" s="1750" t="str">
        <f t="shared" si="1"/>
        <v/>
      </c>
      <c r="Q31" s="1775" t="str">
        <f>IFERROR(VLOOKUP(N31,'金錢紀錄'!$AA$14:$AB$18,2,0)*M31/VLOOKUP(O31,'金錢紀錄'!$AA$14:$AB$18,2,0),"")</f>
        <v/>
      </c>
      <c r="R31" s="1776" t="str">
        <f t="shared" si="2"/>
        <v/>
      </c>
      <c r="S31" s="3"/>
      <c r="T31" s="1716"/>
      <c r="U31" s="1787">
        <f t="shared" si="4"/>
        <v>0</v>
      </c>
      <c r="V31" s="1787">
        <f t="shared" si="5"/>
        <v>0</v>
      </c>
      <c r="W31" s="1787">
        <f t="shared" si="6"/>
        <v>0</v>
      </c>
      <c r="X31" s="1787">
        <f t="shared" si="7"/>
        <v>0</v>
      </c>
      <c r="Y31" s="1787">
        <f t="shared" si="8"/>
        <v>0</v>
      </c>
      <c r="Z31" s="1788"/>
    </row>
    <row r="32" hidden="1" outlineLevel="1">
      <c r="A32" s="1716"/>
      <c r="B32" s="1723"/>
      <c r="C32" s="1777"/>
      <c r="D32" s="1779"/>
      <c r="E32" s="1779"/>
      <c r="F32" s="1779"/>
      <c r="G32" s="1779"/>
      <c r="H32" s="1779" t="str">
        <f t="shared" si="3"/>
        <v/>
      </c>
      <c r="I32" s="1780"/>
      <c r="J32" s="1781"/>
      <c r="K32" s="1716"/>
      <c r="L32" s="17"/>
      <c r="M32" s="1762"/>
      <c r="N32" s="1763"/>
      <c r="O32" s="1764"/>
      <c r="P32" s="1750" t="str">
        <f t="shared" si="1"/>
        <v/>
      </c>
      <c r="Q32" s="1765" t="str">
        <f>IFERROR(VLOOKUP(N32,'金錢紀錄'!$AA$14:$AB$18,2,0)*M32/VLOOKUP(O32,'金錢紀錄'!$AA$14:$AB$18,2,0),"")</f>
        <v/>
      </c>
      <c r="R32" s="1766" t="str">
        <f t="shared" si="2"/>
        <v/>
      </c>
      <c r="S32" s="3"/>
      <c r="T32" s="1716"/>
      <c r="U32" s="1782">
        <f t="shared" si="4"/>
        <v>0</v>
      </c>
      <c r="V32" s="1782">
        <f t="shared" si="5"/>
        <v>0</v>
      </c>
      <c r="W32" s="1782">
        <f t="shared" si="6"/>
        <v>0</v>
      </c>
      <c r="X32" s="1782">
        <f t="shared" si="7"/>
        <v>0</v>
      </c>
      <c r="Y32" s="1782">
        <f t="shared" si="8"/>
        <v>0</v>
      </c>
      <c r="Z32" s="1788"/>
    </row>
    <row r="33" hidden="1" outlineLevel="1">
      <c r="A33" s="1716"/>
      <c r="B33" s="1723"/>
      <c r="C33" s="1783"/>
      <c r="D33" s="1785"/>
      <c r="E33" s="1784"/>
      <c r="F33" s="1784"/>
      <c r="G33" s="1784"/>
      <c r="H33" s="1785" t="str">
        <f t="shared" si="3"/>
        <v/>
      </c>
      <c r="I33" s="1786"/>
      <c r="J33" s="1781"/>
      <c r="K33" s="1716"/>
      <c r="L33" s="17"/>
      <c r="M33" s="1772"/>
      <c r="N33" s="1773"/>
      <c r="O33" s="1774"/>
      <c r="P33" s="1750" t="str">
        <f t="shared" si="1"/>
        <v/>
      </c>
      <c r="Q33" s="1775" t="str">
        <f>IFERROR(VLOOKUP(N33,'金錢紀錄'!$AA$14:$AB$18,2,0)*M33/VLOOKUP(O33,'金錢紀錄'!$AA$14:$AB$18,2,0),"")</f>
        <v/>
      </c>
      <c r="R33" s="1776" t="str">
        <f t="shared" si="2"/>
        <v/>
      </c>
      <c r="S33" s="3"/>
      <c r="T33" s="1716"/>
      <c r="U33" s="1787">
        <f t="shared" si="4"/>
        <v>0</v>
      </c>
      <c r="V33" s="1787">
        <f t="shared" si="5"/>
        <v>0</v>
      </c>
      <c r="W33" s="1787">
        <f t="shared" si="6"/>
        <v>0</v>
      </c>
      <c r="X33" s="1787">
        <f t="shared" si="7"/>
        <v>0</v>
      </c>
      <c r="Y33" s="1787">
        <f t="shared" si="8"/>
        <v>0</v>
      </c>
      <c r="Z33" s="1788"/>
    </row>
    <row r="34" hidden="1" outlineLevel="1">
      <c r="A34" s="1716"/>
      <c r="B34" s="1723"/>
      <c r="C34" s="1777"/>
      <c r="D34" s="1779"/>
      <c r="E34" s="1779"/>
      <c r="F34" s="1779"/>
      <c r="G34" s="1779"/>
      <c r="H34" s="1779" t="str">
        <f t="shared" si="3"/>
        <v/>
      </c>
      <c r="I34" s="1780"/>
      <c r="J34" s="1781"/>
      <c r="K34" s="1716"/>
      <c r="L34" s="17"/>
      <c r="M34" s="1762"/>
      <c r="N34" s="1763"/>
      <c r="O34" s="1764"/>
      <c r="P34" s="1750" t="str">
        <f t="shared" si="1"/>
        <v/>
      </c>
      <c r="Q34" s="1765" t="str">
        <f>IFERROR(VLOOKUP(N34,'金錢紀錄'!$AA$14:$AB$18,2,0)*M34/VLOOKUP(O34,'金錢紀錄'!$AA$14:$AB$18,2,0),"")</f>
        <v/>
      </c>
      <c r="R34" s="1766" t="str">
        <f t="shared" si="2"/>
        <v/>
      </c>
      <c r="S34" s="3"/>
      <c r="T34" s="1716"/>
      <c r="U34" s="1782">
        <f t="shared" si="4"/>
        <v>0</v>
      </c>
      <c r="V34" s="1782">
        <f t="shared" si="5"/>
        <v>0</v>
      </c>
      <c r="W34" s="1782">
        <f t="shared" si="6"/>
        <v>0</v>
      </c>
      <c r="X34" s="1782">
        <f t="shared" si="7"/>
        <v>0</v>
      </c>
      <c r="Y34" s="1782">
        <f t="shared" si="8"/>
        <v>0</v>
      </c>
      <c r="Z34" s="1788"/>
    </row>
    <row r="35" hidden="1" outlineLevel="1">
      <c r="A35" s="1716"/>
      <c r="B35" s="1723"/>
      <c r="C35" s="1783"/>
      <c r="D35" s="1785"/>
      <c r="E35" s="1784"/>
      <c r="F35" s="1784"/>
      <c r="G35" s="1784"/>
      <c r="H35" s="1785" t="str">
        <f t="shared" si="3"/>
        <v/>
      </c>
      <c r="I35" s="1786"/>
      <c r="J35" s="1781"/>
      <c r="K35" s="1716"/>
      <c r="L35" s="17"/>
      <c r="M35" s="1772"/>
      <c r="N35" s="1773"/>
      <c r="O35" s="1774"/>
      <c r="P35" s="1750" t="str">
        <f t="shared" si="1"/>
        <v/>
      </c>
      <c r="Q35" s="1775" t="str">
        <f>IFERROR(VLOOKUP(N35,'金錢紀錄'!$AA$14:$AB$18,2,0)*M35/VLOOKUP(O35,'金錢紀錄'!$AA$14:$AB$18,2,0),"")</f>
        <v/>
      </c>
      <c r="R35" s="1776" t="str">
        <f t="shared" si="2"/>
        <v/>
      </c>
      <c r="S35" s="3"/>
      <c r="T35" s="1716"/>
      <c r="U35" s="1787">
        <f t="shared" si="4"/>
        <v>0</v>
      </c>
      <c r="V35" s="1787">
        <f t="shared" si="5"/>
        <v>0</v>
      </c>
      <c r="W35" s="1787">
        <f t="shared" si="6"/>
        <v>0</v>
      </c>
      <c r="X35" s="1787">
        <f t="shared" si="7"/>
        <v>0</v>
      </c>
      <c r="Y35" s="1787">
        <f t="shared" si="8"/>
        <v>0</v>
      </c>
      <c r="Z35" s="1788"/>
    </row>
    <row r="36" hidden="1" outlineLevel="1">
      <c r="A36" s="1716"/>
      <c r="B36" s="1723"/>
      <c r="C36" s="1777"/>
      <c r="D36" s="1779"/>
      <c r="E36" s="1779"/>
      <c r="F36" s="1779"/>
      <c r="G36" s="1779"/>
      <c r="H36" s="1779" t="str">
        <f t="shared" si="3"/>
        <v/>
      </c>
      <c r="I36" s="1780"/>
      <c r="J36" s="1781"/>
      <c r="K36" s="1716"/>
      <c r="L36" s="17"/>
      <c r="M36" s="1762"/>
      <c r="N36" s="1763"/>
      <c r="O36" s="1764"/>
      <c r="P36" s="1750" t="str">
        <f t="shared" si="1"/>
        <v/>
      </c>
      <c r="Q36" s="1765" t="str">
        <f>IFERROR(VLOOKUP(N36,'金錢紀錄'!$AA$14:$AB$18,2,0)*M36/VLOOKUP(O36,'金錢紀錄'!$AA$14:$AB$18,2,0),"")</f>
        <v/>
      </c>
      <c r="R36" s="1766" t="str">
        <f t="shared" si="2"/>
        <v/>
      </c>
      <c r="S36" s="3"/>
      <c r="T36" s="1716"/>
      <c r="U36" s="1782">
        <f t="shared" si="4"/>
        <v>0</v>
      </c>
      <c r="V36" s="1782">
        <f t="shared" si="5"/>
        <v>0</v>
      </c>
      <c r="W36" s="1782">
        <f t="shared" si="6"/>
        <v>0</v>
      </c>
      <c r="X36" s="1782">
        <f t="shared" si="7"/>
        <v>0</v>
      </c>
      <c r="Y36" s="1782">
        <f t="shared" si="8"/>
        <v>0</v>
      </c>
      <c r="Z36" s="1788"/>
    </row>
    <row r="37" hidden="1" outlineLevel="1">
      <c r="A37" s="1716"/>
      <c r="B37" s="1723"/>
      <c r="C37" s="1783"/>
      <c r="D37" s="1785"/>
      <c r="E37" s="1784"/>
      <c r="F37" s="1784"/>
      <c r="G37" s="1784"/>
      <c r="H37" s="1785" t="str">
        <f t="shared" si="3"/>
        <v/>
      </c>
      <c r="I37" s="1786"/>
      <c r="J37" s="1781"/>
      <c r="K37" s="1716"/>
      <c r="L37" s="17"/>
      <c r="M37" s="1772"/>
      <c r="N37" s="1773"/>
      <c r="O37" s="1774"/>
      <c r="P37" s="1750" t="str">
        <f t="shared" si="1"/>
        <v/>
      </c>
      <c r="Q37" s="1775" t="str">
        <f>IFERROR(VLOOKUP(N37,'金錢紀錄'!$AA$14:$AB$18,2,0)*M37/VLOOKUP(O37,'金錢紀錄'!$AA$14:$AB$18,2,0),"")</f>
        <v/>
      </c>
      <c r="R37" s="1776" t="str">
        <f t="shared" si="2"/>
        <v/>
      </c>
      <c r="S37" s="3"/>
      <c r="T37" s="1716"/>
      <c r="U37" s="1787">
        <f t="shared" si="4"/>
        <v>0</v>
      </c>
      <c r="V37" s="1787">
        <f t="shared" si="5"/>
        <v>0</v>
      </c>
      <c r="W37" s="1787">
        <f t="shared" si="6"/>
        <v>0</v>
      </c>
      <c r="X37" s="1787">
        <f t="shared" si="7"/>
        <v>0</v>
      </c>
      <c r="Y37" s="1787">
        <f t="shared" si="8"/>
        <v>0</v>
      </c>
      <c r="Z37" s="1788"/>
    </row>
    <row r="38" hidden="1" outlineLevel="1">
      <c r="A38" s="1716"/>
      <c r="B38" s="1723"/>
      <c r="C38" s="1777"/>
      <c r="D38" s="1779"/>
      <c r="E38" s="1779"/>
      <c r="F38" s="1779"/>
      <c r="G38" s="1779"/>
      <c r="H38" s="1779" t="str">
        <f t="shared" si="3"/>
        <v/>
      </c>
      <c r="I38" s="1780"/>
      <c r="J38" s="1781"/>
      <c r="K38" s="1716"/>
      <c r="L38" s="17"/>
      <c r="M38" s="1762"/>
      <c r="N38" s="1763"/>
      <c r="O38" s="1764"/>
      <c r="P38" s="1750" t="str">
        <f t="shared" si="1"/>
        <v/>
      </c>
      <c r="Q38" s="1765" t="str">
        <f>IFERROR(VLOOKUP(N38,'金錢紀錄'!$AA$14:$AB$18,2,0)*M38/VLOOKUP(O38,'金錢紀錄'!$AA$14:$AB$18,2,0),"")</f>
        <v/>
      </c>
      <c r="R38" s="1766" t="str">
        <f t="shared" si="2"/>
        <v/>
      </c>
      <c r="S38" s="3"/>
      <c r="T38" s="1716"/>
      <c r="U38" s="1782">
        <f t="shared" si="4"/>
        <v>0</v>
      </c>
      <c r="V38" s="1782">
        <f t="shared" si="5"/>
        <v>0</v>
      </c>
      <c r="W38" s="1782">
        <f t="shared" si="6"/>
        <v>0</v>
      </c>
      <c r="X38" s="1782">
        <f t="shared" si="7"/>
        <v>0</v>
      </c>
      <c r="Y38" s="1782">
        <f t="shared" si="8"/>
        <v>0</v>
      </c>
      <c r="Z38" s="1788"/>
    </row>
    <row r="39" hidden="1" outlineLevel="1">
      <c r="A39" s="1716"/>
      <c r="B39" s="1723"/>
      <c r="C39" s="1783"/>
      <c r="D39" s="1785"/>
      <c r="E39" s="1784"/>
      <c r="F39" s="1784"/>
      <c r="G39" s="1784"/>
      <c r="H39" s="1785" t="str">
        <f t="shared" si="3"/>
        <v/>
      </c>
      <c r="I39" s="1786"/>
      <c r="J39" s="1781"/>
      <c r="K39" s="1716"/>
      <c r="L39" s="17"/>
      <c r="M39" s="1772"/>
      <c r="N39" s="1773"/>
      <c r="O39" s="1774"/>
      <c r="P39" s="1750" t="str">
        <f t="shared" si="1"/>
        <v/>
      </c>
      <c r="Q39" s="1775" t="str">
        <f>IFERROR(VLOOKUP(N39,'金錢紀錄'!$AA$14:$AB$18,2,0)*M39/VLOOKUP(O39,'金錢紀錄'!$AA$14:$AB$18,2,0),"")</f>
        <v/>
      </c>
      <c r="R39" s="1776" t="str">
        <f t="shared" si="2"/>
        <v/>
      </c>
      <c r="S39" s="3"/>
      <c r="T39" s="1716"/>
      <c r="U39" s="1787">
        <f t="shared" si="4"/>
        <v>0</v>
      </c>
      <c r="V39" s="1787">
        <f t="shared" si="5"/>
        <v>0</v>
      </c>
      <c r="W39" s="1787">
        <f t="shared" si="6"/>
        <v>0</v>
      </c>
      <c r="X39" s="1787">
        <f t="shared" si="7"/>
        <v>0</v>
      </c>
      <c r="Y39" s="1787">
        <f t="shared" si="8"/>
        <v>0</v>
      </c>
      <c r="Z39" s="1788"/>
    </row>
    <row r="40" hidden="1" outlineLevel="1">
      <c r="A40" s="1716"/>
      <c r="B40" s="1723"/>
      <c r="C40" s="1777"/>
      <c r="D40" s="1779"/>
      <c r="E40" s="1779"/>
      <c r="F40" s="1779"/>
      <c r="G40" s="1779"/>
      <c r="H40" s="1779" t="str">
        <f t="shared" si="3"/>
        <v/>
      </c>
      <c r="I40" s="1780"/>
      <c r="J40" s="1781"/>
      <c r="K40" s="1716"/>
      <c r="L40" s="17"/>
      <c r="M40" s="1762"/>
      <c r="N40" s="1763"/>
      <c r="O40" s="1764"/>
      <c r="P40" s="1750" t="str">
        <f t="shared" si="1"/>
        <v/>
      </c>
      <c r="Q40" s="1765" t="str">
        <f>IFERROR(VLOOKUP(N40,'金錢紀錄'!$AA$14:$AB$18,2,0)*M40/VLOOKUP(O40,'金錢紀錄'!$AA$14:$AB$18,2,0),"")</f>
        <v/>
      </c>
      <c r="R40" s="1766" t="str">
        <f t="shared" si="2"/>
        <v/>
      </c>
      <c r="S40" s="3"/>
      <c r="T40" s="1716"/>
      <c r="U40" s="1782">
        <f t="shared" si="4"/>
        <v>0</v>
      </c>
      <c r="V40" s="1782">
        <f t="shared" si="5"/>
        <v>0</v>
      </c>
      <c r="W40" s="1782">
        <f t="shared" si="6"/>
        <v>0</v>
      </c>
      <c r="X40" s="1782">
        <f t="shared" si="7"/>
        <v>0</v>
      </c>
      <c r="Y40" s="1782">
        <f t="shared" si="8"/>
        <v>0</v>
      </c>
      <c r="Z40" s="1788"/>
    </row>
    <row r="41" hidden="1" outlineLevel="1">
      <c r="A41" s="1716"/>
      <c r="B41" s="1723"/>
      <c r="C41" s="1783"/>
      <c r="D41" s="1785"/>
      <c r="E41" s="1784"/>
      <c r="F41" s="1784"/>
      <c r="G41" s="1784"/>
      <c r="H41" s="1785" t="str">
        <f t="shared" si="3"/>
        <v/>
      </c>
      <c r="I41" s="1786"/>
      <c r="J41" s="1781"/>
      <c r="K41" s="1716"/>
      <c r="L41" s="17"/>
      <c r="M41" s="1772"/>
      <c r="N41" s="1773"/>
      <c r="O41" s="1774"/>
      <c r="P41" s="1750" t="str">
        <f t="shared" si="1"/>
        <v/>
      </c>
      <c r="Q41" s="1775" t="str">
        <f>IFERROR(VLOOKUP(N41,'金錢紀錄'!$AA$14:$AB$18,2,0)*M41/VLOOKUP(O41,'金錢紀錄'!$AA$14:$AB$18,2,0),"")</f>
        <v/>
      </c>
      <c r="R41" s="1776" t="str">
        <f t="shared" si="2"/>
        <v/>
      </c>
      <c r="S41" s="3"/>
      <c r="T41" s="1716"/>
      <c r="U41" s="1787">
        <f t="shared" si="4"/>
        <v>0</v>
      </c>
      <c r="V41" s="1787">
        <f t="shared" si="5"/>
        <v>0</v>
      </c>
      <c r="W41" s="1787">
        <f t="shared" si="6"/>
        <v>0</v>
      </c>
      <c r="X41" s="1787">
        <f t="shared" si="7"/>
        <v>0</v>
      </c>
      <c r="Y41" s="1787">
        <f t="shared" si="8"/>
        <v>0</v>
      </c>
      <c r="Z41" s="1788"/>
    </row>
    <row r="42" hidden="1" outlineLevel="1">
      <c r="A42" s="1716"/>
      <c r="B42" s="1723"/>
      <c r="C42" s="1777"/>
      <c r="D42" s="1779"/>
      <c r="E42" s="1779"/>
      <c r="F42" s="1779"/>
      <c r="G42" s="1779"/>
      <c r="H42" s="1779" t="str">
        <f t="shared" si="3"/>
        <v/>
      </c>
      <c r="I42" s="1780"/>
      <c r="J42" s="1781"/>
      <c r="K42" s="1716"/>
      <c r="L42" s="17"/>
      <c r="M42" s="1762"/>
      <c r="N42" s="1763"/>
      <c r="O42" s="1764"/>
      <c r="P42" s="1750" t="str">
        <f t="shared" si="1"/>
        <v/>
      </c>
      <c r="Q42" s="1765" t="str">
        <f>IFERROR(VLOOKUP(N42,'金錢紀錄'!$AA$14:$AB$18,2,0)*M42/VLOOKUP(O42,'金錢紀錄'!$AA$14:$AB$18,2,0),"")</f>
        <v/>
      </c>
      <c r="R42" s="1766" t="str">
        <f t="shared" si="2"/>
        <v/>
      </c>
      <c r="S42" s="3"/>
      <c r="T42" s="1716"/>
      <c r="U42" s="1782">
        <f t="shared" si="4"/>
        <v>0</v>
      </c>
      <c r="V42" s="1782">
        <f t="shared" si="5"/>
        <v>0</v>
      </c>
      <c r="W42" s="1782">
        <f t="shared" si="6"/>
        <v>0</v>
      </c>
      <c r="X42" s="1782">
        <f t="shared" si="7"/>
        <v>0</v>
      </c>
      <c r="Y42" s="1782">
        <f t="shared" si="8"/>
        <v>0</v>
      </c>
      <c r="Z42" s="1788"/>
    </row>
    <row r="43" hidden="1" outlineLevel="1">
      <c r="A43" s="1716"/>
      <c r="B43" s="1723"/>
      <c r="C43" s="1783"/>
      <c r="D43" s="1785"/>
      <c r="E43" s="1784"/>
      <c r="F43" s="1784"/>
      <c r="G43" s="1784"/>
      <c r="H43" s="1785" t="str">
        <f t="shared" si="3"/>
        <v/>
      </c>
      <c r="I43" s="1786"/>
      <c r="J43" s="1781"/>
      <c r="K43" s="1716"/>
      <c r="L43" s="17"/>
      <c r="M43" s="1772"/>
      <c r="N43" s="1773"/>
      <c r="O43" s="1774"/>
      <c r="P43" s="1750" t="str">
        <f t="shared" si="1"/>
        <v/>
      </c>
      <c r="Q43" s="1775" t="str">
        <f>IFERROR(VLOOKUP(N43,'金錢紀錄'!$AA$14:$AB$18,2,0)*M43/VLOOKUP(O43,'金錢紀錄'!$AA$14:$AB$18,2,0),"")</f>
        <v/>
      </c>
      <c r="R43" s="1776" t="str">
        <f t="shared" si="2"/>
        <v/>
      </c>
      <c r="S43" s="3"/>
      <c r="T43" s="1716"/>
      <c r="U43" s="1787">
        <f t="shared" si="4"/>
        <v>0</v>
      </c>
      <c r="V43" s="1787">
        <f t="shared" si="5"/>
        <v>0</v>
      </c>
      <c r="W43" s="1787">
        <f t="shared" si="6"/>
        <v>0</v>
      </c>
      <c r="X43" s="1787">
        <f t="shared" si="7"/>
        <v>0</v>
      </c>
      <c r="Y43" s="1787">
        <f t="shared" si="8"/>
        <v>0</v>
      </c>
      <c r="Z43" s="1788"/>
    </row>
    <row r="44" hidden="1" outlineLevel="1">
      <c r="A44" s="1716"/>
      <c r="B44" s="1723"/>
      <c r="C44" s="1777"/>
      <c r="D44" s="1779"/>
      <c r="E44" s="1779"/>
      <c r="F44" s="1779"/>
      <c r="G44" s="1779"/>
      <c r="H44" s="1779" t="str">
        <f t="shared" si="3"/>
        <v/>
      </c>
      <c r="I44" s="1780"/>
      <c r="J44" s="1781"/>
      <c r="K44" s="1716"/>
      <c r="L44" s="17"/>
      <c r="M44" s="1762"/>
      <c r="N44" s="1763"/>
      <c r="O44" s="1764"/>
      <c r="P44" s="1750" t="str">
        <f t="shared" si="1"/>
        <v/>
      </c>
      <c r="Q44" s="1765" t="str">
        <f>IFERROR(VLOOKUP(N44,'金錢紀錄'!$AA$14:$AB$18,2,0)*M44/VLOOKUP(O44,'金錢紀錄'!$AA$14:$AB$18,2,0),"")</f>
        <v/>
      </c>
      <c r="R44" s="1766" t="str">
        <f t="shared" si="2"/>
        <v/>
      </c>
      <c r="S44" s="3"/>
      <c r="T44" s="1716"/>
      <c r="U44" s="1782">
        <f t="shared" si="4"/>
        <v>0</v>
      </c>
      <c r="V44" s="1782">
        <f t="shared" si="5"/>
        <v>0</v>
      </c>
      <c r="W44" s="1782">
        <f t="shared" si="6"/>
        <v>0</v>
      </c>
      <c r="X44" s="1782">
        <f t="shared" si="7"/>
        <v>0</v>
      </c>
      <c r="Y44" s="1782">
        <f t="shared" si="8"/>
        <v>0</v>
      </c>
      <c r="Z44" s="1788"/>
    </row>
    <row r="45" hidden="1" outlineLevel="1">
      <c r="A45" s="1716"/>
      <c r="B45" s="1723"/>
      <c r="C45" s="1783"/>
      <c r="D45" s="1785"/>
      <c r="E45" s="1784"/>
      <c r="F45" s="1784"/>
      <c r="G45" s="1784"/>
      <c r="H45" s="1785" t="str">
        <f t="shared" si="3"/>
        <v/>
      </c>
      <c r="I45" s="1786"/>
      <c r="J45" s="1781"/>
      <c r="K45" s="1716"/>
      <c r="L45" s="17"/>
      <c r="M45" s="1772"/>
      <c r="N45" s="1773"/>
      <c r="O45" s="1774"/>
      <c r="P45" s="1750" t="str">
        <f t="shared" si="1"/>
        <v/>
      </c>
      <c r="Q45" s="1775" t="str">
        <f>IFERROR(VLOOKUP(N45,'金錢紀錄'!$AA$14:$AB$18,2,0)*M45/VLOOKUP(O45,'金錢紀錄'!$AA$14:$AB$18,2,0),"")</f>
        <v/>
      </c>
      <c r="R45" s="1776" t="str">
        <f t="shared" si="2"/>
        <v/>
      </c>
      <c r="S45" s="3"/>
      <c r="T45" s="1716"/>
      <c r="U45" s="1787">
        <f t="shared" si="4"/>
        <v>0</v>
      </c>
      <c r="V45" s="1787">
        <f t="shared" si="5"/>
        <v>0</v>
      </c>
      <c r="W45" s="1787">
        <f t="shared" si="6"/>
        <v>0</v>
      </c>
      <c r="X45" s="1787">
        <f t="shared" si="7"/>
        <v>0</v>
      </c>
      <c r="Y45" s="1787">
        <f t="shared" si="8"/>
        <v>0</v>
      </c>
      <c r="Z45" s="1788"/>
    </row>
    <row r="46" hidden="1" outlineLevel="1">
      <c r="A46" s="1716"/>
      <c r="B46" s="1723"/>
      <c r="C46" s="1777"/>
      <c r="D46" s="1779"/>
      <c r="E46" s="1779"/>
      <c r="F46" s="1779"/>
      <c r="G46" s="1779"/>
      <c r="H46" s="1779" t="str">
        <f t="shared" si="3"/>
        <v/>
      </c>
      <c r="I46" s="1780"/>
      <c r="J46" s="1781"/>
      <c r="K46" s="1716"/>
      <c r="L46" s="17"/>
      <c r="M46" s="1762"/>
      <c r="N46" s="1763"/>
      <c r="O46" s="1764"/>
      <c r="P46" s="1750" t="str">
        <f t="shared" si="1"/>
        <v/>
      </c>
      <c r="Q46" s="1765" t="str">
        <f>IFERROR(VLOOKUP(N46,'金錢紀錄'!$AA$14:$AB$18,2,0)*M46/VLOOKUP(O46,'金錢紀錄'!$AA$14:$AB$18,2,0),"")</f>
        <v/>
      </c>
      <c r="R46" s="1766" t="str">
        <f t="shared" si="2"/>
        <v/>
      </c>
      <c r="S46" s="3"/>
      <c r="T46" s="1716"/>
      <c r="U46" s="1782">
        <f t="shared" si="4"/>
        <v>0</v>
      </c>
      <c r="V46" s="1782">
        <f t="shared" si="5"/>
        <v>0</v>
      </c>
      <c r="W46" s="1782">
        <f t="shared" si="6"/>
        <v>0</v>
      </c>
      <c r="X46" s="1782">
        <f t="shared" si="7"/>
        <v>0</v>
      </c>
      <c r="Y46" s="1782">
        <f t="shared" si="8"/>
        <v>0</v>
      </c>
      <c r="Z46" s="1788"/>
    </row>
    <row r="47" hidden="1" outlineLevel="1">
      <c r="A47" s="1716"/>
      <c r="B47" s="1723"/>
      <c r="C47" s="1783"/>
      <c r="D47" s="1785"/>
      <c r="E47" s="1784"/>
      <c r="F47" s="1784"/>
      <c r="G47" s="1784"/>
      <c r="H47" s="1785" t="str">
        <f t="shared" si="3"/>
        <v/>
      </c>
      <c r="I47" s="1786"/>
      <c r="J47" s="1781"/>
      <c r="K47" s="1716"/>
      <c r="L47" s="17"/>
      <c r="M47" s="1772"/>
      <c r="N47" s="1773"/>
      <c r="O47" s="1774"/>
      <c r="P47" s="1750" t="str">
        <f t="shared" si="1"/>
        <v/>
      </c>
      <c r="Q47" s="1775" t="str">
        <f>IFERROR(VLOOKUP(N47,'金錢紀錄'!$AA$14:$AB$18,2,0)*M47/VLOOKUP(O47,'金錢紀錄'!$AA$14:$AB$18,2,0),"")</f>
        <v/>
      </c>
      <c r="R47" s="1776" t="str">
        <f t="shared" si="2"/>
        <v/>
      </c>
      <c r="S47" s="3"/>
      <c r="T47" s="1716"/>
      <c r="U47" s="1787">
        <f t="shared" si="4"/>
        <v>0</v>
      </c>
      <c r="V47" s="1787">
        <f t="shared" si="5"/>
        <v>0</v>
      </c>
      <c r="W47" s="1787">
        <f t="shared" si="6"/>
        <v>0</v>
      </c>
      <c r="X47" s="1787">
        <f t="shared" si="7"/>
        <v>0</v>
      </c>
      <c r="Y47" s="1787">
        <f t="shared" si="8"/>
        <v>0</v>
      </c>
      <c r="Z47" s="1788"/>
    </row>
    <row r="48" hidden="1" outlineLevel="1">
      <c r="A48" s="1716"/>
      <c r="B48" s="1723"/>
      <c r="C48" s="1777"/>
      <c r="D48" s="1779"/>
      <c r="E48" s="1779"/>
      <c r="F48" s="1779"/>
      <c r="G48" s="1779"/>
      <c r="H48" s="1779" t="str">
        <f t="shared" si="3"/>
        <v/>
      </c>
      <c r="I48" s="1780"/>
      <c r="J48" s="1781"/>
      <c r="K48" s="1716"/>
      <c r="L48" s="17"/>
      <c r="M48" s="1762"/>
      <c r="N48" s="1763"/>
      <c r="O48" s="1764"/>
      <c r="P48" s="1750" t="str">
        <f t="shared" si="1"/>
        <v/>
      </c>
      <c r="Q48" s="1765" t="str">
        <f>IFERROR(VLOOKUP(N48,'金錢紀錄'!$AA$14:$AB$18,2,0)*M48/VLOOKUP(O48,'金錢紀錄'!$AA$14:$AB$18,2,0),"")</f>
        <v/>
      </c>
      <c r="R48" s="1766" t="str">
        <f t="shared" si="2"/>
        <v/>
      </c>
      <c r="S48" s="3"/>
      <c r="T48" s="1716"/>
      <c r="U48" s="1782">
        <f t="shared" si="4"/>
        <v>0</v>
      </c>
      <c r="V48" s="1782">
        <f t="shared" si="5"/>
        <v>0</v>
      </c>
      <c r="W48" s="1782">
        <f t="shared" si="6"/>
        <v>0</v>
      </c>
      <c r="X48" s="1782">
        <f t="shared" si="7"/>
        <v>0</v>
      </c>
      <c r="Y48" s="1782">
        <f t="shared" si="8"/>
        <v>0</v>
      </c>
      <c r="Z48" s="1788"/>
    </row>
    <row r="49" hidden="1" outlineLevel="1">
      <c r="A49" s="1716"/>
      <c r="B49" s="1723"/>
      <c r="C49" s="1783"/>
      <c r="D49" s="1785"/>
      <c r="E49" s="1784"/>
      <c r="F49" s="1784"/>
      <c r="G49" s="1784"/>
      <c r="H49" s="1785" t="str">
        <f t="shared" si="3"/>
        <v/>
      </c>
      <c r="I49" s="1786"/>
      <c r="J49" s="1781"/>
      <c r="K49" s="1716"/>
      <c r="L49" s="17"/>
      <c r="M49" s="1772"/>
      <c r="N49" s="1773"/>
      <c r="O49" s="1774"/>
      <c r="P49" s="1750" t="str">
        <f t="shared" si="1"/>
        <v/>
      </c>
      <c r="Q49" s="1775" t="str">
        <f>IFERROR(VLOOKUP(N49,'金錢紀錄'!$AA$14:$AB$18,2,0)*M49/VLOOKUP(O49,'金錢紀錄'!$AA$14:$AB$18,2,0),"")</f>
        <v/>
      </c>
      <c r="R49" s="1776" t="str">
        <f t="shared" si="2"/>
        <v/>
      </c>
      <c r="S49" s="3"/>
      <c r="T49" s="1716"/>
      <c r="U49" s="1787">
        <f t="shared" si="4"/>
        <v>0</v>
      </c>
      <c r="V49" s="1787">
        <f t="shared" si="5"/>
        <v>0</v>
      </c>
      <c r="W49" s="1787">
        <f t="shared" si="6"/>
        <v>0</v>
      </c>
      <c r="X49" s="1787">
        <f t="shared" si="7"/>
        <v>0</v>
      </c>
      <c r="Y49" s="1787">
        <f t="shared" si="8"/>
        <v>0</v>
      </c>
      <c r="Z49" s="1788"/>
    </row>
    <row r="50" hidden="1" outlineLevel="1">
      <c r="A50" s="1716"/>
      <c r="B50" s="1723"/>
      <c r="C50" s="1777"/>
      <c r="D50" s="1779"/>
      <c r="E50" s="1779"/>
      <c r="F50" s="1779"/>
      <c r="G50" s="1779"/>
      <c r="H50" s="1779" t="str">
        <f t="shared" si="3"/>
        <v/>
      </c>
      <c r="I50" s="1780"/>
      <c r="J50" s="1781"/>
      <c r="K50" s="1716"/>
      <c r="L50" s="17"/>
      <c r="M50" s="1762"/>
      <c r="N50" s="1763"/>
      <c r="O50" s="1764"/>
      <c r="P50" s="1750" t="str">
        <f t="shared" si="1"/>
        <v/>
      </c>
      <c r="Q50" s="1765" t="str">
        <f>IFERROR(VLOOKUP(N50,'金錢紀錄'!$AA$14:$AB$18,2,0)*M50/VLOOKUP(O50,'金錢紀錄'!$AA$14:$AB$18,2,0),"")</f>
        <v/>
      </c>
      <c r="R50" s="1766" t="str">
        <f t="shared" si="2"/>
        <v/>
      </c>
      <c r="S50" s="3"/>
      <c r="T50" s="1716"/>
      <c r="U50" s="1782">
        <f t="shared" si="4"/>
        <v>0</v>
      </c>
      <c r="V50" s="1782">
        <f t="shared" si="5"/>
        <v>0</v>
      </c>
      <c r="W50" s="1782">
        <f t="shared" si="6"/>
        <v>0</v>
      </c>
      <c r="X50" s="1782">
        <f t="shared" si="7"/>
        <v>0</v>
      </c>
      <c r="Y50" s="1782">
        <f t="shared" si="8"/>
        <v>0</v>
      </c>
      <c r="Z50" s="1788"/>
    </row>
    <row r="51" hidden="1" outlineLevel="1">
      <c r="A51" s="1716"/>
      <c r="B51" s="1723"/>
      <c r="C51" s="1783"/>
      <c r="D51" s="1785"/>
      <c r="E51" s="1784"/>
      <c r="F51" s="1784"/>
      <c r="G51" s="1784"/>
      <c r="H51" s="1785" t="str">
        <f t="shared" si="3"/>
        <v/>
      </c>
      <c r="I51" s="1786"/>
      <c r="J51" s="1781"/>
      <c r="K51" s="1716"/>
      <c r="L51" s="17"/>
      <c r="M51" s="1772"/>
      <c r="N51" s="1773"/>
      <c r="O51" s="1774"/>
      <c r="P51" s="1750" t="str">
        <f t="shared" si="1"/>
        <v/>
      </c>
      <c r="Q51" s="1775" t="str">
        <f>IFERROR(VLOOKUP(N51,'金錢紀錄'!$AA$14:$AB$18,2,0)*M51/VLOOKUP(O51,'金錢紀錄'!$AA$14:$AB$18,2,0),"")</f>
        <v/>
      </c>
      <c r="R51" s="1776" t="str">
        <f t="shared" si="2"/>
        <v/>
      </c>
      <c r="S51" s="3"/>
      <c r="T51" s="1716"/>
      <c r="U51" s="1787">
        <f t="shared" si="4"/>
        <v>0</v>
      </c>
      <c r="V51" s="1787">
        <f t="shared" si="5"/>
        <v>0</v>
      </c>
      <c r="W51" s="1787">
        <f t="shared" si="6"/>
        <v>0</v>
      </c>
      <c r="X51" s="1787">
        <f t="shared" si="7"/>
        <v>0</v>
      </c>
      <c r="Y51" s="1787">
        <f t="shared" si="8"/>
        <v>0</v>
      </c>
      <c r="Z51" s="1788"/>
    </row>
    <row r="52" hidden="1" outlineLevel="1">
      <c r="A52" s="1716"/>
      <c r="B52" s="1723"/>
      <c r="C52" s="1777"/>
      <c r="D52" s="1779"/>
      <c r="E52" s="1779"/>
      <c r="F52" s="1779"/>
      <c r="G52" s="1779"/>
      <c r="H52" s="1779" t="str">
        <f t="shared" si="3"/>
        <v/>
      </c>
      <c r="I52" s="1780"/>
      <c r="J52" s="1781"/>
      <c r="K52" s="1716"/>
      <c r="L52" s="17"/>
      <c r="M52" s="1762"/>
      <c r="N52" s="1763"/>
      <c r="O52" s="1764"/>
      <c r="P52" s="1750" t="str">
        <f t="shared" si="1"/>
        <v/>
      </c>
      <c r="Q52" s="1765" t="str">
        <f>IFERROR(VLOOKUP(N52,'金錢紀錄'!$AA$14:$AB$18,2,0)*M52/VLOOKUP(O52,'金錢紀錄'!$AA$14:$AB$18,2,0),"")</f>
        <v/>
      </c>
      <c r="R52" s="1766" t="str">
        <f t="shared" si="2"/>
        <v/>
      </c>
      <c r="S52" s="3"/>
      <c r="T52" s="1716"/>
      <c r="U52" s="1782">
        <f t="shared" si="4"/>
        <v>0</v>
      </c>
      <c r="V52" s="1782">
        <f t="shared" si="5"/>
        <v>0</v>
      </c>
      <c r="W52" s="1782">
        <f t="shared" si="6"/>
        <v>0</v>
      </c>
      <c r="X52" s="1782">
        <f t="shared" si="7"/>
        <v>0</v>
      </c>
      <c r="Y52" s="1782">
        <f t="shared" si="8"/>
        <v>0</v>
      </c>
      <c r="Z52" s="1788"/>
    </row>
    <row r="53" hidden="1" outlineLevel="1">
      <c r="A53" s="1716"/>
      <c r="B53" s="1723"/>
      <c r="C53" s="1783"/>
      <c r="D53" s="1785"/>
      <c r="E53" s="1784"/>
      <c r="F53" s="1784"/>
      <c r="G53" s="1784"/>
      <c r="H53" s="1785" t="str">
        <f t="shared" si="3"/>
        <v/>
      </c>
      <c r="I53" s="1786"/>
      <c r="J53" s="1781"/>
      <c r="K53" s="1716"/>
      <c r="L53" s="17"/>
      <c r="M53" s="1772"/>
      <c r="N53" s="1773"/>
      <c r="O53" s="1774"/>
      <c r="P53" s="1750" t="str">
        <f t="shared" si="1"/>
        <v/>
      </c>
      <c r="Q53" s="1775" t="str">
        <f>IFERROR(VLOOKUP(N53,'金錢紀錄'!$AA$14:$AB$18,2,0)*M53/VLOOKUP(O53,'金錢紀錄'!$AA$14:$AB$18,2,0),"")</f>
        <v/>
      </c>
      <c r="R53" s="1776" t="str">
        <f t="shared" si="2"/>
        <v/>
      </c>
      <c r="S53" s="3"/>
      <c r="T53" s="1716"/>
      <c r="U53" s="1787">
        <f t="shared" si="4"/>
        <v>0</v>
      </c>
      <c r="V53" s="1787">
        <f t="shared" si="5"/>
        <v>0</v>
      </c>
      <c r="W53" s="1787">
        <f t="shared" si="6"/>
        <v>0</v>
      </c>
      <c r="X53" s="1787">
        <f t="shared" si="7"/>
        <v>0</v>
      </c>
      <c r="Y53" s="1787">
        <f t="shared" si="8"/>
        <v>0</v>
      </c>
      <c r="Z53" s="1788"/>
    </row>
    <row r="54" hidden="1" outlineLevel="1">
      <c r="A54" s="1716"/>
      <c r="B54" s="1723"/>
      <c r="C54" s="1777"/>
      <c r="D54" s="1779"/>
      <c r="E54" s="1779"/>
      <c r="F54" s="1779"/>
      <c r="G54" s="1779"/>
      <c r="H54" s="1779" t="str">
        <f t="shared" si="3"/>
        <v/>
      </c>
      <c r="I54" s="1780"/>
      <c r="J54" s="1781"/>
      <c r="K54" s="1716"/>
      <c r="L54" s="17"/>
      <c r="M54" s="1762"/>
      <c r="N54" s="1763"/>
      <c r="O54" s="1764"/>
      <c r="P54" s="1750" t="str">
        <f t="shared" si="1"/>
        <v/>
      </c>
      <c r="Q54" s="1765" t="str">
        <f>IFERROR(VLOOKUP(N54,'金錢紀錄'!$AA$14:$AB$18,2,0)*M54/VLOOKUP(O54,'金錢紀錄'!$AA$14:$AB$18,2,0),"")</f>
        <v/>
      </c>
      <c r="R54" s="1766" t="str">
        <f t="shared" si="2"/>
        <v/>
      </c>
      <c r="S54" s="3"/>
      <c r="T54" s="1716"/>
      <c r="U54" s="1782">
        <f t="shared" si="4"/>
        <v>0</v>
      </c>
      <c r="V54" s="1782">
        <f t="shared" si="5"/>
        <v>0</v>
      </c>
      <c r="W54" s="1782">
        <f t="shared" si="6"/>
        <v>0</v>
      </c>
      <c r="X54" s="1782">
        <f t="shared" si="7"/>
        <v>0</v>
      </c>
      <c r="Y54" s="1782">
        <f t="shared" si="8"/>
        <v>0</v>
      </c>
      <c r="Z54" s="1788"/>
    </row>
    <row r="55" hidden="1" outlineLevel="1">
      <c r="A55" s="1716"/>
      <c r="B55" s="1723"/>
      <c r="C55" s="1783"/>
      <c r="D55" s="1785"/>
      <c r="E55" s="1784"/>
      <c r="F55" s="1784"/>
      <c r="G55" s="1784"/>
      <c r="H55" s="1785" t="str">
        <f t="shared" si="3"/>
        <v/>
      </c>
      <c r="I55" s="1786"/>
      <c r="J55" s="1781"/>
      <c r="K55" s="1716"/>
      <c r="L55" s="17"/>
      <c r="M55" s="1772"/>
      <c r="N55" s="1773"/>
      <c r="O55" s="1774"/>
      <c r="P55" s="1750" t="str">
        <f t="shared" si="1"/>
        <v/>
      </c>
      <c r="Q55" s="1775" t="str">
        <f>IFERROR(VLOOKUP(N55,'金錢紀錄'!$AA$14:$AB$18,2,0)*M55/VLOOKUP(O55,'金錢紀錄'!$AA$14:$AB$18,2,0),"")</f>
        <v/>
      </c>
      <c r="R55" s="1776" t="str">
        <f t="shared" si="2"/>
        <v/>
      </c>
      <c r="S55" s="3"/>
      <c r="T55" s="1716"/>
      <c r="U55" s="1787">
        <f t="shared" si="4"/>
        <v>0</v>
      </c>
      <c r="V55" s="1787">
        <f t="shared" si="5"/>
        <v>0</v>
      </c>
      <c r="W55" s="1787">
        <f t="shared" si="6"/>
        <v>0</v>
      </c>
      <c r="X55" s="1787">
        <f t="shared" si="7"/>
        <v>0</v>
      </c>
      <c r="Y55" s="1787">
        <f t="shared" si="8"/>
        <v>0</v>
      </c>
      <c r="Z55" s="1788"/>
    </row>
    <row r="56" hidden="1" outlineLevel="1">
      <c r="A56" s="1716"/>
      <c r="B56" s="1723"/>
      <c r="C56" s="1777"/>
      <c r="D56" s="1779"/>
      <c r="E56" s="1779"/>
      <c r="F56" s="1779"/>
      <c r="G56" s="1779"/>
      <c r="H56" s="1779" t="str">
        <f t="shared" si="3"/>
        <v/>
      </c>
      <c r="I56" s="1780"/>
      <c r="J56" s="1781"/>
      <c r="K56" s="1716"/>
      <c r="L56" s="17"/>
      <c r="M56" s="1762"/>
      <c r="N56" s="1763"/>
      <c r="O56" s="1764"/>
      <c r="P56" s="1750" t="str">
        <f t="shared" si="1"/>
        <v/>
      </c>
      <c r="Q56" s="1765" t="str">
        <f>IFERROR(VLOOKUP(N56,'金錢紀錄'!$AA$14:$AB$18,2,0)*M56/VLOOKUP(O56,'金錢紀錄'!$AA$14:$AB$18,2,0),"")</f>
        <v/>
      </c>
      <c r="R56" s="1766" t="str">
        <f t="shared" si="2"/>
        <v/>
      </c>
      <c r="S56" s="3"/>
      <c r="T56" s="1716"/>
      <c r="U56" s="1782">
        <f t="shared" si="4"/>
        <v>0</v>
      </c>
      <c r="V56" s="1782">
        <f t="shared" si="5"/>
        <v>0</v>
      </c>
      <c r="W56" s="1782">
        <f t="shared" si="6"/>
        <v>0</v>
      </c>
      <c r="X56" s="1782">
        <f t="shared" si="7"/>
        <v>0</v>
      </c>
      <c r="Y56" s="1782">
        <f t="shared" si="8"/>
        <v>0</v>
      </c>
      <c r="Z56" s="1788"/>
    </row>
    <row r="57" hidden="1" outlineLevel="1">
      <c r="A57" s="1716"/>
      <c r="B57" s="1723"/>
      <c r="C57" s="1783"/>
      <c r="D57" s="1785"/>
      <c r="E57" s="1784"/>
      <c r="F57" s="1784"/>
      <c r="G57" s="1784"/>
      <c r="H57" s="1785" t="str">
        <f t="shared" si="3"/>
        <v/>
      </c>
      <c r="I57" s="1786"/>
      <c r="J57" s="1781"/>
      <c r="K57" s="1716"/>
      <c r="L57" s="17"/>
      <c r="M57" s="1772"/>
      <c r="N57" s="1773"/>
      <c r="O57" s="1774"/>
      <c r="P57" s="1750" t="str">
        <f t="shared" si="1"/>
        <v/>
      </c>
      <c r="Q57" s="1775" t="str">
        <f>IFERROR(VLOOKUP(N57,'金錢紀錄'!$AA$14:$AB$18,2,0)*M57/VLOOKUP(O57,'金錢紀錄'!$AA$14:$AB$18,2,0),"")</f>
        <v/>
      </c>
      <c r="R57" s="1776" t="str">
        <f t="shared" si="2"/>
        <v/>
      </c>
      <c r="S57" s="3"/>
      <c r="T57" s="1716"/>
      <c r="U57" s="1787">
        <f t="shared" si="4"/>
        <v>0</v>
      </c>
      <c r="V57" s="1787">
        <f t="shared" si="5"/>
        <v>0</v>
      </c>
      <c r="W57" s="1787">
        <f t="shared" si="6"/>
        <v>0</v>
      </c>
      <c r="X57" s="1787">
        <f t="shared" si="7"/>
        <v>0</v>
      </c>
      <c r="Y57" s="1787">
        <f t="shared" si="8"/>
        <v>0</v>
      </c>
      <c r="Z57" s="1788"/>
    </row>
    <row r="58" hidden="1" outlineLevel="1">
      <c r="A58" s="1716"/>
      <c r="B58" s="1723"/>
      <c r="C58" s="1777"/>
      <c r="D58" s="1779"/>
      <c r="E58" s="1779"/>
      <c r="F58" s="1779"/>
      <c r="G58" s="1779"/>
      <c r="H58" s="1779" t="str">
        <f t="shared" si="3"/>
        <v/>
      </c>
      <c r="I58" s="1780"/>
      <c r="J58" s="1781"/>
      <c r="K58" s="1716"/>
      <c r="L58" s="17"/>
      <c r="M58" s="1762"/>
      <c r="N58" s="1763"/>
      <c r="O58" s="1764"/>
      <c r="P58" s="1750" t="str">
        <f t="shared" si="1"/>
        <v/>
      </c>
      <c r="Q58" s="1765" t="str">
        <f>IFERROR(VLOOKUP(N58,'金錢紀錄'!$AA$14:$AB$18,2,0)*M58/VLOOKUP(O58,'金錢紀錄'!$AA$14:$AB$18,2,0),"")</f>
        <v/>
      </c>
      <c r="R58" s="1766" t="str">
        <f t="shared" si="2"/>
        <v/>
      </c>
      <c r="S58" s="3"/>
      <c r="T58" s="1716"/>
      <c r="U58" s="1782">
        <f t="shared" si="4"/>
        <v>0</v>
      </c>
      <c r="V58" s="1782">
        <f t="shared" si="5"/>
        <v>0</v>
      </c>
      <c r="W58" s="1782">
        <f t="shared" si="6"/>
        <v>0</v>
      </c>
      <c r="X58" s="1782">
        <f t="shared" si="7"/>
        <v>0</v>
      </c>
      <c r="Y58" s="1782">
        <f t="shared" si="8"/>
        <v>0</v>
      </c>
      <c r="Z58" s="1788"/>
    </row>
    <row r="59" hidden="1" outlineLevel="1">
      <c r="A59" s="1716"/>
      <c r="B59" s="1723"/>
      <c r="C59" s="1783"/>
      <c r="D59" s="1785"/>
      <c r="E59" s="1784"/>
      <c r="F59" s="1784"/>
      <c r="G59" s="1784"/>
      <c r="H59" s="1785" t="str">
        <f t="shared" si="3"/>
        <v/>
      </c>
      <c r="I59" s="1786"/>
      <c r="J59" s="1781"/>
      <c r="K59" s="1716"/>
      <c r="L59" s="17"/>
      <c r="M59" s="1772"/>
      <c r="N59" s="1773"/>
      <c r="O59" s="1774"/>
      <c r="P59" s="1750" t="str">
        <f t="shared" si="1"/>
        <v/>
      </c>
      <c r="Q59" s="1775" t="str">
        <f>IFERROR(VLOOKUP(N59,'金錢紀錄'!$AA$14:$AB$18,2,0)*M59/VLOOKUP(O59,'金錢紀錄'!$AA$14:$AB$18,2,0),"")</f>
        <v/>
      </c>
      <c r="R59" s="1776" t="str">
        <f t="shared" si="2"/>
        <v/>
      </c>
      <c r="S59" s="3"/>
      <c r="T59" s="1716"/>
      <c r="U59" s="1787">
        <f t="shared" si="4"/>
        <v>0</v>
      </c>
      <c r="V59" s="1787">
        <f t="shared" si="5"/>
        <v>0</v>
      </c>
      <c r="W59" s="1787">
        <f t="shared" si="6"/>
        <v>0</v>
      </c>
      <c r="X59" s="1787">
        <f t="shared" si="7"/>
        <v>0</v>
      </c>
      <c r="Y59" s="1787">
        <f t="shared" si="8"/>
        <v>0</v>
      </c>
      <c r="Z59" s="1788"/>
    </row>
    <row r="60" hidden="1" outlineLevel="1">
      <c r="A60" s="1716"/>
      <c r="B60" s="1723"/>
      <c r="C60" s="1777"/>
      <c r="D60" s="1779"/>
      <c r="E60" s="1779"/>
      <c r="F60" s="1779"/>
      <c r="G60" s="1779"/>
      <c r="H60" s="1779" t="str">
        <f t="shared" si="3"/>
        <v/>
      </c>
      <c r="I60" s="1780"/>
      <c r="J60" s="1781"/>
      <c r="K60" s="1716"/>
      <c r="L60" s="17"/>
      <c r="M60" s="1762"/>
      <c r="N60" s="1763"/>
      <c r="O60" s="1764"/>
      <c r="P60" s="1750" t="str">
        <f t="shared" si="1"/>
        <v/>
      </c>
      <c r="Q60" s="1765" t="str">
        <f>IFERROR(VLOOKUP(N60,'金錢紀錄'!$AA$14:$AB$18,2,0)*M60/VLOOKUP(O60,'金錢紀錄'!$AA$14:$AB$18,2,0),"")</f>
        <v/>
      </c>
      <c r="R60" s="1766" t="str">
        <f t="shared" si="2"/>
        <v/>
      </c>
      <c r="S60" s="3"/>
      <c r="T60" s="1716"/>
      <c r="U60" s="1782">
        <f t="shared" si="4"/>
        <v>0</v>
      </c>
      <c r="V60" s="1782">
        <f t="shared" si="5"/>
        <v>0</v>
      </c>
      <c r="W60" s="1782">
        <f t="shared" si="6"/>
        <v>0</v>
      </c>
      <c r="X60" s="1782">
        <f t="shared" si="7"/>
        <v>0</v>
      </c>
      <c r="Y60" s="1782">
        <f t="shared" si="8"/>
        <v>0</v>
      </c>
      <c r="Z60" s="1788"/>
    </row>
    <row r="61" hidden="1" outlineLevel="1">
      <c r="A61" s="1716"/>
      <c r="B61" s="1723"/>
      <c r="C61" s="1783"/>
      <c r="D61" s="1785"/>
      <c r="E61" s="1784"/>
      <c r="F61" s="1784"/>
      <c r="G61" s="1784"/>
      <c r="H61" s="1785" t="str">
        <f t="shared" si="3"/>
        <v/>
      </c>
      <c r="I61" s="1786"/>
      <c r="J61" s="1781"/>
      <c r="K61" s="1716"/>
      <c r="L61" s="17"/>
      <c r="M61" s="1772"/>
      <c r="N61" s="1773"/>
      <c r="O61" s="1774"/>
      <c r="P61" s="1750" t="str">
        <f t="shared" si="1"/>
        <v/>
      </c>
      <c r="Q61" s="1775" t="str">
        <f>IFERROR(VLOOKUP(N61,'金錢紀錄'!$AA$14:$AB$18,2,0)*M61/VLOOKUP(O61,'金錢紀錄'!$AA$14:$AB$18,2,0),"")</f>
        <v/>
      </c>
      <c r="R61" s="1776" t="str">
        <f t="shared" si="2"/>
        <v/>
      </c>
      <c r="S61" s="3"/>
      <c r="T61" s="1716"/>
      <c r="U61" s="1787">
        <f t="shared" si="4"/>
        <v>0</v>
      </c>
      <c r="V61" s="1787">
        <f t="shared" si="5"/>
        <v>0</v>
      </c>
      <c r="W61" s="1787">
        <f t="shared" si="6"/>
        <v>0</v>
      </c>
      <c r="X61" s="1787">
        <f t="shared" si="7"/>
        <v>0</v>
      </c>
      <c r="Y61" s="1787">
        <f t="shared" si="8"/>
        <v>0</v>
      </c>
      <c r="Z61" s="1788"/>
    </row>
    <row r="62" hidden="1" outlineLevel="1">
      <c r="A62" s="1716"/>
      <c r="B62" s="1723"/>
      <c r="C62" s="1777"/>
      <c r="D62" s="1779"/>
      <c r="E62" s="1779"/>
      <c r="F62" s="1779"/>
      <c r="G62" s="1779"/>
      <c r="H62" s="1779" t="str">
        <f t="shared" si="3"/>
        <v/>
      </c>
      <c r="I62" s="1780"/>
      <c r="J62" s="1781"/>
      <c r="K62" s="1716"/>
      <c r="L62" s="17"/>
      <c r="M62" s="1762"/>
      <c r="N62" s="1763"/>
      <c r="O62" s="1764"/>
      <c r="P62" s="1750" t="str">
        <f t="shared" si="1"/>
        <v/>
      </c>
      <c r="Q62" s="1765" t="str">
        <f>IFERROR(VLOOKUP(N62,'金錢紀錄'!$AA$14:$AB$18,2,0)*M62/VLOOKUP(O62,'金錢紀錄'!$AA$14:$AB$18,2,0),"")</f>
        <v/>
      </c>
      <c r="R62" s="1766" t="str">
        <f t="shared" si="2"/>
        <v/>
      </c>
      <c r="S62" s="3"/>
      <c r="T62" s="1716"/>
      <c r="U62" s="1782">
        <f t="shared" si="4"/>
        <v>0</v>
      </c>
      <c r="V62" s="1782">
        <f t="shared" si="5"/>
        <v>0</v>
      </c>
      <c r="W62" s="1782">
        <f t="shared" si="6"/>
        <v>0</v>
      </c>
      <c r="X62" s="1782">
        <f t="shared" si="7"/>
        <v>0</v>
      </c>
      <c r="Y62" s="1782">
        <f t="shared" si="8"/>
        <v>0</v>
      </c>
      <c r="Z62" s="1788"/>
    </row>
    <row r="63" hidden="1" outlineLevel="1">
      <c r="A63" s="1716"/>
      <c r="B63" s="1723"/>
      <c r="C63" s="1783"/>
      <c r="D63" s="1785"/>
      <c r="E63" s="1784"/>
      <c r="F63" s="1784"/>
      <c r="G63" s="1784"/>
      <c r="H63" s="1785" t="str">
        <f t="shared" si="3"/>
        <v/>
      </c>
      <c r="I63" s="1786"/>
      <c r="J63" s="1781"/>
      <c r="K63" s="1716"/>
      <c r="L63" s="17"/>
      <c r="M63" s="1772"/>
      <c r="N63" s="1773"/>
      <c r="O63" s="1774"/>
      <c r="P63" s="1750" t="str">
        <f t="shared" si="1"/>
        <v/>
      </c>
      <c r="Q63" s="1775" t="str">
        <f>IFERROR(VLOOKUP(N63,'金錢紀錄'!$AA$14:$AB$18,2,0)*M63/VLOOKUP(O63,'金錢紀錄'!$AA$14:$AB$18,2,0),"")</f>
        <v/>
      </c>
      <c r="R63" s="1776" t="str">
        <f t="shared" si="2"/>
        <v/>
      </c>
      <c r="S63" s="3"/>
      <c r="T63" s="1716"/>
      <c r="U63" s="1787">
        <f t="shared" si="4"/>
        <v>0</v>
      </c>
      <c r="V63" s="1787">
        <f t="shared" si="5"/>
        <v>0</v>
      </c>
      <c r="W63" s="1787">
        <f t="shared" si="6"/>
        <v>0</v>
      </c>
      <c r="X63" s="1787">
        <f t="shared" si="7"/>
        <v>0</v>
      </c>
      <c r="Y63" s="1787">
        <f t="shared" si="8"/>
        <v>0</v>
      </c>
      <c r="Z63" s="1788"/>
    </row>
    <row r="64" hidden="1" outlineLevel="1">
      <c r="A64" s="1716"/>
      <c r="B64" s="1723"/>
      <c r="C64" s="1777"/>
      <c r="D64" s="1779"/>
      <c r="E64" s="1779"/>
      <c r="F64" s="1779"/>
      <c r="G64" s="1779"/>
      <c r="H64" s="1779" t="str">
        <f t="shared" si="3"/>
        <v/>
      </c>
      <c r="I64" s="1780"/>
      <c r="J64" s="1781"/>
      <c r="K64" s="1716"/>
      <c r="L64" s="17"/>
      <c r="M64" s="1762"/>
      <c r="N64" s="1763"/>
      <c r="O64" s="1764"/>
      <c r="P64" s="1750" t="str">
        <f t="shared" si="1"/>
        <v/>
      </c>
      <c r="Q64" s="1765" t="str">
        <f>IFERROR(VLOOKUP(N64,'金錢紀錄'!$AA$14:$AB$18,2,0)*M64/VLOOKUP(O64,'金錢紀錄'!$AA$14:$AB$18,2,0),"")</f>
        <v/>
      </c>
      <c r="R64" s="1766" t="str">
        <f t="shared" si="2"/>
        <v/>
      </c>
      <c r="S64" s="3"/>
      <c r="T64" s="1716"/>
      <c r="U64" s="1782">
        <f t="shared" si="4"/>
        <v>0</v>
      </c>
      <c r="V64" s="1782">
        <f t="shared" si="5"/>
        <v>0</v>
      </c>
      <c r="W64" s="1782">
        <f t="shared" si="6"/>
        <v>0</v>
      </c>
      <c r="X64" s="1782">
        <f t="shared" si="7"/>
        <v>0</v>
      </c>
      <c r="Y64" s="1782">
        <f t="shared" si="8"/>
        <v>0</v>
      </c>
      <c r="Z64" s="1788"/>
    </row>
    <row r="65" hidden="1" outlineLevel="1">
      <c r="A65" s="1716"/>
      <c r="B65" s="1723"/>
      <c r="C65" s="1783"/>
      <c r="D65" s="1785"/>
      <c r="E65" s="1784"/>
      <c r="F65" s="1784"/>
      <c r="G65" s="1784"/>
      <c r="H65" s="1785" t="str">
        <f t="shared" si="3"/>
        <v/>
      </c>
      <c r="I65" s="1786"/>
      <c r="J65" s="1781"/>
      <c r="K65" s="1716"/>
      <c r="L65" s="17"/>
      <c r="M65" s="1772"/>
      <c r="N65" s="1773"/>
      <c r="O65" s="1774"/>
      <c r="P65" s="1750" t="str">
        <f t="shared" si="1"/>
        <v/>
      </c>
      <c r="Q65" s="1775" t="str">
        <f>IFERROR(VLOOKUP(N65,'金錢紀錄'!$AA$14:$AB$18,2,0)*M65/VLOOKUP(O65,'金錢紀錄'!$AA$14:$AB$18,2,0),"")</f>
        <v/>
      </c>
      <c r="R65" s="1776" t="str">
        <f t="shared" si="2"/>
        <v/>
      </c>
      <c r="S65" s="3"/>
      <c r="T65" s="1716"/>
      <c r="U65" s="1787">
        <f t="shared" si="4"/>
        <v>0</v>
      </c>
      <c r="V65" s="1787">
        <f t="shared" si="5"/>
        <v>0</v>
      </c>
      <c r="W65" s="1787">
        <f t="shared" si="6"/>
        <v>0</v>
      </c>
      <c r="X65" s="1787">
        <f t="shared" si="7"/>
        <v>0</v>
      </c>
      <c r="Y65" s="1787">
        <f t="shared" si="8"/>
        <v>0</v>
      </c>
      <c r="Z65" s="1788"/>
    </row>
    <row r="66" hidden="1" outlineLevel="1">
      <c r="A66" s="1716"/>
      <c r="B66" s="1723"/>
      <c r="C66" s="1777"/>
      <c r="D66" s="1779"/>
      <c r="E66" s="1779"/>
      <c r="F66" s="1779"/>
      <c r="G66" s="1779"/>
      <c r="H66" s="1779" t="str">
        <f t="shared" si="3"/>
        <v/>
      </c>
      <c r="I66" s="1780"/>
      <c r="J66" s="1781"/>
      <c r="K66" s="1716"/>
      <c r="L66" s="17"/>
      <c r="M66" s="1762"/>
      <c r="N66" s="1763"/>
      <c r="O66" s="1764"/>
      <c r="P66" s="1750" t="str">
        <f t="shared" si="1"/>
        <v/>
      </c>
      <c r="Q66" s="1765" t="str">
        <f>IFERROR(VLOOKUP(N66,'金錢紀錄'!$AA$14:$AB$18,2,0)*M66/VLOOKUP(O66,'金錢紀錄'!$AA$14:$AB$18,2,0),"")</f>
        <v/>
      </c>
      <c r="R66" s="1766" t="str">
        <f t="shared" si="2"/>
        <v/>
      </c>
      <c r="S66" s="3"/>
      <c r="T66" s="1716"/>
      <c r="U66" s="1782">
        <f t="shared" si="4"/>
        <v>0</v>
      </c>
      <c r="V66" s="1782">
        <f t="shared" si="5"/>
        <v>0</v>
      </c>
      <c r="W66" s="1782">
        <f t="shared" si="6"/>
        <v>0</v>
      </c>
      <c r="X66" s="1782">
        <f t="shared" si="7"/>
        <v>0</v>
      </c>
      <c r="Y66" s="1782">
        <f t="shared" si="8"/>
        <v>0</v>
      </c>
      <c r="Z66" s="1788"/>
    </row>
    <row r="67" hidden="1" outlineLevel="1">
      <c r="A67" s="1716"/>
      <c r="B67" s="1723"/>
      <c r="C67" s="1783"/>
      <c r="D67" s="1785"/>
      <c r="E67" s="1784"/>
      <c r="F67" s="1784"/>
      <c r="G67" s="1784"/>
      <c r="H67" s="1785" t="str">
        <f t="shared" si="3"/>
        <v/>
      </c>
      <c r="I67" s="1786"/>
      <c r="J67" s="1781"/>
      <c r="K67" s="1716"/>
      <c r="L67" s="17"/>
      <c r="M67" s="1772"/>
      <c r="N67" s="1773"/>
      <c r="O67" s="1774"/>
      <c r="P67" s="1750" t="str">
        <f t="shared" si="1"/>
        <v/>
      </c>
      <c r="Q67" s="1775" t="str">
        <f>IFERROR(VLOOKUP(N67,'金錢紀錄'!$AA$14:$AB$18,2,0)*M67/VLOOKUP(O67,'金錢紀錄'!$AA$14:$AB$18,2,0),"")</f>
        <v/>
      </c>
      <c r="R67" s="1776" t="str">
        <f t="shared" si="2"/>
        <v/>
      </c>
      <c r="S67" s="3"/>
      <c r="T67" s="1716"/>
      <c r="U67" s="1787">
        <f t="shared" si="4"/>
        <v>0</v>
      </c>
      <c r="V67" s="1787">
        <f t="shared" si="5"/>
        <v>0</v>
      </c>
      <c r="W67" s="1787">
        <f t="shared" si="6"/>
        <v>0</v>
      </c>
      <c r="X67" s="1787">
        <f t="shared" si="7"/>
        <v>0</v>
      </c>
      <c r="Y67" s="1787">
        <f t="shared" si="8"/>
        <v>0</v>
      </c>
      <c r="Z67" s="1788"/>
    </row>
    <row r="68" hidden="1" outlineLevel="1">
      <c r="A68" s="1716"/>
      <c r="B68" s="1723"/>
      <c r="C68" s="1777"/>
      <c r="D68" s="1779"/>
      <c r="E68" s="1779"/>
      <c r="F68" s="1779"/>
      <c r="G68" s="1779"/>
      <c r="H68" s="1779" t="str">
        <f t="shared" si="3"/>
        <v/>
      </c>
      <c r="I68" s="1780"/>
      <c r="J68" s="1781"/>
      <c r="K68" s="1716"/>
      <c r="L68" s="17"/>
      <c r="M68" s="1762"/>
      <c r="N68" s="1763"/>
      <c r="O68" s="1764"/>
      <c r="P68" s="1750" t="str">
        <f t="shared" si="1"/>
        <v/>
      </c>
      <c r="Q68" s="1765" t="str">
        <f>IFERROR(VLOOKUP(N68,'金錢紀錄'!$AA$14:$AB$18,2,0)*M68/VLOOKUP(O68,'金錢紀錄'!$AA$14:$AB$18,2,0),"")</f>
        <v/>
      </c>
      <c r="R68" s="1766" t="str">
        <f t="shared" si="2"/>
        <v/>
      </c>
      <c r="S68" s="3"/>
      <c r="T68" s="1716"/>
      <c r="U68" s="1782">
        <f t="shared" si="4"/>
        <v>0</v>
      </c>
      <c r="V68" s="1782">
        <f t="shared" si="5"/>
        <v>0</v>
      </c>
      <c r="W68" s="1782">
        <f t="shared" si="6"/>
        <v>0</v>
      </c>
      <c r="X68" s="1782">
        <f t="shared" si="7"/>
        <v>0</v>
      </c>
      <c r="Y68" s="1782">
        <f t="shared" si="8"/>
        <v>0</v>
      </c>
      <c r="Z68" s="1788"/>
    </row>
    <row r="69" hidden="1" outlineLevel="1">
      <c r="A69" s="1716"/>
      <c r="B69" s="1723"/>
      <c r="C69" s="1783"/>
      <c r="D69" s="1785"/>
      <c r="E69" s="1784"/>
      <c r="F69" s="1784"/>
      <c r="G69" s="1784"/>
      <c r="H69" s="1785" t="str">
        <f t="shared" si="3"/>
        <v/>
      </c>
      <c r="I69" s="1786"/>
      <c r="J69" s="1781"/>
      <c r="K69" s="1716"/>
      <c r="L69" s="17"/>
      <c r="M69" s="1772"/>
      <c r="N69" s="1773"/>
      <c r="O69" s="1774"/>
      <c r="P69" s="1750" t="str">
        <f t="shared" si="1"/>
        <v/>
      </c>
      <c r="Q69" s="1775" t="str">
        <f>IFERROR(VLOOKUP(N69,'金錢紀錄'!$AA$14:$AB$18,2,0)*M69/VLOOKUP(O69,'金錢紀錄'!$AA$14:$AB$18,2,0),"")</f>
        <v/>
      </c>
      <c r="R69" s="1776" t="str">
        <f t="shared" si="2"/>
        <v/>
      </c>
      <c r="S69" s="3"/>
      <c r="T69" s="1716"/>
      <c r="U69" s="1787">
        <f t="shared" si="4"/>
        <v>0</v>
      </c>
      <c r="V69" s="1787">
        <f t="shared" si="5"/>
        <v>0</v>
      </c>
      <c r="W69" s="1787">
        <f t="shared" si="6"/>
        <v>0</v>
      </c>
      <c r="X69" s="1787">
        <f t="shared" si="7"/>
        <v>0</v>
      </c>
      <c r="Y69" s="1787">
        <f t="shared" si="8"/>
        <v>0</v>
      </c>
      <c r="Z69" s="1788"/>
    </row>
    <row r="70" hidden="1" outlineLevel="1">
      <c r="A70" s="1716"/>
      <c r="B70" s="1723"/>
      <c r="C70" s="1777"/>
      <c r="D70" s="1779"/>
      <c r="E70" s="1779"/>
      <c r="F70" s="1779"/>
      <c r="G70" s="1779"/>
      <c r="H70" s="1779" t="str">
        <f t="shared" si="3"/>
        <v/>
      </c>
      <c r="I70" s="1780"/>
      <c r="J70" s="1781"/>
      <c r="K70" s="1716"/>
      <c r="L70" s="17"/>
      <c r="M70" s="1762"/>
      <c r="N70" s="1763"/>
      <c r="O70" s="1764"/>
      <c r="P70" s="1750" t="str">
        <f t="shared" si="1"/>
        <v/>
      </c>
      <c r="Q70" s="1765" t="str">
        <f>IFERROR(VLOOKUP(N70,'金錢紀錄'!$AA$14:$AB$18,2,0)*M70/VLOOKUP(O70,'金錢紀錄'!$AA$14:$AB$18,2,0),"")</f>
        <v/>
      </c>
      <c r="R70" s="1766" t="str">
        <f t="shared" si="2"/>
        <v/>
      </c>
      <c r="S70" s="3"/>
      <c r="T70" s="1716"/>
      <c r="U70" s="1782">
        <f t="shared" si="4"/>
        <v>0</v>
      </c>
      <c r="V70" s="1782">
        <f t="shared" si="5"/>
        <v>0</v>
      </c>
      <c r="W70" s="1782">
        <f t="shared" si="6"/>
        <v>0</v>
      </c>
      <c r="X70" s="1782">
        <f t="shared" si="7"/>
        <v>0</v>
      </c>
      <c r="Y70" s="1782">
        <f t="shared" si="8"/>
        <v>0</v>
      </c>
      <c r="Z70" s="1788"/>
    </row>
    <row r="71" hidden="1" outlineLevel="1">
      <c r="A71" s="1716"/>
      <c r="B71" s="1723"/>
      <c r="C71" s="1783"/>
      <c r="D71" s="1785"/>
      <c r="E71" s="1784"/>
      <c r="F71" s="1784"/>
      <c r="G71" s="1784"/>
      <c r="H71" s="1785" t="str">
        <f t="shared" si="3"/>
        <v/>
      </c>
      <c r="I71" s="1786"/>
      <c r="J71" s="1781"/>
      <c r="K71" s="1716"/>
      <c r="L71" s="17"/>
      <c r="M71" s="1772"/>
      <c r="N71" s="1773"/>
      <c r="O71" s="1774"/>
      <c r="P71" s="1750" t="str">
        <f t="shared" si="1"/>
        <v/>
      </c>
      <c r="Q71" s="1775" t="str">
        <f>IFERROR(VLOOKUP(N71,'金錢紀錄'!$AA$14:$AB$18,2,0)*M71/VLOOKUP(O71,'金錢紀錄'!$AA$14:$AB$18,2,0),"")</f>
        <v/>
      </c>
      <c r="R71" s="1776" t="str">
        <f t="shared" si="2"/>
        <v/>
      </c>
      <c r="S71" s="3"/>
      <c r="T71" s="1716"/>
      <c r="U71" s="1787">
        <f t="shared" si="4"/>
        <v>0</v>
      </c>
      <c r="V71" s="1787">
        <f t="shared" si="5"/>
        <v>0</v>
      </c>
      <c r="W71" s="1787">
        <f t="shared" si="6"/>
        <v>0</v>
      </c>
      <c r="X71" s="1787">
        <f t="shared" si="7"/>
        <v>0</v>
      </c>
      <c r="Y71" s="1787">
        <f t="shared" si="8"/>
        <v>0</v>
      </c>
      <c r="Z71" s="1788"/>
    </row>
    <row r="72" hidden="1" outlineLevel="1">
      <c r="A72" s="1716"/>
      <c r="B72" s="1723"/>
      <c r="C72" s="1777"/>
      <c r="D72" s="1779"/>
      <c r="E72" s="1779"/>
      <c r="F72" s="1779"/>
      <c r="G72" s="1779"/>
      <c r="H72" s="1779" t="str">
        <f t="shared" si="3"/>
        <v/>
      </c>
      <c r="I72" s="1780"/>
      <c r="J72" s="1781"/>
      <c r="K72" s="1716"/>
      <c r="L72" s="17"/>
      <c r="M72" s="1762"/>
      <c r="N72" s="1763"/>
      <c r="O72" s="1764"/>
      <c r="P72" s="1750" t="str">
        <f t="shared" si="1"/>
        <v/>
      </c>
      <c r="Q72" s="1765" t="str">
        <f>IFERROR(VLOOKUP(N72,'金錢紀錄'!$AA$14:$AB$18,2,0)*M72/VLOOKUP(O72,'金錢紀錄'!$AA$14:$AB$18,2,0),"")</f>
        <v/>
      </c>
      <c r="R72" s="1766" t="str">
        <f t="shared" si="2"/>
        <v/>
      </c>
      <c r="S72" s="3"/>
      <c r="T72" s="1716"/>
      <c r="U72" s="1782">
        <f t="shared" si="4"/>
        <v>0</v>
      </c>
      <c r="V72" s="1782">
        <f t="shared" si="5"/>
        <v>0</v>
      </c>
      <c r="W72" s="1782">
        <f t="shared" si="6"/>
        <v>0</v>
      </c>
      <c r="X72" s="1782">
        <f t="shared" si="7"/>
        <v>0</v>
      </c>
      <c r="Y72" s="1782">
        <f t="shared" si="8"/>
        <v>0</v>
      </c>
      <c r="Z72" s="1788"/>
    </row>
    <row r="73" hidden="1" outlineLevel="1">
      <c r="A73" s="1716"/>
      <c r="B73" s="1723"/>
      <c r="C73" s="1783"/>
      <c r="D73" s="1785"/>
      <c r="E73" s="1784"/>
      <c r="F73" s="1784"/>
      <c r="G73" s="1784"/>
      <c r="H73" s="1785" t="str">
        <f t="shared" si="3"/>
        <v/>
      </c>
      <c r="I73" s="1786"/>
      <c r="J73" s="1781"/>
      <c r="K73" s="1716"/>
      <c r="L73" s="17"/>
      <c r="M73" s="1772"/>
      <c r="N73" s="1773"/>
      <c r="O73" s="1774"/>
      <c r="P73" s="1750" t="str">
        <f t="shared" si="1"/>
        <v/>
      </c>
      <c r="Q73" s="1775" t="str">
        <f>IFERROR(VLOOKUP(N73,'金錢紀錄'!$AA$14:$AB$18,2,0)*M73/VLOOKUP(O73,'金錢紀錄'!$AA$14:$AB$18,2,0),"")</f>
        <v/>
      </c>
      <c r="R73" s="1776" t="str">
        <f t="shared" si="2"/>
        <v/>
      </c>
      <c r="S73" s="3"/>
      <c r="T73" s="1716"/>
      <c r="U73" s="1787">
        <f t="shared" si="4"/>
        <v>0</v>
      </c>
      <c r="V73" s="1787">
        <f t="shared" si="5"/>
        <v>0</v>
      </c>
      <c r="W73" s="1787">
        <f t="shared" si="6"/>
        <v>0</v>
      </c>
      <c r="X73" s="1787">
        <f t="shared" si="7"/>
        <v>0</v>
      </c>
      <c r="Y73" s="1787">
        <f t="shared" si="8"/>
        <v>0</v>
      </c>
      <c r="Z73" s="1788"/>
    </row>
    <row r="74" hidden="1" outlineLevel="1">
      <c r="A74" s="1716"/>
      <c r="B74" s="1723"/>
      <c r="C74" s="1777"/>
      <c r="D74" s="1779"/>
      <c r="E74" s="1779"/>
      <c r="F74" s="1779"/>
      <c r="G74" s="1779"/>
      <c r="H74" s="1779" t="str">
        <f t="shared" si="3"/>
        <v/>
      </c>
      <c r="I74" s="1780"/>
      <c r="J74" s="1781"/>
      <c r="K74" s="1716"/>
      <c r="L74" s="17"/>
      <c r="M74" s="1762"/>
      <c r="N74" s="1763"/>
      <c r="O74" s="1764"/>
      <c r="P74" s="1750" t="str">
        <f t="shared" si="1"/>
        <v/>
      </c>
      <c r="Q74" s="1765" t="str">
        <f>IFERROR(VLOOKUP(N74,'金錢紀錄'!$AA$14:$AB$18,2,0)*M74/VLOOKUP(O74,'金錢紀錄'!$AA$14:$AB$18,2,0),"")</f>
        <v/>
      </c>
      <c r="R74" s="1766" t="str">
        <f t="shared" si="2"/>
        <v/>
      </c>
      <c r="S74" s="3"/>
      <c r="T74" s="1716"/>
      <c r="U74" s="1782">
        <f t="shared" si="4"/>
        <v>0</v>
      </c>
      <c r="V74" s="1782">
        <f t="shared" si="5"/>
        <v>0</v>
      </c>
      <c r="W74" s="1782">
        <f t="shared" si="6"/>
        <v>0</v>
      </c>
      <c r="X74" s="1782">
        <f t="shared" si="7"/>
        <v>0</v>
      </c>
      <c r="Y74" s="1782">
        <f t="shared" si="8"/>
        <v>0</v>
      </c>
      <c r="Z74" s="1788"/>
    </row>
    <row r="75" hidden="1" outlineLevel="1">
      <c r="A75" s="1716"/>
      <c r="B75" s="1723"/>
      <c r="C75" s="1783"/>
      <c r="D75" s="1785"/>
      <c r="E75" s="1784"/>
      <c r="F75" s="1784"/>
      <c r="G75" s="1784"/>
      <c r="H75" s="1785" t="str">
        <f t="shared" si="3"/>
        <v/>
      </c>
      <c r="I75" s="1786"/>
      <c r="J75" s="1781"/>
      <c r="K75" s="1716"/>
      <c r="L75" s="17"/>
      <c r="M75" s="1772"/>
      <c r="N75" s="1773"/>
      <c r="O75" s="1774"/>
      <c r="P75" s="1750" t="str">
        <f t="shared" si="1"/>
        <v/>
      </c>
      <c r="Q75" s="1775" t="str">
        <f>IFERROR(VLOOKUP(N75,'金錢紀錄'!$AA$14:$AB$18,2,0)*M75/VLOOKUP(O75,'金錢紀錄'!$AA$14:$AB$18,2,0),"")</f>
        <v/>
      </c>
      <c r="R75" s="1776" t="str">
        <f t="shared" si="2"/>
        <v/>
      </c>
      <c r="S75" s="3"/>
      <c r="T75" s="1716"/>
      <c r="U75" s="1787">
        <f t="shared" si="4"/>
        <v>0</v>
      </c>
      <c r="V75" s="1787">
        <f t="shared" si="5"/>
        <v>0</v>
      </c>
      <c r="W75" s="1787">
        <f t="shared" si="6"/>
        <v>0</v>
      </c>
      <c r="X75" s="1787">
        <f t="shared" si="7"/>
        <v>0</v>
      </c>
      <c r="Y75" s="1787">
        <f t="shared" si="8"/>
        <v>0</v>
      </c>
      <c r="Z75" s="1788"/>
    </row>
    <row r="76" hidden="1" outlineLevel="1">
      <c r="A76" s="1716"/>
      <c r="B76" s="1723"/>
      <c r="C76" s="1777"/>
      <c r="D76" s="1779"/>
      <c r="E76" s="1779"/>
      <c r="F76" s="1779"/>
      <c r="G76" s="1779"/>
      <c r="H76" s="1779" t="str">
        <f t="shared" si="3"/>
        <v/>
      </c>
      <c r="I76" s="1780"/>
      <c r="J76" s="1781"/>
      <c r="K76" s="1716"/>
      <c r="L76" s="17"/>
      <c r="M76" s="1762"/>
      <c r="N76" s="1763"/>
      <c r="O76" s="1764"/>
      <c r="P76" s="1750" t="str">
        <f t="shared" si="1"/>
        <v/>
      </c>
      <c r="Q76" s="1765" t="str">
        <f>IFERROR(VLOOKUP(N76,'金錢紀錄'!$AA$14:$AB$18,2,0)*M76/VLOOKUP(O76,'金錢紀錄'!$AA$14:$AB$18,2,0),"")</f>
        <v/>
      </c>
      <c r="R76" s="1766" t="str">
        <f t="shared" si="2"/>
        <v/>
      </c>
      <c r="S76" s="3"/>
      <c r="T76" s="1716"/>
      <c r="U76" s="1782">
        <f t="shared" si="4"/>
        <v>0</v>
      </c>
      <c r="V76" s="1782">
        <f t="shared" si="5"/>
        <v>0</v>
      </c>
      <c r="W76" s="1782">
        <f t="shared" si="6"/>
        <v>0</v>
      </c>
      <c r="X76" s="1782">
        <f t="shared" si="7"/>
        <v>0</v>
      </c>
      <c r="Y76" s="1782">
        <f t="shared" si="8"/>
        <v>0</v>
      </c>
      <c r="Z76" s="1788"/>
    </row>
    <row r="77" hidden="1" outlineLevel="1">
      <c r="A77" s="1716"/>
      <c r="B77" s="1723"/>
      <c r="C77" s="1783"/>
      <c r="D77" s="1785"/>
      <c r="E77" s="1784"/>
      <c r="F77" s="1784"/>
      <c r="G77" s="1784"/>
      <c r="H77" s="1785" t="str">
        <f t="shared" si="3"/>
        <v/>
      </c>
      <c r="I77" s="1786"/>
      <c r="J77" s="1781"/>
      <c r="K77" s="1716"/>
      <c r="L77" s="17"/>
      <c r="M77" s="1772"/>
      <c r="N77" s="1773"/>
      <c r="O77" s="1774"/>
      <c r="P77" s="1750" t="str">
        <f t="shared" si="1"/>
        <v/>
      </c>
      <c r="Q77" s="1775" t="str">
        <f>IFERROR(VLOOKUP(N77,'金錢紀錄'!$AA$14:$AB$18,2,0)*M77/VLOOKUP(O77,'金錢紀錄'!$AA$14:$AB$18,2,0),"")</f>
        <v/>
      </c>
      <c r="R77" s="1776" t="str">
        <f t="shared" si="2"/>
        <v/>
      </c>
      <c r="S77" s="3"/>
      <c r="T77" s="1716"/>
      <c r="U77" s="1787">
        <f t="shared" si="4"/>
        <v>0</v>
      </c>
      <c r="V77" s="1787">
        <f t="shared" si="5"/>
        <v>0</v>
      </c>
      <c r="W77" s="1787">
        <f t="shared" si="6"/>
        <v>0</v>
      </c>
      <c r="X77" s="1787">
        <f t="shared" si="7"/>
        <v>0</v>
      </c>
      <c r="Y77" s="1787">
        <f t="shared" si="8"/>
        <v>0</v>
      </c>
      <c r="Z77" s="1788"/>
    </row>
    <row r="78" hidden="1" outlineLevel="1">
      <c r="A78" s="1716"/>
      <c r="B78" s="1723"/>
      <c r="C78" s="1777"/>
      <c r="D78" s="1779"/>
      <c r="E78" s="1779"/>
      <c r="F78" s="1779"/>
      <c r="G78" s="1779"/>
      <c r="H78" s="1779" t="str">
        <f t="shared" si="3"/>
        <v/>
      </c>
      <c r="I78" s="1780"/>
      <c r="J78" s="1781"/>
      <c r="K78" s="1716"/>
      <c r="L78" s="17"/>
      <c r="M78" s="1762"/>
      <c r="N78" s="1763"/>
      <c r="O78" s="1764"/>
      <c r="P78" s="1750" t="str">
        <f t="shared" si="1"/>
        <v/>
      </c>
      <c r="Q78" s="1765" t="str">
        <f>IFERROR(VLOOKUP(N78,'金錢紀錄'!$AA$14:$AB$18,2,0)*M78/VLOOKUP(O78,'金錢紀錄'!$AA$14:$AB$18,2,0),"")</f>
        <v/>
      </c>
      <c r="R78" s="1766" t="str">
        <f t="shared" si="2"/>
        <v/>
      </c>
      <c r="S78" s="3"/>
      <c r="T78" s="1716"/>
      <c r="U78" s="1782">
        <f t="shared" si="4"/>
        <v>0</v>
      </c>
      <c r="V78" s="1782">
        <f t="shared" si="5"/>
        <v>0</v>
      </c>
      <c r="W78" s="1782">
        <f t="shared" si="6"/>
        <v>0</v>
      </c>
      <c r="X78" s="1782">
        <f t="shared" si="7"/>
        <v>0</v>
      </c>
      <c r="Y78" s="1782">
        <f t="shared" si="8"/>
        <v>0</v>
      </c>
      <c r="Z78" s="1788"/>
    </row>
    <row r="79" hidden="1" outlineLevel="1">
      <c r="A79" s="1716"/>
      <c r="B79" s="1723"/>
      <c r="C79" s="1783"/>
      <c r="D79" s="1785"/>
      <c r="E79" s="1784"/>
      <c r="F79" s="1784"/>
      <c r="G79" s="1784"/>
      <c r="H79" s="1785" t="str">
        <f t="shared" si="3"/>
        <v/>
      </c>
      <c r="I79" s="1786"/>
      <c r="J79" s="1781"/>
      <c r="K79" s="1716"/>
      <c r="L79" s="17"/>
      <c r="M79" s="1772"/>
      <c r="N79" s="1773"/>
      <c r="O79" s="1774"/>
      <c r="P79" s="1750" t="str">
        <f t="shared" si="1"/>
        <v/>
      </c>
      <c r="Q79" s="1775" t="str">
        <f>IFERROR(VLOOKUP(N79,'金錢紀錄'!$AA$14:$AB$18,2,0)*M79/VLOOKUP(O79,'金錢紀錄'!$AA$14:$AB$18,2,0),"")</f>
        <v/>
      </c>
      <c r="R79" s="1776" t="str">
        <f t="shared" si="2"/>
        <v/>
      </c>
      <c r="S79" s="3"/>
      <c r="T79" s="1716"/>
      <c r="U79" s="1787">
        <f t="shared" si="4"/>
        <v>0</v>
      </c>
      <c r="V79" s="1787">
        <f t="shared" si="5"/>
        <v>0</v>
      </c>
      <c r="W79" s="1787">
        <f t="shared" si="6"/>
        <v>0</v>
      </c>
      <c r="X79" s="1787">
        <f t="shared" si="7"/>
        <v>0</v>
      </c>
      <c r="Y79" s="1787">
        <f t="shared" si="8"/>
        <v>0</v>
      </c>
      <c r="Z79" s="1788"/>
    </row>
    <row r="80" hidden="1" outlineLevel="1">
      <c r="A80" s="1716"/>
      <c r="B80" s="1723"/>
      <c r="C80" s="1777"/>
      <c r="D80" s="1779"/>
      <c r="E80" s="1779"/>
      <c r="F80" s="1779"/>
      <c r="G80" s="1779"/>
      <c r="H80" s="1779" t="str">
        <f t="shared" si="3"/>
        <v/>
      </c>
      <c r="I80" s="1780"/>
      <c r="J80" s="1781"/>
      <c r="K80" s="1716"/>
      <c r="L80" s="17"/>
      <c r="M80" s="1762"/>
      <c r="N80" s="1763"/>
      <c r="O80" s="1764"/>
      <c r="P80" s="1750" t="str">
        <f t="shared" si="1"/>
        <v/>
      </c>
      <c r="Q80" s="1765" t="str">
        <f>IFERROR(VLOOKUP(N80,'金錢紀錄'!$AA$14:$AB$18,2,0)*M80/VLOOKUP(O80,'金錢紀錄'!$AA$14:$AB$18,2,0),"")</f>
        <v/>
      </c>
      <c r="R80" s="1766" t="str">
        <f t="shared" si="2"/>
        <v/>
      </c>
      <c r="S80" s="3"/>
      <c r="T80" s="1716"/>
      <c r="U80" s="1782">
        <f t="shared" si="4"/>
        <v>0</v>
      </c>
      <c r="V80" s="1782">
        <f t="shared" si="5"/>
        <v>0</v>
      </c>
      <c r="W80" s="1782">
        <f t="shared" si="6"/>
        <v>0</v>
      </c>
      <c r="X80" s="1782">
        <f t="shared" si="7"/>
        <v>0</v>
      </c>
      <c r="Y80" s="1782">
        <f t="shared" si="8"/>
        <v>0</v>
      </c>
      <c r="Z80" s="1788"/>
    </row>
    <row r="81" hidden="1" outlineLevel="1">
      <c r="A81" s="1716"/>
      <c r="B81" s="1723"/>
      <c r="C81" s="1783"/>
      <c r="D81" s="1785"/>
      <c r="E81" s="1784"/>
      <c r="F81" s="1784"/>
      <c r="G81" s="1784"/>
      <c r="H81" s="1785" t="str">
        <f t="shared" si="3"/>
        <v/>
      </c>
      <c r="I81" s="1786"/>
      <c r="J81" s="1781"/>
      <c r="K81" s="1716"/>
      <c r="L81" s="17"/>
      <c r="M81" s="1772"/>
      <c r="N81" s="1773"/>
      <c r="O81" s="1774"/>
      <c r="P81" s="1750" t="str">
        <f t="shared" si="1"/>
        <v/>
      </c>
      <c r="Q81" s="1775" t="str">
        <f>IFERROR(VLOOKUP(N81,'金錢紀錄'!$AA$14:$AB$18,2,0)*M81/VLOOKUP(O81,'金錢紀錄'!$AA$14:$AB$18,2,0),"")</f>
        <v/>
      </c>
      <c r="R81" s="1776" t="str">
        <f t="shared" si="2"/>
        <v/>
      </c>
      <c r="S81" s="3"/>
      <c r="T81" s="1716"/>
      <c r="U81" s="1787">
        <f t="shared" si="4"/>
        <v>0</v>
      </c>
      <c r="V81" s="1787">
        <f t="shared" si="5"/>
        <v>0</v>
      </c>
      <c r="W81" s="1787">
        <f t="shared" si="6"/>
        <v>0</v>
      </c>
      <c r="X81" s="1787">
        <f t="shared" si="7"/>
        <v>0</v>
      </c>
      <c r="Y81" s="1787">
        <f t="shared" si="8"/>
        <v>0</v>
      </c>
      <c r="Z81" s="1788"/>
    </row>
    <row r="82" hidden="1" outlineLevel="1">
      <c r="A82" s="1716"/>
      <c r="B82" s="1723"/>
      <c r="C82" s="1777"/>
      <c r="D82" s="1779"/>
      <c r="E82" s="1779"/>
      <c r="F82" s="1779"/>
      <c r="G82" s="1779"/>
      <c r="H82" s="1779" t="str">
        <f t="shared" si="3"/>
        <v/>
      </c>
      <c r="I82" s="1780"/>
      <c r="J82" s="1781"/>
      <c r="K82" s="1716"/>
      <c r="L82" s="17"/>
      <c r="M82" s="1762"/>
      <c r="N82" s="1763"/>
      <c r="O82" s="1764"/>
      <c r="P82" s="1750" t="str">
        <f t="shared" si="1"/>
        <v/>
      </c>
      <c r="Q82" s="1765" t="str">
        <f>IFERROR(VLOOKUP(N82,'金錢紀錄'!$AA$14:$AB$18,2,0)*M82/VLOOKUP(O82,'金錢紀錄'!$AA$14:$AB$18,2,0),"")</f>
        <v/>
      </c>
      <c r="R82" s="1766" t="str">
        <f t="shared" si="2"/>
        <v/>
      </c>
      <c r="S82" s="3"/>
      <c r="T82" s="1716"/>
      <c r="U82" s="1782">
        <f t="shared" si="4"/>
        <v>0</v>
      </c>
      <c r="V82" s="1782">
        <f t="shared" si="5"/>
        <v>0</v>
      </c>
      <c r="W82" s="1782">
        <f t="shared" si="6"/>
        <v>0</v>
      </c>
      <c r="X82" s="1782">
        <f t="shared" si="7"/>
        <v>0</v>
      </c>
      <c r="Y82" s="1782">
        <f t="shared" si="8"/>
        <v>0</v>
      </c>
      <c r="Z82" s="1788"/>
    </row>
    <row r="83" hidden="1" outlineLevel="1">
      <c r="A83" s="1716"/>
      <c r="B83" s="1723"/>
      <c r="C83" s="1783"/>
      <c r="D83" s="1785"/>
      <c r="E83" s="1784"/>
      <c r="F83" s="1784"/>
      <c r="G83" s="1784"/>
      <c r="H83" s="1785" t="str">
        <f t="shared" si="3"/>
        <v/>
      </c>
      <c r="I83" s="1786"/>
      <c r="J83" s="1781"/>
      <c r="K83" s="1716"/>
      <c r="L83" s="17"/>
      <c r="M83" s="1772"/>
      <c r="N83" s="1773"/>
      <c r="O83" s="1774"/>
      <c r="P83" s="1750" t="str">
        <f t="shared" si="1"/>
        <v/>
      </c>
      <c r="Q83" s="1775" t="str">
        <f>IFERROR(VLOOKUP(N83,'金錢紀錄'!$AA$14:$AB$18,2,0)*M83/VLOOKUP(O83,'金錢紀錄'!$AA$14:$AB$18,2,0),"")</f>
        <v/>
      </c>
      <c r="R83" s="1776" t="str">
        <f t="shared" si="2"/>
        <v/>
      </c>
      <c r="S83" s="3"/>
      <c r="T83" s="1716"/>
      <c r="U83" s="1787">
        <f t="shared" si="4"/>
        <v>0</v>
      </c>
      <c r="V83" s="1787">
        <f t="shared" si="5"/>
        <v>0</v>
      </c>
      <c r="W83" s="1787">
        <f t="shared" si="6"/>
        <v>0</v>
      </c>
      <c r="X83" s="1787">
        <f t="shared" si="7"/>
        <v>0</v>
      </c>
      <c r="Y83" s="1787">
        <f t="shared" si="8"/>
        <v>0</v>
      </c>
      <c r="Z83" s="1788"/>
    </row>
    <row r="84" hidden="1" outlineLevel="1">
      <c r="A84" s="1716"/>
      <c r="B84" s="1723"/>
      <c r="C84" s="1777"/>
      <c r="D84" s="1779"/>
      <c r="E84" s="1779"/>
      <c r="F84" s="1779"/>
      <c r="G84" s="1779"/>
      <c r="H84" s="1779" t="str">
        <f t="shared" si="3"/>
        <v/>
      </c>
      <c r="I84" s="1780"/>
      <c r="J84" s="1781"/>
      <c r="K84" s="1716"/>
      <c r="L84" s="17"/>
      <c r="M84" s="1762"/>
      <c r="N84" s="1763"/>
      <c r="O84" s="1764"/>
      <c r="P84" s="1750" t="str">
        <f t="shared" si="1"/>
        <v/>
      </c>
      <c r="Q84" s="1765" t="str">
        <f>IFERROR(VLOOKUP(N84,'金錢紀錄'!$AA$14:$AB$18,2,0)*M84/VLOOKUP(O84,'金錢紀錄'!$AA$14:$AB$18,2,0),"")</f>
        <v/>
      </c>
      <c r="R84" s="1766" t="str">
        <f t="shared" si="2"/>
        <v/>
      </c>
      <c r="S84" s="3"/>
      <c r="T84" s="1716"/>
      <c r="U84" s="1782">
        <f t="shared" si="4"/>
        <v>0</v>
      </c>
      <c r="V84" s="1782">
        <f t="shared" si="5"/>
        <v>0</v>
      </c>
      <c r="W84" s="1782">
        <f t="shared" si="6"/>
        <v>0</v>
      </c>
      <c r="X84" s="1782">
        <f t="shared" si="7"/>
        <v>0</v>
      </c>
      <c r="Y84" s="1782">
        <f t="shared" si="8"/>
        <v>0</v>
      </c>
      <c r="Z84" s="1788"/>
    </row>
    <row r="85" hidden="1" outlineLevel="1">
      <c r="A85" s="1716"/>
      <c r="B85" s="1723"/>
      <c r="C85" s="1783"/>
      <c r="D85" s="1785"/>
      <c r="E85" s="1784"/>
      <c r="F85" s="1784"/>
      <c r="G85" s="1784"/>
      <c r="H85" s="1785" t="str">
        <f t="shared" si="3"/>
        <v/>
      </c>
      <c r="I85" s="1786"/>
      <c r="J85" s="1781"/>
      <c r="K85" s="1716"/>
      <c r="L85" s="17"/>
      <c r="M85" s="1772"/>
      <c r="N85" s="1773"/>
      <c r="O85" s="1774"/>
      <c r="P85" s="1750" t="str">
        <f t="shared" si="1"/>
        <v/>
      </c>
      <c r="Q85" s="1775" t="str">
        <f>IFERROR(VLOOKUP(N85,'金錢紀錄'!$AA$14:$AB$18,2,0)*M85/VLOOKUP(O85,'金錢紀錄'!$AA$14:$AB$18,2,0),"")</f>
        <v/>
      </c>
      <c r="R85" s="1776" t="str">
        <f t="shared" si="2"/>
        <v/>
      </c>
      <c r="S85" s="3"/>
      <c r="T85" s="1716"/>
      <c r="U85" s="1787">
        <f t="shared" si="4"/>
        <v>0</v>
      </c>
      <c r="V85" s="1787">
        <f t="shared" si="5"/>
        <v>0</v>
      </c>
      <c r="W85" s="1787">
        <f t="shared" si="6"/>
        <v>0</v>
      </c>
      <c r="X85" s="1787">
        <f t="shared" si="7"/>
        <v>0</v>
      </c>
      <c r="Y85" s="1787">
        <f t="shared" si="8"/>
        <v>0</v>
      </c>
      <c r="Z85" s="1788"/>
    </row>
    <row r="86" hidden="1" outlineLevel="1">
      <c r="A86" s="1716"/>
      <c r="B86" s="1723"/>
      <c r="C86" s="1777"/>
      <c r="D86" s="1779"/>
      <c r="E86" s="1779"/>
      <c r="F86" s="1779"/>
      <c r="G86" s="1779"/>
      <c r="H86" s="1779" t="str">
        <f t="shared" si="3"/>
        <v/>
      </c>
      <c r="I86" s="1780"/>
      <c r="J86" s="1781"/>
      <c r="K86" s="1716"/>
      <c r="L86" s="17"/>
      <c r="M86" s="1762"/>
      <c r="N86" s="1763"/>
      <c r="O86" s="1764"/>
      <c r="P86" s="1750" t="str">
        <f t="shared" si="1"/>
        <v/>
      </c>
      <c r="Q86" s="1765" t="str">
        <f>IFERROR(VLOOKUP(N86,'金錢紀錄'!$AA$14:$AB$18,2,0)*M86/VLOOKUP(O86,'金錢紀錄'!$AA$14:$AB$18,2,0),"")</f>
        <v/>
      </c>
      <c r="R86" s="1766" t="str">
        <f t="shared" si="2"/>
        <v/>
      </c>
      <c r="S86" s="3"/>
      <c r="T86" s="1716"/>
      <c r="U86" s="1782">
        <f t="shared" si="4"/>
        <v>0</v>
      </c>
      <c r="V86" s="1782">
        <f t="shared" si="5"/>
        <v>0</v>
      </c>
      <c r="W86" s="1782">
        <f t="shared" si="6"/>
        <v>0</v>
      </c>
      <c r="X86" s="1782">
        <f t="shared" si="7"/>
        <v>0</v>
      </c>
      <c r="Y86" s="1782">
        <f t="shared" si="8"/>
        <v>0</v>
      </c>
      <c r="Z86" s="1788"/>
    </row>
    <row r="87" hidden="1" outlineLevel="1">
      <c r="A87" s="1716"/>
      <c r="B87" s="1723"/>
      <c r="C87" s="1783"/>
      <c r="D87" s="1785"/>
      <c r="E87" s="1784"/>
      <c r="F87" s="1784"/>
      <c r="G87" s="1784"/>
      <c r="H87" s="1785" t="str">
        <f t="shared" si="3"/>
        <v/>
      </c>
      <c r="I87" s="1786"/>
      <c r="J87" s="1781"/>
      <c r="K87" s="1716"/>
      <c r="L87" s="17"/>
      <c r="M87" s="1772"/>
      <c r="N87" s="1773"/>
      <c r="O87" s="1774"/>
      <c r="P87" s="1750" t="str">
        <f t="shared" si="1"/>
        <v/>
      </c>
      <c r="Q87" s="1775" t="str">
        <f>IFERROR(VLOOKUP(N87,'金錢紀錄'!$AA$14:$AB$18,2,0)*M87/VLOOKUP(O87,'金錢紀錄'!$AA$14:$AB$18,2,0),"")</f>
        <v/>
      </c>
      <c r="R87" s="1776" t="str">
        <f t="shared" si="2"/>
        <v/>
      </c>
      <c r="S87" s="3"/>
      <c r="T87" s="1716"/>
      <c r="U87" s="1787">
        <f t="shared" si="4"/>
        <v>0</v>
      </c>
      <c r="V87" s="1787">
        <f t="shared" si="5"/>
        <v>0</v>
      </c>
      <c r="W87" s="1787">
        <f t="shared" si="6"/>
        <v>0</v>
      </c>
      <c r="X87" s="1787">
        <f t="shared" si="7"/>
        <v>0</v>
      </c>
      <c r="Y87" s="1787">
        <f t="shared" si="8"/>
        <v>0</v>
      </c>
      <c r="Z87" s="1788"/>
    </row>
    <row r="88" hidden="1" outlineLevel="1">
      <c r="A88" s="1716"/>
      <c r="B88" s="1723"/>
      <c r="C88" s="1777"/>
      <c r="D88" s="1779"/>
      <c r="E88" s="1779"/>
      <c r="F88" s="1779"/>
      <c r="G88" s="1779"/>
      <c r="H88" s="1779" t="str">
        <f t="shared" si="3"/>
        <v/>
      </c>
      <c r="I88" s="1780"/>
      <c r="J88" s="1781"/>
      <c r="K88" s="1716"/>
      <c r="L88" s="17"/>
      <c r="M88" s="1762"/>
      <c r="N88" s="1763"/>
      <c r="O88" s="1764"/>
      <c r="P88" s="1750" t="str">
        <f t="shared" si="1"/>
        <v/>
      </c>
      <c r="Q88" s="1765" t="str">
        <f>IFERROR(VLOOKUP(N88,'金錢紀錄'!$AA$14:$AB$18,2,0)*M88/VLOOKUP(O88,'金錢紀錄'!$AA$14:$AB$18,2,0),"")</f>
        <v/>
      </c>
      <c r="R88" s="1766" t="str">
        <f t="shared" si="2"/>
        <v/>
      </c>
      <c r="S88" s="3"/>
      <c r="T88" s="1716"/>
      <c r="U88" s="1782">
        <f t="shared" si="4"/>
        <v>0</v>
      </c>
      <c r="V88" s="1782">
        <f t="shared" si="5"/>
        <v>0</v>
      </c>
      <c r="W88" s="1782">
        <f t="shared" si="6"/>
        <v>0</v>
      </c>
      <c r="X88" s="1782">
        <f t="shared" si="7"/>
        <v>0</v>
      </c>
      <c r="Y88" s="1782">
        <f t="shared" si="8"/>
        <v>0</v>
      </c>
      <c r="Z88" s="1788"/>
    </row>
    <row r="89" hidden="1" outlineLevel="1">
      <c r="A89" s="1716"/>
      <c r="B89" s="1723"/>
      <c r="C89" s="1783"/>
      <c r="D89" s="1785"/>
      <c r="E89" s="1784"/>
      <c r="F89" s="1784"/>
      <c r="G89" s="1784"/>
      <c r="H89" s="1785" t="str">
        <f t="shared" si="3"/>
        <v/>
      </c>
      <c r="I89" s="1786"/>
      <c r="J89" s="1781"/>
      <c r="K89" s="1716"/>
      <c r="L89" s="17"/>
      <c r="M89" s="1772"/>
      <c r="N89" s="1773"/>
      <c r="O89" s="1774"/>
      <c r="P89" s="1750" t="str">
        <f t="shared" si="1"/>
        <v/>
      </c>
      <c r="Q89" s="1775" t="str">
        <f>IFERROR(VLOOKUP(N89,'金錢紀錄'!$AA$14:$AB$18,2,0)*M89/VLOOKUP(O89,'金錢紀錄'!$AA$14:$AB$18,2,0),"")</f>
        <v/>
      </c>
      <c r="R89" s="1776" t="str">
        <f t="shared" si="2"/>
        <v/>
      </c>
      <c r="S89" s="3"/>
      <c r="T89" s="1716"/>
      <c r="U89" s="1787">
        <f t="shared" si="4"/>
        <v>0</v>
      </c>
      <c r="V89" s="1787">
        <f t="shared" si="5"/>
        <v>0</v>
      </c>
      <c r="W89" s="1787">
        <f t="shared" si="6"/>
        <v>0</v>
      </c>
      <c r="X89" s="1787">
        <f t="shared" si="7"/>
        <v>0</v>
      </c>
      <c r="Y89" s="1787">
        <f t="shared" si="8"/>
        <v>0</v>
      </c>
      <c r="Z89" s="1788"/>
    </row>
    <row r="90" hidden="1" outlineLevel="1">
      <c r="A90" s="1716"/>
      <c r="B90" s="1723"/>
      <c r="C90" s="1777"/>
      <c r="D90" s="1779"/>
      <c r="E90" s="1779"/>
      <c r="F90" s="1779"/>
      <c r="G90" s="1779"/>
      <c r="H90" s="1779" t="str">
        <f t="shared" si="3"/>
        <v/>
      </c>
      <c r="I90" s="1780"/>
      <c r="J90" s="1781"/>
      <c r="K90" s="1716"/>
      <c r="L90" s="17"/>
      <c r="M90" s="1762"/>
      <c r="N90" s="1763"/>
      <c r="O90" s="1764"/>
      <c r="P90" s="1750" t="str">
        <f t="shared" si="1"/>
        <v/>
      </c>
      <c r="Q90" s="1765" t="str">
        <f>IFERROR(VLOOKUP(N90,'金錢紀錄'!$AA$14:$AB$18,2,0)*M90/VLOOKUP(O90,'金錢紀錄'!$AA$14:$AB$18,2,0),"")</f>
        <v/>
      </c>
      <c r="R90" s="1766" t="str">
        <f t="shared" si="2"/>
        <v/>
      </c>
      <c r="S90" s="3"/>
      <c r="T90" s="1716"/>
      <c r="U90" s="1782">
        <f t="shared" si="4"/>
        <v>0</v>
      </c>
      <c r="V90" s="1782">
        <f t="shared" si="5"/>
        <v>0</v>
      </c>
      <c r="W90" s="1782">
        <f t="shared" si="6"/>
        <v>0</v>
      </c>
      <c r="X90" s="1782">
        <f t="shared" si="7"/>
        <v>0</v>
      </c>
      <c r="Y90" s="1782">
        <f t="shared" si="8"/>
        <v>0</v>
      </c>
      <c r="Z90" s="1788"/>
    </row>
    <row r="91" hidden="1" outlineLevel="1">
      <c r="A91" s="1716"/>
      <c r="B91" s="1723"/>
      <c r="C91" s="1783"/>
      <c r="D91" s="1785"/>
      <c r="E91" s="1784"/>
      <c r="F91" s="1784"/>
      <c r="G91" s="1784"/>
      <c r="H91" s="1785" t="str">
        <f t="shared" si="3"/>
        <v/>
      </c>
      <c r="I91" s="1786"/>
      <c r="J91" s="1781"/>
      <c r="K91" s="1716"/>
      <c r="L91" s="17"/>
      <c r="M91" s="1772"/>
      <c r="N91" s="1773"/>
      <c r="O91" s="1774"/>
      <c r="P91" s="1750" t="str">
        <f t="shared" si="1"/>
        <v/>
      </c>
      <c r="Q91" s="1775" t="str">
        <f>IFERROR(VLOOKUP(N91,'金錢紀錄'!$AA$14:$AB$18,2,0)*M91/VLOOKUP(O91,'金錢紀錄'!$AA$14:$AB$18,2,0),"")</f>
        <v/>
      </c>
      <c r="R91" s="1776" t="str">
        <f t="shared" si="2"/>
        <v/>
      </c>
      <c r="S91" s="3"/>
      <c r="T91" s="1716"/>
      <c r="U91" s="1787">
        <f t="shared" si="4"/>
        <v>0</v>
      </c>
      <c r="V91" s="1787">
        <f t="shared" si="5"/>
        <v>0</v>
      </c>
      <c r="W91" s="1787">
        <f t="shared" si="6"/>
        <v>0</v>
      </c>
      <c r="X91" s="1787">
        <f t="shared" si="7"/>
        <v>0</v>
      </c>
      <c r="Y91" s="1787">
        <f t="shared" si="8"/>
        <v>0</v>
      </c>
      <c r="Z91" s="1788"/>
    </row>
    <row r="92" hidden="1" outlineLevel="1">
      <c r="A92" s="1716"/>
      <c r="B92" s="1723"/>
      <c r="C92" s="1777"/>
      <c r="D92" s="1779"/>
      <c r="E92" s="1779"/>
      <c r="F92" s="1779"/>
      <c r="G92" s="1779"/>
      <c r="H92" s="1779" t="str">
        <f t="shared" si="3"/>
        <v/>
      </c>
      <c r="I92" s="1780"/>
      <c r="J92" s="1781"/>
      <c r="K92" s="1716"/>
      <c r="L92" s="17"/>
      <c r="M92" s="1762"/>
      <c r="N92" s="1763"/>
      <c r="O92" s="1764"/>
      <c r="P92" s="1750" t="str">
        <f t="shared" si="1"/>
        <v/>
      </c>
      <c r="Q92" s="1765" t="str">
        <f>IFERROR(VLOOKUP(N92,'金錢紀錄'!$AA$14:$AB$18,2,0)*M92/VLOOKUP(O92,'金錢紀錄'!$AA$14:$AB$18,2,0),"")</f>
        <v/>
      </c>
      <c r="R92" s="1766" t="str">
        <f t="shared" si="2"/>
        <v/>
      </c>
      <c r="S92" s="3"/>
      <c r="T92" s="1716"/>
      <c r="U92" s="1782">
        <f t="shared" si="4"/>
        <v>0</v>
      </c>
      <c r="V92" s="1782">
        <f t="shared" si="5"/>
        <v>0</v>
      </c>
      <c r="W92" s="1782">
        <f t="shared" si="6"/>
        <v>0</v>
      </c>
      <c r="X92" s="1782">
        <f t="shared" si="7"/>
        <v>0</v>
      </c>
      <c r="Y92" s="1782">
        <f t="shared" si="8"/>
        <v>0</v>
      </c>
      <c r="Z92" s="1788"/>
    </row>
    <row r="93" hidden="1" outlineLevel="1">
      <c r="A93" s="1716"/>
      <c r="B93" s="1723"/>
      <c r="C93" s="1783"/>
      <c r="D93" s="1785"/>
      <c r="E93" s="1784"/>
      <c r="F93" s="1784"/>
      <c r="G93" s="1784"/>
      <c r="H93" s="1785" t="str">
        <f t="shared" si="3"/>
        <v/>
      </c>
      <c r="I93" s="1786"/>
      <c r="J93" s="1781"/>
      <c r="K93" s="1716"/>
      <c r="L93" s="17"/>
      <c r="M93" s="1772"/>
      <c r="N93" s="1773"/>
      <c r="O93" s="1774"/>
      <c r="P93" s="1750" t="str">
        <f t="shared" si="1"/>
        <v/>
      </c>
      <c r="Q93" s="1775" t="str">
        <f>IFERROR(VLOOKUP(N93,'金錢紀錄'!$AA$14:$AB$18,2,0)*M93/VLOOKUP(O93,'金錢紀錄'!$AA$14:$AB$18,2,0),"")</f>
        <v/>
      </c>
      <c r="R93" s="1776" t="str">
        <f t="shared" si="2"/>
        <v/>
      </c>
      <c r="S93" s="3"/>
      <c r="T93" s="1716"/>
      <c r="U93" s="1787">
        <f t="shared" si="4"/>
        <v>0</v>
      </c>
      <c r="V93" s="1787">
        <f t="shared" si="5"/>
        <v>0</v>
      </c>
      <c r="W93" s="1787">
        <f t="shared" si="6"/>
        <v>0</v>
      </c>
      <c r="X93" s="1787">
        <f t="shared" si="7"/>
        <v>0</v>
      </c>
      <c r="Y93" s="1787">
        <f t="shared" si="8"/>
        <v>0</v>
      </c>
      <c r="Z93" s="1788"/>
    </row>
    <row r="94" hidden="1" outlineLevel="1">
      <c r="A94" s="1716"/>
      <c r="B94" s="1723"/>
      <c r="C94" s="1777"/>
      <c r="D94" s="1779"/>
      <c r="E94" s="1779"/>
      <c r="F94" s="1779"/>
      <c r="G94" s="1779"/>
      <c r="H94" s="1779" t="str">
        <f t="shared" si="3"/>
        <v/>
      </c>
      <c r="I94" s="1780"/>
      <c r="J94" s="1781"/>
      <c r="K94" s="1716"/>
      <c r="L94" s="17"/>
      <c r="M94" s="1762"/>
      <c r="N94" s="1763"/>
      <c r="O94" s="1764"/>
      <c r="P94" s="1750" t="str">
        <f t="shared" si="1"/>
        <v/>
      </c>
      <c r="Q94" s="1765" t="str">
        <f>IFERROR(VLOOKUP(N94,'金錢紀錄'!$AA$14:$AB$18,2,0)*M94/VLOOKUP(O94,'金錢紀錄'!$AA$14:$AB$18,2,0),"")</f>
        <v/>
      </c>
      <c r="R94" s="1766" t="str">
        <f t="shared" si="2"/>
        <v/>
      </c>
      <c r="S94" s="3"/>
      <c r="T94" s="1716"/>
      <c r="U94" s="1782">
        <f t="shared" si="4"/>
        <v>0</v>
      </c>
      <c r="V94" s="1782">
        <f t="shared" si="5"/>
        <v>0</v>
      </c>
      <c r="W94" s="1782">
        <f t="shared" si="6"/>
        <v>0</v>
      </c>
      <c r="X94" s="1782">
        <f t="shared" si="7"/>
        <v>0</v>
      </c>
      <c r="Y94" s="1782">
        <f t="shared" si="8"/>
        <v>0</v>
      </c>
      <c r="Z94" s="1788"/>
    </row>
    <row r="95" hidden="1" outlineLevel="1">
      <c r="A95" s="1716"/>
      <c r="B95" s="1723"/>
      <c r="C95" s="1783"/>
      <c r="D95" s="1785"/>
      <c r="E95" s="1784"/>
      <c r="F95" s="1784"/>
      <c r="G95" s="1784"/>
      <c r="H95" s="1785" t="str">
        <f t="shared" si="3"/>
        <v/>
      </c>
      <c r="I95" s="1786"/>
      <c r="J95" s="1781"/>
      <c r="K95" s="1716"/>
      <c r="L95" s="17"/>
      <c r="M95" s="1772"/>
      <c r="N95" s="1773"/>
      <c r="O95" s="1774"/>
      <c r="P95" s="1750" t="str">
        <f t="shared" si="1"/>
        <v/>
      </c>
      <c r="Q95" s="1775" t="str">
        <f>IFERROR(VLOOKUP(N95,'金錢紀錄'!$AA$14:$AB$18,2,0)*M95/VLOOKUP(O95,'金錢紀錄'!$AA$14:$AB$18,2,0),"")</f>
        <v/>
      </c>
      <c r="R95" s="1776" t="str">
        <f t="shared" si="2"/>
        <v/>
      </c>
      <c r="S95" s="3"/>
      <c r="T95" s="1716"/>
      <c r="U95" s="1787">
        <f t="shared" si="4"/>
        <v>0</v>
      </c>
      <c r="V95" s="1787">
        <f t="shared" si="5"/>
        <v>0</v>
      </c>
      <c r="W95" s="1787">
        <f t="shared" si="6"/>
        <v>0</v>
      </c>
      <c r="X95" s="1787">
        <f t="shared" si="7"/>
        <v>0</v>
      </c>
      <c r="Y95" s="1787">
        <f t="shared" si="8"/>
        <v>0</v>
      </c>
      <c r="Z95" s="1788"/>
    </row>
    <row r="96" hidden="1" outlineLevel="1">
      <c r="A96" s="1716"/>
      <c r="B96" s="1723"/>
      <c r="C96" s="1777"/>
      <c r="D96" s="1779"/>
      <c r="E96" s="1779"/>
      <c r="F96" s="1779"/>
      <c r="G96" s="1779"/>
      <c r="H96" s="1779" t="str">
        <f t="shared" si="3"/>
        <v/>
      </c>
      <c r="I96" s="1780"/>
      <c r="J96" s="1781"/>
      <c r="K96" s="1716"/>
      <c r="L96" s="17"/>
      <c r="M96" s="1762"/>
      <c r="N96" s="1763"/>
      <c r="O96" s="1764"/>
      <c r="P96" s="1750" t="str">
        <f t="shared" si="1"/>
        <v/>
      </c>
      <c r="Q96" s="1765" t="str">
        <f>IFERROR(VLOOKUP(N96,'金錢紀錄'!$AA$14:$AB$18,2,0)*M96/VLOOKUP(O96,'金錢紀錄'!$AA$14:$AB$18,2,0),"")</f>
        <v/>
      </c>
      <c r="R96" s="1766" t="str">
        <f t="shared" si="2"/>
        <v/>
      </c>
      <c r="S96" s="3"/>
      <c r="T96" s="1716"/>
      <c r="U96" s="1782">
        <f t="shared" si="4"/>
        <v>0</v>
      </c>
      <c r="V96" s="1782">
        <f t="shared" si="5"/>
        <v>0</v>
      </c>
      <c r="W96" s="1782">
        <f t="shared" si="6"/>
        <v>0</v>
      </c>
      <c r="X96" s="1782">
        <f t="shared" si="7"/>
        <v>0</v>
      </c>
      <c r="Y96" s="1782">
        <f t="shared" si="8"/>
        <v>0</v>
      </c>
      <c r="Z96" s="1788"/>
    </row>
    <row r="97" hidden="1" outlineLevel="1">
      <c r="A97" s="1716"/>
      <c r="B97" s="1723"/>
      <c r="C97" s="1783"/>
      <c r="D97" s="1785"/>
      <c r="E97" s="1784"/>
      <c r="F97" s="1784"/>
      <c r="G97" s="1784"/>
      <c r="H97" s="1785" t="str">
        <f t="shared" si="3"/>
        <v/>
      </c>
      <c r="I97" s="1786"/>
      <c r="J97" s="1781"/>
      <c r="K97" s="1716"/>
      <c r="L97" s="17"/>
      <c r="M97" s="1772"/>
      <c r="N97" s="1773"/>
      <c r="O97" s="1774"/>
      <c r="P97" s="1750" t="str">
        <f t="shared" si="1"/>
        <v/>
      </c>
      <c r="Q97" s="1775" t="str">
        <f>IFERROR(VLOOKUP(N97,'金錢紀錄'!$AA$14:$AB$18,2,0)*M97/VLOOKUP(O97,'金錢紀錄'!$AA$14:$AB$18,2,0),"")</f>
        <v/>
      </c>
      <c r="R97" s="1776" t="str">
        <f t="shared" si="2"/>
        <v/>
      </c>
      <c r="S97" s="3"/>
      <c r="T97" s="1716"/>
      <c r="U97" s="1787">
        <f t="shared" si="4"/>
        <v>0</v>
      </c>
      <c r="V97" s="1787">
        <f t="shared" si="5"/>
        <v>0</v>
      </c>
      <c r="W97" s="1787">
        <f t="shared" si="6"/>
        <v>0</v>
      </c>
      <c r="X97" s="1787">
        <f t="shared" si="7"/>
        <v>0</v>
      </c>
      <c r="Y97" s="1787">
        <f t="shared" si="8"/>
        <v>0</v>
      </c>
      <c r="Z97" s="1788"/>
    </row>
    <row r="98" hidden="1" outlineLevel="1">
      <c r="A98" s="1716"/>
      <c r="B98" s="1723"/>
      <c r="C98" s="1777"/>
      <c r="D98" s="1779"/>
      <c r="E98" s="1779"/>
      <c r="F98" s="1779"/>
      <c r="G98" s="1779"/>
      <c r="H98" s="1779" t="str">
        <f t="shared" si="3"/>
        <v/>
      </c>
      <c r="I98" s="1780"/>
      <c r="J98" s="1781"/>
      <c r="K98" s="1716"/>
      <c r="L98" s="17"/>
      <c r="M98" s="1762"/>
      <c r="N98" s="1763"/>
      <c r="O98" s="1764"/>
      <c r="P98" s="1750" t="str">
        <f t="shared" si="1"/>
        <v/>
      </c>
      <c r="Q98" s="1765" t="str">
        <f>IFERROR(VLOOKUP(N98,'金錢紀錄'!$AA$14:$AB$18,2,0)*M98/VLOOKUP(O98,'金錢紀錄'!$AA$14:$AB$18,2,0),"")</f>
        <v/>
      </c>
      <c r="R98" s="1766" t="str">
        <f t="shared" si="2"/>
        <v/>
      </c>
      <c r="S98" s="3"/>
      <c r="T98" s="1716"/>
      <c r="U98" s="1782">
        <f t="shared" si="4"/>
        <v>0</v>
      </c>
      <c r="V98" s="1782">
        <f t="shared" si="5"/>
        <v>0</v>
      </c>
      <c r="W98" s="1782">
        <f t="shared" si="6"/>
        <v>0</v>
      </c>
      <c r="X98" s="1782">
        <f t="shared" si="7"/>
        <v>0</v>
      </c>
      <c r="Y98" s="1782">
        <f t="shared" si="8"/>
        <v>0</v>
      </c>
      <c r="Z98" s="1788"/>
    </row>
    <row r="99" hidden="1" outlineLevel="1">
      <c r="A99" s="1716"/>
      <c r="B99" s="1723"/>
      <c r="C99" s="1783"/>
      <c r="D99" s="1785"/>
      <c r="E99" s="1784"/>
      <c r="F99" s="1784"/>
      <c r="G99" s="1784"/>
      <c r="H99" s="1785" t="str">
        <f t="shared" si="3"/>
        <v/>
      </c>
      <c r="I99" s="1786"/>
      <c r="J99" s="1781"/>
      <c r="K99" s="1716"/>
      <c r="L99" s="17"/>
      <c r="M99" s="1772"/>
      <c r="N99" s="1773"/>
      <c r="O99" s="1774"/>
      <c r="P99" s="1750" t="str">
        <f t="shared" si="1"/>
        <v/>
      </c>
      <c r="Q99" s="1775" t="str">
        <f>IFERROR(VLOOKUP(N99,'金錢紀錄'!$AA$14:$AB$18,2,0)*M99/VLOOKUP(O99,'金錢紀錄'!$AA$14:$AB$18,2,0),"")</f>
        <v/>
      </c>
      <c r="R99" s="1776" t="str">
        <f t="shared" si="2"/>
        <v/>
      </c>
      <c r="S99" s="3"/>
      <c r="T99" s="1716"/>
      <c r="U99" s="1787">
        <f t="shared" si="4"/>
        <v>0</v>
      </c>
      <c r="V99" s="1787">
        <f t="shared" si="5"/>
        <v>0</v>
      </c>
      <c r="W99" s="1787">
        <f t="shared" si="6"/>
        <v>0</v>
      </c>
      <c r="X99" s="1787">
        <f t="shared" si="7"/>
        <v>0</v>
      </c>
      <c r="Y99" s="1787">
        <f t="shared" si="8"/>
        <v>0</v>
      </c>
      <c r="Z99" s="1788"/>
    </row>
    <row r="100" hidden="1" outlineLevel="1">
      <c r="A100" s="1716"/>
      <c r="B100" s="1723"/>
      <c r="C100" s="1777"/>
      <c r="D100" s="1779"/>
      <c r="E100" s="1779"/>
      <c r="F100" s="1779"/>
      <c r="G100" s="1779"/>
      <c r="H100" s="1779" t="str">
        <f t="shared" si="3"/>
        <v/>
      </c>
      <c r="I100" s="1780"/>
      <c r="J100" s="1781"/>
      <c r="K100" s="1716"/>
      <c r="L100" s="17"/>
      <c r="M100" s="1762"/>
      <c r="N100" s="1763"/>
      <c r="O100" s="1764"/>
      <c r="P100" s="1750" t="str">
        <f t="shared" si="1"/>
        <v/>
      </c>
      <c r="Q100" s="1765" t="str">
        <f>IFERROR(VLOOKUP(N100,'金錢紀錄'!$AA$14:$AB$18,2,0)*M100/VLOOKUP(O100,'金錢紀錄'!$AA$14:$AB$18,2,0),"")</f>
        <v/>
      </c>
      <c r="R100" s="1766" t="str">
        <f t="shared" si="2"/>
        <v/>
      </c>
      <c r="S100" s="3"/>
      <c r="T100" s="1716"/>
      <c r="U100" s="1782">
        <f t="shared" si="4"/>
        <v>0</v>
      </c>
      <c r="V100" s="1782">
        <f t="shared" si="5"/>
        <v>0</v>
      </c>
      <c r="W100" s="1782">
        <f t="shared" si="6"/>
        <v>0</v>
      </c>
      <c r="X100" s="1782">
        <f t="shared" si="7"/>
        <v>0</v>
      </c>
      <c r="Y100" s="1782">
        <f t="shared" si="8"/>
        <v>0</v>
      </c>
      <c r="Z100" s="1788"/>
    </row>
    <row r="101" hidden="1" outlineLevel="1">
      <c r="A101" s="1716"/>
      <c r="B101" s="1723"/>
      <c r="C101" s="1783"/>
      <c r="D101" s="1785"/>
      <c r="E101" s="1784"/>
      <c r="F101" s="1784"/>
      <c r="G101" s="1784"/>
      <c r="H101" s="1785" t="str">
        <f t="shared" si="3"/>
        <v/>
      </c>
      <c r="I101" s="1786"/>
      <c r="J101" s="1781"/>
      <c r="K101" s="1716"/>
      <c r="L101" s="17"/>
      <c r="M101" s="1772"/>
      <c r="N101" s="1773"/>
      <c r="O101" s="1774"/>
      <c r="P101" s="1750" t="str">
        <f t="shared" si="1"/>
        <v/>
      </c>
      <c r="Q101" s="1775" t="str">
        <f>IFERROR(VLOOKUP(N101,'金錢紀錄'!$AA$14:$AB$18,2,0)*M101/VLOOKUP(O101,'金錢紀錄'!$AA$14:$AB$18,2,0),"")</f>
        <v/>
      </c>
      <c r="R101" s="1776" t="str">
        <f t="shared" si="2"/>
        <v/>
      </c>
      <c r="S101" s="3"/>
      <c r="T101" s="1716"/>
      <c r="U101" s="1787">
        <f t="shared" si="4"/>
        <v>0</v>
      </c>
      <c r="V101" s="1787">
        <f t="shared" si="5"/>
        <v>0</v>
      </c>
      <c r="W101" s="1787">
        <f t="shared" si="6"/>
        <v>0</v>
      </c>
      <c r="X101" s="1787">
        <f t="shared" si="7"/>
        <v>0</v>
      </c>
      <c r="Y101" s="1787">
        <f t="shared" si="8"/>
        <v>0</v>
      </c>
      <c r="Z101" s="1788"/>
    </row>
    <row r="102" hidden="1" outlineLevel="1">
      <c r="A102" s="1716"/>
      <c r="B102" s="1723"/>
      <c r="C102" s="1791"/>
      <c r="D102" s="1779"/>
      <c r="E102" s="1779"/>
      <c r="F102" s="1779"/>
      <c r="G102" s="1779"/>
      <c r="H102" s="1779" t="str">
        <f t="shared" si="3"/>
        <v/>
      </c>
      <c r="I102" s="1780"/>
      <c r="J102" s="1781"/>
      <c r="K102" s="1716"/>
      <c r="L102" s="17"/>
      <c r="M102" s="1762"/>
      <c r="N102" s="1763"/>
      <c r="O102" s="1764"/>
      <c r="P102" s="1750" t="str">
        <f t="shared" si="1"/>
        <v/>
      </c>
      <c r="Q102" s="1765" t="str">
        <f>IFERROR(VLOOKUP(N102,'金錢紀錄'!$AA$14:$AB$18,2,0)*M102/VLOOKUP(O102,'金錢紀錄'!$AA$14:$AB$18,2,0),"")</f>
        <v/>
      </c>
      <c r="R102" s="1766" t="str">
        <f t="shared" si="2"/>
        <v/>
      </c>
      <c r="S102" s="3"/>
      <c r="T102" s="1716"/>
      <c r="U102" s="1782">
        <f t="shared" si="4"/>
        <v>0</v>
      </c>
      <c r="V102" s="1782">
        <f t="shared" si="5"/>
        <v>0</v>
      </c>
      <c r="W102" s="1782">
        <f t="shared" si="6"/>
        <v>0</v>
      </c>
      <c r="X102" s="1782">
        <f t="shared" si="7"/>
        <v>0</v>
      </c>
      <c r="Y102" s="1782">
        <f t="shared" si="8"/>
        <v>0</v>
      </c>
      <c r="Z102" s="1788"/>
    </row>
    <row r="103" hidden="1" outlineLevel="1">
      <c r="A103" s="1716"/>
      <c r="B103" s="1723"/>
      <c r="C103" s="1792"/>
      <c r="D103" s="1793"/>
      <c r="E103" s="1793"/>
      <c r="F103" s="1793"/>
      <c r="G103" s="1793"/>
      <c r="H103" s="1793" t="str">
        <f t="shared" si="3"/>
        <v/>
      </c>
      <c r="I103" s="1794"/>
      <c r="J103" s="1781"/>
      <c r="K103" s="1716"/>
      <c r="L103" s="17"/>
      <c r="M103" s="1795"/>
      <c r="N103" s="1796"/>
      <c r="O103" s="1797"/>
      <c r="P103" s="1798" t="str">
        <f t="shared" si="1"/>
        <v/>
      </c>
      <c r="Q103" s="1799" t="str">
        <f>IFERROR(VLOOKUP(N103,'金錢紀錄'!$AA$14:$AB$18,2,0)*M103/VLOOKUP(O103,'金錢紀錄'!$AA$14:$AB$18,2,0),"")</f>
        <v/>
      </c>
      <c r="R103" s="1800" t="str">
        <f t="shared" si="2"/>
        <v/>
      </c>
      <c r="S103" s="3"/>
      <c r="T103" s="1716"/>
      <c r="U103" s="1787">
        <f t="shared" si="4"/>
        <v>0</v>
      </c>
      <c r="V103" s="1787">
        <f t="shared" si="5"/>
        <v>0</v>
      </c>
      <c r="W103" s="1787">
        <f t="shared" si="6"/>
        <v>0</v>
      </c>
      <c r="X103" s="1787">
        <f t="shared" si="7"/>
        <v>0</v>
      </c>
      <c r="Y103" s="1787">
        <f t="shared" si="8"/>
        <v>0</v>
      </c>
      <c r="Z103" s="1788"/>
    </row>
    <row r="104">
      <c r="A104" s="1716"/>
      <c r="B104" s="1718"/>
      <c r="C104" s="1801"/>
      <c r="D104" s="1801"/>
      <c r="E104" s="1801"/>
      <c r="F104" s="1801"/>
      <c r="G104" s="1801"/>
      <c r="H104" s="1801"/>
      <c r="I104" s="1801"/>
      <c r="J104" s="1718"/>
      <c r="K104" s="1716"/>
      <c r="L104" s="3"/>
      <c r="M104" s="93"/>
      <c r="N104" s="93"/>
      <c r="O104" s="93"/>
      <c r="P104" s="93"/>
      <c r="Q104" s="93"/>
      <c r="R104" s="93"/>
      <c r="S104" s="102"/>
      <c r="T104" s="1716"/>
      <c r="U104" s="1788"/>
      <c r="V104" s="1788"/>
      <c r="W104" s="1788"/>
      <c r="X104" s="1788"/>
      <c r="Y104" s="1788"/>
      <c r="Z104" s="1788"/>
    </row>
    <row r="105">
      <c r="A105" s="1716"/>
      <c r="B105" s="1716"/>
      <c r="C105" s="1716"/>
      <c r="D105" s="1716"/>
      <c r="E105" s="1716"/>
      <c r="F105" s="1716"/>
      <c r="G105" s="1716"/>
      <c r="H105" s="1716"/>
      <c r="I105" s="1716"/>
      <c r="J105" s="1716"/>
      <c r="K105" s="1716"/>
      <c r="L105" s="1716"/>
      <c r="M105" s="1716"/>
      <c r="N105" s="1716"/>
      <c r="O105" s="1716"/>
      <c r="P105" s="1716"/>
      <c r="Q105" s="1716"/>
      <c r="R105" s="1716"/>
      <c r="S105" s="1716"/>
      <c r="T105" s="1716"/>
      <c r="U105" s="1788"/>
      <c r="V105" s="1788"/>
      <c r="W105" s="1788"/>
      <c r="X105" s="1788"/>
      <c r="Y105" s="1788"/>
      <c r="Z105" s="1788"/>
      <c r="AA105" s="1788"/>
      <c r="AB105" s="1788"/>
    </row>
  </sheetData>
  <mergeCells count="4">
    <mergeCell ref="C3:I3"/>
    <mergeCell ref="M3:R3"/>
    <mergeCell ref="Q4:R4"/>
    <mergeCell ref="AA13:AB13"/>
  </mergeCells>
  <conditionalFormatting sqref="E5:E7">
    <cfRule type="cellIs" dxfId="76" priority="1" operator="equal">
      <formula>0</formula>
    </cfRule>
  </conditionalFormatting>
  <conditionalFormatting sqref="H8 H10 H12 H14 H16 H18 H20 H22 H24 H26 H28 H30 H32 H34 H36 H38 H40 H42 H44 H46 H48 H50 H52 H54 H56 H58 H60 H62 H64 H66 H68 H70 H72 H74 H76 H78 H80 H82 H84 H86 H88 H90 H92 H94 H96 H98 H100 H102">
    <cfRule type="cellIs" dxfId="77" priority="2" operator="equal">
      <formula>" GP"</formula>
    </cfRule>
  </conditionalFormatting>
  <conditionalFormatting sqref="H9 H11 H13 H15 H17 H19 H21 H23 H25 H27 H29 H31 H33 H35 H37 H39 H41 H43 H45 H47 H49 H51 H53 H55 H57 H59 H61 H63 H65 H67 H69 H71 H73 H75 H77 H79 H81 H83 H85 H87 H89 H91 H93 H95 H97 H99 H101 H103">
    <cfRule type="cellIs" dxfId="78" priority="3" operator="equal">
      <formula>" GP"</formula>
    </cfRule>
  </conditionalFormatting>
  <conditionalFormatting sqref="F8:F103">
    <cfRule type="cellIs" dxfId="79" priority="4" operator="equal">
      <formula>"GP"</formula>
    </cfRule>
  </conditionalFormatting>
  <conditionalFormatting sqref="F8:F103">
    <cfRule type="cellIs" dxfId="80" priority="5" operator="equal">
      <formula>"SP"</formula>
    </cfRule>
  </conditionalFormatting>
  <conditionalFormatting sqref="F8:F103">
    <cfRule type="cellIs" dxfId="81" priority="6" operator="equal">
      <formula>"CP"</formula>
    </cfRule>
  </conditionalFormatting>
  <conditionalFormatting sqref="F8:F103">
    <cfRule type="cellIs" dxfId="82" priority="7" operator="equal">
      <formula>"PP"</formula>
    </cfRule>
  </conditionalFormatting>
  <conditionalFormatting sqref="F8:F103">
    <cfRule type="cellIs" dxfId="83" priority="8" operator="equal">
      <formula>"EP"</formula>
    </cfRule>
  </conditionalFormatting>
  <dataValidations>
    <dataValidation type="list" allowBlank="1" showErrorMessage="1" sqref="F5:F103">
      <formula1>'金錢紀錄'!$AA$14:$AA$18</formula1>
    </dataValidation>
    <dataValidation type="list" allowBlank="1" showErrorMessage="1" sqref="C8:C103">
      <formula1>"收入,支出,買入,賣出"</formula1>
    </dataValidation>
    <dataValidation type="list" allowBlank="1" showErrorMessage="1" sqref="N5:O103">
      <formula1>"GP,SP,CP,PP,EP"</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4.43" defaultRowHeight="15.0"/>
  <cols>
    <col customWidth="1" min="1" max="2" width="3.0"/>
    <col customWidth="1" min="3" max="4" width="21.57"/>
    <col customWidth="1" min="5" max="5" width="9.86"/>
    <col customWidth="1" min="6" max="6" width="8.14"/>
    <col customWidth="1" min="7" max="7" width="7.29"/>
    <col customWidth="1" min="8" max="8" width="3.71"/>
    <col customWidth="1" min="9" max="9" width="7.29"/>
    <col customWidth="1" min="10" max="10" width="3.57"/>
    <col customWidth="1" min="11" max="11" width="7.29"/>
    <col customWidth="1" min="12" max="12" width="3.57"/>
    <col customWidth="1" min="13" max="13" width="7.29"/>
    <col customWidth="1" min="14" max="14" width="21.57"/>
    <col customWidth="1" min="15" max="15" width="9.29"/>
    <col customWidth="1" min="17" max="17" width="17.0"/>
    <col customWidth="1" min="18" max="18" width="26.0"/>
    <col customWidth="1" min="19" max="19" width="3.0"/>
  </cols>
  <sheetData>
    <row r="1">
      <c r="A1" s="1802" t="s">
        <v>4445</v>
      </c>
      <c r="B1" s="19"/>
      <c r="C1" s="19"/>
      <c r="D1" s="19"/>
      <c r="E1" s="19"/>
      <c r="F1" s="19"/>
      <c r="G1" s="19"/>
      <c r="H1" s="19"/>
      <c r="I1" s="19"/>
      <c r="J1" s="19"/>
      <c r="K1" s="19"/>
      <c r="L1" s="19"/>
      <c r="M1" s="19"/>
      <c r="N1" s="19"/>
      <c r="O1" s="19"/>
      <c r="P1" s="19"/>
      <c r="Q1" s="19"/>
      <c r="R1" s="19"/>
      <c r="S1" s="20"/>
    </row>
    <row r="2" ht="15.0" customHeight="1">
      <c r="A2" s="292"/>
      <c r="B2" s="1803"/>
      <c r="C2" s="1804"/>
      <c r="D2" s="1804"/>
      <c r="E2" s="1804"/>
      <c r="F2" s="1804"/>
      <c r="G2" s="1804"/>
      <c r="H2" s="1804"/>
      <c r="I2" s="1804"/>
      <c r="J2" s="1804"/>
      <c r="K2" s="1804"/>
      <c r="L2" s="1804"/>
      <c r="M2" s="1804"/>
      <c r="N2" s="1804"/>
      <c r="O2" s="1805"/>
      <c r="P2" s="1805"/>
      <c r="Q2" s="1805"/>
      <c r="R2" s="292"/>
    </row>
    <row r="3" ht="16.5" customHeight="1">
      <c r="A3" s="292"/>
      <c r="B3" s="1805"/>
      <c r="C3" s="1806" t="s">
        <v>4446</v>
      </c>
      <c r="D3" s="1806" t="s">
        <v>226</v>
      </c>
      <c r="E3" s="1807" t="s">
        <v>4447</v>
      </c>
      <c r="F3" s="240"/>
      <c r="G3" s="240"/>
      <c r="H3" s="240"/>
      <c r="I3" s="240"/>
      <c r="J3" s="240"/>
      <c r="K3" s="240"/>
      <c r="L3" s="241"/>
      <c r="M3" s="1806" t="s">
        <v>179</v>
      </c>
      <c r="N3" s="1806" t="s">
        <v>4448</v>
      </c>
      <c r="O3" s="1805"/>
      <c r="P3" s="1805"/>
      <c r="Q3" s="1805"/>
      <c r="R3" s="292"/>
    </row>
    <row r="4" ht="20.25" customHeight="1">
      <c r="A4" s="292"/>
      <c r="B4" s="1805"/>
      <c r="C4" s="1808" t="str">
        <f>'角色卡'!C7</f>
        <v>戴夫林</v>
      </c>
      <c r="D4" s="1809" t="str">
        <f>'角色卡'!P7</f>
        <v>阿不</v>
      </c>
      <c r="E4" s="1810" t="str">
        <f>'角色卡'!Y7&amp;"/"&amp;'角色卡'!AB16&amp;"/"&amp;'角色卡'!AZ9</f>
        <v>人類 Human/法師-Wizard/</v>
      </c>
      <c r="F4" s="152"/>
      <c r="G4" s="152"/>
      <c r="H4" s="152"/>
      <c r="I4" s="152"/>
      <c r="J4" s="152"/>
      <c r="K4" s="152"/>
      <c r="L4" s="175"/>
      <c r="M4" s="1811">
        <f>'角色卡'!CA3</f>
        <v>3</v>
      </c>
      <c r="N4" s="1812">
        <f>'裝備與物品'!AO8</f>
        <v>490</v>
      </c>
      <c r="O4" s="1805"/>
      <c r="P4" s="1805"/>
      <c r="Q4" s="1805"/>
      <c r="R4" s="292"/>
    </row>
    <row r="5" ht="18.0" customHeight="1">
      <c r="A5" s="1805"/>
      <c r="B5" s="1813" t="s">
        <v>4449</v>
      </c>
      <c r="C5" s="1814" t="s">
        <v>4450</v>
      </c>
      <c r="D5" s="1815" t="s">
        <v>4451</v>
      </c>
      <c r="E5" s="1816" t="s">
        <v>4452</v>
      </c>
      <c r="F5" s="1815" t="s">
        <v>4453</v>
      </c>
      <c r="G5" s="1817" t="s">
        <v>4454</v>
      </c>
      <c r="H5" s="19"/>
      <c r="I5" s="19"/>
      <c r="J5" s="19"/>
      <c r="K5" s="19"/>
      <c r="L5" s="400"/>
      <c r="M5" s="1818" t="s">
        <v>4455</v>
      </c>
      <c r="N5" s="400"/>
      <c r="O5" s="1819" t="s">
        <v>4456</v>
      </c>
      <c r="P5" s="240"/>
      <c r="Q5" s="1820"/>
      <c r="R5" s="1821" t="s">
        <v>4457</v>
      </c>
      <c r="S5" s="1805"/>
    </row>
    <row r="6">
      <c r="A6" s="1822"/>
      <c r="B6" s="1823">
        <v>1.0</v>
      </c>
      <c r="C6" s="1824"/>
      <c r="D6" s="1825"/>
      <c r="E6" s="1826"/>
      <c r="F6" s="1827" t="b">
        <v>0</v>
      </c>
      <c r="G6" s="1828"/>
      <c r="H6" s="1829" t="s">
        <v>4437</v>
      </c>
      <c r="I6" s="1830"/>
      <c r="J6" s="1831" t="s">
        <v>4443</v>
      </c>
      <c r="K6" s="1830"/>
      <c r="L6" s="1832" t="s">
        <v>4444</v>
      </c>
      <c r="M6" s="1833"/>
      <c r="N6" s="318"/>
      <c r="O6" s="1834"/>
      <c r="Q6" s="318"/>
      <c r="R6" s="1826"/>
      <c r="S6" s="1822"/>
    </row>
    <row r="7">
      <c r="A7" s="1822"/>
      <c r="B7" s="1823">
        <f t="shared" ref="B7:B35" si="1">B6+1</f>
        <v>2</v>
      </c>
      <c r="C7" s="1835"/>
      <c r="D7" s="1836"/>
      <c r="E7" s="1837"/>
      <c r="F7" s="1838" t="b">
        <v>0</v>
      </c>
      <c r="G7" s="1839"/>
      <c r="H7" s="1840" t="s">
        <v>4437</v>
      </c>
      <c r="I7" s="1839"/>
      <c r="J7" s="1841" t="s">
        <v>4443</v>
      </c>
      <c r="K7" s="1839"/>
      <c r="L7" s="1842" t="s">
        <v>4444</v>
      </c>
      <c r="M7" s="1843"/>
      <c r="N7" s="376"/>
      <c r="O7" s="1844"/>
      <c r="P7" s="375"/>
      <c r="Q7" s="376"/>
      <c r="R7" s="1837"/>
      <c r="S7" s="1822"/>
    </row>
    <row r="8">
      <c r="A8" s="1822"/>
      <c r="B8" s="1823">
        <f t="shared" si="1"/>
        <v>3</v>
      </c>
      <c r="C8" s="1824"/>
      <c r="D8" s="1825"/>
      <c r="E8" s="1826"/>
      <c r="F8" s="1845" t="b">
        <v>0</v>
      </c>
      <c r="G8" s="1830"/>
      <c r="H8" s="1829" t="s">
        <v>4437</v>
      </c>
      <c r="I8" s="1830"/>
      <c r="J8" s="1831" t="s">
        <v>4443</v>
      </c>
      <c r="K8" s="1830"/>
      <c r="L8" s="1832" t="s">
        <v>4444</v>
      </c>
      <c r="M8" s="1833"/>
      <c r="N8" s="318"/>
      <c r="O8" s="1834"/>
      <c r="Q8" s="318"/>
      <c r="R8" s="1826"/>
      <c r="S8" s="1822"/>
    </row>
    <row r="9">
      <c r="A9" s="1822"/>
      <c r="B9" s="1823">
        <f t="shared" si="1"/>
        <v>4</v>
      </c>
      <c r="C9" s="1835"/>
      <c r="D9" s="1836"/>
      <c r="E9" s="1837"/>
      <c r="F9" s="1838" t="b">
        <v>0</v>
      </c>
      <c r="G9" s="1839"/>
      <c r="H9" s="1840" t="s">
        <v>4437</v>
      </c>
      <c r="I9" s="1839"/>
      <c r="J9" s="1841" t="s">
        <v>4443</v>
      </c>
      <c r="K9" s="1839"/>
      <c r="L9" s="1842" t="s">
        <v>4444</v>
      </c>
      <c r="M9" s="1843"/>
      <c r="N9" s="376"/>
      <c r="O9" s="1844"/>
      <c r="P9" s="375"/>
      <c r="Q9" s="376"/>
      <c r="R9" s="1837"/>
      <c r="S9" s="1822"/>
    </row>
    <row r="10">
      <c r="A10" s="1822"/>
      <c r="B10" s="1823">
        <f t="shared" si="1"/>
        <v>5</v>
      </c>
      <c r="C10" s="1824"/>
      <c r="D10" s="1825"/>
      <c r="E10" s="1826"/>
      <c r="F10" s="1845" t="b">
        <v>0</v>
      </c>
      <c r="G10" s="1830"/>
      <c r="H10" s="1829" t="s">
        <v>4437</v>
      </c>
      <c r="I10" s="1830"/>
      <c r="J10" s="1831" t="s">
        <v>4443</v>
      </c>
      <c r="K10" s="1830"/>
      <c r="L10" s="1832" t="s">
        <v>4444</v>
      </c>
      <c r="M10" s="1833"/>
      <c r="N10" s="318"/>
      <c r="O10" s="1834"/>
      <c r="Q10" s="318"/>
      <c r="R10" s="1826"/>
      <c r="S10" s="1822"/>
    </row>
    <row r="11">
      <c r="A11" s="1822"/>
      <c r="B11" s="1823">
        <f t="shared" si="1"/>
        <v>6</v>
      </c>
      <c r="C11" s="1835"/>
      <c r="D11" s="1836"/>
      <c r="E11" s="1837"/>
      <c r="F11" s="1838" t="b">
        <v>0</v>
      </c>
      <c r="G11" s="1839"/>
      <c r="H11" s="1840" t="s">
        <v>4437</v>
      </c>
      <c r="I11" s="1839"/>
      <c r="J11" s="1841" t="s">
        <v>4443</v>
      </c>
      <c r="K11" s="1839"/>
      <c r="L11" s="1842" t="s">
        <v>4444</v>
      </c>
      <c r="M11" s="1843"/>
      <c r="N11" s="376"/>
      <c r="O11" s="1844"/>
      <c r="P11" s="375"/>
      <c r="Q11" s="376"/>
      <c r="R11" s="1837"/>
      <c r="S11" s="1822"/>
    </row>
    <row r="12">
      <c r="A12" s="1822"/>
      <c r="B12" s="1823">
        <f t="shared" si="1"/>
        <v>7</v>
      </c>
      <c r="C12" s="1824"/>
      <c r="D12" s="1825"/>
      <c r="E12" s="1826"/>
      <c r="F12" s="1845" t="b">
        <v>0</v>
      </c>
      <c r="G12" s="1830"/>
      <c r="H12" s="1829" t="s">
        <v>4437</v>
      </c>
      <c r="I12" s="1830"/>
      <c r="J12" s="1831" t="s">
        <v>4443</v>
      </c>
      <c r="K12" s="1830"/>
      <c r="L12" s="1832" t="s">
        <v>4444</v>
      </c>
      <c r="M12" s="1833"/>
      <c r="N12" s="318"/>
      <c r="O12" s="1834"/>
      <c r="Q12" s="318"/>
      <c r="R12" s="1826"/>
      <c r="S12" s="1822"/>
    </row>
    <row r="13">
      <c r="A13" s="1822"/>
      <c r="B13" s="1823">
        <f t="shared" si="1"/>
        <v>8</v>
      </c>
      <c r="C13" s="1835"/>
      <c r="D13" s="1836"/>
      <c r="E13" s="1837"/>
      <c r="F13" s="1838" t="b">
        <v>0</v>
      </c>
      <c r="G13" s="1839"/>
      <c r="H13" s="1840" t="s">
        <v>4437</v>
      </c>
      <c r="I13" s="1839"/>
      <c r="J13" s="1841" t="s">
        <v>4443</v>
      </c>
      <c r="K13" s="1839"/>
      <c r="L13" s="1842" t="s">
        <v>4444</v>
      </c>
      <c r="M13" s="1843"/>
      <c r="N13" s="376"/>
      <c r="O13" s="1844"/>
      <c r="P13" s="375"/>
      <c r="Q13" s="376"/>
      <c r="R13" s="1837"/>
      <c r="S13" s="1822"/>
    </row>
    <row r="14">
      <c r="A14" s="1822"/>
      <c r="B14" s="1823">
        <f t="shared" si="1"/>
        <v>9</v>
      </c>
      <c r="C14" s="1824"/>
      <c r="D14" s="1825"/>
      <c r="E14" s="1826"/>
      <c r="F14" s="1845" t="b">
        <v>0</v>
      </c>
      <c r="G14" s="1830"/>
      <c r="H14" s="1829" t="s">
        <v>4437</v>
      </c>
      <c r="I14" s="1830"/>
      <c r="J14" s="1831" t="s">
        <v>4443</v>
      </c>
      <c r="K14" s="1830"/>
      <c r="L14" s="1832" t="s">
        <v>4444</v>
      </c>
      <c r="M14" s="1833"/>
      <c r="N14" s="318"/>
      <c r="O14" s="1834"/>
      <c r="Q14" s="318"/>
      <c r="R14" s="1826"/>
      <c r="S14" s="1822"/>
    </row>
    <row r="15">
      <c r="A15" s="1822"/>
      <c r="B15" s="1823">
        <f t="shared" si="1"/>
        <v>10</v>
      </c>
      <c r="C15" s="1835"/>
      <c r="D15" s="1836"/>
      <c r="E15" s="1837"/>
      <c r="F15" s="1838" t="b">
        <v>0</v>
      </c>
      <c r="G15" s="1839"/>
      <c r="H15" s="1840" t="s">
        <v>4437</v>
      </c>
      <c r="I15" s="1839"/>
      <c r="J15" s="1841" t="s">
        <v>4443</v>
      </c>
      <c r="K15" s="1839"/>
      <c r="L15" s="1842" t="s">
        <v>4444</v>
      </c>
      <c r="M15" s="1843"/>
      <c r="N15" s="376"/>
      <c r="O15" s="1844"/>
      <c r="P15" s="375"/>
      <c r="Q15" s="376"/>
      <c r="R15" s="1837"/>
      <c r="S15" s="1822"/>
    </row>
    <row r="16">
      <c r="A16" s="1822"/>
      <c r="B16" s="1823">
        <f t="shared" si="1"/>
        <v>11</v>
      </c>
      <c r="C16" s="1824"/>
      <c r="D16" s="1825"/>
      <c r="E16" s="1826"/>
      <c r="F16" s="1845" t="b">
        <v>0</v>
      </c>
      <c r="G16" s="1830"/>
      <c r="H16" s="1829" t="s">
        <v>4437</v>
      </c>
      <c r="I16" s="1830"/>
      <c r="J16" s="1831" t="s">
        <v>4443</v>
      </c>
      <c r="K16" s="1830"/>
      <c r="L16" s="1832" t="s">
        <v>4444</v>
      </c>
      <c r="M16" s="1833"/>
      <c r="N16" s="318"/>
      <c r="O16" s="1834"/>
      <c r="Q16" s="318"/>
      <c r="R16" s="1826"/>
      <c r="S16" s="1822"/>
    </row>
    <row r="17">
      <c r="A17" s="1822"/>
      <c r="B17" s="1823">
        <f t="shared" si="1"/>
        <v>12</v>
      </c>
      <c r="C17" s="1835"/>
      <c r="D17" s="1836"/>
      <c r="E17" s="1837"/>
      <c r="F17" s="1838" t="b">
        <v>0</v>
      </c>
      <c r="G17" s="1839"/>
      <c r="H17" s="1840" t="s">
        <v>4437</v>
      </c>
      <c r="I17" s="1839"/>
      <c r="J17" s="1841" t="s">
        <v>4443</v>
      </c>
      <c r="K17" s="1839"/>
      <c r="L17" s="1842" t="s">
        <v>4444</v>
      </c>
      <c r="M17" s="1843"/>
      <c r="N17" s="376"/>
      <c r="O17" s="1844"/>
      <c r="P17" s="375"/>
      <c r="Q17" s="376"/>
      <c r="R17" s="1837"/>
      <c r="S17" s="1822"/>
    </row>
    <row r="18">
      <c r="A18" s="1822"/>
      <c r="B18" s="1823">
        <f t="shared" si="1"/>
        <v>13</v>
      </c>
      <c r="C18" s="1824"/>
      <c r="D18" s="1825"/>
      <c r="E18" s="1826"/>
      <c r="F18" s="1845" t="b">
        <v>0</v>
      </c>
      <c r="G18" s="1830"/>
      <c r="H18" s="1829" t="s">
        <v>4437</v>
      </c>
      <c r="I18" s="1830"/>
      <c r="J18" s="1831" t="s">
        <v>4443</v>
      </c>
      <c r="K18" s="1830"/>
      <c r="L18" s="1832" t="s">
        <v>4444</v>
      </c>
      <c r="M18" s="1833"/>
      <c r="N18" s="318"/>
      <c r="O18" s="1834"/>
      <c r="Q18" s="318"/>
      <c r="R18" s="1826"/>
      <c r="S18" s="1822"/>
    </row>
    <row r="19">
      <c r="A19" s="1822"/>
      <c r="B19" s="1823">
        <f t="shared" si="1"/>
        <v>14</v>
      </c>
      <c r="C19" s="1835"/>
      <c r="D19" s="1836"/>
      <c r="E19" s="1837"/>
      <c r="F19" s="1838" t="b">
        <v>0</v>
      </c>
      <c r="G19" s="1839"/>
      <c r="H19" s="1840" t="s">
        <v>4437</v>
      </c>
      <c r="I19" s="1839"/>
      <c r="J19" s="1841" t="s">
        <v>4443</v>
      </c>
      <c r="K19" s="1839"/>
      <c r="L19" s="1842" t="s">
        <v>4444</v>
      </c>
      <c r="M19" s="1843"/>
      <c r="N19" s="376"/>
      <c r="O19" s="1844"/>
      <c r="P19" s="375"/>
      <c r="Q19" s="376"/>
      <c r="R19" s="1837"/>
      <c r="S19" s="1822"/>
    </row>
    <row r="20">
      <c r="A20" s="1822"/>
      <c r="B20" s="1823">
        <f t="shared" si="1"/>
        <v>15</v>
      </c>
      <c r="C20" s="1824"/>
      <c r="D20" s="1825"/>
      <c r="E20" s="1826"/>
      <c r="F20" s="1845" t="b">
        <v>0</v>
      </c>
      <c r="G20" s="1830"/>
      <c r="H20" s="1829" t="s">
        <v>4437</v>
      </c>
      <c r="I20" s="1830"/>
      <c r="J20" s="1831" t="s">
        <v>4443</v>
      </c>
      <c r="K20" s="1830"/>
      <c r="L20" s="1832" t="s">
        <v>4444</v>
      </c>
      <c r="M20" s="1833"/>
      <c r="N20" s="318"/>
      <c r="O20" s="1834"/>
      <c r="Q20" s="318"/>
      <c r="R20" s="1826"/>
      <c r="S20" s="1822"/>
    </row>
    <row r="21">
      <c r="A21" s="1822"/>
      <c r="B21" s="1823">
        <f t="shared" si="1"/>
        <v>16</v>
      </c>
      <c r="C21" s="1835"/>
      <c r="D21" s="1836"/>
      <c r="E21" s="1837"/>
      <c r="F21" s="1838" t="b">
        <v>0</v>
      </c>
      <c r="G21" s="1839"/>
      <c r="H21" s="1840" t="s">
        <v>4437</v>
      </c>
      <c r="I21" s="1839"/>
      <c r="J21" s="1841" t="s">
        <v>4443</v>
      </c>
      <c r="K21" s="1839"/>
      <c r="L21" s="1842" t="s">
        <v>4444</v>
      </c>
      <c r="M21" s="1843"/>
      <c r="N21" s="376"/>
      <c r="O21" s="1844"/>
      <c r="P21" s="375"/>
      <c r="Q21" s="376"/>
      <c r="R21" s="1837"/>
      <c r="S21" s="1822"/>
    </row>
    <row r="22">
      <c r="A22" s="1822"/>
      <c r="B22" s="1823">
        <f t="shared" si="1"/>
        <v>17</v>
      </c>
      <c r="C22" s="1824"/>
      <c r="D22" s="1825"/>
      <c r="E22" s="1826"/>
      <c r="F22" s="1845" t="b">
        <v>0</v>
      </c>
      <c r="G22" s="1830"/>
      <c r="H22" s="1829" t="s">
        <v>4437</v>
      </c>
      <c r="I22" s="1830"/>
      <c r="J22" s="1831" t="s">
        <v>4443</v>
      </c>
      <c r="K22" s="1830"/>
      <c r="L22" s="1832" t="s">
        <v>4444</v>
      </c>
      <c r="M22" s="1833"/>
      <c r="N22" s="318"/>
      <c r="O22" s="1834"/>
      <c r="Q22" s="318"/>
      <c r="R22" s="1826"/>
      <c r="S22" s="1822"/>
    </row>
    <row r="23">
      <c r="A23" s="1822"/>
      <c r="B23" s="1823">
        <f t="shared" si="1"/>
        <v>18</v>
      </c>
      <c r="C23" s="1835"/>
      <c r="D23" s="1836"/>
      <c r="E23" s="1837"/>
      <c r="F23" s="1838" t="b">
        <v>0</v>
      </c>
      <c r="G23" s="1839"/>
      <c r="H23" s="1840" t="s">
        <v>4437</v>
      </c>
      <c r="I23" s="1839"/>
      <c r="J23" s="1841" t="s">
        <v>4443</v>
      </c>
      <c r="K23" s="1839"/>
      <c r="L23" s="1842" t="s">
        <v>4444</v>
      </c>
      <c r="M23" s="1843"/>
      <c r="N23" s="376"/>
      <c r="O23" s="1844"/>
      <c r="P23" s="375"/>
      <c r="Q23" s="376"/>
      <c r="R23" s="1837"/>
      <c r="S23" s="1822"/>
    </row>
    <row r="24">
      <c r="A24" s="1822"/>
      <c r="B24" s="1823">
        <f t="shared" si="1"/>
        <v>19</v>
      </c>
      <c r="C24" s="1824"/>
      <c r="D24" s="1825"/>
      <c r="E24" s="1826"/>
      <c r="F24" s="1845" t="b">
        <v>0</v>
      </c>
      <c r="G24" s="1830"/>
      <c r="H24" s="1829" t="s">
        <v>4437</v>
      </c>
      <c r="I24" s="1830"/>
      <c r="J24" s="1831" t="s">
        <v>4443</v>
      </c>
      <c r="K24" s="1830"/>
      <c r="L24" s="1832" t="s">
        <v>4444</v>
      </c>
      <c r="M24" s="1833"/>
      <c r="N24" s="318"/>
      <c r="O24" s="1834"/>
      <c r="Q24" s="318"/>
      <c r="R24" s="1826"/>
      <c r="S24" s="1822"/>
    </row>
    <row r="25">
      <c r="A25" s="1822"/>
      <c r="B25" s="1823">
        <f t="shared" si="1"/>
        <v>20</v>
      </c>
      <c r="C25" s="1835"/>
      <c r="D25" s="1836"/>
      <c r="E25" s="1837"/>
      <c r="F25" s="1838" t="b">
        <v>0</v>
      </c>
      <c r="G25" s="1839"/>
      <c r="H25" s="1840" t="s">
        <v>4437</v>
      </c>
      <c r="I25" s="1839"/>
      <c r="J25" s="1841" t="s">
        <v>4443</v>
      </c>
      <c r="K25" s="1839"/>
      <c r="L25" s="1842" t="s">
        <v>4444</v>
      </c>
      <c r="M25" s="1843"/>
      <c r="N25" s="376"/>
      <c r="O25" s="1844"/>
      <c r="P25" s="375"/>
      <c r="Q25" s="376"/>
      <c r="R25" s="1837"/>
      <c r="S25" s="1822"/>
    </row>
    <row r="26">
      <c r="A26" s="1822"/>
      <c r="B26" s="1823">
        <f t="shared" si="1"/>
        <v>21</v>
      </c>
      <c r="C26" s="1824"/>
      <c r="D26" s="1825"/>
      <c r="E26" s="1826"/>
      <c r="F26" s="1845" t="b">
        <v>0</v>
      </c>
      <c r="G26" s="1830"/>
      <c r="H26" s="1829" t="s">
        <v>4437</v>
      </c>
      <c r="I26" s="1830"/>
      <c r="J26" s="1831" t="s">
        <v>4443</v>
      </c>
      <c r="K26" s="1830"/>
      <c r="L26" s="1832" t="s">
        <v>4444</v>
      </c>
      <c r="M26" s="1833"/>
      <c r="N26" s="318"/>
      <c r="O26" s="1834"/>
      <c r="Q26" s="318"/>
      <c r="R26" s="1826"/>
      <c r="S26" s="1822"/>
    </row>
    <row r="27">
      <c r="A27" s="1822"/>
      <c r="B27" s="1823">
        <f t="shared" si="1"/>
        <v>22</v>
      </c>
      <c r="C27" s="1835"/>
      <c r="D27" s="1836"/>
      <c r="E27" s="1837"/>
      <c r="F27" s="1838" t="b">
        <v>0</v>
      </c>
      <c r="G27" s="1839"/>
      <c r="H27" s="1840" t="s">
        <v>4437</v>
      </c>
      <c r="I27" s="1839"/>
      <c r="J27" s="1841" t="s">
        <v>4443</v>
      </c>
      <c r="K27" s="1839"/>
      <c r="L27" s="1842" t="s">
        <v>4444</v>
      </c>
      <c r="M27" s="1843"/>
      <c r="N27" s="376"/>
      <c r="O27" s="1844"/>
      <c r="P27" s="375"/>
      <c r="Q27" s="376"/>
      <c r="R27" s="1837"/>
      <c r="S27" s="1822"/>
    </row>
    <row r="28">
      <c r="A28" s="1822"/>
      <c r="B28" s="1823">
        <f t="shared" si="1"/>
        <v>23</v>
      </c>
      <c r="C28" s="1824"/>
      <c r="D28" s="1825"/>
      <c r="E28" s="1826"/>
      <c r="F28" s="1845" t="b">
        <v>0</v>
      </c>
      <c r="G28" s="1830"/>
      <c r="H28" s="1829" t="s">
        <v>4437</v>
      </c>
      <c r="I28" s="1830"/>
      <c r="J28" s="1831" t="s">
        <v>4443</v>
      </c>
      <c r="K28" s="1830"/>
      <c r="L28" s="1832" t="s">
        <v>4444</v>
      </c>
      <c r="M28" s="1833"/>
      <c r="N28" s="318"/>
      <c r="O28" s="1834"/>
      <c r="Q28" s="318"/>
      <c r="R28" s="1826"/>
      <c r="S28" s="1822"/>
    </row>
    <row r="29">
      <c r="A29" s="1822"/>
      <c r="B29" s="1823">
        <f t="shared" si="1"/>
        <v>24</v>
      </c>
      <c r="C29" s="1835"/>
      <c r="D29" s="1836"/>
      <c r="E29" s="1837"/>
      <c r="F29" s="1838" t="b">
        <v>0</v>
      </c>
      <c r="G29" s="1839"/>
      <c r="H29" s="1840" t="s">
        <v>4437</v>
      </c>
      <c r="I29" s="1839"/>
      <c r="J29" s="1841" t="s">
        <v>4443</v>
      </c>
      <c r="K29" s="1839"/>
      <c r="L29" s="1842" t="s">
        <v>4444</v>
      </c>
      <c r="M29" s="1843"/>
      <c r="N29" s="376"/>
      <c r="O29" s="1844"/>
      <c r="P29" s="375"/>
      <c r="Q29" s="376"/>
      <c r="R29" s="1837"/>
      <c r="S29" s="1822"/>
    </row>
    <row r="30">
      <c r="A30" s="1822"/>
      <c r="B30" s="1823">
        <f t="shared" si="1"/>
        <v>25</v>
      </c>
      <c r="C30" s="1824"/>
      <c r="D30" s="1825"/>
      <c r="E30" s="1826"/>
      <c r="F30" s="1845" t="b">
        <v>0</v>
      </c>
      <c r="G30" s="1830"/>
      <c r="H30" s="1829" t="s">
        <v>4437</v>
      </c>
      <c r="I30" s="1830"/>
      <c r="J30" s="1831" t="s">
        <v>4443</v>
      </c>
      <c r="K30" s="1830"/>
      <c r="L30" s="1832" t="s">
        <v>4444</v>
      </c>
      <c r="M30" s="1833"/>
      <c r="N30" s="318"/>
      <c r="O30" s="1834"/>
      <c r="Q30" s="318"/>
      <c r="R30" s="1826"/>
      <c r="S30" s="1822"/>
    </row>
    <row r="31">
      <c r="A31" s="1822"/>
      <c r="B31" s="1823">
        <f t="shared" si="1"/>
        <v>26</v>
      </c>
      <c r="C31" s="1835"/>
      <c r="D31" s="1836"/>
      <c r="E31" s="1837"/>
      <c r="F31" s="1838" t="b">
        <v>0</v>
      </c>
      <c r="G31" s="1839"/>
      <c r="H31" s="1840" t="s">
        <v>4437</v>
      </c>
      <c r="I31" s="1839"/>
      <c r="J31" s="1841" t="s">
        <v>4443</v>
      </c>
      <c r="K31" s="1839"/>
      <c r="L31" s="1842" t="s">
        <v>4444</v>
      </c>
      <c r="M31" s="1843"/>
      <c r="N31" s="376"/>
      <c r="O31" s="1844"/>
      <c r="P31" s="375"/>
      <c r="Q31" s="376"/>
      <c r="R31" s="1837"/>
      <c r="S31" s="1822"/>
    </row>
    <row r="32">
      <c r="A32" s="1822"/>
      <c r="B32" s="1823">
        <f t="shared" si="1"/>
        <v>27</v>
      </c>
      <c r="C32" s="1824"/>
      <c r="D32" s="1825"/>
      <c r="E32" s="1826"/>
      <c r="F32" s="1845" t="b">
        <v>0</v>
      </c>
      <c r="G32" s="1830"/>
      <c r="H32" s="1829" t="s">
        <v>4437</v>
      </c>
      <c r="I32" s="1830"/>
      <c r="J32" s="1831" t="s">
        <v>4443</v>
      </c>
      <c r="K32" s="1830"/>
      <c r="L32" s="1832" t="s">
        <v>4444</v>
      </c>
      <c r="M32" s="1833"/>
      <c r="N32" s="318"/>
      <c r="O32" s="1834"/>
      <c r="Q32" s="318"/>
      <c r="R32" s="1826"/>
      <c r="S32" s="1822"/>
    </row>
    <row r="33">
      <c r="A33" s="1822"/>
      <c r="B33" s="1823">
        <f t="shared" si="1"/>
        <v>28</v>
      </c>
      <c r="C33" s="1835"/>
      <c r="D33" s="1836"/>
      <c r="E33" s="1837"/>
      <c r="F33" s="1838" t="b">
        <v>0</v>
      </c>
      <c r="G33" s="1839"/>
      <c r="H33" s="1840" t="s">
        <v>4437</v>
      </c>
      <c r="I33" s="1839"/>
      <c r="J33" s="1841" t="s">
        <v>4443</v>
      </c>
      <c r="K33" s="1839"/>
      <c r="L33" s="1842" t="s">
        <v>4444</v>
      </c>
      <c r="M33" s="1843"/>
      <c r="N33" s="376"/>
      <c r="O33" s="1844"/>
      <c r="P33" s="375"/>
      <c r="Q33" s="376"/>
      <c r="R33" s="1837"/>
      <c r="S33" s="1822"/>
    </row>
    <row r="34">
      <c r="A34" s="1822"/>
      <c r="B34" s="1823">
        <f t="shared" si="1"/>
        <v>29</v>
      </c>
      <c r="C34" s="1824"/>
      <c r="D34" s="1825"/>
      <c r="E34" s="1826"/>
      <c r="F34" s="1845" t="b">
        <v>0</v>
      </c>
      <c r="G34" s="1830"/>
      <c r="H34" s="1829" t="s">
        <v>4437</v>
      </c>
      <c r="I34" s="1830"/>
      <c r="J34" s="1831" t="s">
        <v>4443</v>
      </c>
      <c r="K34" s="1830"/>
      <c r="L34" s="1832" t="s">
        <v>4444</v>
      </c>
      <c r="M34" s="1833"/>
      <c r="N34" s="318"/>
      <c r="O34" s="1834"/>
      <c r="Q34" s="318"/>
      <c r="R34" s="1826"/>
      <c r="S34" s="1822"/>
    </row>
    <row r="35">
      <c r="A35" s="1822"/>
      <c r="B35" s="1823">
        <f t="shared" si="1"/>
        <v>30</v>
      </c>
      <c r="C35" s="1835"/>
      <c r="D35" s="1836"/>
      <c r="E35" s="1837"/>
      <c r="F35" s="1838" t="b">
        <v>0</v>
      </c>
      <c r="G35" s="1846"/>
      <c r="H35" s="1847" t="s">
        <v>4437</v>
      </c>
      <c r="I35" s="1846"/>
      <c r="J35" s="1848" t="s">
        <v>4443</v>
      </c>
      <c r="K35" s="1846"/>
      <c r="L35" s="1849" t="s">
        <v>4444</v>
      </c>
      <c r="M35" s="1843"/>
      <c r="N35" s="376"/>
      <c r="O35" s="1844"/>
      <c r="P35" s="375"/>
      <c r="Q35" s="376"/>
      <c r="R35" s="1837"/>
      <c r="S35" s="1822"/>
    </row>
  </sheetData>
  <mergeCells count="69">
    <mergeCell ref="M29:N29"/>
    <mergeCell ref="M30:N30"/>
    <mergeCell ref="M31:N31"/>
    <mergeCell ref="M32:N32"/>
    <mergeCell ref="M33:N33"/>
    <mergeCell ref="M34:N34"/>
    <mergeCell ref="M35:N35"/>
    <mergeCell ref="M22:N22"/>
    <mergeCell ref="M23:N23"/>
    <mergeCell ref="M24:N24"/>
    <mergeCell ref="M25:N25"/>
    <mergeCell ref="M26:N26"/>
    <mergeCell ref="M27:N27"/>
    <mergeCell ref="M28:N28"/>
    <mergeCell ref="A1:S1"/>
    <mergeCell ref="R2:S2"/>
    <mergeCell ref="E3:L3"/>
    <mergeCell ref="R3:S3"/>
    <mergeCell ref="E4:L4"/>
    <mergeCell ref="R4:S4"/>
    <mergeCell ref="G5:L5"/>
    <mergeCell ref="M5:N5"/>
    <mergeCell ref="O5:Q5"/>
    <mergeCell ref="M6:N6"/>
    <mergeCell ref="O6:Q6"/>
    <mergeCell ref="M7:N7"/>
    <mergeCell ref="O7:Q7"/>
    <mergeCell ref="O8:Q8"/>
    <mergeCell ref="M8:N8"/>
    <mergeCell ref="M9:N9"/>
    <mergeCell ref="M10:N10"/>
    <mergeCell ref="M11:N11"/>
    <mergeCell ref="M12:N12"/>
    <mergeCell ref="M13:N13"/>
    <mergeCell ref="M14:N14"/>
    <mergeCell ref="O9:Q9"/>
    <mergeCell ref="O10:Q10"/>
    <mergeCell ref="O11:Q11"/>
    <mergeCell ref="O12:Q12"/>
    <mergeCell ref="O13:Q13"/>
    <mergeCell ref="O14:Q14"/>
    <mergeCell ref="O15:Q15"/>
    <mergeCell ref="M15:N15"/>
    <mergeCell ref="M16:N16"/>
    <mergeCell ref="M17:N17"/>
    <mergeCell ref="M18:N18"/>
    <mergeCell ref="M19:N19"/>
    <mergeCell ref="M20:N20"/>
    <mergeCell ref="M21:N21"/>
    <mergeCell ref="O16:Q16"/>
    <mergeCell ref="O17:Q17"/>
    <mergeCell ref="O18:Q18"/>
    <mergeCell ref="O19:Q19"/>
    <mergeCell ref="O20:Q20"/>
    <mergeCell ref="O21:Q21"/>
    <mergeCell ref="O22:Q22"/>
    <mergeCell ref="O30:Q30"/>
    <mergeCell ref="O31:Q31"/>
    <mergeCell ref="O32:Q32"/>
    <mergeCell ref="O33:Q33"/>
    <mergeCell ref="O34:Q34"/>
    <mergeCell ref="O35:Q35"/>
    <mergeCell ref="O23:Q23"/>
    <mergeCell ref="O24:Q24"/>
    <mergeCell ref="O25:Q25"/>
    <mergeCell ref="O26:Q26"/>
    <mergeCell ref="O27:Q27"/>
    <mergeCell ref="O28:Q28"/>
    <mergeCell ref="O29:Q29"/>
  </mergeCells>
  <conditionalFormatting sqref="N4">
    <cfRule type="cellIs" dxfId="1" priority="1" operator="lessThan">
      <formula>0</formula>
    </cfRule>
  </conditionalFormatting>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5F06"/>
    <outlinePr summaryBelow="0" summaryRight="0"/>
  </sheetPr>
  <sheetViews>
    <sheetView showGridLines="0" workbookViewId="0"/>
  </sheetViews>
  <sheetFormatPr customHeight="1" defaultColWidth="14.43" defaultRowHeight="15.0" outlineLevelRow="1"/>
  <cols>
    <col customWidth="1" min="1" max="58" width="2.29"/>
    <col customWidth="1" hidden="1" min="59" max="59" width="12.57"/>
  </cols>
  <sheetData>
    <row r="1">
      <c r="A1" s="297"/>
      <c r="B1" s="297"/>
      <c r="C1" s="297"/>
      <c r="D1" s="297"/>
      <c r="E1" s="297"/>
      <c r="F1" s="297"/>
      <c r="G1" s="297"/>
      <c r="H1" s="297"/>
      <c r="I1" s="297"/>
      <c r="J1" s="297"/>
      <c r="K1" s="297"/>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c r="AO1" s="297"/>
      <c r="AP1" s="297"/>
      <c r="AQ1" s="297"/>
      <c r="AR1" s="297"/>
      <c r="AS1" s="297"/>
      <c r="AT1" s="297"/>
      <c r="AU1" s="297"/>
      <c r="AV1" s="297"/>
      <c r="AW1" s="297"/>
      <c r="AX1" s="297"/>
      <c r="AY1" s="297"/>
      <c r="AZ1" s="297"/>
      <c r="BA1" s="297"/>
      <c r="BB1" s="297"/>
      <c r="BC1" s="297"/>
      <c r="BD1" s="297"/>
      <c r="BE1" s="297"/>
      <c r="BF1" s="297"/>
      <c r="BG1" s="1523"/>
    </row>
    <row r="2">
      <c r="A2" s="297"/>
      <c r="B2" s="295" t="s">
        <v>4458</v>
      </c>
      <c r="C2" s="19"/>
      <c r="D2" s="19"/>
      <c r="E2" s="19"/>
      <c r="F2" s="19"/>
      <c r="G2" s="19"/>
      <c r="H2" s="19"/>
      <c r="I2" s="19"/>
      <c r="J2" s="19"/>
      <c r="K2" s="19"/>
      <c r="L2" s="19"/>
      <c r="M2" s="19"/>
      <c r="N2" s="19"/>
      <c r="O2" s="19"/>
      <c r="P2" s="19"/>
      <c r="Q2" s="19"/>
      <c r="R2" s="19"/>
      <c r="S2" s="19"/>
      <c r="T2" s="19"/>
      <c r="U2" s="19"/>
      <c r="V2" s="19"/>
      <c r="W2" s="19"/>
      <c r="X2" s="1609"/>
      <c r="Y2" s="295" t="s">
        <v>4459</v>
      </c>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20"/>
      <c r="BF2" s="297"/>
      <c r="BG2" s="1523" t="s">
        <v>4106</v>
      </c>
    </row>
    <row r="3" ht="15.75" customHeight="1">
      <c r="A3" s="303"/>
      <c r="B3" s="1850"/>
      <c r="C3" s="1851"/>
      <c r="K3" s="291"/>
      <c r="L3" s="1851" t="str">
        <f>'角色卡'!C7</f>
        <v>戴夫林</v>
      </c>
      <c r="T3" s="291"/>
      <c r="U3" s="1852"/>
      <c r="V3" s="1852"/>
      <c r="W3" s="1852"/>
      <c r="X3" s="1853"/>
      <c r="Y3" s="291"/>
      <c r="Z3" s="1854" t="s">
        <v>4460</v>
      </c>
      <c r="AG3" s="1855"/>
      <c r="AO3" s="1653"/>
      <c r="AP3" s="1854" t="s">
        <v>4460</v>
      </c>
      <c r="AW3" s="1855"/>
      <c r="BE3" s="344"/>
      <c r="BF3" s="303"/>
      <c r="BG3" s="1856"/>
    </row>
    <row r="4" ht="15.75" customHeight="1">
      <c r="A4" s="303"/>
      <c r="B4" s="1850"/>
      <c r="C4" s="156"/>
      <c r="D4" s="156"/>
      <c r="E4" s="156"/>
      <c r="F4" s="156"/>
      <c r="G4" s="156"/>
      <c r="H4" s="156"/>
      <c r="I4" s="156"/>
      <c r="J4" s="156"/>
      <c r="K4" s="291"/>
      <c r="L4" s="156"/>
      <c r="M4" s="156"/>
      <c r="N4" s="156"/>
      <c r="O4" s="156"/>
      <c r="P4" s="156"/>
      <c r="Q4" s="156"/>
      <c r="R4" s="156"/>
      <c r="S4" s="156"/>
      <c r="T4" s="291"/>
      <c r="U4" s="323">
        <f>'角色卡'!CA3</f>
        <v>3</v>
      </c>
      <c r="V4" s="156"/>
      <c r="W4" s="156"/>
      <c r="X4" s="1853"/>
      <c r="Y4" s="291"/>
      <c r="Z4" s="1655"/>
      <c r="AA4" s="1655"/>
      <c r="AB4" s="1655"/>
      <c r="AC4" s="1655"/>
      <c r="AD4" s="1655"/>
      <c r="AE4" s="1655"/>
      <c r="AF4" s="1655"/>
      <c r="AG4" s="1655"/>
      <c r="AH4" s="1655"/>
      <c r="AI4" s="1655"/>
      <c r="AJ4" s="1655"/>
      <c r="AK4" s="1655"/>
      <c r="AL4" s="1655"/>
      <c r="AM4" s="1655"/>
      <c r="AN4" s="1655"/>
      <c r="AO4" s="291"/>
      <c r="AP4" s="1655"/>
      <c r="AQ4" s="1655"/>
      <c r="AR4" s="1655"/>
      <c r="AS4" s="1655"/>
      <c r="AT4" s="1655"/>
      <c r="AU4" s="1655"/>
      <c r="AV4" s="1655"/>
      <c r="AW4" s="1655"/>
      <c r="AX4" s="1655"/>
      <c r="AY4" s="1655"/>
      <c r="AZ4" s="1655"/>
      <c r="BA4" s="1655"/>
      <c r="BB4" s="1655"/>
      <c r="BC4" s="1655"/>
      <c r="BD4" s="1655"/>
      <c r="BE4" s="344"/>
      <c r="BF4" s="303"/>
      <c r="BG4" s="1528" t="s">
        <v>4107</v>
      </c>
    </row>
    <row r="5" ht="15.75" customHeight="1">
      <c r="A5" s="303"/>
      <c r="B5" s="1850"/>
      <c r="C5" s="319" t="s">
        <v>4461</v>
      </c>
      <c r="K5" s="291"/>
      <c r="L5" s="319" t="s">
        <v>166</v>
      </c>
      <c r="T5" s="291"/>
      <c r="U5" s="1536" t="s">
        <v>179</v>
      </c>
      <c r="X5" s="1853"/>
      <c r="Y5" s="291"/>
      <c r="Z5" s="1857" t="s">
        <v>4462</v>
      </c>
      <c r="AA5" s="240"/>
      <c r="AB5" s="240"/>
      <c r="AC5" s="240"/>
      <c r="AD5" s="240"/>
      <c r="AE5" s="1858"/>
      <c r="AF5" s="240"/>
      <c r="AG5" s="240"/>
      <c r="AH5" s="240"/>
      <c r="AI5" s="240"/>
      <c r="AJ5" s="240"/>
      <c r="AK5" s="240"/>
      <c r="AL5" s="240"/>
      <c r="AM5" s="240"/>
      <c r="AN5" s="241"/>
      <c r="AO5" s="291"/>
      <c r="AP5" s="1857" t="s">
        <v>4462</v>
      </c>
      <c r="AQ5" s="240"/>
      <c r="AR5" s="240"/>
      <c r="AS5" s="240"/>
      <c r="AT5" s="240"/>
      <c r="AU5" s="1858"/>
      <c r="AV5" s="240"/>
      <c r="AW5" s="240"/>
      <c r="AX5" s="240"/>
      <c r="AY5" s="240"/>
      <c r="AZ5" s="240"/>
      <c r="BA5" s="240"/>
      <c r="BB5" s="240"/>
      <c r="BC5" s="240"/>
      <c r="BD5" s="241"/>
      <c r="BE5" s="344"/>
      <c r="BF5" s="1106"/>
      <c r="BG5" s="1528" t="s">
        <v>4111</v>
      </c>
    </row>
    <row r="6" ht="15.75" customHeight="1">
      <c r="A6" s="303"/>
      <c r="B6" s="1850"/>
      <c r="C6" s="1653" t="s">
        <v>4463</v>
      </c>
      <c r="X6" s="1853"/>
      <c r="Y6" s="291"/>
      <c r="Z6" s="1859" t="s">
        <v>4464</v>
      </c>
      <c r="AA6" s="240"/>
      <c r="AB6" s="240"/>
      <c r="AC6" s="240"/>
      <c r="AD6" s="240"/>
      <c r="AE6" s="1860"/>
      <c r="AF6" s="240"/>
      <c r="AG6" s="240"/>
      <c r="AH6" s="240"/>
      <c r="AI6" s="240"/>
      <c r="AJ6" s="240"/>
      <c r="AK6" s="240"/>
      <c r="AL6" s="240"/>
      <c r="AM6" s="240"/>
      <c r="AN6" s="241"/>
      <c r="AO6" s="291"/>
      <c r="AP6" s="1859" t="s">
        <v>4464</v>
      </c>
      <c r="AQ6" s="240"/>
      <c r="AR6" s="240"/>
      <c r="AS6" s="240"/>
      <c r="AT6" s="240"/>
      <c r="AU6" s="1860"/>
      <c r="AV6" s="240"/>
      <c r="AW6" s="240"/>
      <c r="AX6" s="240"/>
      <c r="AY6" s="240"/>
      <c r="AZ6" s="240"/>
      <c r="BA6" s="240"/>
      <c r="BB6" s="240"/>
      <c r="BC6" s="240"/>
      <c r="BD6" s="241"/>
      <c r="BE6" s="344"/>
      <c r="BF6" s="1106"/>
      <c r="BG6" s="1528" t="s">
        <v>4118</v>
      </c>
    </row>
    <row r="7" ht="15.75" customHeight="1">
      <c r="A7" s="303"/>
      <c r="B7" s="1850"/>
      <c r="C7" s="1655"/>
      <c r="D7" s="1655"/>
      <c r="E7" s="1655"/>
      <c r="F7" s="1655"/>
      <c r="G7" s="1655"/>
      <c r="H7" s="1655"/>
      <c r="I7" s="1655"/>
      <c r="J7" s="1655"/>
      <c r="K7" s="1655"/>
      <c r="L7" s="1655"/>
      <c r="M7" s="1655"/>
      <c r="N7" s="1655"/>
      <c r="O7" s="1655"/>
      <c r="P7" s="1655"/>
      <c r="Q7" s="1655"/>
      <c r="R7" s="1655"/>
      <c r="S7" s="1655"/>
      <c r="T7" s="1655"/>
      <c r="U7" s="1655"/>
      <c r="V7" s="1655"/>
      <c r="W7" s="1655"/>
      <c r="X7" s="1853"/>
      <c r="Y7" s="291"/>
      <c r="Z7" s="1857" t="s">
        <v>4465</v>
      </c>
      <c r="AA7" s="240"/>
      <c r="AB7" s="240"/>
      <c r="AC7" s="240"/>
      <c r="AD7" s="240"/>
      <c r="AE7" s="1858"/>
      <c r="AF7" s="240"/>
      <c r="AG7" s="240"/>
      <c r="AH7" s="240"/>
      <c r="AI7" s="240"/>
      <c r="AJ7" s="240"/>
      <c r="AK7" s="240"/>
      <c r="AL7" s="240"/>
      <c r="AM7" s="240"/>
      <c r="AN7" s="241"/>
      <c r="AO7" s="291"/>
      <c r="AP7" s="1857" t="s">
        <v>4465</v>
      </c>
      <c r="AQ7" s="240"/>
      <c r="AR7" s="240"/>
      <c r="AS7" s="240"/>
      <c r="AT7" s="240"/>
      <c r="AU7" s="1858"/>
      <c r="AV7" s="240"/>
      <c r="AW7" s="240"/>
      <c r="AX7" s="240"/>
      <c r="AY7" s="240"/>
      <c r="AZ7" s="240"/>
      <c r="BA7" s="240"/>
      <c r="BB7" s="240"/>
      <c r="BC7" s="240"/>
      <c r="BD7" s="241"/>
      <c r="BE7" s="344"/>
      <c r="BF7" s="1106"/>
      <c r="BG7" s="1528" t="s">
        <v>4120</v>
      </c>
    </row>
    <row r="8" ht="15.75" customHeight="1">
      <c r="A8" s="303"/>
      <c r="B8" s="1850"/>
      <c r="C8" s="1861"/>
      <c r="D8" s="240"/>
      <c r="E8" s="240"/>
      <c r="F8" s="240"/>
      <c r="G8" s="240"/>
      <c r="H8" s="240"/>
      <c r="I8" s="240"/>
      <c r="J8" s="240"/>
      <c r="K8" s="240"/>
      <c r="L8" s="240"/>
      <c r="M8" s="291"/>
      <c r="N8" s="1861"/>
      <c r="O8" s="240"/>
      <c r="P8" s="240"/>
      <c r="Q8" s="240"/>
      <c r="R8" s="240"/>
      <c r="S8" s="240"/>
      <c r="T8" s="240"/>
      <c r="U8" s="240"/>
      <c r="V8" s="240"/>
      <c r="W8" s="240"/>
      <c r="X8" s="1853"/>
      <c r="Y8" s="291"/>
      <c r="Z8" s="1862" t="s">
        <v>4466</v>
      </c>
      <c r="AC8" s="1863"/>
      <c r="AN8" s="318"/>
      <c r="AO8" s="291"/>
      <c r="AP8" s="1862" t="s">
        <v>4466</v>
      </c>
      <c r="AS8" s="1863"/>
      <c r="BD8" s="318"/>
      <c r="BE8" s="344"/>
      <c r="BF8" s="1106"/>
      <c r="BG8" s="1528"/>
    </row>
    <row r="9" ht="15.75" customHeight="1">
      <c r="A9" s="303"/>
      <c r="B9" s="1850"/>
      <c r="C9" s="1864"/>
      <c r="D9" s="19"/>
      <c r="E9" s="19"/>
      <c r="F9" s="19"/>
      <c r="G9" s="19"/>
      <c r="H9" s="19"/>
      <c r="I9" s="19"/>
      <c r="J9" s="19"/>
      <c r="K9" s="19"/>
      <c r="L9" s="19"/>
      <c r="M9" s="291"/>
      <c r="N9" s="1864"/>
      <c r="O9" s="19"/>
      <c r="P9" s="19"/>
      <c r="Q9" s="19"/>
      <c r="R9" s="19"/>
      <c r="S9" s="19"/>
      <c r="T9" s="19"/>
      <c r="U9" s="19"/>
      <c r="V9" s="19"/>
      <c r="W9" s="19"/>
      <c r="X9" s="1853"/>
      <c r="Y9" s="291"/>
      <c r="Z9" s="121"/>
      <c r="AN9" s="318"/>
      <c r="AO9" s="291"/>
      <c r="AP9" s="121"/>
      <c r="BD9" s="318"/>
      <c r="BE9" s="344"/>
      <c r="BF9" s="1106"/>
      <c r="BG9" s="1528" t="s">
        <v>4129</v>
      </c>
    </row>
    <row r="10" ht="15.75" customHeight="1">
      <c r="A10" s="303"/>
      <c r="B10" s="1850"/>
      <c r="C10" s="1864"/>
      <c r="D10" s="19"/>
      <c r="E10" s="19"/>
      <c r="F10" s="19"/>
      <c r="G10" s="19"/>
      <c r="H10" s="19"/>
      <c r="I10" s="19"/>
      <c r="J10" s="19"/>
      <c r="K10" s="19"/>
      <c r="L10" s="19"/>
      <c r="M10" s="291"/>
      <c r="N10" s="1864"/>
      <c r="O10" s="19"/>
      <c r="P10" s="19"/>
      <c r="Q10" s="19"/>
      <c r="R10" s="19"/>
      <c r="S10" s="19"/>
      <c r="T10" s="19"/>
      <c r="U10" s="19"/>
      <c r="V10" s="19"/>
      <c r="W10" s="19"/>
      <c r="X10" s="1853"/>
      <c r="Y10" s="291"/>
      <c r="Z10" s="143"/>
      <c r="AA10" s="240"/>
      <c r="AB10" s="240"/>
      <c r="AC10" s="240"/>
      <c r="AD10" s="240"/>
      <c r="AE10" s="240"/>
      <c r="AF10" s="240"/>
      <c r="AG10" s="240"/>
      <c r="AH10" s="240"/>
      <c r="AI10" s="240"/>
      <c r="AJ10" s="240"/>
      <c r="AK10" s="240"/>
      <c r="AL10" s="240"/>
      <c r="AM10" s="240"/>
      <c r="AN10" s="241"/>
      <c r="AO10" s="291"/>
      <c r="AP10" s="143"/>
      <c r="AQ10" s="240"/>
      <c r="AR10" s="240"/>
      <c r="AS10" s="240"/>
      <c r="AT10" s="240"/>
      <c r="AU10" s="240"/>
      <c r="AV10" s="240"/>
      <c r="AW10" s="240"/>
      <c r="AX10" s="240"/>
      <c r="AY10" s="240"/>
      <c r="AZ10" s="240"/>
      <c r="BA10" s="240"/>
      <c r="BB10" s="240"/>
      <c r="BC10" s="240"/>
      <c r="BD10" s="241"/>
      <c r="BE10" s="344"/>
      <c r="BF10" s="1106"/>
      <c r="BG10" s="1528" t="s">
        <v>4131</v>
      </c>
    </row>
    <row r="11" ht="15.75" customHeight="1">
      <c r="A11" s="303"/>
      <c r="B11" s="1850"/>
      <c r="C11" s="434"/>
      <c r="D11" s="240"/>
      <c r="E11" s="240"/>
      <c r="F11" s="240"/>
      <c r="G11" s="240"/>
      <c r="H11" s="240"/>
      <c r="I11" s="240"/>
      <c r="J11" s="240"/>
      <c r="K11" s="240"/>
      <c r="L11" s="240"/>
      <c r="M11" s="1865"/>
      <c r="N11" s="1866"/>
      <c r="O11" s="240"/>
      <c r="P11" s="240"/>
      <c r="Q11" s="240"/>
      <c r="R11" s="240"/>
      <c r="S11" s="240"/>
      <c r="T11" s="240"/>
      <c r="U11" s="240"/>
      <c r="V11" s="240"/>
      <c r="W11" s="240"/>
      <c r="X11" s="1853"/>
      <c r="Y11" s="291"/>
      <c r="Z11" s="1854" t="s">
        <v>4460</v>
      </c>
      <c r="AG11" s="1855"/>
      <c r="AO11" s="291"/>
      <c r="AP11" s="1854" t="s">
        <v>4460</v>
      </c>
      <c r="AW11" s="1855"/>
      <c r="BE11" s="344"/>
      <c r="BF11" s="1106"/>
      <c r="BG11" s="1528" t="s">
        <v>4138</v>
      </c>
    </row>
    <row r="12" ht="15.75" customHeight="1">
      <c r="A12" s="303"/>
      <c r="B12" s="1850"/>
      <c r="C12" s="1653" t="s">
        <v>4467</v>
      </c>
      <c r="X12" s="1853"/>
      <c r="Y12" s="291"/>
      <c r="Z12" s="1655"/>
      <c r="AA12" s="1655"/>
      <c r="AB12" s="1655"/>
      <c r="AC12" s="1655"/>
      <c r="AD12" s="1655"/>
      <c r="AE12" s="1655"/>
      <c r="AF12" s="1655"/>
      <c r="AG12" s="1655"/>
      <c r="AH12" s="1655"/>
      <c r="AI12" s="1655"/>
      <c r="AJ12" s="1655"/>
      <c r="AK12" s="1655"/>
      <c r="AL12" s="1655"/>
      <c r="AM12" s="1655"/>
      <c r="AN12" s="1655"/>
      <c r="AO12" s="291"/>
      <c r="AP12" s="1655"/>
      <c r="AQ12" s="1655"/>
      <c r="AR12" s="1655"/>
      <c r="AS12" s="1655"/>
      <c r="AT12" s="1655"/>
      <c r="AU12" s="1655"/>
      <c r="AV12" s="1655"/>
      <c r="AW12" s="1655"/>
      <c r="AX12" s="1655"/>
      <c r="AY12" s="1655"/>
      <c r="AZ12" s="1655"/>
      <c r="BA12" s="1655"/>
      <c r="BB12" s="1655"/>
      <c r="BC12" s="1655"/>
      <c r="BD12" s="1655"/>
      <c r="BE12" s="344"/>
      <c r="BF12" s="1106"/>
      <c r="BG12" s="1528" t="s">
        <v>4139</v>
      </c>
    </row>
    <row r="13" ht="15.75" customHeight="1">
      <c r="A13" s="303"/>
      <c r="B13" s="1850"/>
      <c r="C13" s="1655"/>
      <c r="D13" s="1655"/>
      <c r="E13" s="1655"/>
      <c r="F13" s="1655"/>
      <c r="G13" s="1655"/>
      <c r="H13" s="1655"/>
      <c r="I13" s="1655"/>
      <c r="J13" s="1655"/>
      <c r="K13" s="1655"/>
      <c r="L13" s="1655"/>
      <c r="M13" s="1655"/>
      <c r="N13" s="1655"/>
      <c r="O13" s="1655"/>
      <c r="P13" s="1655"/>
      <c r="Q13" s="1655"/>
      <c r="R13" s="1655"/>
      <c r="S13" s="1655"/>
      <c r="T13" s="1655"/>
      <c r="U13" s="1655"/>
      <c r="V13" s="1655"/>
      <c r="W13" s="1655"/>
      <c r="X13" s="1853"/>
      <c r="Y13" s="291"/>
      <c r="Z13" s="1857" t="s">
        <v>4462</v>
      </c>
      <c r="AA13" s="240"/>
      <c r="AB13" s="240"/>
      <c r="AC13" s="240"/>
      <c r="AD13" s="240"/>
      <c r="AE13" s="1858"/>
      <c r="AF13" s="240"/>
      <c r="AG13" s="240"/>
      <c r="AH13" s="240"/>
      <c r="AI13" s="240"/>
      <c r="AJ13" s="240"/>
      <c r="AK13" s="240"/>
      <c r="AL13" s="240"/>
      <c r="AM13" s="240"/>
      <c r="AN13" s="241"/>
      <c r="AO13" s="291"/>
      <c r="AP13" s="1857" t="s">
        <v>4462</v>
      </c>
      <c r="AQ13" s="240"/>
      <c r="AR13" s="240"/>
      <c r="AS13" s="240"/>
      <c r="AT13" s="240"/>
      <c r="AU13" s="1858"/>
      <c r="AV13" s="240"/>
      <c r="AW13" s="240"/>
      <c r="AX13" s="240"/>
      <c r="AY13" s="240"/>
      <c r="AZ13" s="240"/>
      <c r="BA13" s="240"/>
      <c r="BB13" s="240"/>
      <c r="BC13" s="240"/>
      <c r="BD13" s="241"/>
      <c r="BE13" s="344"/>
      <c r="BF13" s="1106"/>
    </row>
    <row r="14" ht="15.75" customHeight="1">
      <c r="A14" s="303"/>
      <c r="B14" s="1850"/>
      <c r="C14" s="1861"/>
      <c r="D14" s="240"/>
      <c r="E14" s="240"/>
      <c r="F14" s="240"/>
      <c r="G14" s="240"/>
      <c r="H14" s="240"/>
      <c r="I14" s="240"/>
      <c r="J14" s="240"/>
      <c r="K14" s="240"/>
      <c r="L14" s="240"/>
      <c r="M14" s="291"/>
      <c r="N14" s="1861"/>
      <c r="O14" s="240"/>
      <c r="P14" s="240"/>
      <c r="Q14" s="240"/>
      <c r="R14" s="240"/>
      <c r="S14" s="240"/>
      <c r="T14" s="240"/>
      <c r="U14" s="240"/>
      <c r="V14" s="240"/>
      <c r="W14" s="240"/>
      <c r="X14" s="1853"/>
      <c r="Y14" s="291"/>
      <c r="Z14" s="1859" t="s">
        <v>4464</v>
      </c>
      <c r="AA14" s="240"/>
      <c r="AB14" s="240"/>
      <c r="AC14" s="240"/>
      <c r="AD14" s="240"/>
      <c r="AE14" s="1860"/>
      <c r="AF14" s="240"/>
      <c r="AG14" s="240"/>
      <c r="AH14" s="240"/>
      <c r="AI14" s="240"/>
      <c r="AJ14" s="240"/>
      <c r="AK14" s="240"/>
      <c r="AL14" s="240"/>
      <c r="AM14" s="240"/>
      <c r="AN14" s="241"/>
      <c r="AO14" s="291"/>
      <c r="AP14" s="1859" t="s">
        <v>4464</v>
      </c>
      <c r="AQ14" s="240"/>
      <c r="AR14" s="240"/>
      <c r="AS14" s="240"/>
      <c r="AT14" s="240"/>
      <c r="AU14" s="1860"/>
      <c r="AV14" s="240"/>
      <c r="AW14" s="240"/>
      <c r="AX14" s="240"/>
      <c r="AY14" s="240"/>
      <c r="AZ14" s="240"/>
      <c r="BA14" s="240"/>
      <c r="BB14" s="240"/>
      <c r="BC14" s="240"/>
      <c r="BD14" s="241"/>
      <c r="BE14" s="344"/>
      <c r="BF14" s="1106"/>
    </row>
    <row r="15" ht="15.75" customHeight="1">
      <c r="A15" s="303"/>
      <c r="B15" s="1850"/>
      <c r="C15" s="1864"/>
      <c r="D15" s="19"/>
      <c r="E15" s="19"/>
      <c r="F15" s="19"/>
      <c r="G15" s="19"/>
      <c r="H15" s="19"/>
      <c r="I15" s="19"/>
      <c r="J15" s="19"/>
      <c r="K15" s="19"/>
      <c r="L15" s="19"/>
      <c r="M15" s="291"/>
      <c r="N15" s="1864"/>
      <c r="O15" s="19"/>
      <c r="P15" s="19"/>
      <c r="Q15" s="19"/>
      <c r="R15" s="19"/>
      <c r="S15" s="19"/>
      <c r="T15" s="19"/>
      <c r="U15" s="19"/>
      <c r="V15" s="19"/>
      <c r="W15" s="19"/>
      <c r="X15" s="1853"/>
      <c r="Y15" s="291"/>
      <c r="Z15" s="1857" t="s">
        <v>4465</v>
      </c>
      <c r="AA15" s="240"/>
      <c r="AB15" s="240"/>
      <c r="AC15" s="240"/>
      <c r="AD15" s="240"/>
      <c r="AE15" s="1858"/>
      <c r="AF15" s="240"/>
      <c r="AG15" s="240"/>
      <c r="AH15" s="240"/>
      <c r="AI15" s="240"/>
      <c r="AJ15" s="240"/>
      <c r="AK15" s="240"/>
      <c r="AL15" s="240"/>
      <c r="AM15" s="240"/>
      <c r="AN15" s="241"/>
      <c r="AO15" s="291"/>
      <c r="AP15" s="1857" t="s">
        <v>4465</v>
      </c>
      <c r="AQ15" s="240"/>
      <c r="AR15" s="240"/>
      <c r="AS15" s="240"/>
      <c r="AT15" s="240"/>
      <c r="AU15" s="1858"/>
      <c r="AV15" s="240"/>
      <c r="AW15" s="240"/>
      <c r="AX15" s="240"/>
      <c r="AY15" s="240"/>
      <c r="AZ15" s="240"/>
      <c r="BA15" s="240"/>
      <c r="BB15" s="240"/>
      <c r="BC15" s="240"/>
      <c r="BD15" s="241"/>
      <c r="BE15" s="344"/>
      <c r="BF15" s="1106"/>
      <c r="BG15" s="1528" t="s">
        <v>4144</v>
      </c>
    </row>
    <row r="16" ht="15.75" customHeight="1">
      <c r="A16" s="303"/>
      <c r="B16" s="1850"/>
      <c r="C16" s="1864"/>
      <c r="D16" s="19"/>
      <c r="E16" s="19"/>
      <c r="F16" s="19"/>
      <c r="G16" s="19"/>
      <c r="H16" s="19"/>
      <c r="I16" s="19"/>
      <c r="J16" s="19"/>
      <c r="K16" s="19"/>
      <c r="L16" s="19"/>
      <c r="M16" s="291"/>
      <c r="N16" s="1864"/>
      <c r="O16" s="19"/>
      <c r="P16" s="19"/>
      <c r="Q16" s="19"/>
      <c r="R16" s="19"/>
      <c r="S16" s="19"/>
      <c r="T16" s="19"/>
      <c r="U16" s="19"/>
      <c r="V16" s="19"/>
      <c r="W16" s="19"/>
      <c r="X16" s="1853"/>
      <c r="Y16" s="291"/>
      <c r="Z16" s="1862" t="s">
        <v>4466</v>
      </c>
      <c r="AC16" s="1863"/>
      <c r="AN16" s="318"/>
      <c r="AO16" s="291"/>
      <c r="AP16" s="1862" t="s">
        <v>4466</v>
      </c>
      <c r="AS16" s="1863"/>
      <c r="BD16" s="318"/>
      <c r="BE16" s="344"/>
      <c r="BF16" s="1106"/>
      <c r="BG16" s="1528" t="s">
        <v>4145</v>
      </c>
    </row>
    <row r="17" ht="15.75" customHeight="1">
      <c r="A17" s="303"/>
      <c r="B17" s="1850"/>
      <c r="C17" s="1864"/>
      <c r="D17" s="19"/>
      <c r="E17" s="19"/>
      <c r="F17" s="19"/>
      <c r="G17" s="19"/>
      <c r="H17" s="19"/>
      <c r="I17" s="19"/>
      <c r="J17" s="19"/>
      <c r="K17" s="19"/>
      <c r="L17" s="19"/>
      <c r="M17" s="291"/>
      <c r="N17" s="1864"/>
      <c r="O17" s="19"/>
      <c r="P17" s="19"/>
      <c r="Q17" s="19"/>
      <c r="R17" s="19"/>
      <c r="S17" s="19"/>
      <c r="T17" s="19"/>
      <c r="U17" s="19"/>
      <c r="V17" s="19"/>
      <c r="W17" s="19"/>
      <c r="X17" s="1853"/>
      <c r="Y17" s="291"/>
      <c r="Z17" s="121"/>
      <c r="AN17" s="318"/>
      <c r="AO17" s="291"/>
      <c r="AP17" s="121"/>
      <c r="BD17" s="318"/>
      <c r="BE17" s="344"/>
      <c r="BF17" s="1106"/>
      <c r="BG17" s="1528" t="s">
        <v>4146</v>
      </c>
    </row>
    <row r="18" ht="15.75" customHeight="1">
      <c r="A18" s="303"/>
      <c r="B18" s="1850"/>
      <c r="C18" s="1867"/>
      <c r="D18" s="240"/>
      <c r="E18" s="240"/>
      <c r="F18" s="240"/>
      <c r="G18" s="240"/>
      <c r="H18" s="240"/>
      <c r="I18" s="240"/>
      <c r="J18" s="240"/>
      <c r="K18" s="240"/>
      <c r="L18" s="240"/>
      <c r="M18" s="1868"/>
      <c r="N18" s="1867"/>
      <c r="O18" s="240"/>
      <c r="P18" s="240"/>
      <c r="Q18" s="240"/>
      <c r="R18" s="240"/>
      <c r="S18" s="240"/>
      <c r="T18" s="240"/>
      <c r="U18" s="240"/>
      <c r="V18" s="240"/>
      <c r="W18" s="240"/>
      <c r="X18" s="1853"/>
      <c r="Y18" s="291"/>
      <c r="Z18" s="143"/>
      <c r="AA18" s="240"/>
      <c r="AB18" s="240"/>
      <c r="AC18" s="240"/>
      <c r="AD18" s="240"/>
      <c r="AE18" s="240"/>
      <c r="AF18" s="240"/>
      <c r="AG18" s="240"/>
      <c r="AH18" s="240"/>
      <c r="AI18" s="240"/>
      <c r="AJ18" s="240"/>
      <c r="AK18" s="240"/>
      <c r="AL18" s="240"/>
      <c r="AM18" s="240"/>
      <c r="AN18" s="241"/>
      <c r="AO18" s="291"/>
      <c r="AP18" s="143"/>
      <c r="AQ18" s="240"/>
      <c r="AR18" s="240"/>
      <c r="AS18" s="240"/>
      <c r="AT18" s="240"/>
      <c r="AU18" s="240"/>
      <c r="AV18" s="240"/>
      <c r="AW18" s="240"/>
      <c r="AX18" s="240"/>
      <c r="AY18" s="240"/>
      <c r="AZ18" s="240"/>
      <c r="BA18" s="240"/>
      <c r="BB18" s="240"/>
      <c r="BC18" s="240"/>
      <c r="BD18" s="241"/>
      <c r="BE18" s="344"/>
      <c r="BF18" s="1106"/>
      <c r="BG18" s="1528" t="s">
        <v>4148</v>
      </c>
    </row>
    <row r="19" ht="15.75" customHeight="1">
      <c r="A19" s="303"/>
      <c r="B19" s="1850"/>
      <c r="C19" s="1653" t="s">
        <v>4428</v>
      </c>
      <c r="X19" s="1853"/>
      <c r="Y19" s="291"/>
      <c r="Z19" s="1854" t="s">
        <v>4460</v>
      </c>
      <c r="AG19" s="1855"/>
      <c r="AO19" s="291"/>
      <c r="AP19" s="1854" t="s">
        <v>4460</v>
      </c>
      <c r="AW19" s="1855"/>
      <c r="BE19" s="344"/>
      <c r="BF19" s="1106"/>
      <c r="BG19" s="1528" t="s">
        <v>4149</v>
      </c>
    </row>
    <row r="20" ht="15.75" customHeight="1">
      <c r="A20" s="303"/>
      <c r="B20" s="1850"/>
      <c r="C20" s="1655"/>
      <c r="D20" s="1655"/>
      <c r="E20" s="1655"/>
      <c r="F20" s="1655"/>
      <c r="G20" s="1655"/>
      <c r="H20" s="1655"/>
      <c r="I20" s="1655"/>
      <c r="J20" s="1655"/>
      <c r="K20" s="1655"/>
      <c r="L20" s="1655"/>
      <c r="M20" s="1655"/>
      <c r="N20" s="1655"/>
      <c r="O20" s="1655"/>
      <c r="P20" s="1655"/>
      <c r="Q20" s="1655"/>
      <c r="R20" s="1655"/>
      <c r="S20" s="1655"/>
      <c r="T20" s="1655"/>
      <c r="U20" s="1655"/>
      <c r="V20" s="1655"/>
      <c r="W20" s="1655"/>
      <c r="X20" s="1853"/>
      <c r="Y20" s="291"/>
      <c r="Z20" s="1655"/>
      <c r="AA20" s="1655"/>
      <c r="AB20" s="1655"/>
      <c r="AC20" s="1655"/>
      <c r="AD20" s="1655"/>
      <c r="AE20" s="1655"/>
      <c r="AF20" s="1655"/>
      <c r="AG20" s="1655"/>
      <c r="AH20" s="1655"/>
      <c r="AI20" s="1655"/>
      <c r="AJ20" s="1655"/>
      <c r="AK20" s="1655"/>
      <c r="AL20" s="1655"/>
      <c r="AM20" s="1655"/>
      <c r="AN20" s="1655"/>
      <c r="AO20" s="291"/>
      <c r="AP20" s="1655"/>
      <c r="AQ20" s="1655"/>
      <c r="AR20" s="1655"/>
      <c r="AS20" s="1655"/>
      <c r="AT20" s="1655"/>
      <c r="AU20" s="1655"/>
      <c r="AV20" s="1655"/>
      <c r="AW20" s="1655"/>
      <c r="AX20" s="1655"/>
      <c r="AY20" s="1655"/>
      <c r="AZ20" s="1655"/>
      <c r="BA20" s="1655"/>
      <c r="BB20" s="1655"/>
      <c r="BC20" s="1655"/>
      <c r="BD20" s="1655"/>
      <c r="BE20" s="344"/>
      <c r="BF20" s="1106"/>
      <c r="BG20" s="1633"/>
    </row>
    <row r="21" ht="15.75" customHeight="1">
      <c r="A21" s="303"/>
      <c r="B21" s="1850"/>
      <c r="C21" s="1869"/>
      <c r="D21" s="1870"/>
      <c r="E21" s="1870"/>
      <c r="F21" s="1870"/>
      <c r="G21" s="1870"/>
      <c r="H21" s="1870"/>
      <c r="I21" s="1870"/>
      <c r="J21" s="1870"/>
      <c r="K21" s="1870"/>
      <c r="L21" s="1870"/>
      <c r="M21" s="1870"/>
      <c r="N21" s="1870"/>
      <c r="O21" s="1870"/>
      <c r="P21" s="1870"/>
      <c r="Q21" s="1870"/>
      <c r="R21" s="1870"/>
      <c r="S21" s="1870"/>
      <c r="T21" s="1870"/>
      <c r="U21" s="1870"/>
      <c r="V21" s="1870"/>
      <c r="W21" s="1871"/>
      <c r="X21" s="1853"/>
      <c r="Y21" s="291"/>
      <c r="Z21" s="1857" t="s">
        <v>4462</v>
      </c>
      <c r="AA21" s="240"/>
      <c r="AB21" s="240"/>
      <c r="AC21" s="240"/>
      <c r="AD21" s="240"/>
      <c r="AE21" s="1858"/>
      <c r="AF21" s="240"/>
      <c r="AG21" s="240"/>
      <c r="AH21" s="240"/>
      <c r="AI21" s="240"/>
      <c r="AJ21" s="240"/>
      <c r="AK21" s="240"/>
      <c r="AL21" s="240"/>
      <c r="AM21" s="240"/>
      <c r="AN21" s="241"/>
      <c r="AO21" s="291"/>
      <c r="AP21" s="1857" t="s">
        <v>4462</v>
      </c>
      <c r="AQ21" s="240"/>
      <c r="AR21" s="240"/>
      <c r="AS21" s="240"/>
      <c r="AT21" s="240"/>
      <c r="AU21" s="1858"/>
      <c r="AV21" s="240"/>
      <c r="AW21" s="240"/>
      <c r="AX21" s="240"/>
      <c r="AY21" s="240"/>
      <c r="AZ21" s="240"/>
      <c r="BA21" s="240"/>
      <c r="BB21" s="240"/>
      <c r="BC21" s="240"/>
      <c r="BD21" s="241"/>
      <c r="BE21" s="344"/>
      <c r="BF21" s="1106"/>
    </row>
    <row r="22" ht="15.75" customHeight="1">
      <c r="A22" s="303"/>
      <c r="B22" s="1850"/>
      <c r="C22" s="1872"/>
      <c r="D22" s="1873"/>
      <c r="E22" s="1873"/>
      <c r="F22" s="1873"/>
      <c r="G22" s="1873"/>
      <c r="H22" s="1873"/>
      <c r="I22" s="1873"/>
      <c r="J22" s="1873"/>
      <c r="K22" s="1873"/>
      <c r="L22" s="1873"/>
      <c r="M22" s="1873"/>
      <c r="N22" s="1873"/>
      <c r="O22" s="1873"/>
      <c r="P22" s="1873"/>
      <c r="Q22" s="1873"/>
      <c r="R22" s="1873"/>
      <c r="S22" s="1873"/>
      <c r="T22" s="1873"/>
      <c r="U22" s="1873"/>
      <c r="V22" s="1873"/>
      <c r="W22" s="1874"/>
      <c r="X22" s="1853"/>
      <c r="Y22" s="291"/>
      <c r="Z22" s="1859" t="s">
        <v>4464</v>
      </c>
      <c r="AA22" s="240"/>
      <c r="AB22" s="240"/>
      <c r="AC22" s="240"/>
      <c r="AD22" s="240"/>
      <c r="AE22" s="1860"/>
      <c r="AF22" s="240"/>
      <c r="AG22" s="240"/>
      <c r="AH22" s="240"/>
      <c r="AI22" s="240"/>
      <c r="AJ22" s="240"/>
      <c r="AK22" s="240"/>
      <c r="AL22" s="240"/>
      <c r="AM22" s="240"/>
      <c r="AN22" s="241"/>
      <c r="AO22" s="291"/>
      <c r="AP22" s="1859" t="s">
        <v>4464</v>
      </c>
      <c r="AQ22" s="240"/>
      <c r="AR22" s="240"/>
      <c r="AS22" s="240"/>
      <c r="AT22" s="240"/>
      <c r="AU22" s="1860"/>
      <c r="AV22" s="240"/>
      <c r="AW22" s="240"/>
      <c r="AX22" s="240"/>
      <c r="AY22" s="240"/>
      <c r="AZ22" s="240"/>
      <c r="BA22" s="240"/>
      <c r="BB22" s="240"/>
      <c r="BC22" s="240"/>
      <c r="BD22" s="241"/>
      <c r="BE22" s="344"/>
      <c r="BF22" s="1638"/>
    </row>
    <row r="23" ht="15.75" customHeight="1">
      <c r="A23" s="303"/>
      <c r="B23" s="1850"/>
      <c r="C23" s="1875"/>
      <c r="D23" s="1873"/>
      <c r="E23" s="1873"/>
      <c r="F23" s="1873"/>
      <c r="G23" s="1873"/>
      <c r="H23" s="1873"/>
      <c r="I23" s="1873"/>
      <c r="J23" s="1873"/>
      <c r="K23" s="1873"/>
      <c r="L23" s="1873"/>
      <c r="M23" s="1873"/>
      <c r="N23" s="1873"/>
      <c r="O23" s="1873"/>
      <c r="P23" s="1873"/>
      <c r="Q23" s="1873"/>
      <c r="R23" s="1873"/>
      <c r="S23" s="1873"/>
      <c r="T23" s="1873"/>
      <c r="U23" s="1873"/>
      <c r="V23" s="1873"/>
      <c r="W23" s="1874"/>
      <c r="X23" s="1853"/>
      <c r="Y23" s="291"/>
      <c r="Z23" s="1857" t="s">
        <v>4465</v>
      </c>
      <c r="AA23" s="240"/>
      <c r="AB23" s="240"/>
      <c r="AC23" s="240"/>
      <c r="AD23" s="240"/>
      <c r="AE23" s="1858"/>
      <c r="AF23" s="240"/>
      <c r="AG23" s="240"/>
      <c r="AH23" s="240"/>
      <c r="AI23" s="240"/>
      <c r="AJ23" s="240"/>
      <c r="AK23" s="240"/>
      <c r="AL23" s="240"/>
      <c r="AM23" s="240"/>
      <c r="AN23" s="241"/>
      <c r="AO23" s="291"/>
      <c r="AP23" s="1857" t="s">
        <v>4465</v>
      </c>
      <c r="AQ23" s="240"/>
      <c r="AR23" s="240"/>
      <c r="AS23" s="240"/>
      <c r="AT23" s="240"/>
      <c r="AU23" s="1858"/>
      <c r="AV23" s="240"/>
      <c r="AW23" s="240"/>
      <c r="AX23" s="240"/>
      <c r="AY23" s="240"/>
      <c r="AZ23" s="240"/>
      <c r="BA23" s="240"/>
      <c r="BB23" s="240"/>
      <c r="BC23" s="240"/>
      <c r="BD23" s="241"/>
      <c r="BE23" s="344"/>
      <c r="BF23" s="303"/>
    </row>
    <row r="24" ht="15.75" customHeight="1">
      <c r="A24" s="303"/>
      <c r="B24" s="1850"/>
      <c r="C24" s="1872"/>
      <c r="D24" s="1873"/>
      <c r="E24" s="1873"/>
      <c r="F24" s="1873"/>
      <c r="G24" s="1873"/>
      <c r="H24" s="1873"/>
      <c r="I24" s="1873"/>
      <c r="J24" s="1873"/>
      <c r="K24" s="1873"/>
      <c r="L24" s="1873"/>
      <c r="M24" s="1873"/>
      <c r="N24" s="1873"/>
      <c r="O24" s="1873"/>
      <c r="P24" s="1873"/>
      <c r="Q24" s="1873"/>
      <c r="R24" s="1873"/>
      <c r="S24" s="1873"/>
      <c r="T24" s="1873"/>
      <c r="U24" s="1873"/>
      <c r="V24" s="1873"/>
      <c r="W24" s="1874"/>
      <c r="X24" s="1853"/>
      <c r="Y24" s="291"/>
      <c r="Z24" s="1862" t="s">
        <v>4466</v>
      </c>
      <c r="AC24" s="1863"/>
      <c r="AN24" s="318"/>
      <c r="AO24" s="291"/>
      <c r="AP24" s="1862" t="s">
        <v>4466</v>
      </c>
      <c r="AS24" s="1863"/>
      <c r="BD24" s="318"/>
      <c r="BE24" s="344"/>
      <c r="BF24" s="1641"/>
    </row>
    <row r="25" ht="15.75" customHeight="1">
      <c r="A25" s="303"/>
      <c r="B25" s="1850"/>
      <c r="C25" s="1875"/>
      <c r="D25" s="1873"/>
      <c r="E25" s="1873"/>
      <c r="F25" s="1873"/>
      <c r="G25" s="1873"/>
      <c r="H25" s="1873"/>
      <c r="I25" s="1873"/>
      <c r="J25" s="1873"/>
      <c r="K25" s="1873"/>
      <c r="L25" s="1873"/>
      <c r="M25" s="1873"/>
      <c r="N25" s="1873"/>
      <c r="O25" s="1873"/>
      <c r="P25" s="1873"/>
      <c r="Q25" s="1873"/>
      <c r="R25" s="1873"/>
      <c r="S25" s="1873"/>
      <c r="T25" s="1873"/>
      <c r="U25" s="1873"/>
      <c r="V25" s="1873"/>
      <c r="W25" s="1874"/>
      <c r="X25" s="1853"/>
      <c r="Y25" s="291"/>
      <c r="Z25" s="121"/>
      <c r="AN25" s="318"/>
      <c r="AO25" s="291"/>
      <c r="AP25" s="121"/>
      <c r="BD25" s="318"/>
      <c r="BE25" s="344"/>
      <c r="BF25" s="1641"/>
    </row>
    <row r="26" ht="15.75" customHeight="1">
      <c r="A26" s="303"/>
      <c r="B26" s="1850"/>
      <c r="C26" s="1876"/>
      <c r="D26" s="1877"/>
      <c r="E26" s="1877"/>
      <c r="F26" s="1877"/>
      <c r="G26" s="1877"/>
      <c r="H26" s="1877"/>
      <c r="I26" s="1877"/>
      <c r="J26" s="1877"/>
      <c r="K26" s="1877"/>
      <c r="L26" s="1877"/>
      <c r="M26" s="1877"/>
      <c r="N26" s="1877"/>
      <c r="O26" s="1877"/>
      <c r="P26" s="1877"/>
      <c r="Q26" s="1877"/>
      <c r="R26" s="1877"/>
      <c r="S26" s="1877"/>
      <c r="T26" s="1877"/>
      <c r="U26" s="1877"/>
      <c r="V26" s="1877"/>
      <c r="W26" s="1878"/>
      <c r="X26" s="1853"/>
      <c r="Y26" s="291"/>
      <c r="Z26" s="143"/>
      <c r="AA26" s="240"/>
      <c r="AB26" s="240"/>
      <c r="AC26" s="240"/>
      <c r="AD26" s="240"/>
      <c r="AE26" s="240"/>
      <c r="AF26" s="240"/>
      <c r="AG26" s="240"/>
      <c r="AH26" s="240"/>
      <c r="AI26" s="240"/>
      <c r="AJ26" s="240"/>
      <c r="AK26" s="240"/>
      <c r="AL26" s="240"/>
      <c r="AM26" s="240"/>
      <c r="AN26" s="241"/>
      <c r="AO26" s="291"/>
      <c r="AP26" s="143"/>
      <c r="AQ26" s="240"/>
      <c r="AR26" s="240"/>
      <c r="AS26" s="240"/>
      <c r="AT26" s="240"/>
      <c r="AU26" s="240"/>
      <c r="AV26" s="240"/>
      <c r="AW26" s="240"/>
      <c r="AX26" s="240"/>
      <c r="AY26" s="240"/>
      <c r="AZ26" s="240"/>
      <c r="BA26" s="240"/>
      <c r="BB26" s="240"/>
      <c r="BC26" s="240"/>
      <c r="BD26" s="241"/>
      <c r="BE26" s="344"/>
      <c r="BF26" s="1641"/>
    </row>
    <row r="27" outlineLevel="1">
      <c r="A27" s="1652"/>
      <c r="B27" s="1850"/>
      <c r="C27" s="1653"/>
      <c r="Y27" s="291"/>
      <c r="Z27" s="1879"/>
      <c r="AA27" s="1879"/>
      <c r="AB27" s="1879"/>
      <c r="AC27" s="1879"/>
      <c r="AD27" s="1879"/>
      <c r="AE27" s="1879"/>
      <c r="AF27" s="1879"/>
      <c r="AG27" s="1879"/>
      <c r="AH27" s="1879"/>
      <c r="AI27" s="1879"/>
      <c r="AJ27" s="1879"/>
      <c r="AK27" s="1879"/>
      <c r="AL27" s="1879"/>
      <c r="AM27" s="1879"/>
      <c r="AN27" s="1879"/>
      <c r="AO27" s="291"/>
      <c r="AP27" s="1879"/>
      <c r="AQ27" s="1879"/>
      <c r="AR27" s="1879"/>
      <c r="AS27" s="1879"/>
      <c r="AT27" s="1879"/>
      <c r="AU27" s="1879"/>
      <c r="AV27" s="1879"/>
      <c r="AW27" s="1879"/>
      <c r="AX27" s="1879"/>
      <c r="AY27" s="1879"/>
      <c r="AZ27" s="1879"/>
      <c r="BA27" s="1879"/>
      <c r="BB27" s="1879"/>
      <c r="BC27" s="1879"/>
      <c r="BD27" s="1879"/>
      <c r="BE27" s="1880"/>
      <c r="BF27" s="1652"/>
      <c r="BG27" s="1656"/>
    </row>
    <row r="28" outlineLevel="1">
      <c r="A28" s="1652"/>
      <c r="B28" s="1850"/>
      <c r="C28" s="306" t="s">
        <v>4468</v>
      </c>
      <c r="D28" s="152"/>
      <c r="E28" s="152"/>
      <c r="F28" s="152"/>
      <c r="G28" s="152"/>
      <c r="H28" s="152"/>
      <c r="I28" s="152"/>
      <c r="J28" s="152"/>
      <c r="K28" s="152"/>
      <c r="L28" s="152"/>
      <c r="M28" s="152"/>
      <c r="N28" s="152"/>
      <c r="O28" s="152"/>
      <c r="P28" s="152"/>
      <c r="Q28" s="152"/>
      <c r="R28" s="152"/>
      <c r="S28" s="152"/>
      <c r="T28" s="152"/>
      <c r="U28" s="152"/>
      <c r="V28" s="152"/>
      <c r="W28" s="152"/>
      <c r="X28" s="152"/>
      <c r="Y28" s="152"/>
      <c r="Z28" s="152"/>
      <c r="AA28" s="152"/>
      <c r="AB28" s="152"/>
      <c r="AC28" s="152"/>
      <c r="AD28" s="152"/>
      <c r="AE28" s="152"/>
      <c r="AF28" s="152"/>
      <c r="AG28" s="152"/>
      <c r="AH28" s="152"/>
      <c r="AI28" s="152"/>
      <c r="AJ28" s="152"/>
      <c r="AK28" s="152"/>
      <c r="AL28" s="152"/>
      <c r="AM28" s="152"/>
      <c r="AN28" s="152"/>
      <c r="AO28" s="152"/>
      <c r="AP28" s="152"/>
      <c r="AQ28" s="152"/>
      <c r="AR28" s="152"/>
      <c r="AS28" s="152"/>
      <c r="AT28" s="152"/>
      <c r="AU28" s="152"/>
      <c r="AV28" s="152"/>
      <c r="AW28" s="152"/>
      <c r="AX28" s="152"/>
      <c r="AY28" s="152"/>
      <c r="AZ28" s="152"/>
      <c r="BA28" s="152"/>
      <c r="BB28" s="152"/>
      <c r="BC28" s="152"/>
      <c r="BD28" s="175"/>
      <c r="BE28" s="1880"/>
      <c r="BF28" s="1652"/>
      <c r="BG28" s="1659"/>
    </row>
    <row r="29" ht="11.25" customHeight="1" outlineLevel="1">
      <c r="A29" s="1652"/>
      <c r="B29" s="1850"/>
      <c r="C29" s="1881"/>
      <c r="D29" s="1882"/>
      <c r="E29" s="1882"/>
      <c r="F29" s="1882"/>
      <c r="G29" s="1882"/>
      <c r="H29" s="1882"/>
      <c r="I29" s="1882"/>
      <c r="J29" s="1882"/>
      <c r="K29" s="1882"/>
      <c r="L29" s="1882"/>
      <c r="M29" s="1882"/>
      <c r="N29" s="1882"/>
      <c r="O29" s="1882"/>
      <c r="P29" s="1882"/>
      <c r="Q29" s="1882"/>
      <c r="R29" s="1882"/>
      <c r="S29" s="1882"/>
      <c r="T29" s="1882"/>
      <c r="U29" s="1882"/>
      <c r="V29" s="1882"/>
      <c r="W29" s="1882"/>
      <c r="X29" s="1882"/>
      <c r="Y29" s="1883"/>
      <c r="Z29" s="1884"/>
      <c r="AA29" s="1884"/>
      <c r="AB29" s="1884"/>
      <c r="AC29" s="1884"/>
      <c r="AD29" s="1884"/>
      <c r="AE29" s="1884"/>
      <c r="AF29" s="1884"/>
      <c r="AG29" s="1884"/>
      <c r="AH29" s="1884"/>
      <c r="AI29" s="1884"/>
      <c r="AJ29" s="1884"/>
      <c r="AK29" s="1884"/>
      <c r="AL29" s="1884"/>
      <c r="AM29" s="1884"/>
      <c r="AN29" s="1884"/>
      <c r="AO29" s="1883"/>
      <c r="AP29" s="1884"/>
      <c r="AQ29" s="1884"/>
      <c r="AR29" s="1884"/>
      <c r="AS29" s="1884"/>
      <c r="AT29" s="1884"/>
      <c r="AU29" s="1884"/>
      <c r="AV29" s="1884"/>
      <c r="AW29" s="1884"/>
      <c r="AX29" s="1884"/>
      <c r="AY29" s="1884"/>
      <c r="AZ29" s="1884"/>
      <c r="BA29" s="1884"/>
      <c r="BB29" s="1884"/>
      <c r="BC29" s="1884"/>
      <c r="BD29" s="1885"/>
      <c r="BE29" s="1880"/>
      <c r="BF29" s="1652"/>
      <c r="BG29" s="1659"/>
    </row>
    <row r="30" ht="11.25" customHeight="1" outlineLevel="1">
      <c r="A30" s="1652"/>
      <c r="B30" s="1850"/>
      <c r="C30" s="1881"/>
      <c r="D30" s="1882"/>
      <c r="E30" s="1882"/>
      <c r="F30" s="1882"/>
      <c r="G30" s="1882"/>
      <c r="H30" s="1882"/>
      <c r="I30" s="1882"/>
      <c r="J30" s="1882"/>
      <c r="K30" s="1882"/>
      <c r="L30" s="1882"/>
      <c r="M30" s="1882"/>
      <c r="N30" s="1882"/>
      <c r="O30" s="1882"/>
      <c r="P30" s="1882"/>
      <c r="Q30" s="1882"/>
      <c r="R30" s="1882"/>
      <c r="S30" s="1882"/>
      <c r="T30" s="1882"/>
      <c r="U30" s="1882"/>
      <c r="V30" s="1882"/>
      <c r="W30" s="1882"/>
      <c r="X30" s="1882"/>
      <c r="Y30" s="1883"/>
      <c r="Z30" s="1884"/>
      <c r="AA30" s="1884"/>
      <c r="AB30" s="1884"/>
      <c r="AC30" s="1884"/>
      <c r="AD30" s="1884"/>
      <c r="AE30" s="1884"/>
      <c r="AF30" s="1884"/>
      <c r="AG30" s="1884"/>
      <c r="AH30" s="1884"/>
      <c r="AI30" s="1884"/>
      <c r="AJ30" s="1884"/>
      <c r="AK30" s="1884"/>
      <c r="AL30" s="1884"/>
      <c r="AM30" s="1884"/>
      <c r="AN30" s="1884"/>
      <c r="AO30" s="1883"/>
      <c r="AP30" s="1884"/>
      <c r="AQ30" s="1884"/>
      <c r="AR30" s="1884"/>
      <c r="AS30" s="1884"/>
      <c r="AT30" s="1884"/>
      <c r="AU30" s="1884"/>
      <c r="AV30" s="1884"/>
      <c r="AW30" s="1884"/>
      <c r="AX30" s="1884"/>
      <c r="AY30" s="1884"/>
      <c r="AZ30" s="1884"/>
      <c r="BA30" s="1884"/>
      <c r="BB30" s="1884"/>
      <c r="BC30" s="1884"/>
      <c r="BD30" s="1885"/>
      <c r="BE30" s="1880"/>
      <c r="BF30" s="1652"/>
      <c r="BG30" s="1659"/>
    </row>
    <row r="31" ht="11.25" customHeight="1" outlineLevel="1">
      <c r="A31" s="1652"/>
      <c r="B31" s="1850"/>
      <c r="C31" s="1881"/>
      <c r="D31" s="1882"/>
      <c r="E31" s="1882"/>
      <c r="F31" s="1882"/>
      <c r="G31" s="1882"/>
      <c r="H31" s="1882"/>
      <c r="I31" s="1882"/>
      <c r="J31" s="1882"/>
      <c r="K31" s="1882"/>
      <c r="L31" s="1882"/>
      <c r="M31" s="1882"/>
      <c r="N31" s="1882"/>
      <c r="O31" s="1882"/>
      <c r="P31" s="1882"/>
      <c r="Q31" s="1882"/>
      <c r="R31" s="1882"/>
      <c r="S31" s="1882"/>
      <c r="T31" s="1882"/>
      <c r="U31" s="1882"/>
      <c r="V31" s="1882"/>
      <c r="W31" s="1882"/>
      <c r="X31" s="1882"/>
      <c r="Y31" s="1883"/>
      <c r="Z31" s="1884"/>
      <c r="AA31" s="1884"/>
      <c r="AB31" s="1884"/>
      <c r="AC31" s="1884"/>
      <c r="AD31" s="1884"/>
      <c r="AE31" s="1884"/>
      <c r="AF31" s="1884"/>
      <c r="AG31" s="1884"/>
      <c r="AH31" s="1884"/>
      <c r="AI31" s="1884"/>
      <c r="AJ31" s="1884"/>
      <c r="AK31" s="1884"/>
      <c r="AL31" s="1884"/>
      <c r="AM31" s="1884"/>
      <c r="AN31" s="1884"/>
      <c r="AO31" s="1883"/>
      <c r="AP31" s="1884"/>
      <c r="AQ31" s="1884"/>
      <c r="AR31" s="1884"/>
      <c r="AS31" s="1884"/>
      <c r="AT31" s="1884"/>
      <c r="AU31" s="1884"/>
      <c r="AV31" s="1884"/>
      <c r="AW31" s="1884"/>
      <c r="AX31" s="1884"/>
      <c r="AY31" s="1884"/>
      <c r="AZ31" s="1884"/>
      <c r="BA31" s="1884"/>
      <c r="BB31" s="1884"/>
      <c r="BC31" s="1884"/>
      <c r="BD31" s="1885"/>
      <c r="BE31" s="1880"/>
      <c r="BF31" s="1652"/>
      <c r="BG31" s="1659"/>
    </row>
    <row r="32" ht="11.25" customHeight="1" outlineLevel="1">
      <c r="A32" s="1652"/>
      <c r="B32" s="1850"/>
      <c r="C32" s="1881"/>
      <c r="D32" s="1882"/>
      <c r="E32" s="1882"/>
      <c r="F32" s="1882"/>
      <c r="G32" s="1882"/>
      <c r="H32" s="1882"/>
      <c r="I32" s="1882"/>
      <c r="J32" s="1882"/>
      <c r="K32" s="1882"/>
      <c r="L32" s="1882"/>
      <c r="M32" s="1882"/>
      <c r="N32" s="1882"/>
      <c r="O32" s="1882"/>
      <c r="P32" s="1882"/>
      <c r="Q32" s="1882"/>
      <c r="R32" s="1882"/>
      <c r="S32" s="1882"/>
      <c r="T32" s="1882"/>
      <c r="U32" s="1882"/>
      <c r="V32" s="1882"/>
      <c r="W32" s="1882"/>
      <c r="X32" s="1882"/>
      <c r="Y32" s="1883"/>
      <c r="Z32" s="1884"/>
      <c r="AA32" s="1884"/>
      <c r="AB32" s="1884"/>
      <c r="AC32" s="1884"/>
      <c r="AD32" s="1884"/>
      <c r="AE32" s="1884"/>
      <c r="AF32" s="1884"/>
      <c r="AG32" s="1884"/>
      <c r="AH32" s="1884"/>
      <c r="AI32" s="1884"/>
      <c r="AJ32" s="1884"/>
      <c r="AK32" s="1884"/>
      <c r="AL32" s="1884"/>
      <c r="AM32" s="1884"/>
      <c r="AN32" s="1884"/>
      <c r="AO32" s="1883"/>
      <c r="AP32" s="1884"/>
      <c r="AQ32" s="1884"/>
      <c r="AR32" s="1884"/>
      <c r="AS32" s="1884"/>
      <c r="AT32" s="1884"/>
      <c r="AU32" s="1884"/>
      <c r="AV32" s="1884"/>
      <c r="AW32" s="1884"/>
      <c r="AX32" s="1884"/>
      <c r="AY32" s="1884"/>
      <c r="AZ32" s="1884"/>
      <c r="BA32" s="1884"/>
      <c r="BB32" s="1884"/>
      <c r="BC32" s="1884"/>
      <c r="BD32" s="1885"/>
      <c r="BE32" s="1880"/>
      <c r="BF32" s="1652"/>
      <c r="BG32" s="1659"/>
    </row>
    <row r="33" ht="11.25" customHeight="1" outlineLevel="1">
      <c r="A33" s="1652"/>
      <c r="B33" s="1850"/>
      <c r="C33" s="1881"/>
      <c r="D33" s="1882"/>
      <c r="E33" s="1882"/>
      <c r="F33" s="1882"/>
      <c r="G33" s="1882"/>
      <c r="H33" s="1882"/>
      <c r="I33" s="1882"/>
      <c r="J33" s="1882"/>
      <c r="K33" s="1882"/>
      <c r="L33" s="1882"/>
      <c r="M33" s="1882"/>
      <c r="N33" s="1882"/>
      <c r="O33" s="1882"/>
      <c r="P33" s="1882"/>
      <c r="Q33" s="1882"/>
      <c r="R33" s="1882"/>
      <c r="S33" s="1882"/>
      <c r="T33" s="1882"/>
      <c r="U33" s="1882"/>
      <c r="V33" s="1882"/>
      <c r="W33" s="1882"/>
      <c r="X33" s="1882"/>
      <c r="Y33" s="1883"/>
      <c r="Z33" s="1884"/>
      <c r="AA33" s="1884"/>
      <c r="AB33" s="1884"/>
      <c r="AC33" s="1884"/>
      <c r="AD33" s="1884"/>
      <c r="AE33" s="1884"/>
      <c r="AF33" s="1884"/>
      <c r="AG33" s="1884"/>
      <c r="AH33" s="1884"/>
      <c r="AI33" s="1884"/>
      <c r="AJ33" s="1884"/>
      <c r="AK33" s="1884"/>
      <c r="AL33" s="1884"/>
      <c r="AM33" s="1884"/>
      <c r="AN33" s="1884"/>
      <c r="AO33" s="1883"/>
      <c r="AP33" s="1884"/>
      <c r="AQ33" s="1884"/>
      <c r="AR33" s="1884"/>
      <c r="AS33" s="1884"/>
      <c r="AT33" s="1884"/>
      <c r="AU33" s="1884"/>
      <c r="AV33" s="1884"/>
      <c r="AW33" s="1884"/>
      <c r="AX33" s="1884"/>
      <c r="AY33" s="1884"/>
      <c r="AZ33" s="1884"/>
      <c r="BA33" s="1884"/>
      <c r="BB33" s="1884"/>
      <c r="BC33" s="1884"/>
      <c r="BD33" s="1885"/>
      <c r="BE33" s="1880"/>
      <c r="BF33" s="1652"/>
      <c r="BG33" s="1659"/>
    </row>
    <row r="34" ht="11.25" customHeight="1" outlineLevel="1">
      <c r="A34" s="1652"/>
      <c r="B34" s="1850"/>
      <c r="C34" s="1881"/>
      <c r="D34" s="1882"/>
      <c r="E34" s="1882"/>
      <c r="F34" s="1882"/>
      <c r="G34" s="1882"/>
      <c r="H34" s="1882"/>
      <c r="I34" s="1882"/>
      <c r="J34" s="1882"/>
      <c r="K34" s="1882"/>
      <c r="L34" s="1882"/>
      <c r="M34" s="1882"/>
      <c r="N34" s="1882"/>
      <c r="O34" s="1882"/>
      <c r="P34" s="1882"/>
      <c r="Q34" s="1882"/>
      <c r="R34" s="1882"/>
      <c r="S34" s="1882"/>
      <c r="T34" s="1882"/>
      <c r="U34" s="1882"/>
      <c r="V34" s="1882"/>
      <c r="W34" s="1882"/>
      <c r="X34" s="1882"/>
      <c r="Y34" s="1883"/>
      <c r="Z34" s="1884"/>
      <c r="AA34" s="1884"/>
      <c r="AB34" s="1884"/>
      <c r="AC34" s="1884"/>
      <c r="AD34" s="1884"/>
      <c r="AE34" s="1884"/>
      <c r="AF34" s="1884"/>
      <c r="AG34" s="1884"/>
      <c r="AH34" s="1884"/>
      <c r="AI34" s="1884"/>
      <c r="AJ34" s="1884"/>
      <c r="AK34" s="1884"/>
      <c r="AL34" s="1884"/>
      <c r="AM34" s="1884"/>
      <c r="AN34" s="1884"/>
      <c r="AO34" s="1883"/>
      <c r="AP34" s="1884"/>
      <c r="AQ34" s="1884"/>
      <c r="AR34" s="1884"/>
      <c r="AS34" s="1884"/>
      <c r="AT34" s="1884"/>
      <c r="AU34" s="1884"/>
      <c r="AV34" s="1884"/>
      <c r="AW34" s="1884"/>
      <c r="AX34" s="1884"/>
      <c r="AY34" s="1884"/>
      <c r="AZ34" s="1884"/>
      <c r="BA34" s="1884"/>
      <c r="BB34" s="1884"/>
      <c r="BC34" s="1884"/>
      <c r="BD34" s="1885"/>
      <c r="BE34" s="1880"/>
      <c r="BF34" s="1652"/>
      <c r="BG34" s="1659"/>
    </row>
    <row r="35" ht="11.25" customHeight="1" outlineLevel="1">
      <c r="A35" s="1652"/>
      <c r="B35" s="1850"/>
      <c r="C35" s="1881"/>
      <c r="D35" s="1882"/>
      <c r="E35" s="1882"/>
      <c r="F35" s="1882"/>
      <c r="G35" s="1882"/>
      <c r="H35" s="1882"/>
      <c r="I35" s="1882"/>
      <c r="J35" s="1882"/>
      <c r="K35" s="1882"/>
      <c r="L35" s="1882"/>
      <c r="M35" s="1882"/>
      <c r="N35" s="1882"/>
      <c r="O35" s="1882"/>
      <c r="P35" s="1882"/>
      <c r="Q35" s="1882"/>
      <c r="R35" s="1882"/>
      <c r="S35" s="1882"/>
      <c r="T35" s="1882"/>
      <c r="U35" s="1882"/>
      <c r="V35" s="1882"/>
      <c r="W35" s="1882"/>
      <c r="X35" s="1882"/>
      <c r="Y35" s="1883"/>
      <c r="Z35" s="1884"/>
      <c r="AA35" s="1884"/>
      <c r="AB35" s="1884"/>
      <c r="AC35" s="1884"/>
      <c r="AD35" s="1884"/>
      <c r="AE35" s="1884"/>
      <c r="AF35" s="1884"/>
      <c r="AG35" s="1884"/>
      <c r="AH35" s="1884"/>
      <c r="AI35" s="1884"/>
      <c r="AJ35" s="1884"/>
      <c r="AK35" s="1884"/>
      <c r="AL35" s="1884"/>
      <c r="AM35" s="1884"/>
      <c r="AN35" s="1884"/>
      <c r="AO35" s="1883"/>
      <c r="AP35" s="1884"/>
      <c r="AQ35" s="1884"/>
      <c r="AR35" s="1884"/>
      <c r="AS35" s="1884"/>
      <c r="AT35" s="1884"/>
      <c r="AU35" s="1884"/>
      <c r="AV35" s="1884"/>
      <c r="AW35" s="1884"/>
      <c r="AX35" s="1884"/>
      <c r="AY35" s="1884"/>
      <c r="AZ35" s="1884"/>
      <c r="BA35" s="1884"/>
      <c r="BB35" s="1884"/>
      <c r="BC35" s="1884"/>
      <c r="BD35" s="1885"/>
      <c r="BE35" s="1880"/>
      <c r="BF35" s="1652"/>
      <c r="BG35" s="1659"/>
    </row>
    <row r="36" ht="11.25" customHeight="1" outlineLevel="1">
      <c r="A36" s="1652"/>
      <c r="B36" s="1850"/>
      <c r="C36" s="1881"/>
      <c r="D36" s="1882"/>
      <c r="E36" s="1882"/>
      <c r="F36" s="1882"/>
      <c r="G36" s="1882"/>
      <c r="H36" s="1882"/>
      <c r="I36" s="1882"/>
      <c r="J36" s="1882"/>
      <c r="K36" s="1882"/>
      <c r="L36" s="1882"/>
      <c r="M36" s="1882"/>
      <c r="N36" s="1882"/>
      <c r="O36" s="1882"/>
      <c r="P36" s="1882"/>
      <c r="Q36" s="1882"/>
      <c r="R36" s="1882"/>
      <c r="S36" s="1882"/>
      <c r="T36" s="1882"/>
      <c r="U36" s="1882"/>
      <c r="V36" s="1882"/>
      <c r="W36" s="1882"/>
      <c r="X36" s="1882"/>
      <c r="Y36" s="1883"/>
      <c r="Z36" s="1884"/>
      <c r="AA36" s="1884"/>
      <c r="AB36" s="1884"/>
      <c r="AC36" s="1884"/>
      <c r="AD36" s="1884"/>
      <c r="AE36" s="1884"/>
      <c r="AF36" s="1884"/>
      <c r="AG36" s="1884"/>
      <c r="AH36" s="1884"/>
      <c r="AI36" s="1884"/>
      <c r="AJ36" s="1884"/>
      <c r="AK36" s="1884"/>
      <c r="AL36" s="1884"/>
      <c r="AM36" s="1884"/>
      <c r="AN36" s="1884"/>
      <c r="AO36" s="1883"/>
      <c r="AP36" s="1884"/>
      <c r="AQ36" s="1884"/>
      <c r="AR36" s="1884"/>
      <c r="AS36" s="1884"/>
      <c r="AT36" s="1884"/>
      <c r="AU36" s="1884"/>
      <c r="AV36" s="1884"/>
      <c r="AW36" s="1884"/>
      <c r="AX36" s="1884"/>
      <c r="AY36" s="1884"/>
      <c r="AZ36" s="1884"/>
      <c r="BA36" s="1884"/>
      <c r="BB36" s="1884"/>
      <c r="BC36" s="1884"/>
      <c r="BD36" s="1885"/>
      <c r="BE36" s="1880"/>
      <c r="BF36" s="1652"/>
      <c r="BG36" s="1659"/>
    </row>
    <row r="37" ht="11.25" customHeight="1" outlineLevel="1">
      <c r="A37" s="1652"/>
      <c r="B37" s="1850"/>
      <c r="C37" s="1881"/>
      <c r="D37" s="1882"/>
      <c r="E37" s="1882"/>
      <c r="F37" s="1882"/>
      <c r="G37" s="1882"/>
      <c r="H37" s="1882"/>
      <c r="I37" s="1882"/>
      <c r="J37" s="1882"/>
      <c r="K37" s="1882"/>
      <c r="L37" s="1882"/>
      <c r="M37" s="1882"/>
      <c r="N37" s="1882"/>
      <c r="O37" s="1882"/>
      <c r="P37" s="1882"/>
      <c r="Q37" s="1882"/>
      <c r="R37" s="1882"/>
      <c r="S37" s="1882"/>
      <c r="T37" s="1882"/>
      <c r="U37" s="1882"/>
      <c r="V37" s="1882"/>
      <c r="W37" s="1882"/>
      <c r="X37" s="1882"/>
      <c r="Y37" s="1883"/>
      <c r="Z37" s="1884"/>
      <c r="AA37" s="1884"/>
      <c r="AB37" s="1884"/>
      <c r="AC37" s="1884"/>
      <c r="AD37" s="1884"/>
      <c r="AE37" s="1884"/>
      <c r="AF37" s="1884"/>
      <c r="AG37" s="1884"/>
      <c r="AH37" s="1884"/>
      <c r="AI37" s="1884"/>
      <c r="AJ37" s="1884"/>
      <c r="AK37" s="1884"/>
      <c r="AL37" s="1884"/>
      <c r="AM37" s="1884"/>
      <c r="AN37" s="1884"/>
      <c r="AO37" s="1883"/>
      <c r="AP37" s="1884"/>
      <c r="AQ37" s="1884"/>
      <c r="AR37" s="1884"/>
      <c r="AS37" s="1884"/>
      <c r="AT37" s="1884"/>
      <c r="AU37" s="1884"/>
      <c r="AV37" s="1884"/>
      <c r="AW37" s="1884"/>
      <c r="AX37" s="1884"/>
      <c r="AY37" s="1884"/>
      <c r="AZ37" s="1884"/>
      <c r="BA37" s="1884"/>
      <c r="BB37" s="1884"/>
      <c r="BC37" s="1884"/>
      <c r="BD37" s="1885"/>
      <c r="BE37" s="1880"/>
      <c r="BF37" s="1652"/>
      <c r="BG37" s="1659"/>
    </row>
    <row r="38" ht="11.25" customHeight="1" outlineLevel="1">
      <c r="A38" s="1652"/>
      <c r="B38" s="1850"/>
      <c r="C38" s="1881"/>
      <c r="D38" s="1882"/>
      <c r="E38" s="1882"/>
      <c r="F38" s="1882"/>
      <c r="G38" s="1882"/>
      <c r="H38" s="1882"/>
      <c r="I38" s="1882"/>
      <c r="J38" s="1882"/>
      <c r="K38" s="1882"/>
      <c r="L38" s="1882"/>
      <c r="M38" s="1882"/>
      <c r="N38" s="1882"/>
      <c r="O38" s="1882"/>
      <c r="P38" s="1882"/>
      <c r="Q38" s="1882"/>
      <c r="R38" s="1882"/>
      <c r="S38" s="1882"/>
      <c r="T38" s="1882"/>
      <c r="U38" s="1882"/>
      <c r="V38" s="1882"/>
      <c r="W38" s="1882"/>
      <c r="X38" s="1882"/>
      <c r="Y38" s="1883"/>
      <c r="Z38" s="1884"/>
      <c r="AA38" s="1884"/>
      <c r="AB38" s="1884"/>
      <c r="AC38" s="1884"/>
      <c r="AD38" s="1884"/>
      <c r="AE38" s="1884"/>
      <c r="AF38" s="1884"/>
      <c r="AG38" s="1884"/>
      <c r="AH38" s="1884"/>
      <c r="AI38" s="1884"/>
      <c r="AJ38" s="1884"/>
      <c r="AK38" s="1884"/>
      <c r="AL38" s="1884"/>
      <c r="AM38" s="1884"/>
      <c r="AN38" s="1884"/>
      <c r="AO38" s="1883"/>
      <c r="AP38" s="1884"/>
      <c r="AQ38" s="1884"/>
      <c r="AR38" s="1884"/>
      <c r="AS38" s="1884"/>
      <c r="AT38" s="1884"/>
      <c r="AU38" s="1884"/>
      <c r="AV38" s="1884"/>
      <c r="AW38" s="1884"/>
      <c r="AX38" s="1884"/>
      <c r="AY38" s="1884"/>
      <c r="AZ38" s="1884"/>
      <c r="BA38" s="1884"/>
      <c r="BB38" s="1884"/>
      <c r="BC38" s="1884"/>
      <c r="BD38" s="1885"/>
      <c r="BE38" s="1880"/>
      <c r="BF38" s="1652"/>
      <c r="BG38" s="1659"/>
    </row>
    <row r="39" ht="11.25" customHeight="1" outlineLevel="1">
      <c r="A39" s="1652"/>
      <c r="B39" s="1850"/>
      <c r="C39" s="1881"/>
      <c r="D39" s="1882"/>
      <c r="E39" s="1882"/>
      <c r="F39" s="1882"/>
      <c r="G39" s="1882"/>
      <c r="H39" s="1882"/>
      <c r="I39" s="1882"/>
      <c r="J39" s="1882"/>
      <c r="K39" s="1882"/>
      <c r="L39" s="1882"/>
      <c r="M39" s="1882"/>
      <c r="N39" s="1882"/>
      <c r="O39" s="1882"/>
      <c r="P39" s="1882"/>
      <c r="Q39" s="1882"/>
      <c r="R39" s="1882"/>
      <c r="S39" s="1882"/>
      <c r="T39" s="1882"/>
      <c r="U39" s="1882"/>
      <c r="V39" s="1882"/>
      <c r="W39" s="1882"/>
      <c r="X39" s="1882"/>
      <c r="Y39" s="1883"/>
      <c r="Z39" s="1884"/>
      <c r="AA39" s="1884"/>
      <c r="AB39" s="1884"/>
      <c r="AC39" s="1884"/>
      <c r="AD39" s="1884"/>
      <c r="AE39" s="1884"/>
      <c r="AF39" s="1884"/>
      <c r="AG39" s="1884"/>
      <c r="AH39" s="1884"/>
      <c r="AI39" s="1884"/>
      <c r="AJ39" s="1884"/>
      <c r="AK39" s="1884"/>
      <c r="AL39" s="1884"/>
      <c r="AM39" s="1884"/>
      <c r="AN39" s="1884"/>
      <c r="AO39" s="1883"/>
      <c r="AP39" s="1884"/>
      <c r="AQ39" s="1884"/>
      <c r="AR39" s="1884"/>
      <c r="AS39" s="1884"/>
      <c r="AT39" s="1884"/>
      <c r="AU39" s="1884"/>
      <c r="AV39" s="1884"/>
      <c r="AW39" s="1884"/>
      <c r="AX39" s="1884"/>
      <c r="AY39" s="1884"/>
      <c r="AZ39" s="1884"/>
      <c r="BA39" s="1884"/>
      <c r="BB39" s="1884"/>
      <c r="BC39" s="1884"/>
      <c r="BD39" s="1885"/>
      <c r="BE39" s="1880"/>
      <c r="BF39" s="1652"/>
      <c r="BG39" s="1659"/>
    </row>
    <row r="40" ht="11.25" customHeight="1" outlineLevel="1">
      <c r="A40" s="1652"/>
      <c r="B40" s="1850"/>
      <c r="C40" s="1881"/>
      <c r="D40" s="1882"/>
      <c r="E40" s="1882"/>
      <c r="F40" s="1882"/>
      <c r="G40" s="1882"/>
      <c r="H40" s="1882"/>
      <c r="I40" s="1882"/>
      <c r="J40" s="1882"/>
      <c r="K40" s="1882"/>
      <c r="L40" s="1882"/>
      <c r="M40" s="1882"/>
      <c r="N40" s="1882"/>
      <c r="O40" s="1882"/>
      <c r="P40" s="1882"/>
      <c r="Q40" s="1882"/>
      <c r="R40" s="1882"/>
      <c r="S40" s="1882"/>
      <c r="T40" s="1882"/>
      <c r="U40" s="1882"/>
      <c r="V40" s="1882"/>
      <c r="W40" s="1882"/>
      <c r="X40" s="1882"/>
      <c r="Y40" s="1883"/>
      <c r="Z40" s="1884"/>
      <c r="AA40" s="1884"/>
      <c r="AB40" s="1884"/>
      <c r="AC40" s="1884"/>
      <c r="AD40" s="1884"/>
      <c r="AE40" s="1884"/>
      <c r="AF40" s="1884"/>
      <c r="AG40" s="1884"/>
      <c r="AH40" s="1884"/>
      <c r="AI40" s="1884"/>
      <c r="AJ40" s="1884"/>
      <c r="AK40" s="1884"/>
      <c r="AL40" s="1884"/>
      <c r="AM40" s="1884"/>
      <c r="AN40" s="1884"/>
      <c r="AO40" s="1883"/>
      <c r="AP40" s="1884"/>
      <c r="AQ40" s="1884"/>
      <c r="AR40" s="1884"/>
      <c r="AS40" s="1884"/>
      <c r="AT40" s="1884"/>
      <c r="AU40" s="1884"/>
      <c r="AV40" s="1884"/>
      <c r="AW40" s="1884"/>
      <c r="AX40" s="1884"/>
      <c r="AY40" s="1884"/>
      <c r="AZ40" s="1884"/>
      <c r="BA40" s="1884"/>
      <c r="BB40" s="1884"/>
      <c r="BC40" s="1884"/>
      <c r="BD40" s="1885"/>
      <c r="BE40" s="1880"/>
      <c r="BF40" s="1652"/>
      <c r="BG40" s="1659"/>
    </row>
    <row r="41" ht="11.25" customHeight="1" outlineLevel="1">
      <c r="A41" s="1652"/>
      <c r="B41" s="1850"/>
      <c r="C41" s="1881"/>
      <c r="D41" s="1882"/>
      <c r="E41" s="1882"/>
      <c r="F41" s="1882"/>
      <c r="G41" s="1882"/>
      <c r="H41" s="1882"/>
      <c r="I41" s="1882"/>
      <c r="J41" s="1882"/>
      <c r="K41" s="1882"/>
      <c r="L41" s="1882"/>
      <c r="M41" s="1882"/>
      <c r="N41" s="1882"/>
      <c r="O41" s="1882"/>
      <c r="P41" s="1882"/>
      <c r="Q41" s="1882"/>
      <c r="R41" s="1882"/>
      <c r="S41" s="1882"/>
      <c r="T41" s="1882"/>
      <c r="U41" s="1882"/>
      <c r="V41" s="1882"/>
      <c r="W41" s="1882"/>
      <c r="X41" s="1882"/>
      <c r="Y41" s="1883"/>
      <c r="Z41" s="1884"/>
      <c r="AA41" s="1884"/>
      <c r="AB41" s="1884"/>
      <c r="AC41" s="1884"/>
      <c r="AD41" s="1884"/>
      <c r="AE41" s="1884"/>
      <c r="AF41" s="1884"/>
      <c r="AG41" s="1884"/>
      <c r="AH41" s="1884"/>
      <c r="AI41" s="1884"/>
      <c r="AJ41" s="1884"/>
      <c r="AK41" s="1884"/>
      <c r="AL41" s="1884"/>
      <c r="AM41" s="1884"/>
      <c r="AN41" s="1884"/>
      <c r="AO41" s="1883"/>
      <c r="AP41" s="1884"/>
      <c r="AQ41" s="1884"/>
      <c r="AR41" s="1884"/>
      <c r="AS41" s="1884"/>
      <c r="AT41" s="1884"/>
      <c r="AU41" s="1884"/>
      <c r="AV41" s="1884"/>
      <c r="AW41" s="1884"/>
      <c r="AX41" s="1884"/>
      <c r="AY41" s="1884"/>
      <c r="AZ41" s="1884"/>
      <c r="BA41" s="1884"/>
      <c r="BB41" s="1884"/>
      <c r="BC41" s="1884"/>
      <c r="BD41" s="1885"/>
      <c r="BE41" s="1880"/>
      <c r="BF41" s="1652"/>
      <c r="BG41" s="1659"/>
    </row>
    <row r="42" ht="11.25" customHeight="1" outlineLevel="1">
      <c r="A42" s="1652"/>
      <c r="B42" s="1850"/>
      <c r="C42" s="1881"/>
      <c r="D42" s="1882"/>
      <c r="E42" s="1882"/>
      <c r="F42" s="1882"/>
      <c r="G42" s="1882"/>
      <c r="H42" s="1882"/>
      <c r="I42" s="1882"/>
      <c r="J42" s="1882"/>
      <c r="K42" s="1882"/>
      <c r="L42" s="1882"/>
      <c r="M42" s="1882"/>
      <c r="N42" s="1882"/>
      <c r="O42" s="1882"/>
      <c r="P42" s="1882"/>
      <c r="Q42" s="1882"/>
      <c r="R42" s="1882"/>
      <c r="S42" s="1882"/>
      <c r="T42" s="1882"/>
      <c r="U42" s="1882"/>
      <c r="V42" s="1882"/>
      <c r="W42" s="1882"/>
      <c r="X42" s="1882"/>
      <c r="Y42" s="1883"/>
      <c r="Z42" s="1884"/>
      <c r="AA42" s="1884"/>
      <c r="AB42" s="1884"/>
      <c r="AC42" s="1884"/>
      <c r="AD42" s="1884"/>
      <c r="AE42" s="1884"/>
      <c r="AF42" s="1884"/>
      <c r="AG42" s="1884"/>
      <c r="AH42" s="1884"/>
      <c r="AI42" s="1884"/>
      <c r="AJ42" s="1884"/>
      <c r="AK42" s="1884"/>
      <c r="AL42" s="1884"/>
      <c r="AM42" s="1884"/>
      <c r="AN42" s="1884"/>
      <c r="AO42" s="1883"/>
      <c r="AP42" s="1884"/>
      <c r="AQ42" s="1884"/>
      <c r="AR42" s="1884"/>
      <c r="AS42" s="1884"/>
      <c r="AT42" s="1884"/>
      <c r="AU42" s="1884"/>
      <c r="AV42" s="1884"/>
      <c r="AW42" s="1884"/>
      <c r="AX42" s="1884"/>
      <c r="AY42" s="1884"/>
      <c r="AZ42" s="1884"/>
      <c r="BA42" s="1884"/>
      <c r="BB42" s="1884"/>
      <c r="BC42" s="1884"/>
      <c r="BD42" s="1885"/>
      <c r="BE42" s="1880"/>
      <c r="BF42" s="1652"/>
      <c r="BG42" s="1659"/>
    </row>
    <row r="43" ht="11.25" customHeight="1" outlineLevel="1">
      <c r="A43" s="1652"/>
      <c r="B43" s="1850"/>
      <c r="C43" s="1881"/>
      <c r="D43" s="1882"/>
      <c r="E43" s="1882"/>
      <c r="F43" s="1882"/>
      <c r="G43" s="1882"/>
      <c r="H43" s="1882"/>
      <c r="I43" s="1882"/>
      <c r="J43" s="1882"/>
      <c r="K43" s="1882"/>
      <c r="L43" s="1882"/>
      <c r="M43" s="1882"/>
      <c r="N43" s="1882"/>
      <c r="O43" s="1882"/>
      <c r="P43" s="1882"/>
      <c r="Q43" s="1882"/>
      <c r="R43" s="1882"/>
      <c r="S43" s="1882"/>
      <c r="T43" s="1882"/>
      <c r="U43" s="1882"/>
      <c r="V43" s="1882"/>
      <c r="W43" s="1882"/>
      <c r="X43" s="1882"/>
      <c r="Y43" s="1883"/>
      <c r="Z43" s="1884"/>
      <c r="AA43" s="1884"/>
      <c r="AB43" s="1884"/>
      <c r="AC43" s="1884"/>
      <c r="AD43" s="1884"/>
      <c r="AE43" s="1884"/>
      <c r="AF43" s="1884"/>
      <c r="AG43" s="1884"/>
      <c r="AH43" s="1884"/>
      <c r="AI43" s="1884"/>
      <c r="AJ43" s="1884"/>
      <c r="AK43" s="1884"/>
      <c r="AL43" s="1884"/>
      <c r="AM43" s="1884"/>
      <c r="AN43" s="1884"/>
      <c r="AO43" s="1883"/>
      <c r="AP43" s="1884"/>
      <c r="AQ43" s="1884"/>
      <c r="AR43" s="1884"/>
      <c r="AS43" s="1884"/>
      <c r="AT43" s="1884"/>
      <c r="AU43" s="1884"/>
      <c r="AV43" s="1884"/>
      <c r="AW43" s="1884"/>
      <c r="AX43" s="1884"/>
      <c r="AY43" s="1884"/>
      <c r="AZ43" s="1884"/>
      <c r="BA43" s="1884"/>
      <c r="BB43" s="1884"/>
      <c r="BC43" s="1884"/>
      <c r="BD43" s="1885"/>
      <c r="BE43" s="1880"/>
      <c r="BF43" s="1652"/>
      <c r="BG43" s="1659"/>
    </row>
    <row r="44" ht="11.25" customHeight="1" outlineLevel="1">
      <c r="A44" s="1652"/>
      <c r="B44" s="1850"/>
      <c r="C44" s="1881"/>
      <c r="D44" s="1882"/>
      <c r="E44" s="1882"/>
      <c r="F44" s="1882"/>
      <c r="G44" s="1882"/>
      <c r="H44" s="1882"/>
      <c r="I44" s="1882"/>
      <c r="J44" s="1882"/>
      <c r="K44" s="1882"/>
      <c r="L44" s="1882"/>
      <c r="M44" s="1882"/>
      <c r="N44" s="1882"/>
      <c r="O44" s="1882"/>
      <c r="P44" s="1882"/>
      <c r="Q44" s="1882"/>
      <c r="R44" s="1882"/>
      <c r="S44" s="1882"/>
      <c r="T44" s="1882"/>
      <c r="U44" s="1882"/>
      <c r="V44" s="1882"/>
      <c r="W44" s="1882"/>
      <c r="X44" s="1882"/>
      <c r="Y44" s="1883"/>
      <c r="Z44" s="1884"/>
      <c r="AA44" s="1884"/>
      <c r="AB44" s="1884"/>
      <c r="AC44" s="1884"/>
      <c r="AD44" s="1884"/>
      <c r="AE44" s="1884"/>
      <c r="AF44" s="1884"/>
      <c r="AG44" s="1884"/>
      <c r="AH44" s="1884"/>
      <c r="AI44" s="1884"/>
      <c r="AJ44" s="1884"/>
      <c r="AK44" s="1884"/>
      <c r="AL44" s="1884"/>
      <c r="AM44" s="1884"/>
      <c r="AN44" s="1884"/>
      <c r="AO44" s="1883"/>
      <c r="AP44" s="1884"/>
      <c r="AQ44" s="1884"/>
      <c r="AR44" s="1884"/>
      <c r="AS44" s="1884"/>
      <c r="AT44" s="1884"/>
      <c r="AU44" s="1884"/>
      <c r="AV44" s="1884"/>
      <c r="AW44" s="1884"/>
      <c r="AX44" s="1884"/>
      <c r="AY44" s="1884"/>
      <c r="AZ44" s="1884"/>
      <c r="BA44" s="1884"/>
      <c r="BB44" s="1884"/>
      <c r="BC44" s="1884"/>
      <c r="BD44" s="1885"/>
      <c r="BE44" s="1880"/>
      <c r="BF44" s="1652"/>
      <c r="BG44" s="1659"/>
    </row>
    <row r="45" ht="11.25" customHeight="1" outlineLevel="1">
      <c r="A45" s="1652"/>
      <c r="B45" s="1850"/>
      <c r="C45" s="1881"/>
      <c r="D45" s="1882"/>
      <c r="E45" s="1882"/>
      <c r="F45" s="1882"/>
      <c r="G45" s="1882"/>
      <c r="H45" s="1882"/>
      <c r="I45" s="1882"/>
      <c r="J45" s="1882"/>
      <c r="K45" s="1882"/>
      <c r="L45" s="1882"/>
      <c r="M45" s="1882"/>
      <c r="N45" s="1882"/>
      <c r="O45" s="1882"/>
      <c r="P45" s="1882"/>
      <c r="Q45" s="1882"/>
      <c r="R45" s="1882"/>
      <c r="S45" s="1882"/>
      <c r="T45" s="1882"/>
      <c r="U45" s="1882"/>
      <c r="V45" s="1882"/>
      <c r="W45" s="1882"/>
      <c r="X45" s="1882"/>
      <c r="Y45" s="1883"/>
      <c r="Z45" s="1884"/>
      <c r="AA45" s="1884"/>
      <c r="AB45" s="1884"/>
      <c r="AC45" s="1884"/>
      <c r="AD45" s="1884"/>
      <c r="AE45" s="1884"/>
      <c r="AF45" s="1884"/>
      <c r="AG45" s="1884"/>
      <c r="AH45" s="1884"/>
      <c r="AI45" s="1884"/>
      <c r="AJ45" s="1884"/>
      <c r="AK45" s="1884"/>
      <c r="AL45" s="1884"/>
      <c r="AM45" s="1884"/>
      <c r="AN45" s="1884"/>
      <c r="AO45" s="1883"/>
      <c r="AP45" s="1884"/>
      <c r="AQ45" s="1884"/>
      <c r="AR45" s="1884"/>
      <c r="AS45" s="1884"/>
      <c r="AT45" s="1884"/>
      <c r="AU45" s="1884"/>
      <c r="AV45" s="1884"/>
      <c r="AW45" s="1884"/>
      <c r="AX45" s="1884"/>
      <c r="AY45" s="1884"/>
      <c r="AZ45" s="1884"/>
      <c r="BA45" s="1884"/>
      <c r="BB45" s="1884"/>
      <c r="BC45" s="1884"/>
      <c r="BD45" s="1885"/>
      <c r="BE45" s="1880"/>
      <c r="BF45" s="1652"/>
      <c r="BG45" s="1659"/>
    </row>
    <row r="46" ht="11.25" customHeight="1" outlineLevel="1">
      <c r="A46" s="1652"/>
      <c r="B46" s="1850"/>
      <c r="C46" s="1881"/>
      <c r="D46" s="1882"/>
      <c r="E46" s="1882"/>
      <c r="F46" s="1882"/>
      <c r="G46" s="1882"/>
      <c r="H46" s="1882"/>
      <c r="I46" s="1882"/>
      <c r="J46" s="1882"/>
      <c r="K46" s="1882"/>
      <c r="L46" s="1882"/>
      <c r="M46" s="1882"/>
      <c r="N46" s="1882"/>
      <c r="O46" s="1882"/>
      <c r="P46" s="1882"/>
      <c r="Q46" s="1882"/>
      <c r="R46" s="1882"/>
      <c r="S46" s="1882"/>
      <c r="T46" s="1882"/>
      <c r="U46" s="1882"/>
      <c r="V46" s="1882"/>
      <c r="W46" s="1882"/>
      <c r="X46" s="1882"/>
      <c r="Y46" s="1883"/>
      <c r="Z46" s="1884"/>
      <c r="AA46" s="1884"/>
      <c r="AB46" s="1884"/>
      <c r="AC46" s="1884"/>
      <c r="AD46" s="1884"/>
      <c r="AE46" s="1884"/>
      <c r="AF46" s="1884"/>
      <c r="AG46" s="1884"/>
      <c r="AH46" s="1884"/>
      <c r="AI46" s="1884"/>
      <c r="AJ46" s="1884"/>
      <c r="AK46" s="1884"/>
      <c r="AL46" s="1884"/>
      <c r="AM46" s="1884"/>
      <c r="AN46" s="1884"/>
      <c r="AO46" s="1883"/>
      <c r="AP46" s="1884"/>
      <c r="AQ46" s="1884"/>
      <c r="AR46" s="1884"/>
      <c r="AS46" s="1884"/>
      <c r="AT46" s="1884"/>
      <c r="AU46" s="1884"/>
      <c r="AV46" s="1884"/>
      <c r="AW46" s="1884"/>
      <c r="AX46" s="1884"/>
      <c r="AY46" s="1884"/>
      <c r="AZ46" s="1884"/>
      <c r="BA46" s="1884"/>
      <c r="BB46" s="1884"/>
      <c r="BC46" s="1884"/>
      <c r="BD46" s="1885"/>
      <c r="BE46" s="1880"/>
      <c r="BF46" s="1652"/>
      <c r="BG46" s="1659"/>
    </row>
    <row r="47" ht="11.25" customHeight="1" outlineLevel="1">
      <c r="A47" s="1652"/>
      <c r="B47" s="1850"/>
      <c r="C47" s="1881"/>
      <c r="D47" s="1882"/>
      <c r="E47" s="1882"/>
      <c r="F47" s="1882"/>
      <c r="G47" s="1882"/>
      <c r="H47" s="1882"/>
      <c r="I47" s="1882"/>
      <c r="J47" s="1882"/>
      <c r="K47" s="1882"/>
      <c r="L47" s="1882"/>
      <c r="M47" s="1882"/>
      <c r="N47" s="1882"/>
      <c r="O47" s="1882"/>
      <c r="P47" s="1882"/>
      <c r="Q47" s="1882"/>
      <c r="R47" s="1882"/>
      <c r="S47" s="1882"/>
      <c r="T47" s="1882"/>
      <c r="U47" s="1882"/>
      <c r="V47" s="1882"/>
      <c r="W47" s="1882"/>
      <c r="X47" s="1882"/>
      <c r="Y47" s="1883"/>
      <c r="Z47" s="1884"/>
      <c r="AA47" s="1884"/>
      <c r="AB47" s="1884"/>
      <c r="AC47" s="1884"/>
      <c r="AD47" s="1884"/>
      <c r="AE47" s="1884"/>
      <c r="AF47" s="1884"/>
      <c r="AG47" s="1884"/>
      <c r="AH47" s="1884"/>
      <c r="AI47" s="1884"/>
      <c r="AJ47" s="1884"/>
      <c r="AK47" s="1884"/>
      <c r="AL47" s="1884"/>
      <c r="AM47" s="1884"/>
      <c r="AN47" s="1884"/>
      <c r="AO47" s="1883"/>
      <c r="AP47" s="1884"/>
      <c r="AQ47" s="1884"/>
      <c r="AR47" s="1884"/>
      <c r="AS47" s="1884"/>
      <c r="AT47" s="1884"/>
      <c r="AU47" s="1884"/>
      <c r="AV47" s="1884"/>
      <c r="AW47" s="1884"/>
      <c r="AX47" s="1884"/>
      <c r="AY47" s="1884"/>
      <c r="AZ47" s="1884"/>
      <c r="BA47" s="1884"/>
      <c r="BB47" s="1884"/>
      <c r="BC47" s="1884"/>
      <c r="BD47" s="1885"/>
      <c r="BE47" s="1880"/>
      <c r="BF47" s="1652"/>
      <c r="BG47" s="1659"/>
    </row>
    <row r="48" ht="11.25" customHeight="1" outlineLevel="1">
      <c r="A48" s="1652"/>
      <c r="B48" s="1850"/>
      <c r="C48" s="1881"/>
      <c r="D48" s="1882"/>
      <c r="E48" s="1882"/>
      <c r="F48" s="1882"/>
      <c r="G48" s="1882"/>
      <c r="H48" s="1882"/>
      <c r="I48" s="1882"/>
      <c r="J48" s="1882"/>
      <c r="K48" s="1882"/>
      <c r="L48" s="1882"/>
      <c r="M48" s="1882"/>
      <c r="N48" s="1882"/>
      <c r="O48" s="1882"/>
      <c r="P48" s="1882"/>
      <c r="Q48" s="1882"/>
      <c r="R48" s="1882"/>
      <c r="S48" s="1882"/>
      <c r="T48" s="1882"/>
      <c r="U48" s="1882"/>
      <c r="V48" s="1882"/>
      <c r="W48" s="1882"/>
      <c r="X48" s="1882"/>
      <c r="Y48" s="1883"/>
      <c r="Z48" s="1884"/>
      <c r="AA48" s="1884"/>
      <c r="AB48" s="1884"/>
      <c r="AC48" s="1884"/>
      <c r="AD48" s="1884"/>
      <c r="AE48" s="1884"/>
      <c r="AF48" s="1884"/>
      <c r="AG48" s="1884"/>
      <c r="AH48" s="1884"/>
      <c r="AI48" s="1884"/>
      <c r="AJ48" s="1884"/>
      <c r="AK48" s="1884"/>
      <c r="AL48" s="1884"/>
      <c r="AM48" s="1884"/>
      <c r="AN48" s="1884"/>
      <c r="AO48" s="1883"/>
      <c r="AP48" s="1884"/>
      <c r="AQ48" s="1884"/>
      <c r="AR48" s="1884"/>
      <c r="AS48" s="1884"/>
      <c r="AT48" s="1884"/>
      <c r="AU48" s="1884"/>
      <c r="AV48" s="1884"/>
      <c r="AW48" s="1884"/>
      <c r="AX48" s="1884"/>
      <c r="AY48" s="1884"/>
      <c r="AZ48" s="1884"/>
      <c r="BA48" s="1884"/>
      <c r="BB48" s="1884"/>
      <c r="BC48" s="1884"/>
      <c r="BD48" s="1885"/>
      <c r="BE48" s="1880"/>
      <c r="BF48" s="1652"/>
      <c r="BG48" s="1659"/>
    </row>
    <row r="49" ht="11.25" customHeight="1" outlineLevel="1">
      <c r="A49" s="1652"/>
      <c r="B49" s="1850"/>
      <c r="C49" s="1881"/>
      <c r="D49" s="1882"/>
      <c r="E49" s="1882"/>
      <c r="F49" s="1882"/>
      <c r="G49" s="1882"/>
      <c r="H49" s="1882"/>
      <c r="I49" s="1882"/>
      <c r="J49" s="1882"/>
      <c r="K49" s="1882"/>
      <c r="L49" s="1882"/>
      <c r="M49" s="1882"/>
      <c r="N49" s="1882"/>
      <c r="O49" s="1882"/>
      <c r="P49" s="1882"/>
      <c r="Q49" s="1882"/>
      <c r="R49" s="1882"/>
      <c r="S49" s="1882"/>
      <c r="T49" s="1882"/>
      <c r="U49" s="1882"/>
      <c r="V49" s="1882"/>
      <c r="W49" s="1882"/>
      <c r="X49" s="1882"/>
      <c r="Y49" s="1883"/>
      <c r="Z49" s="1884"/>
      <c r="AA49" s="1884"/>
      <c r="AB49" s="1884"/>
      <c r="AC49" s="1884"/>
      <c r="AD49" s="1884"/>
      <c r="AE49" s="1884"/>
      <c r="AF49" s="1884"/>
      <c r="AG49" s="1884"/>
      <c r="AH49" s="1884"/>
      <c r="AI49" s="1884"/>
      <c r="AJ49" s="1884"/>
      <c r="AK49" s="1884"/>
      <c r="AL49" s="1884"/>
      <c r="AM49" s="1884"/>
      <c r="AN49" s="1884"/>
      <c r="AO49" s="1883"/>
      <c r="AP49" s="1884"/>
      <c r="AQ49" s="1884"/>
      <c r="AR49" s="1884"/>
      <c r="AS49" s="1884"/>
      <c r="AT49" s="1884"/>
      <c r="AU49" s="1884"/>
      <c r="AV49" s="1884"/>
      <c r="AW49" s="1884"/>
      <c r="AX49" s="1884"/>
      <c r="AY49" s="1884"/>
      <c r="AZ49" s="1884"/>
      <c r="BA49" s="1884"/>
      <c r="BB49" s="1884"/>
      <c r="BC49" s="1884"/>
      <c r="BD49" s="1885"/>
      <c r="BE49" s="1880"/>
      <c r="BF49" s="1652"/>
      <c r="BG49" s="1659"/>
    </row>
    <row r="50" ht="11.25" customHeight="1" outlineLevel="1">
      <c r="A50" s="1652"/>
      <c r="B50" s="1850"/>
      <c r="C50" s="1881"/>
      <c r="D50" s="1882"/>
      <c r="E50" s="1882"/>
      <c r="F50" s="1882"/>
      <c r="G50" s="1882"/>
      <c r="H50" s="1882"/>
      <c r="I50" s="1882"/>
      <c r="J50" s="1882"/>
      <c r="K50" s="1882"/>
      <c r="L50" s="1882"/>
      <c r="M50" s="1882"/>
      <c r="N50" s="1882"/>
      <c r="O50" s="1882"/>
      <c r="P50" s="1882"/>
      <c r="Q50" s="1882"/>
      <c r="R50" s="1882"/>
      <c r="S50" s="1882"/>
      <c r="T50" s="1882"/>
      <c r="U50" s="1882"/>
      <c r="V50" s="1882"/>
      <c r="W50" s="1882"/>
      <c r="X50" s="1882"/>
      <c r="Y50" s="1883"/>
      <c r="Z50" s="1884"/>
      <c r="AA50" s="1884"/>
      <c r="AB50" s="1884"/>
      <c r="AC50" s="1884"/>
      <c r="AD50" s="1884"/>
      <c r="AE50" s="1884"/>
      <c r="AF50" s="1884"/>
      <c r="AG50" s="1884"/>
      <c r="AH50" s="1884"/>
      <c r="AI50" s="1884"/>
      <c r="AJ50" s="1884"/>
      <c r="AK50" s="1884"/>
      <c r="AL50" s="1884"/>
      <c r="AM50" s="1884"/>
      <c r="AN50" s="1884"/>
      <c r="AO50" s="1883"/>
      <c r="AP50" s="1884"/>
      <c r="AQ50" s="1884"/>
      <c r="AR50" s="1884"/>
      <c r="AS50" s="1884"/>
      <c r="AT50" s="1884"/>
      <c r="AU50" s="1884"/>
      <c r="AV50" s="1884"/>
      <c r="AW50" s="1884"/>
      <c r="AX50" s="1884"/>
      <c r="AY50" s="1884"/>
      <c r="AZ50" s="1884"/>
      <c r="BA50" s="1884"/>
      <c r="BB50" s="1884"/>
      <c r="BC50" s="1884"/>
      <c r="BD50" s="1885"/>
      <c r="BE50" s="1880"/>
      <c r="BF50" s="1652"/>
      <c r="BG50" s="1659"/>
    </row>
    <row r="51" ht="11.25" customHeight="1" outlineLevel="1">
      <c r="A51" s="1652"/>
      <c r="B51" s="1850"/>
      <c r="C51" s="1881"/>
      <c r="D51" s="1882"/>
      <c r="E51" s="1882"/>
      <c r="F51" s="1882"/>
      <c r="G51" s="1882"/>
      <c r="H51" s="1882"/>
      <c r="I51" s="1882"/>
      <c r="J51" s="1882"/>
      <c r="K51" s="1882"/>
      <c r="L51" s="1882"/>
      <c r="M51" s="1882"/>
      <c r="N51" s="1882"/>
      <c r="O51" s="1882"/>
      <c r="P51" s="1882"/>
      <c r="Q51" s="1882"/>
      <c r="R51" s="1882"/>
      <c r="S51" s="1882"/>
      <c r="T51" s="1882"/>
      <c r="U51" s="1882"/>
      <c r="V51" s="1882"/>
      <c r="W51" s="1882"/>
      <c r="X51" s="1882"/>
      <c r="Y51" s="1883"/>
      <c r="Z51" s="1884"/>
      <c r="AA51" s="1884"/>
      <c r="AB51" s="1884"/>
      <c r="AC51" s="1884"/>
      <c r="AD51" s="1884"/>
      <c r="AE51" s="1884"/>
      <c r="AF51" s="1884"/>
      <c r="AG51" s="1884"/>
      <c r="AH51" s="1884"/>
      <c r="AI51" s="1884"/>
      <c r="AJ51" s="1884"/>
      <c r="AK51" s="1884"/>
      <c r="AL51" s="1884"/>
      <c r="AM51" s="1884"/>
      <c r="AN51" s="1884"/>
      <c r="AO51" s="1883"/>
      <c r="AP51" s="1884"/>
      <c r="AQ51" s="1884"/>
      <c r="AR51" s="1884"/>
      <c r="AS51" s="1884"/>
      <c r="AT51" s="1884"/>
      <c r="AU51" s="1884"/>
      <c r="AV51" s="1884"/>
      <c r="AW51" s="1884"/>
      <c r="AX51" s="1884"/>
      <c r="AY51" s="1884"/>
      <c r="AZ51" s="1884"/>
      <c r="BA51" s="1884"/>
      <c r="BB51" s="1884"/>
      <c r="BC51" s="1884"/>
      <c r="BD51" s="1885"/>
      <c r="BE51" s="1880"/>
      <c r="BF51" s="1652"/>
      <c r="BG51" s="1659"/>
    </row>
    <row r="52" ht="11.25" customHeight="1" outlineLevel="1">
      <c r="A52" s="1652"/>
      <c r="B52" s="1850"/>
      <c r="C52" s="1886"/>
      <c r="D52" s="1887"/>
      <c r="E52" s="1887"/>
      <c r="F52" s="1887"/>
      <c r="G52" s="1887"/>
      <c r="H52" s="1887"/>
      <c r="I52" s="1887"/>
      <c r="J52" s="1887"/>
      <c r="K52" s="1887"/>
      <c r="L52" s="1887"/>
      <c r="M52" s="1887"/>
      <c r="N52" s="1887"/>
      <c r="O52" s="1887"/>
      <c r="P52" s="1887"/>
      <c r="Q52" s="1887"/>
      <c r="R52" s="1887"/>
      <c r="S52" s="1887"/>
      <c r="T52" s="1887"/>
      <c r="U52" s="1887"/>
      <c r="V52" s="1887"/>
      <c r="W52" s="1887"/>
      <c r="X52" s="1887"/>
      <c r="Y52" s="1888"/>
      <c r="Z52" s="1889"/>
      <c r="AA52" s="1889"/>
      <c r="AB52" s="1889"/>
      <c r="AC52" s="1889"/>
      <c r="AD52" s="1889"/>
      <c r="AE52" s="1889"/>
      <c r="AF52" s="1889"/>
      <c r="AG52" s="1889"/>
      <c r="AH52" s="1889"/>
      <c r="AI52" s="1889"/>
      <c r="AJ52" s="1889"/>
      <c r="AK52" s="1889"/>
      <c r="AL52" s="1889"/>
      <c r="AM52" s="1889"/>
      <c r="AN52" s="1889"/>
      <c r="AO52" s="1888"/>
      <c r="AP52" s="1889"/>
      <c r="AQ52" s="1889"/>
      <c r="AR52" s="1889"/>
      <c r="AS52" s="1889"/>
      <c r="AT52" s="1889"/>
      <c r="AU52" s="1889"/>
      <c r="AV52" s="1889"/>
      <c r="AW52" s="1889"/>
      <c r="AX52" s="1889"/>
      <c r="AY52" s="1889"/>
      <c r="AZ52" s="1889"/>
      <c r="BA52" s="1889"/>
      <c r="BB52" s="1889"/>
      <c r="BC52" s="1889"/>
      <c r="BD52" s="1890"/>
      <c r="BE52" s="1880"/>
      <c r="BF52" s="1652"/>
      <c r="BG52" s="1659"/>
    </row>
    <row r="53">
      <c r="A53" s="1652"/>
      <c r="B53" s="1891"/>
      <c r="C53" s="1892"/>
      <c r="D53" s="1892"/>
      <c r="E53" s="1892"/>
      <c r="F53" s="1892"/>
      <c r="G53" s="1892"/>
      <c r="H53" s="1892"/>
      <c r="I53" s="1892"/>
      <c r="J53" s="1892"/>
      <c r="K53" s="1892"/>
      <c r="L53" s="1892"/>
      <c r="M53" s="1892"/>
      <c r="N53" s="1892"/>
      <c r="O53" s="1892"/>
      <c r="P53" s="1892"/>
      <c r="Q53" s="1892"/>
      <c r="R53" s="1892"/>
      <c r="S53" s="1892"/>
      <c r="T53" s="1892"/>
      <c r="U53" s="1892"/>
      <c r="V53" s="1892"/>
      <c r="W53" s="1892"/>
      <c r="X53" s="1892"/>
      <c r="Y53" s="434"/>
      <c r="Z53" s="1893"/>
      <c r="AA53" s="1893"/>
      <c r="AB53" s="1893"/>
      <c r="AC53" s="1893"/>
      <c r="AD53" s="1893"/>
      <c r="AE53" s="1893"/>
      <c r="AF53" s="1893"/>
      <c r="AG53" s="1893"/>
      <c r="AH53" s="1893"/>
      <c r="AI53" s="1893"/>
      <c r="AJ53" s="1893"/>
      <c r="AK53" s="1893"/>
      <c r="AL53" s="1893"/>
      <c r="AM53" s="1893"/>
      <c r="AN53" s="1893"/>
      <c r="AO53" s="434"/>
      <c r="AP53" s="1893"/>
      <c r="AQ53" s="1893"/>
      <c r="AR53" s="1893"/>
      <c r="AS53" s="1893"/>
      <c r="AT53" s="1893"/>
      <c r="AU53" s="1893"/>
      <c r="AV53" s="1893"/>
      <c r="AW53" s="1893"/>
      <c r="AX53" s="1893"/>
      <c r="AY53" s="1893"/>
      <c r="AZ53" s="1893"/>
      <c r="BA53" s="1893"/>
      <c r="BB53" s="1893"/>
      <c r="BC53" s="1894"/>
      <c r="BD53" s="240"/>
      <c r="BE53" s="241"/>
      <c r="BF53" s="1652"/>
      <c r="BG53" s="1659"/>
    </row>
    <row r="54" ht="15.0" customHeight="1">
      <c r="A54" s="1668" t="s">
        <v>370</v>
      </c>
      <c r="B54" s="1652"/>
      <c r="C54" s="1652"/>
      <c r="X54" s="1652"/>
      <c r="Y54" s="1652"/>
      <c r="Z54" s="303"/>
      <c r="BE54" s="303"/>
      <c r="BF54" s="1652"/>
      <c r="BG54" s="303"/>
    </row>
  </sheetData>
  <mergeCells count="100">
    <mergeCell ref="Z13:AD13"/>
    <mergeCell ref="AE13:AN13"/>
    <mergeCell ref="AP13:AT13"/>
    <mergeCell ref="AU13:BD13"/>
    <mergeCell ref="AE14:AN14"/>
    <mergeCell ref="AP14:AT14"/>
    <mergeCell ref="AU14:BD14"/>
    <mergeCell ref="AP16:AR18"/>
    <mergeCell ref="AS16:BD18"/>
    <mergeCell ref="BC53:BE53"/>
    <mergeCell ref="C54:W54"/>
    <mergeCell ref="Z54:BD54"/>
    <mergeCell ref="Z14:AD14"/>
    <mergeCell ref="Z15:AD15"/>
    <mergeCell ref="AE15:AN15"/>
    <mergeCell ref="AP15:AT15"/>
    <mergeCell ref="AU15:BD15"/>
    <mergeCell ref="Z16:AB18"/>
    <mergeCell ref="AC16:AN18"/>
    <mergeCell ref="C14:L14"/>
    <mergeCell ref="C15:L15"/>
    <mergeCell ref="C16:L16"/>
    <mergeCell ref="C17:L17"/>
    <mergeCell ref="C18:L18"/>
    <mergeCell ref="N15:W15"/>
    <mergeCell ref="N16:W16"/>
    <mergeCell ref="N17:W17"/>
    <mergeCell ref="N18:W18"/>
    <mergeCell ref="C19:W20"/>
    <mergeCell ref="Z19:AF20"/>
    <mergeCell ref="AG19:AN20"/>
    <mergeCell ref="C21:W21"/>
    <mergeCell ref="Z21:AD21"/>
    <mergeCell ref="AE21:AN21"/>
    <mergeCell ref="AP21:AT21"/>
    <mergeCell ref="Z22:AD22"/>
    <mergeCell ref="AE22:AN22"/>
    <mergeCell ref="AP22:AT22"/>
    <mergeCell ref="AC24:AN26"/>
    <mergeCell ref="AP24:AR26"/>
    <mergeCell ref="AS24:BD26"/>
    <mergeCell ref="C25:W25"/>
    <mergeCell ref="C26:W26"/>
    <mergeCell ref="C27:X27"/>
    <mergeCell ref="C28:BD28"/>
    <mergeCell ref="C22:W22"/>
    <mergeCell ref="C23:W23"/>
    <mergeCell ref="Z23:AD23"/>
    <mergeCell ref="AE23:AN23"/>
    <mergeCell ref="AP23:AT23"/>
    <mergeCell ref="C24:W24"/>
    <mergeCell ref="Z24:AB26"/>
    <mergeCell ref="B2:X2"/>
    <mergeCell ref="Y2:BE2"/>
    <mergeCell ref="C3:J4"/>
    <mergeCell ref="Z3:AF4"/>
    <mergeCell ref="AG3:AN4"/>
    <mergeCell ref="AP3:AV4"/>
    <mergeCell ref="AW3:BD4"/>
    <mergeCell ref="AP5:AT5"/>
    <mergeCell ref="AU5:BD5"/>
    <mergeCell ref="AP6:AT6"/>
    <mergeCell ref="AU6:BD6"/>
    <mergeCell ref="AU7:BD7"/>
    <mergeCell ref="AS8:BD10"/>
    <mergeCell ref="AP11:AV12"/>
    <mergeCell ref="AW11:BD12"/>
    <mergeCell ref="L3:S4"/>
    <mergeCell ref="U4:W4"/>
    <mergeCell ref="C5:J5"/>
    <mergeCell ref="L5:S5"/>
    <mergeCell ref="U5:W5"/>
    <mergeCell ref="AE5:AN5"/>
    <mergeCell ref="AE6:AN6"/>
    <mergeCell ref="C6:W7"/>
    <mergeCell ref="Z7:AD7"/>
    <mergeCell ref="AE7:AN7"/>
    <mergeCell ref="AP7:AT7"/>
    <mergeCell ref="C8:L8"/>
    <mergeCell ref="N8:W8"/>
    <mergeCell ref="N9:W9"/>
    <mergeCell ref="Z5:AD5"/>
    <mergeCell ref="Z6:AD6"/>
    <mergeCell ref="Z8:AB10"/>
    <mergeCell ref="AC8:AN10"/>
    <mergeCell ref="AP8:AR10"/>
    <mergeCell ref="Z11:AF12"/>
    <mergeCell ref="AG11:AN12"/>
    <mergeCell ref="C9:L9"/>
    <mergeCell ref="C10:L10"/>
    <mergeCell ref="N10:W10"/>
    <mergeCell ref="C11:L11"/>
    <mergeCell ref="N11:W11"/>
    <mergeCell ref="C12:W13"/>
    <mergeCell ref="N14:W14"/>
    <mergeCell ref="AP19:AV20"/>
    <mergeCell ref="AW19:BD20"/>
    <mergeCell ref="AU21:BD21"/>
    <mergeCell ref="AU22:BD22"/>
    <mergeCell ref="AU23:BD23"/>
  </mergeCells>
  <dataValidations>
    <dataValidation type="list" allowBlank="1" showDropDown="1" sqref="AG3 AW3 AG11 AW11 AG19 AW19">
      <formula1>'據點特色設施表'!$A$1:$A54</formula1>
    </dataValidation>
    <dataValidation type="list" allowBlank="1" sqref="AE5 AU5 AE13 AU13 AE21 AU21">
      <formula1>"狹窄 Cramped,寬敞 Roomy,龐大 Vast"</formula1>
    </dataValidation>
    <dataValidation type="list" allowBlank="1" sqref="AE6 AU6 AE14 AU14 AE22 AU22">
      <formula1>"製造 Craft,強化 Empower,收穫 Harvest,招募 Recruit,調查 Research,貿易 Trade"</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43"/>
    <col customWidth="1" min="3" max="3" width="4.43"/>
    <col customWidth="1" min="4" max="4" width="10.57"/>
    <col customWidth="1" min="5" max="5" width="14.43"/>
    <col customWidth="1" min="6" max="6" width="4.43"/>
    <col customWidth="1" min="7" max="7" width="14.43"/>
    <col customWidth="1" min="8" max="8" width="126.0"/>
  </cols>
  <sheetData>
    <row r="1">
      <c r="A1" s="1412" t="s">
        <v>4469</v>
      </c>
      <c r="B1" s="1895" t="s">
        <v>2247</v>
      </c>
      <c r="C1" s="905" t="s">
        <v>179</v>
      </c>
      <c r="D1" s="1895" t="s">
        <v>4470</v>
      </c>
      <c r="E1" s="1895" t="s">
        <v>4471</v>
      </c>
      <c r="F1" s="905" t="s">
        <v>4472</v>
      </c>
      <c r="G1" s="905" t="s">
        <v>4473</v>
      </c>
      <c r="H1" s="1896" t="s">
        <v>4474</v>
      </c>
    </row>
    <row r="2">
      <c r="A2" s="907" t="s">
        <v>4475</v>
      </c>
      <c r="B2" s="1897" t="s">
        <v>4476</v>
      </c>
      <c r="C2" s="907">
        <v>5.0</v>
      </c>
      <c r="D2" s="1897" t="s">
        <v>4477</v>
      </c>
      <c r="E2" s="1897" t="s">
        <v>4478</v>
      </c>
      <c r="F2" s="907">
        <v>1.0</v>
      </c>
      <c r="G2" s="907" t="s">
        <v>4479</v>
      </c>
      <c r="H2" s="1898" t="s">
        <v>4480</v>
      </c>
    </row>
    <row r="3">
      <c r="A3" s="907" t="s">
        <v>4481</v>
      </c>
      <c r="B3" s="1897" t="s">
        <v>4482</v>
      </c>
      <c r="C3" s="907">
        <v>5.0</v>
      </c>
      <c r="D3" s="1897" t="s">
        <v>308</v>
      </c>
      <c r="E3" s="1897" t="s">
        <v>4478</v>
      </c>
      <c r="F3" s="907">
        <v>1.0</v>
      </c>
      <c r="G3" s="907" t="s">
        <v>4483</v>
      </c>
      <c r="H3" s="1898" t="s">
        <v>4484</v>
      </c>
    </row>
    <row r="4">
      <c r="A4" s="907" t="s">
        <v>4485</v>
      </c>
      <c r="B4" s="1897" t="s">
        <v>4486</v>
      </c>
      <c r="C4" s="907">
        <v>5.0</v>
      </c>
      <c r="D4" s="1897" t="s">
        <v>308</v>
      </c>
      <c r="E4" s="1897" t="s">
        <v>4487</v>
      </c>
      <c r="F4" s="907">
        <v>1.0</v>
      </c>
      <c r="G4" s="907" t="s">
        <v>4488</v>
      </c>
      <c r="H4" s="1898" t="s">
        <v>4489</v>
      </c>
    </row>
    <row r="5">
      <c r="A5" s="907" t="s">
        <v>4490</v>
      </c>
      <c r="B5" s="1897" t="s">
        <v>4491</v>
      </c>
      <c r="C5" s="907">
        <v>5.0</v>
      </c>
      <c r="D5" s="1897" t="s">
        <v>308</v>
      </c>
      <c r="E5" s="1897" t="s">
        <v>4487</v>
      </c>
      <c r="F5" s="907" t="s">
        <v>4492</v>
      </c>
      <c r="G5" s="907" t="s">
        <v>4493</v>
      </c>
      <c r="H5" s="1898" t="s">
        <v>4494</v>
      </c>
    </row>
    <row r="6">
      <c r="A6" s="907" t="s">
        <v>4495</v>
      </c>
      <c r="B6" s="1897" t="s">
        <v>4496</v>
      </c>
      <c r="C6" s="907">
        <v>5.0</v>
      </c>
      <c r="D6" s="1897" t="s">
        <v>308</v>
      </c>
      <c r="E6" s="1897" t="s">
        <v>4478</v>
      </c>
      <c r="F6" s="907">
        <v>1.0</v>
      </c>
      <c r="G6" s="907" t="s">
        <v>4497</v>
      </c>
      <c r="H6" s="1898" t="s">
        <v>4498</v>
      </c>
    </row>
    <row r="7">
      <c r="A7" s="907" t="s">
        <v>4499</v>
      </c>
      <c r="B7" s="1897" t="s">
        <v>3042</v>
      </c>
      <c r="C7" s="907">
        <v>5.0</v>
      </c>
      <c r="D7" s="1897" t="s">
        <v>4500</v>
      </c>
      <c r="E7" s="1897" t="s">
        <v>4478</v>
      </c>
      <c r="F7" s="907">
        <v>1.0</v>
      </c>
      <c r="G7" s="907" t="s">
        <v>4479</v>
      </c>
      <c r="H7" s="1898" t="s">
        <v>4501</v>
      </c>
    </row>
    <row r="8">
      <c r="A8" s="907" t="s">
        <v>4502</v>
      </c>
      <c r="B8" s="1897" t="s">
        <v>4503</v>
      </c>
      <c r="C8" s="907">
        <v>5.0</v>
      </c>
      <c r="D8" s="1897" t="s">
        <v>308</v>
      </c>
      <c r="E8" s="1897" t="s">
        <v>4478</v>
      </c>
      <c r="F8" s="907">
        <v>2.0</v>
      </c>
      <c r="G8" s="907" t="s">
        <v>4479</v>
      </c>
      <c r="H8" s="1898" t="s">
        <v>4504</v>
      </c>
    </row>
    <row r="9">
      <c r="A9" s="907" t="s">
        <v>4505</v>
      </c>
      <c r="B9" s="1897" t="s">
        <v>4506</v>
      </c>
      <c r="C9" s="907">
        <v>5.0</v>
      </c>
      <c r="D9" s="1897" t="s">
        <v>308</v>
      </c>
      <c r="E9" s="1897" t="s">
        <v>4478</v>
      </c>
      <c r="F9" s="907">
        <v>1.0</v>
      </c>
      <c r="G9" s="907" t="s">
        <v>4483</v>
      </c>
      <c r="H9" s="1898" t="s">
        <v>4507</v>
      </c>
    </row>
    <row r="10">
      <c r="A10" s="907" t="s">
        <v>4508</v>
      </c>
      <c r="B10" s="1897" t="s">
        <v>4509</v>
      </c>
      <c r="C10" s="907">
        <v>5.0</v>
      </c>
      <c r="D10" s="1897" t="s">
        <v>308</v>
      </c>
      <c r="E10" s="1897" t="s">
        <v>4487</v>
      </c>
      <c r="F10" s="907" t="s">
        <v>4510</v>
      </c>
      <c r="G10" s="907" t="s">
        <v>4479</v>
      </c>
      <c r="H10" s="1898" t="s">
        <v>4511</v>
      </c>
    </row>
    <row r="11">
      <c r="A11" s="979" t="str">
        <f>if('請先閱讀'!$F$31=true,"紫水晶龍穴","")</f>
        <v>紫水晶龍穴</v>
      </c>
      <c r="B11" s="1899" t="s">
        <v>4512</v>
      </c>
      <c r="C11" s="979">
        <v>5.0</v>
      </c>
      <c r="D11" s="1899" t="s">
        <v>4513</v>
      </c>
      <c r="E11" s="1899" t="s">
        <v>4514</v>
      </c>
      <c r="F11" s="979">
        <v>1.0</v>
      </c>
      <c r="G11" s="979" t="s">
        <v>4515</v>
      </c>
      <c r="H11" s="1900" t="s">
        <v>4516</v>
      </c>
    </row>
    <row r="12">
      <c r="A12" s="921" t="str">
        <f>if('請先閱讀'!$F$31=true,"豎琴手藏身處","")</f>
        <v>豎琴手藏身處</v>
      </c>
      <c r="B12" s="1901" t="s">
        <v>4517</v>
      </c>
      <c r="C12" s="921">
        <v>5.0</v>
      </c>
      <c r="D12" s="1901" t="s">
        <v>4518</v>
      </c>
      <c r="E12" s="1901" t="s">
        <v>4478</v>
      </c>
      <c r="F12" s="921">
        <v>1.0</v>
      </c>
      <c r="G12" s="921" t="s">
        <v>4515</v>
      </c>
      <c r="H12" s="1902" t="s">
        <v>4519</v>
      </c>
    </row>
    <row r="13">
      <c r="A13" s="979" t="str">
        <f>if('請先閱讀'!$F$31=true,"紅袍法師墓園","")</f>
        <v>紅袍法師墓園</v>
      </c>
      <c r="B13" s="1899" t="s">
        <v>4520</v>
      </c>
      <c r="C13" s="979">
        <v>5.0</v>
      </c>
      <c r="D13" s="1899" t="s">
        <v>4521</v>
      </c>
      <c r="E13" s="1899" t="s">
        <v>4478</v>
      </c>
      <c r="F13" s="979">
        <v>1.0</v>
      </c>
      <c r="G13" s="979" t="s">
        <v>4488</v>
      </c>
      <c r="H13" s="1900" t="s">
        <v>4522</v>
      </c>
    </row>
    <row r="14">
      <c r="A14" s="921" t="str">
        <f>if('請先閱讀'!$F$31=true,"散塔林驛站","")</f>
        <v>散塔林驛站</v>
      </c>
      <c r="B14" s="1901" t="s">
        <v>4523</v>
      </c>
      <c r="C14" s="921">
        <v>5.0</v>
      </c>
      <c r="D14" s="1901" t="s">
        <v>4524</v>
      </c>
      <c r="E14" s="1901" t="s">
        <v>4514</v>
      </c>
      <c r="F14" s="921">
        <v>2.0</v>
      </c>
      <c r="G14" s="921" t="s">
        <v>4497</v>
      </c>
      <c r="H14" s="1902" t="s">
        <v>4525</v>
      </c>
    </row>
    <row r="15">
      <c r="A15" s="911" t="str">
        <f>if('請先閱讀'!$F$34=true,"龍紋哨站","")</f>
        <v>龍紋哨站</v>
      </c>
      <c r="B15" s="911" t="s">
        <v>4526</v>
      </c>
      <c r="C15" s="911">
        <v>5.0</v>
      </c>
      <c r="D15" s="911" t="s">
        <v>4527</v>
      </c>
      <c r="E15" s="911" t="s">
        <v>4478</v>
      </c>
      <c r="F15" s="911">
        <v>1.0</v>
      </c>
      <c r="G15" s="911" t="s">
        <v>4515</v>
      </c>
      <c r="H15" s="992" t="s">
        <v>4528</v>
      </c>
    </row>
    <row r="16">
      <c r="A16" s="907" t="s">
        <v>4529</v>
      </c>
      <c r="B16" s="1897" t="s">
        <v>4530</v>
      </c>
      <c r="C16" s="907">
        <v>9.0</v>
      </c>
      <c r="D16" s="1897" t="s">
        <v>308</v>
      </c>
      <c r="E16" s="1897" t="s">
        <v>4514</v>
      </c>
      <c r="F16" s="907">
        <v>4.0</v>
      </c>
      <c r="G16" s="907" t="s">
        <v>4483</v>
      </c>
      <c r="H16" s="1898" t="s">
        <v>4531</v>
      </c>
    </row>
    <row r="17">
      <c r="A17" s="907" t="s">
        <v>4532</v>
      </c>
      <c r="B17" s="1897" t="s">
        <v>4533</v>
      </c>
      <c r="C17" s="907">
        <v>9.0</v>
      </c>
      <c r="D17" s="1897" t="s">
        <v>308</v>
      </c>
      <c r="E17" s="1897" t="s">
        <v>4478</v>
      </c>
      <c r="F17" s="907">
        <v>1.0</v>
      </c>
      <c r="G17" s="907" t="s">
        <v>4493</v>
      </c>
      <c r="H17" s="1898" t="s">
        <v>4534</v>
      </c>
    </row>
    <row r="18">
      <c r="A18" s="907" t="s">
        <v>4535</v>
      </c>
      <c r="B18" s="1897" t="s">
        <v>4536</v>
      </c>
      <c r="C18" s="907">
        <v>9.0</v>
      </c>
      <c r="D18" s="1897" t="s">
        <v>308</v>
      </c>
      <c r="E18" s="1897" t="s">
        <v>4478</v>
      </c>
      <c r="F18" s="907">
        <v>1.0</v>
      </c>
      <c r="G18" s="907" t="s">
        <v>4479</v>
      </c>
      <c r="H18" s="1898" t="s">
        <v>4537</v>
      </c>
    </row>
    <row r="19">
      <c r="A19" s="907" t="s">
        <v>4538</v>
      </c>
      <c r="B19" s="1897" t="s">
        <v>4539</v>
      </c>
      <c r="C19" s="907">
        <v>9.0</v>
      </c>
      <c r="D19" s="1897" t="s">
        <v>4500</v>
      </c>
      <c r="E19" s="1897" t="s">
        <v>4478</v>
      </c>
      <c r="F19" s="907">
        <v>1.0</v>
      </c>
      <c r="G19" s="907" t="s">
        <v>4479</v>
      </c>
      <c r="H19" s="1898" t="s">
        <v>4540</v>
      </c>
    </row>
    <row r="20">
      <c r="A20" s="907" t="s">
        <v>4541</v>
      </c>
      <c r="B20" s="1897" t="s">
        <v>4542</v>
      </c>
      <c r="C20" s="907">
        <v>9.0</v>
      </c>
      <c r="D20" s="1897" t="s">
        <v>308</v>
      </c>
      <c r="E20" s="1897" t="s">
        <v>4478</v>
      </c>
      <c r="F20" s="907">
        <v>1.0</v>
      </c>
      <c r="G20" s="907" t="s">
        <v>4479</v>
      </c>
      <c r="H20" s="1898" t="s">
        <v>4543</v>
      </c>
    </row>
    <row r="21">
      <c r="A21" s="907" t="s">
        <v>4544</v>
      </c>
      <c r="B21" s="1897" t="s">
        <v>4545</v>
      </c>
      <c r="C21" s="907">
        <v>9.0</v>
      </c>
      <c r="D21" s="1897" t="s">
        <v>308</v>
      </c>
      <c r="E21" s="1897" t="s">
        <v>4487</v>
      </c>
      <c r="F21" s="907">
        <v>1.0</v>
      </c>
      <c r="G21" s="907" t="s">
        <v>4483</v>
      </c>
      <c r="H21" s="1898" t="s">
        <v>4546</v>
      </c>
    </row>
    <row r="22">
      <c r="A22" s="907" t="s">
        <v>2200</v>
      </c>
      <c r="B22" s="1897" t="s">
        <v>4547</v>
      </c>
      <c r="C22" s="907">
        <v>9.0</v>
      </c>
      <c r="D22" s="1897" t="s">
        <v>308</v>
      </c>
      <c r="E22" s="1897" t="s">
        <v>4478</v>
      </c>
      <c r="F22" s="907">
        <v>1.0</v>
      </c>
      <c r="G22" s="907" t="s">
        <v>4488</v>
      </c>
      <c r="H22" s="1898" t="s">
        <v>4548</v>
      </c>
    </row>
    <row r="23">
      <c r="A23" s="907" t="s">
        <v>4549</v>
      </c>
      <c r="B23" s="1897" t="s">
        <v>4550</v>
      </c>
      <c r="C23" s="907">
        <v>9.0</v>
      </c>
      <c r="D23" s="1897" t="s">
        <v>308</v>
      </c>
      <c r="E23" s="1897" t="s">
        <v>4514</v>
      </c>
      <c r="F23" s="907">
        <v>4.0</v>
      </c>
      <c r="G23" s="907" t="s">
        <v>4515</v>
      </c>
      <c r="H23" s="1898" t="s">
        <v>4551</v>
      </c>
    </row>
    <row r="24">
      <c r="A24" s="907" t="s">
        <v>4552</v>
      </c>
      <c r="B24" s="1897" t="s">
        <v>4553</v>
      </c>
      <c r="C24" s="907">
        <v>9.0</v>
      </c>
      <c r="D24" s="1897" t="s">
        <v>308</v>
      </c>
      <c r="E24" s="1897" t="s">
        <v>4514</v>
      </c>
      <c r="F24" s="907">
        <v>4.0</v>
      </c>
      <c r="G24" s="907" t="s">
        <v>4515</v>
      </c>
      <c r="H24" s="1898" t="s">
        <v>4554</v>
      </c>
    </row>
    <row r="25">
      <c r="A25" s="907" t="s">
        <v>4555</v>
      </c>
      <c r="B25" s="1897" t="s">
        <v>4556</v>
      </c>
      <c r="C25" s="907">
        <v>9.0</v>
      </c>
      <c r="D25" s="1897" t="s">
        <v>308</v>
      </c>
      <c r="E25" s="1897" t="s">
        <v>4478</v>
      </c>
      <c r="F25" s="907">
        <v>1.0</v>
      </c>
      <c r="G25" s="907" t="s">
        <v>4497</v>
      </c>
      <c r="H25" s="1898" t="s">
        <v>4557</v>
      </c>
    </row>
    <row r="26">
      <c r="A26" s="979" t="str">
        <f>if('請先閱讀'!$F$31=true,"翠綠閑庭林地","")</f>
        <v>翠綠閑庭林地</v>
      </c>
      <c r="B26" s="1899" t="s">
        <v>4558</v>
      </c>
      <c r="C26" s="979">
        <v>9.0</v>
      </c>
      <c r="D26" s="1899" t="s">
        <v>4559</v>
      </c>
      <c r="E26" s="1899" t="s">
        <v>4478</v>
      </c>
      <c r="F26" s="979">
        <v>2.0</v>
      </c>
      <c r="G26" s="979" t="s">
        <v>4488</v>
      </c>
      <c r="H26" s="1900" t="s">
        <v>4560</v>
      </c>
    </row>
    <row r="27">
      <c r="A27" s="921" t="str">
        <f>if('請先閱讀'!$F$31=true,"領主聯盟豪宅","")</f>
        <v>領主聯盟豪宅</v>
      </c>
      <c r="B27" s="1901" t="s">
        <v>4561</v>
      </c>
      <c r="C27" s="921">
        <v>9.0</v>
      </c>
      <c r="D27" s="1901" t="s">
        <v>4562</v>
      </c>
      <c r="E27" s="1901" t="s">
        <v>4514</v>
      </c>
      <c r="F27" s="921">
        <v>1.0</v>
      </c>
      <c r="G27" s="921" t="s">
        <v>4488</v>
      </c>
      <c r="H27" s="1902" t="s">
        <v>4563</v>
      </c>
    </row>
    <row r="28">
      <c r="A28" s="979" t="str">
        <f>if('請先閱讀'!$F$31=true,"鐵手套競技場","")</f>
        <v>鐵手套競技場</v>
      </c>
      <c r="B28" s="1899" t="s">
        <v>4564</v>
      </c>
      <c r="C28" s="979">
        <v>9.0</v>
      </c>
      <c r="D28" s="1899" t="s">
        <v>4565</v>
      </c>
      <c r="E28" s="1899" t="s">
        <v>4514</v>
      </c>
      <c r="F28" s="979">
        <v>1.0</v>
      </c>
      <c r="G28" s="979" t="s">
        <v>4515</v>
      </c>
      <c r="H28" s="1900" t="s">
        <v>4566</v>
      </c>
    </row>
    <row r="29">
      <c r="A29" s="912" t="str">
        <f>if('請先閱讀'!$F$34=true,"昆達拉克金庫","")</f>
        <v>昆達拉克金庫</v>
      </c>
      <c r="B29" s="912" t="s">
        <v>4567</v>
      </c>
      <c r="C29" s="912">
        <v>9.0</v>
      </c>
      <c r="D29" s="912" t="s">
        <v>4568</v>
      </c>
      <c r="E29" s="912" t="s">
        <v>4569</v>
      </c>
      <c r="F29" s="912">
        <v>1.0</v>
      </c>
      <c r="G29" s="912" t="s">
        <v>4483</v>
      </c>
      <c r="H29" s="993" t="s">
        <v>4570</v>
      </c>
    </row>
    <row r="30">
      <c r="A30" s="911" t="str">
        <f>if('請先閱讀'!$F$34=true,"領航員舵輪","")</f>
        <v>領航員舵輪</v>
      </c>
      <c r="B30" s="911" t="s">
        <v>4571</v>
      </c>
      <c r="C30" s="911">
        <v>9.0</v>
      </c>
      <c r="D30" s="911" t="s">
        <v>308</v>
      </c>
      <c r="E30" s="911" t="s">
        <v>4569</v>
      </c>
      <c r="F30" s="911">
        <v>1.0</v>
      </c>
      <c r="G30" s="911" t="s">
        <v>4515</v>
      </c>
      <c r="H30" s="992" t="s">
        <v>4572</v>
      </c>
    </row>
    <row r="31">
      <c r="A31" s="912" t="str">
        <f>if('請先閱讀'!$F$34=true,"歐瑞恩舵輪","")</f>
        <v>歐瑞恩舵輪</v>
      </c>
      <c r="B31" s="912" t="s">
        <v>4573</v>
      </c>
      <c r="C31" s="912">
        <v>9.0</v>
      </c>
      <c r="D31" s="912" t="s">
        <v>4574</v>
      </c>
      <c r="E31" s="912" t="s">
        <v>4569</v>
      </c>
      <c r="F31" s="912">
        <v>1.0</v>
      </c>
      <c r="G31" s="912" t="s">
        <v>4515</v>
      </c>
      <c r="H31" s="993" t="s">
        <v>4575</v>
      </c>
    </row>
    <row r="32">
      <c r="A32" s="907" t="s">
        <v>4576</v>
      </c>
      <c r="B32" s="1897" t="s">
        <v>4577</v>
      </c>
      <c r="C32" s="907">
        <v>13.0</v>
      </c>
      <c r="D32" s="1897" t="s">
        <v>308</v>
      </c>
      <c r="E32" s="1897" t="s">
        <v>4487</v>
      </c>
      <c r="F32" s="907">
        <v>1.0</v>
      </c>
      <c r="G32" s="907" t="s">
        <v>4497</v>
      </c>
      <c r="H32" s="1898" t="s">
        <v>4578</v>
      </c>
    </row>
    <row r="33">
      <c r="A33" s="907" t="s">
        <v>4579</v>
      </c>
      <c r="B33" s="1897" t="s">
        <v>4580</v>
      </c>
      <c r="C33" s="907">
        <v>13.0</v>
      </c>
      <c r="D33" s="1897" t="s">
        <v>308</v>
      </c>
      <c r="E33" s="1897" t="s">
        <v>4569</v>
      </c>
      <c r="F33" s="907">
        <v>1.0</v>
      </c>
      <c r="G33" s="907" t="s">
        <v>4515</v>
      </c>
      <c r="H33" s="1898" t="s">
        <v>4581</v>
      </c>
    </row>
    <row r="34">
      <c r="A34" s="907" t="s">
        <v>4582</v>
      </c>
      <c r="B34" s="1897" t="s">
        <v>4583</v>
      </c>
      <c r="C34" s="907">
        <v>13.0</v>
      </c>
      <c r="D34" s="1897" t="s">
        <v>308</v>
      </c>
      <c r="E34" s="1897" t="s">
        <v>4514</v>
      </c>
      <c r="F34" s="907">
        <v>2.0</v>
      </c>
      <c r="G34" s="907" t="s">
        <v>4488</v>
      </c>
      <c r="H34" s="1898" t="s">
        <v>4584</v>
      </c>
    </row>
    <row r="35">
      <c r="A35" s="907" t="s">
        <v>4585</v>
      </c>
      <c r="B35" s="1897" t="s">
        <v>4586</v>
      </c>
      <c r="C35" s="907">
        <v>13.0</v>
      </c>
      <c r="D35" s="1897" t="s">
        <v>4587</v>
      </c>
      <c r="E35" s="1897" t="s">
        <v>4478</v>
      </c>
      <c r="F35" s="907">
        <v>1.0</v>
      </c>
      <c r="G35" s="907" t="s">
        <v>4515</v>
      </c>
      <c r="H35" s="1898" t="s">
        <v>4588</v>
      </c>
    </row>
    <row r="36">
      <c r="A36" s="907" t="s">
        <v>4589</v>
      </c>
      <c r="B36" s="1897" t="s">
        <v>4590</v>
      </c>
      <c r="C36" s="907">
        <v>13.0</v>
      </c>
      <c r="D36" s="1897" t="s">
        <v>308</v>
      </c>
      <c r="E36" s="1897" t="s">
        <v>4487</v>
      </c>
      <c r="F36" s="907">
        <v>1.0</v>
      </c>
      <c r="G36" s="907" t="s">
        <v>4497</v>
      </c>
      <c r="H36" s="1898" t="s">
        <v>4591</v>
      </c>
    </row>
    <row r="37">
      <c r="A37" s="907" t="s">
        <v>4592</v>
      </c>
      <c r="B37" s="1897" t="s">
        <v>4593</v>
      </c>
      <c r="C37" s="907">
        <v>13.0</v>
      </c>
      <c r="D37" s="1897" t="s">
        <v>4500</v>
      </c>
      <c r="E37" s="1897" t="s">
        <v>4569</v>
      </c>
      <c r="F37" s="907">
        <v>1.0</v>
      </c>
      <c r="G37" s="907" t="s">
        <v>4493</v>
      </c>
      <c r="H37" s="1898" t="s">
        <v>4594</v>
      </c>
    </row>
    <row r="38">
      <c r="A38" s="921" t="str">
        <f>if('請先閱讀'!$F$31=true,"拜龍教檔案館","")</f>
        <v>拜龍教檔案館</v>
      </c>
      <c r="B38" s="1901" t="s">
        <v>4595</v>
      </c>
      <c r="C38" s="921">
        <v>13.0</v>
      </c>
      <c r="D38" s="1901" t="s">
        <v>4596</v>
      </c>
      <c r="E38" s="1901" t="s">
        <v>4478</v>
      </c>
      <c r="F38" s="921">
        <v>1.0</v>
      </c>
      <c r="G38" s="921" t="s">
        <v>4497</v>
      </c>
      <c r="H38" s="1902" t="s">
        <v>4597</v>
      </c>
    </row>
    <row r="39">
      <c r="A39" s="911" t="str">
        <f>if('請先閱讀'!$F$34=true,"工匠熔爐","")</f>
        <v>工匠熔爐</v>
      </c>
      <c r="B39" s="911" t="s">
        <v>4598</v>
      </c>
      <c r="C39" s="911">
        <v>13.0</v>
      </c>
      <c r="D39" s="911" t="s">
        <v>4599</v>
      </c>
      <c r="E39" s="911" t="s">
        <v>4478</v>
      </c>
      <c r="F39" s="911">
        <v>2.0</v>
      </c>
      <c r="G39" s="911" t="s">
        <v>4479</v>
      </c>
      <c r="H39" s="992" t="s">
        <v>4600</v>
      </c>
    </row>
    <row r="40">
      <c r="A40" s="912" t="str">
        <f>if('請先閱讀'!$F$34=true,"調查事務所","")</f>
        <v>調查事務所</v>
      </c>
      <c r="B40" s="912" t="s">
        <v>4601</v>
      </c>
      <c r="C40" s="912">
        <v>13.0</v>
      </c>
      <c r="D40" s="912" t="s">
        <v>308</v>
      </c>
      <c r="E40" s="912" t="s">
        <v>4478</v>
      </c>
      <c r="F40" s="912">
        <v>1.0</v>
      </c>
      <c r="G40" s="912" t="s">
        <v>4497</v>
      </c>
      <c r="H40" s="993" t="s">
        <v>4602</v>
      </c>
    </row>
    <row r="41">
      <c r="A41" s="911" t="str">
        <f>if('請先閱讀'!$F$34=true,"萊蘭德舵輪","")</f>
        <v>萊蘭德舵輪</v>
      </c>
      <c r="B41" s="911" t="s">
        <v>4603</v>
      </c>
      <c r="C41" s="911">
        <v>13.0</v>
      </c>
      <c r="D41" s="911" t="s">
        <v>4604</v>
      </c>
      <c r="E41" s="911" t="s">
        <v>4569</v>
      </c>
      <c r="F41" s="911">
        <v>1.0</v>
      </c>
      <c r="G41" s="911" t="s">
        <v>4515</v>
      </c>
      <c r="H41" s="992" t="s">
        <v>4605</v>
      </c>
    </row>
    <row r="42">
      <c r="A42" s="912" t="str">
        <f>if('請先閱讀'!$F$34=true,"顯化區域","")</f>
        <v>顯化區域</v>
      </c>
      <c r="B42" s="912" t="s">
        <v>4606</v>
      </c>
      <c r="C42" s="912">
        <v>13.0</v>
      </c>
      <c r="D42" s="912" t="s">
        <v>4587</v>
      </c>
      <c r="E42" s="912" t="s">
        <v>4514</v>
      </c>
      <c r="F42" s="912">
        <v>1.0</v>
      </c>
      <c r="G42" s="912" t="s">
        <v>4515</v>
      </c>
      <c r="H42" s="993" t="s">
        <v>4607</v>
      </c>
    </row>
    <row r="43">
      <c r="A43" s="911" t="str">
        <f>if('請先閱讀'!$F$34=true,"博物館","")</f>
        <v>博物館</v>
      </c>
      <c r="B43" s="911" t="s">
        <v>4608</v>
      </c>
      <c r="C43" s="911">
        <v>13.0</v>
      </c>
      <c r="D43" s="911" t="s">
        <v>308</v>
      </c>
      <c r="E43" s="911" t="s">
        <v>4487</v>
      </c>
      <c r="F43" s="1903">
        <v>45660.0</v>
      </c>
      <c r="G43" s="911" t="s">
        <v>4497</v>
      </c>
      <c r="H43" s="992" t="s">
        <v>4609</v>
      </c>
    </row>
    <row r="44">
      <c r="A44" s="907" t="s">
        <v>4610</v>
      </c>
      <c r="B44" s="1897" t="s">
        <v>2525</v>
      </c>
      <c r="C44" s="907">
        <v>17.0</v>
      </c>
      <c r="D44" s="1897" t="s">
        <v>4477</v>
      </c>
      <c r="E44" s="1897" t="s">
        <v>4514</v>
      </c>
      <c r="F44" s="907">
        <v>1.0</v>
      </c>
      <c r="G44" s="907" t="s">
        <v>4515</v>
      </c>
      <c r="H44" s="1898" t="s">
        <v>4611</v>
      </c>
    </row>
    <row r="45">
      <c r="A45" s="907" t="s">
        <v>4612</v>
      </c>
      <c r="B45" s="1897" t="s">
        <v>4613</v>
      </c>
      <c r="C45" s="907">
        <v>17.0</v>
      </c>
      <c r="D45" s="1897" t="s">
        <v>4614</v>
      </c>
      <c r="E45" s="1897" t="s">
        <v>4514</v>
      </c>
      <c r="F45" s="907">
        <v>1.0</v>
      </c>
      <c r="G45" s="907" t="s">
        <v>4488</v>
      </c>
      <c r="H45" s="1898" t="s">
        <v>4615</v>
      </c>
    </row>
    <row r="46">
      <c r="A46" s="907" t="s">
        <v>4616</v>
      </c>
      <c r="B46" s="1897" t="s">
        <v>4617</v>
      </c>
      <c r="C46" s="907">
        <v>17.0</v>
      </c>
      <c r="D46" s="1897" t="s">
        <v>4500</v>
      </c>
      <c r="E46" s="1897" t="s">
        <v>4478</v>
      </c>
      <c r="F46" s="907">
        <v>4.0</v>
      </c>
      <c r="G46" s="907" t="s">
        <v>4515</v>
      </c>
      <c r="H46" s="1898" t="s">
        <v>4618</v>
      </c>
    </row>
    <row r="47">
      <c r="A47" s="907" t="s">
        <v>4619</v>
      </c>
      <c r="B47" s="1897" t="s">
        <v>4620</v>
      </c>
      <c r="C47" s="907">
        <v>17.0</v>
      </c>
      <c r="D47" s="1897" t="s">
        <v>4621</v>
      </c>
      <c r="E47" s="1897" t="s">
        <v>4514</v>
      </c>
      <c r="F47" s="907" t="s">
        <v>4622</v>
      </c>
      <c r="G47" s="907" t="s">
        <v>4488</v>
      </c>
      <c r="H47" s="1898" t="s">
        <v>4623</v>
      </c>
    </row>
    <row r="48">
      <c r="A48" s="912" t="str">
        <f>if('請先閱讀'!$F$34=true,"構裝鍛爐","")</f>
        <v>構裝鍛爐</v>
      </c>
      <c r="B48" s="912" t="s">
        <v>4624</v>
      </c>
      <c r="C48" s="912">
        <v>17.0</v>
      </c>
      <c r="D48" s="912" t="s">
        <v>4599</v>
      </c>
      <c r="E48" s="912" t="s">
        <v>4514</v>
      </c>
      <c r="F48" s="912">
        <v>2.0</v>
      </c>
      <c r="G48" s="912" t="s">
        <v>4488</v>
      </c>
      <c r="H48" s="993" t="s">
        <v>4625</v>
      </c>
    </row>
  </sheetData>
  <dataValidations>
    <dataValidation type="list" allowBlank="1" showDropDown="1" sqref="E2:E48">
      <formula1>"狹窄 Cramped,寬敞 Roomy,寬敞 Roomy~龐大 Vast,龐大 Vast"</formula1>
    </dataValidation>
    <dataValidation type="list" allowBlank="1" showDropDown="1" sqref="G2:G48">
      <formula1>"收穫 Harvest,招募 Recruit,研究 Research,貿易 Trade,製造 Craft,賦能 Empower"</formula1>
    </dataValidation>
  </dataValidations>
  <drawing r:id="rId1"/>
  <tableParts count="1">
    <tablePart r:id="rId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28.71"/>
    <col customWidth="1" min="3" max="12" width="14.43"/>
  </cols>
  <sheetData>
    <row r="1">
      <c r="A1" s="1412" t="s">
        <v>4626</v>
      </c>
      <c r="B1" s="905" t="s">
        <v>4627</v>
      </c>
      <c r="C1" s="1904" t="s">
        <v>4474</v>
      </c>
      <c r="D1" s="972"/>
      <c r="E1" s="972"/>
      <c r="F1" s="972"/>
      <c r="G1" s="972"/>
      <c r="H1" s="972"/>
      <c r="I1" s="972"/>
      <c r="J1" s="972"/>
      <c r="K1" s="972"/>
      <c r="L1" s="1905"/>
    </row>
    <row r="2">
      <c r="A2" s="974" t="s">
        <v>4628</v>
      </c>
      <c r="B2" s="974" t="s">
        <v>4629</v>
      </c>
      <c r="C2" s="1906" t="s">
        <v>4630</v>
      </c>
    </row>
    <row r="3">
      <c r="A3" s="975" t="s">
        <v>4631</v>
      </c>
      <c r="B3" s="975" t="s">
        <v>4632</v>
      </c>
      <c r="C3" s="1907" t="s">
        <v>4633</v>
      </c>
    </row>
    <row r="4">
      <c r="A4" s="974" t="s">
        <v>4634</v>
      </c>
      <c r="B4" s="974" t="s">
        <v>4635</v>
      </c>
      <c r="C4" s="1906" t="s">
        <v>4636</v>
      </c>
    </row>
    <row r="5">
      <c r="A5" s="975" t="s">
        <v>4637</v>
      </c>
      <c r="B5" s="975" t="s">
        <v>4638</v>
      </c>
      <c r="C5" s="1907" t="s">
        <v>4639</v>
      </c>
    </row>
    <row r="6">
      <c r="A6" s="974" t="s">
        <v>4640</v>
      </c>
      <c r="B6" s="974" t="s">
        <v>4641</v>
      </c>
      <c r="C6" s="1906" t="s">
        <v>4642</v>
      </c>
    </row>
    <row r="7">
      <c r="A7" s="975" t="s">
        <v>4643</v>
      </c>
      <c r="B7" s="975" t="s">
        <v>4644</v>
      </c>
      <c r="C7" s="1907" t="s">
        <v>4645</v>
      </c>
    </row>
    <row r="8">
      <c r="A8" s="974" t="s">
        <v>4646</v>
      </c>
      <c r="B8" s="974" t="s">
        <v>4647</v>
      </c>
      <c r="C8" s="1906" t="s">
        <v>4648</v>
      </c>
    </row>
    <row r="9">
      <c r="A9" s="975" t="s">
        <v>4649</v>
      </c>
      <c r="B9" s="975" t="s">
        <v>4650</v>
      </c>
      <c r="C9" s="1907" t="s">
        <v>4651</v>
      </c>
    </row>
    <row r="10">
      <c r="A10" s="974" t="s">
        <v>4652</v>
      </c>
      <c r="B10" s="974" t="s">
        <v>4653</v>
      </c>
      <c r="C10" s="1906" t="s">
        <v>4654</v>
      </c>
    </row>
    <row r="11">
      <c r="A11" s="975" t="s">
        <v>4655</v>
      </c>
      <c r="B11" s="975" t="s">
        <v>4656</v>
      </c>
      <c r="C11" s="1907" t="s">
        <v>4657</v>
      </c>
    </row>
    <row r="12">
      <c r="A12" s="974" t="s">
        <v>4658</v>
      </c>
      <c r="B12" s="974" t="s">
        <v>4659</v>
      </c>
      <c r="C12" s="1906" t="s">
        <v>4660</v>
      </c>
    </row>
  </sheetData>
  <mergeCells count="12">
    <mergeCell ref="C8:L8"/>
    <mergeCell ref="C9:L9"/>
    <mergeCell ref="C10:L10"/>
    <mergeCell ref="C11:L11"/>
    <mergeCell ref="C12:L12"/>
    <mergeCell ref="C1:L1"/>
    <mergeCell ref="C2:L2"/>
    <mergeCell ref="C3:L3"/>
    <mergeCell ref="C4:L4"/>
    <mergeCell ref="C5:L5"/>
    <mergeCell ref="C6:L6"/>
    <mergeCell ref="C7:L7"/>
  </mergeCells>
  <drawing r:id="rId1"/>
</worksheet>
</file>